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<sst xmlns="http://schemas.openxmlformats.org/spreadsheetml/2006/main" count="34093" uniqueCount="6058">
  <si>
    <t>Hyperlinked Case #</t>
  </si>
  <si>
    <t>Assigned Branch/CC</t>
  </si>
  <si>
    <t>Primary Advocate</t>
  </si>
  <si>
    <t>Tester Tester</t>
  </si>
  <si>
    <t>Eligibility Tester</t>
  </si>
  <si>
    <t>HAL Eligibility Date</t>
  </si>
  <si>
    <t>Blank Case Type Tester</t>
  </si>
  <si>
    <t>Housing Type Of Case</t>
  </si>
  <si>
    <t>HRA Release/Consent Tester</t>
  </si>
  <si>
    <t>HRA Release?</t>
  </si>
  <si>
    <t>Income Verification Tester</t>
  </si>
  <si>
    <t>Gen Pub Assist Case Number</t>
  </si>
  <si>
    <t>Housing Signed DHCI Form</t>
  </si>
  <si>
    <t>Level of Service Tester</t>
  </si>
  <si>
    <t>Housing Level of Service</t>
  </si>
  <si>
    <t>Outcome Tester</t>
  </si>
  <si>
    <t>Housing Outcome</t>
  </si>
  <si>
    <t>Housing Outcome Date</t>
  </si>
  <si>
    <t>Client First Name</t>
  </si>
  <si>
    <t>Client Last Name</t>
  </si>
  <si>
    <t>Date Opened</t>
  </si>
  <si>
    <t>Date Closed</t>
  </si>
  <si>
    <t>Case Disposition</t>
  </si>
  <si>
    <t>Street Address</t>
  </si>
  <si>
    <t>Apt#/Suite#</t>
  </si>
  <si>
    <t>City</t>
  </si>
  <si>
    <t>State</t>
  </si>
  <si>
    <t>Zip Code</t>
  </si>
  <si>
    <t>Referral Source</t>
  </si>
  <si>
    <t>Gen Case Index Number</t>
  </si>
  <si>
    <t>Housing Years Living In Apartment</t>
  </si>
  <si>
    <t>Close Reason</t>
  </si>
  <si>
    <t>Primary Funding Code</t>
  </si>
  <si>
    <t>Group</t>
  </si>
  <si>
    <t>Housing Building Case?</t>
  </si>
  <si>
    <t>Secondary Funding Codes</t>
  </si>
  <si>
    <t>Legal Problem Code</t>
  </si>
  <si>
    <t>Housing Posture of Case on Eligibility Date</t>
  </si>
  <si>
    <t>Housing Tenant’s Share Of Rent</t>
  </si>
  <si>
    <t>Housing Total Monthly Rent</t>
  </si>
  <si>
    <t>Total Time For Case</t>
  </si>
  <si>
    <t>Outcome</t>
  </si>
  <si>
    <t>Date of Birth</t>
  </si>
  <si>
    <t>Social Security #</t>
  </si>
  <si>
    <t>Housing Number Of Units In Building</t>
  </si>
  <si>
    <t>Housing Form Of Regulation</t>
  </si>
  <si>
    <t>Number of People 18 and Over</t>
  </si>
  <si>
    <t>Number of People under 18</t>
  </si>
  <si>
    <t>Percentage of Poverty</t>
  </si>
  <si>
    <t>Housing Date Of Waiver Approval</t>
  </si>
  <si>
    <t>Housing TRC HRA Waiver Categories</t>
  </si>
  <si>
    <t>Housing HPLP Household Category</t>
  </si>
  <si>
    <t>Housing Subsidy Type</t>
  </si>
  <si>
    <t>Language</t>
  </si>
  <si>
    <t xml:space="preserve">Total Annual Income </t>
  </si>
  <si>
    <t>Housing Proof Public Assistance</t>
  </si>
  <si>
    <t>Housing Verification Of Income</t>
  </si>
  <si>
    <t>Housing Funding Note</t>
  </si>
  <si>
    <t>Caseworker Name</t>
  </si>
  <si>
    <t>Housing Activity Indicators</t>
  </si>
  <si>
    <t>Housing Services Rendered to Client</t>
  </si>
  <si>
    <t>Income Types</t>
  </si>
  <si>
    <t>Service Date</t>
  </si>
  <si>
    <t>Housing Income Verification</t>
  </si>
  <si>
    <t>BkLS</t>
  </si>
  <si>
    <t>BxLS</t>
  </si>
  <si>
    <t>MLS</t>
  </si>
  <si>
    <t>QLS</t>
  </si>
  <si>
    <t>SILS</t>
  </si>
  <si>
    <t>Wong, Humbert</t>
  </si>
  <si>
    <t>Gardner III, George</t>
  </si>
  <si>
    <t>Fuller-Bennett, Reuben</t>
  </si>
  <si>
    <t>Gathing, Vance</t>
  </si>
  <si>
    <t>Geha, Nada</t>
  </si>
  <si>
    <t>Ginsberg, Irene</t>
  </si>
  <si>
    <t>Miller, Thomas</t>
  </si>
  <si>
    <t>Drumm, Kristen</t>
  </si>
  <si>
    <t>Dolin, Brett</t>
  </si>
  <si>
    <t>Roussos, Katie</t>
  </si>
  <si>
    <t>Samuel, Somalia</t>
  </si>
  <si>
    <t>Sandoval, Sandra</t>
  </si>
  <si>
    <t>Schiff, Logan</t>
  </si>
  <si>
    <t>Elmore, Josh</t>
  </si>
  <si>
    <t>Lee, Jooyeon</t>
  </si>
  <si>
    <t>Ortiz, Andrew</t>
  </si>
  <si>
    <t>Kramer, Kramer</t>
  </si>
  <si>
    <t>Joly, Coco</t>
  </si>
  <si>
    <t>McHugh Mills, Maura</t>
  </si>
  <si>
    <t>McCormick, James</t>
  </si>
  <si>
    <t>Nadeau-Rifkind, Al</t>
  </si>
  <si>
    <t>Leroux, Paul</t>
  </si>
  <si>
    <t>Pangonis, Dustin</t>
  </si>
  <si>
    <t>Reed, Jessica</t>
  </si>
  <si>
    <t>Johnson, Chantal</t>
  </si>
  <si>
    <t>James, Natalie</t>
  </si>
  <si>
    <t>Jackson, Chavette</t>
  </si>
  <si>
    <t>Cepeda, Jeanette</t>
  </si>
  <si>
    <t>Stevens, Jean</t>
  </si>
  <si>
    <t>Castronovo, Julian</t>
  </si>
  <si>
    <t>Carter, Corinthia</t>
  </si>
  <si>
    <t>Tan, Andrea</t>
  </si>
  <si>
    <t>Sumerall, Iesha</t>
  </si>
  <si>
    <t>Deolarte, Stephanie</t>
  </si>
  <si>
    <t>Alajbegovic, Andrea</t>
  </si>
  <si>
    <t>DeLong, Sarah</t>
  </si>
  <si>
    <t>Mbame, Etondi</t>
  </si>
  <si>
    <t>Massey, Randi</t>
  </si>
  <si>
    <t>Licharson, Tom</t>
  </si>
  <si>
    <t>Nimis, Roland</t>
  </si>
  <si>
    <t>Navarro, Norey</t>
  </si>
  <si>
    <t>Tongo, Salima</t>
  </si>
  <si>
    <t>Laffer, Tara</t>
  </si>
  <si>
    <t>Lynch, Megan</t>
  </si>
  <si>
    <t>Alvarez, Adriana</t>
  </si>
  <si>
    <t>Breakstone, Chelsea</t>
  </si>
  <si>
    <t>Brutus, Jean-Pierre</t>
  </si>
  <si>
    <t>McLinn, Heather</t>
  </si>
  <si>
    <t>McDonald, John</t>
  </si>
  <si>
    <t>Succop, Steven</t>
  </si>
  <si>
    <t>Osei, Dionne</t>
  </si>
  <si>
    <t>Kook, Heejung</t>
  </si>
  <si>
    <t>Kellogg, Martha</t>
  </si>
  <si>
    <t>Kalum, Nicole</t>
  </si>
  <si>
    <t>Taylor, Mark</t>
  </si>
  <si>
    <t>Mancias, Fernando</t>
  </si>
  <si>
    <t>Ansari, Saif</t>
  </si>
  <si>
    <t>Caldwell-Kuru, Hazel</t>
  </si>
  <si>
    <t>Catuira, Rochelle</t>
  </si>
  <si>
    <t>Silliman, Stacey</t>
  </si>
  <si>
    <t>DeVolld, Angela</t>
  </si>
  <si>
    <t>Cruz-Perez, Javier</t>
  </si>
  <si>
    <t>Spencer, Amelia</t>
  </si>
  <si>
    <t>Solivan, Jackeline</t>
  </si>
  <si>
    <t>Smith, Sara</t>
  </si>
  <si>
    <t>Fukuda, Noriko</t>
  </si>
  <si>
    <t>Castro, Cristina</t>
  </si>
  <si>
    <t>Garland, Shelby</t>
  </si>
  <si>
    <t>Rosen, David</t>
  </si>
  <si>
    <t>Santana, Bridgette</t>
  </si>
  <si>
    <t>Scott, Samuel</t>
  </si>
  <si>
    <t>Encarnacion-Badru, Bea</t>
  </si>
  <si>
    <t>Faliks, Sarah</t>
  </si>
  <si>
    <t>Greene, Janelle</t>
  </si>
  <si>
    <t>Herrmann, Neil</t>
  </si>
  <si>
    <t>Goyzueta, Anna</t>
  </si>
  <si>
    <t>Rahman, Urooj</t>
  </si>
  <si>
    <t>Price, Adriana</t>
  </si>
  <si>
    <t>Roberts, Jonathan</t>
  </si>
  <si>
    <t>Sharma, Sagar</t>
  </si>
  <si>
    <t>Wilkes, Nicole</t>
  </si>
  <si>
    <t>Spencer, Eleanor</t>
  </si>
  <si>
    <t>Treadwell, Nathan</t>
  </si>
  <si>
    <t>Patel, Roopal</t>
  </si>
  <si>
    <t>Shah, Ami</t>
  </si>
  <si>
    <t>Abbas, Sayeda</t>
  </si>
  <si>
    <t>Mercedes, Jannelys</t>
  </si>
  <si>
    <t>Hao, Lindsay</t>
  </si>
  <si>
    <t>He, Ricky</t>
  </si>
  <si>
    <t>Englard, Rubin</t>
  </si>
  <si>
    <t>Evers, Erin</t>
  </si>
  <si>
    <t>Dias, Marika</t>
  </si>
  <si>
    <t>Labossiere, Samantha</t>
  </si>
  <si>
    <t>Guillaume, Naura</t>
  </si>
  <si>
    <t>Braudy, Erica</t>
  </si>
  <si>
    <t>Freeman, Daniel</t>
  </si>
  <si>
    <t>Black, Rosalind</t>
  </si>
  <si>
    <t>Basu, Shantonu</t>
  </si>
  <si>
    <t>Anunkor, Ifeoma</t>
  </si>
  <si>
    <t>Allen, Sharette</t>
  </si>
  <si>
    <t>Frierson, Jerome</t>
  </si>
  <si>
    <t>Flores, Irene</t>
  </si>
  <si>
    <t>Santos, Marisol</t>
  </si>
  <si>
    <t>Salas, Emma</t>
  </si>
  <si>
    <t>Sanderman, Robert</t>
  </si>
  <si>
    <t>Saywack, Priam</t>
  </si>
  <si>
    <t>Diaz, Lino</t>
  </si>
  <si>
    <t>Chan, Vincce</t>
  </si>
  <si>
    <t>Carwin, Mikailla</t>
  </si>
  <si>
    <t>Tadepalli, Ashwin</t>
  </si>
  <si>
    <t>Barrett, Samantha</t>
  </si>
  <si>
    <t>Atuegbu, Chidera</t>
  </si>
  <si>
    <t>Ascher, Ann</t>
  </si>
  <si>
    <t>Lin, Tina</t>
  </si>
  <si>
    <t>Pathiyil, Neelu</t>
  </si>
  <si>
    <t>Pozo, Caridad</t>
  </si>
  <si>
    <t>Hammond, Robert</t>
  </si>
  <si>
    <t>Mui, Ernie</t>
  </si>
  <si>
    <t>Ramroop, Nikki</t>
  </si>
  <si>
    <t>Goldberg, Heather</t>
  </si>
  <si>
    <t>Rhee, Bohee</t>
  </si>
  <si>
    <t>Falco, Fara</t>
  </si>
  <si>
    <t>Burns, Erin</t>
  </si>
  <si>
    <t>Martinez, Renee</t>
  </si>
  <si>
    <t>Montoute, John</t>
  </si>
  <si>
    <t>Bauer, Kai</t>
  </si>
  <si>
    <t>Rave, Helen</t>
  </si>
  <si>
    <t>Nilsson, Erik</t>
  </si>
  <si>
    <t>Puleo Jr, Michael</t>
  </si>
  <si>
    <t>Hong, Connie</t>
  </si>
  <si>
    <t>Golden, Tashanna</t>
  </si>
  <si>
    <t>Case Needs Attention</t>
  </si>
  <si>
    <t>Needs Eligibility Date</t>
  </si>
  <si>
    <t>All Good!</t>
  </si>
  <si>
    <t>Eligibility Date Out of Contract Year</t>
  </si>
  <si>
    <t>07/10/2019</t>
  </si>
  <si>
    <t>07/11/2019</t>
  </si>
  <si>
    <t>09/19/2019</t>
  </si>
  <si>
    <t>08/01/2019</t>
  </si>
  <si>
    <t>07/01/2019</t>
  </si>
  <si>
    <t>08/06/2019</t>
  </si>
  <si>
    <t>07/29/2019</t>
  </si>
  <si>
    <t>07/15/2019</t>
  </si>
  <si>
    <t>06/19/2019</t>
  </si>
  <si>
    <t>08/20/2019</t>
  </si>
  <si>
    <t>07/19/2019</t>
  </si>
  <si>
    <t>06/27/2019</t>
  </si>
  <si>
    <t>09/23/2019</t>
  </si>
  <si>
    <t>08/19/2019</t>
  </si>
  <si>
    <t>08/28/2019</t>
  </si>
  <si>
    <t>09/04/2019</t>
  </si>
  <si>
    <t>08/15/2019</t>
  </si>
  <si>
    <t>08/23/2019</t>
  </si>
  <si>
    <t>09/13/2019</t>
  </si>
  <si>
    <t>08/21/2019</t>
  </si>
  <si>
    <t>09/01/2019</t>
  </si>
  <si>
    <t>08/27/2019</t>
  </si>
  <si>
    <t>08/09/2019</t>
  </si>
  <si>
    <t>07/08/2019</t>
  </si>
  <si>
    <t>09/09/2019</t>
  </si>
  <si>
    <t>07/02/2019</t>
  </si>
  <si>
    <t>09/12/2019</t>
  </si>
  <si>
    <t>07/18/2019</t>
  </si>
  <si>
    <t>07/23/2019</t>
  </si>
  <si>
    <t>07/09/2019</t>
  </si>
  <si>
    <t>09/11/2019</t>
  </si>
  <si>
    <t>08/13/2019</t>
  </si>
  <si>
    <t>08/30/2019</t>
  </si>
  <si>
    <t>08/29/2019</t>
  </si>
  <si>
    <t>09/05/2019</t>
  </si>
  <si>
    <t>08/08/2019</t>
  </si>
  <si>
    <t>08/07/2019</t>
  </si>
  <si>
    <t>08/05/2019</t>
  </si>
  <si>
    <t>07/22/2019</t>
  </si>
  <si>
    <t>09/18/2019</t>
  </si>
  <si>
    <t>06/28/2019</t>
  </si>
  <si>
    <t>07/16/2019</t>
  </si>
  <si>
    <t>07/12/2019</t>
  </si>
  <si>
    <t>08/22/2019</t>
  </si>
  <si>
    <t>08/12/2019</t>
  </si>
  <si>
    <t>07/31/2019</t>
  </si>
  <si>
    <t>07/26/2019</t>
  </si>
  <si>
    <t>07/05/2019</t>
  </si>
  <si>
    <t>09/03/2019</t>
  </si>
  <si>
    <t>08/02/2019</t>
  </si>
  <si>
    <t>08/16/2019</t>
  </si>
  <si>
    <t>07/03/2019</t>
  </si>
  <si>
    <t>09/06/2019</t>
  </si>
  <si>
    <t>08/14/2019</t>
  </si>
  <si>
    <t>07/17/2019</t>
  </si>
  <si>
    <t>09/20/2019</t>
  </si>
  <si>
    <t>07/24/2019</t>
  </si>
  <si>
    <t>07/30/2019</t>
  </si>
  <si>
    <t>07/25/2019</t>
  </si>
  <si>
    <t>09/10/2019</t>
  </si>
  <si>
    <t>09/16/2019</t>
  </si>
  <si>
    <t>02/06/2019</t>
  </si>
  <si>
    <t>09/24/2019</t>
  </si>
  <si>
    <t>09/17/2019</t>
  </si>
  <si>
    <t>05/07/2019</t>
  </si>
  <si>
    <t>06/03/2019</t>
  </si>
  <si>
    <t>Needs Housing Case Type</t>
  </si>
  <si>
    <t>Holdover</t>
  </si>
  <si>
    <t>Non-payment</t>
  </si>
  <si>
    <t>HP Action</t>
  </si>
  <si>
    <t>NYCHA Housing Termination</t>
  </si>
  <si>
    <t>Section 8 share</t>
  </si>
  <si>
    <t>Other Civil Court</t>
  </si>
  <si>
    <t>Illegal Lockout</t>
  </si>
  <si>
    <t>No Case</t>
  </si>
  <si>
    <t>Article 78</t>
  </si>
  <si>
    <t>Ejectment Action</t>
  </si>
  <si>
    <t>Tenant Rights</t>
  </si>
  <si>
    <t>Section 8 other</t>
  </si>
  <si>
    <t>Sec. 8 Termination</t>
  </si>
  <si>
    <t>NYCHA Housing Grievance</t>
  </si>
  <si>
    <t>Non-Litigation Advocacy</t>
  </si>
  <si>
    <t>Other Administrative Proceeding</t>
  </si>
  <si>
    <t>Section 8 Grievance</t>
  </si>
  <si>
    <t>Needs HRA Release/Consent Form</t>
  </si>
  <si>
    <t>Yes</t>
  </si>
  <si>
    <t xml:space="preserve"> </t>
  </si>
  <si>
    <t>No</t>
  </si>
  <si>
    <t>Needs DHCI</t>
  </si>
  <si>
    <t>0059199331F</t>
  </si>
  <si>
    <t>01776794E</t>
  </si>
  <si>
    <t>037007181D</t>
  </si>
  <si>
    <t>006501305E</t>
  </si>
  <si>
    <t>010655080J</t>
  </si>
  <si>
    <t>037646425B</t>
  </si>
  <si>
    <t>008054349J</t>
  </si>
  <si>
    <t>018236495A</t>
  </si>
  <si>
    <t>016568806A</t>
  </si>
  <si>
    <t>013187524H</t>
  </si>
  <si>
    <t>034925111G</t>
  </si>
  <si>
    <t>004532153G</t>
  </si>
  <si>
    <t>037701214B</t>
  </si>
  <si>
    <t>036803664G</t>
  </si>
  <si>
    <t>007392142B</t>
  </si>
  <si>
    <t>NONE</t>
  </si>
  <si>
    <t>037600843J</t>
  </si>
  <si>
    <t>018797897I</t>
  </si>
  <si>
    <t>15369633B</t>
  </si>
  <si>
    <t>018758470B</t>
  </si>
  <si>
    <t>008367593E</t>
  </si>
  <si>
    <t>037296728B</t>
  </si>
  <si>
    <t>018643399B</t>
  </si>
  <si>
    <t>017609918C</t>
  </si>
  <si>
    <t>013534309D</t>
  </si>
  <si>
    <t>012481657A</t>
  </si>
  <si>
    <t>018723355G</t>
  </si>
  <si>
    <t>009814063F</t>
  </si>
  <si>
    <t>3767211I</t>
  </si>
  <si>
    <t>010495382D</t>
  </si>
  <si>
    <t>000986312H</t>
  </si>
  <si>
    <t>009198250F</t>
  </si>
  <si>
    <t>035415904i</t>
  </si>
  <si>
    <t>030650784J</t>
  </si>
  <si>
    <t>037303586E</t>
  </si>
  <si>
    <t>09264712C</t>
  </si>
  <si>
    <t>None</t>
  </si>
  <si>
    <t>37403468E</t>
  </si>
  <si>
    <t>036696279D</t>
  </si>
  <si>
    <t>NX41935K</t>
  </si>
  <si>
    <t>036788062C</t>
  </si>
  <si>
    <t>008425584D</t>
  </si>
  <si>
    <t>037567640A</t>
  </si>
  <si>
    <t>037595920C</t>
  </si>
  <si>
    <t>00037727226F</t>
  </si>
  <si>
    <t>016779625J</t>
  </si>
  <si>
    <t>036802726E</t>
  </si>
  <si>
    <t>00037628114D</t>
  </si>
  <si>
    <t>221967D</t>
  </si>
  <si>
    <t>00031775420I</t>
  </si>
  <si>
    <t>006652190H</t>
  </si>
  <si>
    <t>00037710838G</t>
  </si>
  <si>
    <t>2386882J</t>
  </si>
  <si>
    <t>00018909329N</t>
  </si>
  <si>
    <t>2281010F</t>
  </si>
  <si>
    <t>012395001G</t>
  </si>
  <si>
    <t>8582679A</t>
  </si>
  <si>
    <t>017981120D</t>
  </si>
  <si>
    <t>018780473H</t>
  </si>
  <si>
    <t>037389516I</t>
  </si>
  <si>
    <t>00037679735D</t>
  </si>
  <si>
    <t>036870683E</t>
  </si>
  <si>
    <t>001321835J</t>
  </si>
  <si>
    <t>008315852H</t>
  </si>
  <si>
    <t>005550356J</t>
  </si>
  <si>
    <t>007231919H</t>
  </si>
  <si>
    <t>00037640766E</t>
  </si>
  <si>
    <t>037522707B</t>
  </si>
  <si>
    <t>000298543A</t>
  </si>
  <si>
    <t>00036916436D</t>
  </si>
  <si>
    <t>009737098F</t>
  </si>
  <si>
    <t>0005414339B</t>
  </si>
  <si>
    <t>001838722F</t>
  </si>
  <si>
    <t>011491059J</t>
  </si>
  <si>
    <t>018488035J</t>
  </si>
  <si>
    <t>018933017I</t>
  </si>
  <si>
    <t>005056108D</t>
  </si>
  <si>
    <t>037385870D</t>
  </si>
  <si>
    <t>000421201F</t>
  </si>
  <si>
    <t>000281833E</t>
  </si>
  <si>
    <t>018726933H</t>
  </si>
  <si>
    <t>016055797B</t>
  </si>
  <si>
    <t>04933681B</t>
  </si>
  <si>
    <t>01552167J</t>
  </si>
  <si>
    <t>014014717E</t>
  </si>
  <si>
    <t>036769056H</t>
  </si>
  <si>
    <t>007720829G</t>
  </si>
  <si>
    <t>002679185F</t>
  </si>
  <si>
    <t>037084809F</t>
  </si>
  <si>
    <t>008592549D</t>
  </si>
  <si>
    <t>016594404C</t>
  </si>
  <si>
    <t>010155495E</t>
  </si>
  <si>
    <t>017915849I</t>
  </si>
  <si>
    <t>015827335J</t>
  </si>
  <si>
    <t>009417081I</t>
  </si>
  <si>
    <t>036987178F</t>
  </si>
  <si>
    <t>002316582C</t>
  </si>
  <si>
    <t>037413416B</t>
  </si>
  <si>
    <t>ZU76288E</t>
  </si>
  <si>
    <t>010711889F</t>
  </si>
  <si>
    <t>005217525E</t>
  </si>
  <si>
    <t>none</t>
  </si>
  <si>
    <t>004802293D</t>
  </si>
  <si>
    <t>031003426J</t>
  </si>
  <si>
    <t>001269522H</t>
  </si>
  <si>
    <t>010044797I</t>
  </si>
  <si>
    <t>need to fill in</t>
  </si>
  <si>
    <t>37705360I</t>
  </si>
  <si>
    <t>037669966G</t>
  </si>
  <si>
    <t>015048581B</t>
  </si>
  <si>
    <t>037697961D</t>
  </si>
  <si>
    <t>011301811D</t>
  </si>
  <si>
    <t>018351862A</t>
  </si>
  <si>
    <t>017119586A</t>
  </si>
  <si>
    <t>035300868D</t>
  </si>
  <si>
    <t>037431412I</t>
  </si>
  <si>
    <t>008524279A</t>
  </si>
  <si>
    <t>00012472968C</t>
  </si>
  <si>
    <t>018546176B</t>
  </si>
  <si>
    <t>008141101J</t>
  </si>
  <si>
    <t>00018958214B</t>
  </si>
  <si>
    <t>004508204H</t>
  </si>
  <si>
    <t>011491465I</t>
  </si>
  <si>
    <t>006964444B</t>
  </si>
  <si>
    <t>037039391A</t>
  </si>
  <si>
    <t>5201875B</t>
  </si>
  <si>
    <t>Needs Level of Service</t>
  </si>
  <si>
    <t>Hold For Review</t>
  </si>
  <si>
    <t>Representation - State Court</t>
  </si>
  <si>
    <t>Advice</t>
  </si>
  <si>
    <t>Brief Service</t>
  </si>
  <si>
    <t>Out-of-Court Advocacy</t>
  </si>
  <si>
    <t>Representation - Admin. Agency</t>
  </si>
  <si>
    <t>Representation - Federal Court</t>
  </si>
  <si>
    <t>Case Not Closed</t>
  </si>
  <si>
    <t>Needs Outcome &amp; Outcome Date</t>
  </si>
  <si>
    <t>Needs Outcome</t>
  </si>
  <si>
    <t>Client Allowed to Remain in Residence</t>
  </si>
  <si>
    <t>Client Required to be Displaced from Residence</t>
  </si>
  <si>
    <t>2019-08-29</t>
  </si>
  <si>
    <t>2019-08-16</t>
  </si>
  <si>
    <t>2019-07-15</t>
  </si>
  <si>
    <t>2019-08-25</t>
  </si>
  <si>
    <t>2019-08-01</t>
  </si>
  <si>
    <t>2019-07-16</t>
  </si>
  <si>
    <t>2019-08-02</t>
  </si>
  <si>
    <t>2019-08-06</t>
  </si>
  <si>
    <t>2019-07-25</t>
  </si>
  <si>
    <t>2019-09-05</t>
  </si>
  <si>
    <t>2019-08-23</t>
  </si>
  <si>
    <t>2019-09-11</t>
  </si>
  <si>
    <t>2019-08-30</t>
  </si>
  <si>
    <t>2019-08-08</t>
  </si>
  <si>
    <t>2019-08-07</t>
  </si>
  <si>
    <t>2019-09-10</t>
  </si>
  <si>
    <t>2019-07-12</t>
  </si>
  <si>
    <t>2019-02-06</t>
  </si>
  <si>
    <t>2019-07-17</t>
  </si>
  <si>
    <t>2019-09-16</t>
  </si>
  <si>
    <t>2019-09-03</t>
  </si>
  <si>
    <t>2019-07-23</t>
  </si>
  <si>
    <t>2019-08-15</t>
  </si>
  <si>
    <t>2019-09-18</t>
  </si>
  <si>
    <t>2019-07-24</t>
  </si>
  <si>
    <t>2019-09-24</t>
  </si>
  <si>
    <t>2019-07-31</t>
  </si>
  <si>
    <t>2019-08-12</t>
  </si>
  <si>
    <t>2019-08-09</t>
  </si>
  <si>
    <t>2019-08-20</t>
  </si>
  <si>
    <t>2019-07-02</t>
  </si>
  <si>
    <t>Madeline</t>
  </si>
  <si>
    <t>Juana</t>
  </si>
  <si>
    <t>Madge</t>
  </si>
  <si>
    <t>Maria</t>
  </si>
  <si>
    <t>Terrence</t>
  </si>
  <si>
    <t>Miriam</t>
  </si>
  <si>
    <t>Crystal</t>
  </si>
  <si>
    <t>Joey</t>
  </si>
  <si>
    <t>Lou Ann</t>
  </si>
  <si>
    <t>Winston</t>
  </si>
  <si>
    <t>Shana</t>
  </si>
  <si>
    <t>Rochelle</t>
  </si>
  <si>
    <t>Jean</t>
  </si>
  <si>
    <t>Robert</t>
  </si>
  <si>
    <t>Gisela</t>
  </si>
  <si>
    <t>Patricia</t>
  </si>
  <si>
    <t>Lashanda</t>
  </si>
  <si>
    <t>Cheryl</t>
  </si>
  <si>
    <t>Daniel</t>
  </si>
  <si>
    <t>Claire</t>
  </si>
  <si>
    <t>Felix</t>
  </si>
  <si>
    <t>Hector</t>
  </si>
  <si>
    <t>Mary</t>
  </si>
  <si>
    <t>Kadisha</t>
  </si>
  <si>
    <t>Cecilia</t>
  </si>
  <si>
    <t>Lakesia</t>
  </si>
  <si>
    <t>Renee</t>
  </si>
  <si>
    <t>Darnell</t>
  </si>
  <si>
    <t>Chanette</t>
  </si>
  <si>
    <t>Desiree</t>
  </si>
  <si>
    <t>Helen</t>
  </si>
  <si>
    <t>Jaleth</t>
  </si>
  <si>
    <t>Heidi</t>
  </si>
  <si>
    <t>Carla</t>
  </si>
  <si>
    <t>Regina</t>
  </si>
  <si>
    <t>Gelean</t>
  </si>
  <si>
    <t>Marie Guileme</t>
  </si>
  <si>
    <t>Miguel</t>
  </si>
  <si>
    <t>Malkia</t>
  </si>
  <si>
    <t>Coral</t>
  </si>
  <si>
    <t>Brenda</t>
  </si>
  <si>
    <t>Bertha</t>
  </si>
  <si>
    <t>Tyrell</t>
  </si>
  <si>
    <t>Sola</t>
  </si>
  <si>
    <t>Beverly</t>
  </si>
  <si>
    <t>Evguenia</t>
  </si>
  <si>
    <t>Natalie</t>
  </si>
  <si>
    <t>Justice</t>
  </si>
  <si>
    <t>Gary</t>
  </si>
  <si>
    <t>Mario</t>
  </si>
  <si>
    <t>Frank</t>
  </si>
  <si>
    <t>Tiffany</t>
  </si>
  <si>
    <t>Bessie</t>
  </si>
  <si>
    <t>Maurice</t>
  </si>
  <si>
    <t>Yasmin</t>
  </si>
  <si>
    <t>Wendy</t>
  </si>
  <si>
    <t>Tanisha</t>
  </si>
  <si>
    <t>Kimberly</t>
  </si>
  <si>
    <t>Wanda</t>
  </si>
  <si>
    <t>Willis</t>
  </si>
  <si>
    <t>Dekechres</t>
  </si>
  <si>
    <t>Altagrace</t>
  </si>
  <si>
    <t>Allison</t>
  </si>
  <si>
    <t>Esther</t>
  </si>
  <si>
    <t>Marcey</t>
  </si>
  <si>
    <t>Norma</t>
  </si>
  <si>
    <t>Evan</t>
  </si>
  <si>
    <t>Latima</t>
  </si>
  <si>
    <t>Veronique</t>
  </si>
  <si>
    <t>Marie</t>
  </si>
  <si>
    <t>Tardrea</t>
  </si>
  <si>
    <t>Andrea</t>
  </si>
  <si>
    <t>Fellicia</t>
  </si>
  <si>
    <t>Darryl</t>
  </si>
  <si>
    <t>Laura</t>
  </si>
  <si>
    <t>Angel</t>
  </si>
  <si>
    <t>Lilly</t>
  </si>
  <si>
    <t>Nnamdi</t>
  </si>
  <si>
    <t>Elizabeth</t>
  </si>
  <si>
    <t>Shauna</t>
  </si>
  <si>
    <t>Richard</t>
  </si>
  <si>
    <t>Muhamed</t>
  </si>
  <si>
    <t>Pamela</t>
  </si>
  <si>
    <t>Lola</t>
  </si>
  <si>
    <t>Jasmine</t>
  </si>
  <si>
    <t>Michael</t>
  </si>
  <si>
    <t>Aleksandr</t>
  </si>
  <si>
    <t>Dennis</t>
  </si>
  <si>
    <t>Nigel</t>
  </si>
  <si>
    <t>Lillian</t>
  </si>
  <si>
    <t>Carol</t>
  </si>
  <si>
    <t>Louise</t>
  </si>
  <si>
    <t>Trishina</t>
  </si>
  <si>
    <t>Anna</t>
  </si>
  <si>
    <t>Troy</t>
  </si>
  <si>
    <t>Urooj</t>
  </si>
  <si>
    <t>Cherise</t>
  </si>
  <si>
    <t>Myron</t>
  </si>
  <si>
    <t>Wilner</t>
  </si>
  <si>
    <t>Agniman</t>
  </si>
  <si>
    <t>Shakema</t>
  </si>
  <si>
    <t>Fritz</t>
  </si>
  <si>
    <t>Moustafa</t>
  </si>
  <si>
    <t>Naimah</t>
  </si>
  <si>
    <t>Jennifer</t>
  </si>
  <si>
    <t>Evelia</t>
  </si>
  <si>
    <t>Yevgeniya</t>
  </si>
  <si>
    <t>Ahmed</t>
  </si>
  <si>
    <t>Joanne</t>
  </si>
  <si>
    <t>Yvonne</t>
  </si>
  <si>
    <t>Carlos</t>
  </si>
  <si>
    <t>Marat</t>
  </si>
  <si>
    <t>Dania</t>
  </si>
  <si>
    <t>Sipro</t>
  </si>
  <si>
    <t>Lilian</t>
  </si>
  <si>
    <t>Sharmine</t>
  </si>
  <si>
    <t>Victoria</t>
  </si>
  <si>
    <t>Daniela</t>
  </si>
  <si>
    <t>Leorn</t>
  </si>
  <si>
    <t>Raymond</t>
  </si>
  <si>
    <t>Lynette</t>
  </si>
  <si>
    <t>Shabana</t>
  </si>
  <si>
    <t>Dashawna</t>
  </si>
  <si>
    <t>Marthe</t>
  </si>
  <si>
    <t>Megan</t>
  </si>
  <si>
    <t>Kathleen</t>
  </si>
  <si>
    <t>Avesta</t>
  </si>
  <si>
    <t>Lookman</t>
  </si>
  <si>
    <t>Tiasha</t>
  </si>
  <si>
    <t>Sharee</t>
  </si>
  <si>
    <t>Delisse</t>
  </si>
  <si>
    <t>Maya</t>
  </si>
  <si>
    <t>Darlene</t>
  </si>
  <si>
    <t>Cortney</t>
  </si>
  <si>
    <t>Analisa</t>
  </si>
  <si>
    <t>Natasha</t>
  </si>
  <si>
    <t>Diane</t>
  </si>
  <si>
    <t>Delmar</t>
  </si>
  <si>
    <t>Yvette</t>
  </si>
  <si>
    <t>Rose</t>
  </si>
  <si>
    <t>Janelle</t>
  </si>
  <si>
    <t>Eloise</t>
  </si>
  <si>
    <t>Christian</t>
  </si>
  <si>
    <t>Anthonia</t>
  </si>
  <si>
    <t>Marcia</t>
  </si>
  <si>
    <t>Kamilah</t>
  </si>
  <si>
    <t>Donna</t>
  </si>
  <si>
    <t>Albert</t>
  </si>
  <si>
    <t>Antonette</t>
  </si>
  <si>
    <t>Scott</t>
  </si>
  <si>
    <t>Shela</t>
  </si>
  <si>
    <t>Marta</t>
  </si>
  <si>
    <t>Terrance</t>
  </si>
  <si>
    <t>nakema</t>
  </si>
  <si>
    <t>Nicholas</t>
  </si>
  <si>
    <t>Tameka</t>
  </si>
  <si>
    <t>Mark</t>
  </si>
  <si>
    <t>Chalette</t>
  </si>
  <si>
    <t>Ryneisha</t>
  </si>
  <si>
    <t>Tariq</t>
  </si>
  <si>
    <t>Vaughn</t>
  </si>
  <si>
    <t>Clair</t>
  </si>
  <si>
    <t>Paul</t>
  </si>
  <si>
    <t>Iciline</t>
  </si>
  <si>
    <t>Shirlnise</t>
  </si>
  <si>
    <t>Errol</t>
  </si>
  <si>
    <t>Carolyn</t>
  </si>
  <si>
    <t>Ivan</t>
  </si>
  <si>
    <t>Kaela</t>
  </si>
  <si>
    <t>Kayla</t>
  </si>
  <si>
    <t>Jermaine</t>
  </si>
  <si>
    <t>Kyon</t>
  </si>
  <si>
    <t>Guy</t>
  </si>
  <si>
    <t>Annette</t>
  </si>
  <si>
    <t>Denise</t>
  </si>
  <si>
    <t>Hermione</t>
  </si>
  <si>
    <t>Rosetta</t>
  </si>
  <si>
    <t>Genesis</t>
  </si>
  <si>
    <t>Eric</t>
  </si>
  <si>
    <t>Johanna</t>
  </si>
  <si>
    <t>Sheena</t>
  </si>
  <si>
    <t>Dewitt</t>
  </si>
  <si>
    <t>Fallon</t>
  </si>
  <si>
    <t>Erika</t>
  </si>
  <si>
    <t>Jose</t>
  </si>
  <si>
    <t>Toroy</t>
  </si>
  <si>
    <t>Fransisco</t>
  </si>
  <si>
    <t>Ivelisse</t>
  </si>
  <si>
    <t>Deslyn</t>
  </si>
  <si>
    <t>Ricardo</t>
  </si>
  <si>
    <t>Kiara</t>
  </si>
  <si>
    <t>Tane</t>
  </si>
  <si>
    <t>Gricelda</t>
  </si>
  <si>
    <t>Darling</t>
  </si>
  <si>
    <t>Carttresse</t>
  </si>
  <si>
    <t>Alexander</t>
  </si>
  <si>
    <t>Ralph</t>
  </si>
  <si>
    <t>Rahmell</t>
  </si>
  <si>
    <t>Veronica</t>
  </si>
  <si>
    <t>Mercedes</t>
  </si>
  <si>
    <t>Niaja</t>
  </si>
  <si>
    <t>Juan</t>
  </si>
  <si>
    <t>Angie</t>
  </si>
  <si>
    <t>Ann</t>
  </si>
  <si>
    <t>Marilyn</t>
  </si>
  <si>
    <t>Tyrone</t>
  </si>
  <si>
    <t>Shakeema</t>
  </si>
  <si>
    <t>Jinette</t>
  </si>
  <si>
    <t>Cesarina</t>
  </si>
  <si>
    <t>JUANITA</t>
  </si>
  <si>
    <t>Francine</t>
  </si>
  <si>
    <t>Angelic</t>
  </si>
  <si>
    <t>Michelle</t>
  </si>
  <si>
    <t>Mildred</t>
  </si>
  <si>
    <t>Rudy</t>
  </si>
  <si>
    <t>David</t>
  </si>
  <si>
    <t>Grace</t>
  </si>
  <si>
    <t>Dulce</t>
  </si>
  <si>
    <t>Tammy</t>
  </si>
  <si>
    <t>Guadalupe</t>
  </si>
  <si>
    <t>Maritza</t>
  </si>
  <si>
    <t>Katherine</t>
  </si>
  <si>
    <t>Leslie</t>
  </si>
  <si>
    <t>Felicia</t>
  </si>
  <si>
    <t>Josefina</t>
  </si>
  <si>
    <t>Corrine</t>
  </si>
  <si>
    <t>Amanda</t>
  </si>
  <si>
    <t>Milton</t>
  </si>
  <si>
    <t>Luciana</t>
  </si>
  <si>
    <t>Linda</t>
  </si>
  <si>
    <t>Jocelyn</t>
  </si>
  <si>
    <t>Jessica</t>
  </si>
  <si>
    <t>Dora</t>
  </si>
  <si>
    <t>Junior</t>
  </si>
  <si>
    <t>Lisa</t>
  </si>
  <si>
    <t>Keyri</t>
  </si>
  <si>
    <t>Mahranie</t>
  </si>
  <si>
    <t>Tracey</t>
  </si>
  <si>
    <t>Thomisina</t>
  </si>
  <si>
    <t>Edith</t>
  </si>
  <si>
    <t>Ana</t>
  </si>
  <si>
    <t>Angelo</t>
  </si>
  <si>
    <t>Abigail</t>
  </si>
  <si>
    <t>Antonio</t>
  </si>
  <si>
    <t>Manny</t>
  </si>
  <si>
    <t>Cristela</t>
  </si>
  <si>
    <t>Yesenia</t>
  </si>
  <si>
    <t>Harry</t>
  </si>
  <si>
    <t>Lakisha</t>
  </si>
  <si>
    <t>TAWANNA</t>
  </si>
  <si>
    <t>Carlton</t>
  </si>
  <si>
    <t>Glendalee</t>
  </si>
  <si>
    <t>ANGEL</t>
  </si>
  <si>
    <t>Daysi</t>
  </si>
  <si>
    <t>Oumattie</t>
  </si>
  <si>
    <t>Yose</t>
  </si>
  <si>
    <t>Derrick</t>
  </si>
  <si>
    <t>Adrienne</t>
  </si>
  <si>
    <t>Tara</t>
  </si>
  <si>
    <t>Gilbert</t>
  </si>
  <si>
    <t>Theressa</t>
  </si>
  <si>
    <t>Lorena</t>
  </si>
  <si>
    <t>Donisha</t>
  </si>
  <si>
    <t>Luis</t>
  </si>
  <si>
    <t>Bryant</t>
  </si>
  <si>
    <t>Ami</t>
  </si>
  <si>
    <t>Aicha</t>
  </si>
  <si>
    <t>Ridwane</t>
  </si>
  <si>
    <t>Shantell</t>
  </si>
  <si>
    <t>Tabu</t>
  </si>
  <si>
    <t>Al</t>
  </si>
  <si>
    <t>Marina</t>
  </si>
  <si>
    <t>Pedro</t>
  </si>
  <si>
    <t>Mariela</t>
  </si>
  <si>
    <t>Nykeeba</t>
  </si>
  <si>
    <t>CELINA</t>
  </si>
  <si>
    <t>Adama</t>
  </si>
  <si>
    <t>Catherine</t>
  </si>
  <si>
    <t>Gloria</t>
  </si>
  <si>
    <t>Yasmel</t>
  </si>
  <si>
    <t>SAFFIE</t>
  </si>
  <si>
    <t>Kour</t>
  </si>
  <si>
    <t>Oslyn</t>
  </si>
  <si>
    <t>Khadijah</t>
  </si>
  <si>
    <t>Alyssa</t>
  </si>
  <si>
    <t>Maleek</t>
  </si>
  <si>
    <t>Francesca</t>
  </si>
  <si>
    <t>GLADYS</t>
  </si>
  <si>
    <t>Guetey</t>
  </si>
  <si>
    <t>Zujeri</t>
  </si>
  <si>
    <t>George</t>
  </si>
  <si>
    <t>Rosa</t>
  </si>
  <si>
    <t>Loryd</t>
  </si>
  <si>
    <t>Dynesa Ayana</t>
  </si>
  <si>
    <t>HA'SAAN</t>
  </si>
  <si>
    <t>Larry</t>
  </si>
  <si>
    <t>Tanya</t>
  </si>
  <si>
    <t>Adrielle</t>
  </si>
  <si>
    <t>Elisa</t>
  </si>
  <si>
    <t>Helena</t>
  </si>
  <si>
    <t>Alicia</t>
  </si>
  <si>
    <t>Joanna</t>
  </si>
  <si>
    <t>Eduardo</t>
  </si>
  <si>
    <t>Harriel</t>
  </si>
  <si>
    <t>Jacqueline</t>
  </si>
  <si>
    <t>Julio</t>
  </si>
  <si>
    <t>Luz</t>
  </si>
  <si>
    <t>Eileen</t>
  </si>
  <si>
    <t>Shannon</t>
  </si>
  <si>
    <t>Ahimo</t>
  </si>
  <si>
    <t>Andy</t>
  </si>
  <si>
    <t>Kashay</t>
  </si>
  <si>
    <t>Nicole</t>
  </si>
  <si>
    <t>Santiago</t>
  </si>
  <si>
    <t>Eglan</t>
  </si>
  <si>
    <t>Evelyn</t>
  </si>
  <si>
    <t>Luisa</t>
  </si>
  <si>
    <t>Alisha</t>
  </si>
  <si>
    <t>Abril</t>
  </si>
  <si>
    <t>Altagracia</t>
  </si>
  <si>
    <t>Milagros</t>
  </si>
  <si>
    <t>Akia</t>
  </si>
  <si>
    <t>Melanea</t>
  </si>
  <si>
    <t>TYRONE</t>
  </si>
  <si>
    <t>Sonia</t>
  </si>
  <si>
    <t>Augustina</t>
  </si>
  <si>
    <t>Sade</t>
  </si>
  <si>
    <t>Melvin</t>
  </si>
  <si>
    <t>Nilsia</t>
  </si>
  <si>
    <t>Fara</t>
  </si>
  <si>
    <t>Joann</t>
  </si>
  <si>
    <t>Jerali</t>
  </si>
  <si>
    <t>Ruth</t>
  </si>
  <si>
    <t>Daisy</t>
  </si>
  <si>
    <t>Margaret</t>
  </si>
  <si>
    <t>Asuncion</t>
  </si>
  <si>
    <t>Shashi</t>
  </si>
  <si>
    <t>Yaniri</t>
  </si>
  <si>
    <t>Shanequa</t>
  </si>
  <si>
    <t>Edward</t>
  </si>
  <si>
    <t>Julia</t>
  </si>
  <si>
    <t>Teresa</t>
  </si>
  <si>
    <t>Albania</t>
  </si>
  <si>
    <t>Ramona</t>
  </si>
  <si>
    <t>Iris</t>
  </si>
  <si>
    <t>Julian</t>
  </si>
  <si>
    <t>Juanita</t>
  </si>
  <si>
    <t>Elecia</t>
  </si>
  <si>
    <t>GLEINYS</t>
  </si>
  <si>
    <t>Mahagony</t>
  </si>
  <si>
    <t>Franciscos</t>
  </si>
  <si>
    <t>Lizzette</t>
  </si>
  <si>
    <t>Mariel</t>
  </si>
  <si>
    <t>Algenuen</t>
  </si>
  <si>
    <t>Melissa</t>
  </si>
  <si>
    <t>Selina</t>
  </si>
  <si>
    <t>Yismeidy</t>
  </si>
  <si>
    <t>Balvaba</t>
  </si>
  <si>
    <t>Malonnie</t>
  </si>
  <si>
    <t>Chotsani</t>
  </si>
  <si>
    <t>Damari</t>
  </si>
  <si>
    <t>Shirley</t>
  </si>
  <si>
    <t>Joyce</t>
  </si>
  <si>
    <t>Nathaly</t>
  </si>
  <si>
    <t>Liz</t>
  </si>
  <si>
    <t>Miriama</t>
  </si>
  <si>
    <t>Monique</t>
  </si>
  <si>
    <t>Yorkelis</t>
  </si>
  <si>
    <t>Venus</t>
  </si>
  <si>
    <t>Alixon</t>
  </si>
  <si>
    <t>Gabriella</t>
  </si>
  <si>
    <t>Laye</t>
  </si>
  <si>
    <t>Georgette</t>
  </si>
  <si>
    <t>Angelica</t>
  </si>
  <si>
    <t>Mai-Lan</t>
  </si>
  <si>
    <t>Sunilda</t>
  </si>
  <si>
    <t>Stephanie</t>
  </si>
  <si>
    <t>Adrianna</t>
  </si>
  <si>
    <t>Euriel</t>
  </si>
  <si>
    <t>Mariseli</t>
  </si>
  <si>
    <t>Pablo</t>
  </si>
  <si>
    <t>Merlyn</t>
  </si>
  <si>
    <t>Sylvia</t>
  </si>
  <si>
    <t>Aurora</t>
  </si>
  <si>
    <t>Wilmarie</t>
  </si>
  <si>
    <t>Guillermo</t>
  </si>
  <si>
    <t>Alice</t>
  </si>
  <si>
    <t>Dana</t>
  </si>
  <si>
    <t>Aaron</t>
  </si>
  <si>
    <t>Lisette</t>
  </si>
  <si>
    <t>Ismailin</t>
  </si>
  <si>
    <t>Eloiza</t>
  </si>
  <si>
    <t>Ratamanegr</t>
  </si>
  <si>
    <t>Fernando</t>
  </si>
  <si>
    <t>Rahimina</t>
  </si>
  <si>
    <t>Aleyssa</t>
  </si>
  <si>
    <t>William</t>
  </si>
  <si>
    <t>Dorothy Janet</t>
  </si>
  <si>
    <t>Irina</t>
  </si>
  <si>
    <t>Carmen</t>
  </si>
  <si>
    <t>Sergio</t>
  </si>
  <si>
    <t>Inosencia</t>
  </si>
  <si>
    <t>Idalma</t>
  </si>
  <si>
    <t>Selena</t>
  </si>
  <si>
    <t>Karin</t>
  </si>
  <si>
    <t>Tamika</t>
  </si>
  <si>
    <t>Geraldine</t>
  </si>
  <si>
    <t>Hellen</t>
  </si>
  <si>
    <t>Richamar</t>
  </si>
  <si>
    <t>Reginald</t>
  </si>
  <si>
    <t>Sharkina</t>
  </si>
  <si>
    <t>Nyasia</t>
  </si>
  <si>
    <t>Misty</t>
  </si>
  <si>
    <t>Millicent</t>
  </si>
  <si>
    <t>Ravel</t>
  </si>
  <si>
    <t>Ashley</t>
  </si>
  <si>
    <t>Charlie</t>
  </si>
  <si>
    <t>Ladell</t>
  </si>
  <si>
    <t>Patsy</t>
  </si>
  <si>
    <t>Tomasina</t>
  </si>
  <si>
    <t>Lawrence</t>
  </si>
  <si>
    <t>Judy</t>
  </si>
  <si>
    <t>Gina</t>
  </si>
  <si>
    <t>Tasia</t>
  </si>
  <si>
    <t>Joseph</t>
  </si>
  <si>
    <t>Roselyn</t>
  </si>
  <si>
    <t>Jamar</t>
  </si>
  <si>
    <t>John</t>
  </si>
  <si>
    <t>Mohammed</t>
  </si>
  <si>
    <t>Erick</t>
  </si>
  <si>
    <t>Zaida</t>
  </si>
  <si>
    <t>Keyona</t>
  </si>
  <si>
    <t>Ashari</t>
  </si>
  <si>
    <t>Diana</t>
  </si>
  <si>
    <t>Alberto</t>
  </si>
  <si>
    <t>Victor</t>
  </si>
  <si>
    <t>Taina</t>
  </si>
  <si>
    <t>Shonell</t>
  </si>
  <si>
    <t>Musa</t>
  </si>
  <si>
    <t>Dwayne</t>
  </si>
  <si>
    <t>Criseyda</t>
  </si>
  <si>
    <t>Catalina</t>
  </si>
  <si>
    <t>Theresa</t>
  </si>
  <si>
    <t>Yraida</t>
  </si>
  <si>
    <t>Adele</t>
  </si>
  <si>
    <t>Eladio</t>
  </si>
  <si>
    <t>Elvira</t>
  </si>
  <si>
    <t>Osvaldo</t>
  </si>
  <si>
    <t>Vivian</t>
  </si>
  <si>
    <t>Alinca</t>
  </si>
  <si>
    <t>Johnathan</t>
  </si>
  <si>
    <t>Peter</t>
  </si>
  <si>
    <t>Aisha</t>
  </si>
  <si>
    <t>Eddison</t>
  </si>
  <si>
    <t>Marcelino</t>
  </si>
  <si>
    <t>Edwin</t>
  </si>
  <si>
    <t>Joshua</t>
  </si>
  <si>
    <t>Esau</t>
  </si>
  <si>
    <t>Jackeline</t>
  </si>
  <si>
    <t>Aurelina</t>
  </si>
  <si>
    <t>Ethel</t>
  </si>
  <si>
    <t>Gregg</t>
  </si>
  <si>
    <t>Cordy</t>
  </si>
  <si>
    <t>Cherish</t>
  </si>
  <si>
    <t>Issha</t>
  </si>
  <si>
    <t>Nancy</t>
  </si>
  <si>
    <t>Thelma</t>
  </si>
  <si>
    <t>Derwood</t>
  </si>
  <si>
    <t>Bonnie</t>
  </si>
  <si>
    <t>Tanique</t>
  </si>
  <si>
    <t>Shakeem</t>
  </si>
  <si>
    <t>Shanon</t>
  </si>
  <si>
    <t>Suzanne</t>
  </si>
  <si>
    <t>Kaba</t>
  </si>
  <si>
    <t>Simone</t>
  </si>
  <si>
    <t>Gus</t>
  </si>
  <si>
    <t>Yolanda</t>
  </si>
  <si>
    <t>Anntoinette</t>
  </si>
  <si>
    <t>Leigha</t>
  </si>
  <si>
    <t>Carl</t>
  </si>
  <si>
    <t>Jade</t>
  </si>
  <si>
    <t>Vadim</t>
  </si>
  <si>
    <t>Nora</t>
  </si>
  <si>
    <t>Bernardo</t>
  </si>
  <si>
    <t>Danien</t>
  </si>
  <si>
    <t>Dorothy</t>
  </si>
  <si>
    <t>Sybil</t>
  </si>
  <si>
    <t>Marie-Angeline</t>
  </si>
  <si>
    <t>Martinique</t>
  </si>
  <si>
    <t>Alexandros</t>
  </si>
  <si>
    <t>Rebecca</t>
  </si>
  <si>
    <t>Delores</t>
  </si>
  <si>
    <t>Mouhamadou</t>
  </si>
  <si>
    <t>Susana</t>
  </si>
  <si>
    <t>Mollie</t>
  </si>
  <si>
    <t>Charles</t>
  </si>
  <si>
    <t>Hezekiah</t>
  </si>
  <si>
    <t>Lai Kheng</t>
  </si>
  <si>
    <t>Chao Jiang</t>
  </si>
  <si>
    <t>Nelson</t>
  </si>
  <si>
    <t>Yluminada</t>
  </si>
  <si>
    <t>Steve</t>
  </si>
  <si>
    <t>Siobhan</t>
  </si>
  <si>
    <t>Vincent</t>
  </si>
  <si>
    <t>Zachary</t>
  </si>
  <si>
    <t>Steven</t>
  </si>
  <si>
    <t>Krystal</t>
  </si>
  <si>
    <t>Bradley</t>
  </si>
  <si>
    <t>Ancil</t>
  </si>
  <si>
    <t>Bik</t>
  </si>
  <si>
    <t>Leshell</t>
  </si>
  <si>
    <t>Arlene</t>
  </si>
  <si>
    <t>Daquwane</t>
  </si>
  <si>
    <t>Elsie</t>
  </si>
  <si>
    <t>Garrett</t>
  </si>
  <si>
    <t>Susan</t>
  </si>
  <si>
    <t>Guerda</t>
  </si>
  <si>
    <t>Olukunle</t>
  </si>
  <si>
    <t>Nurys</t>
  </si>
  <si>
    <t>Kurell</t>
  </si>
  <si>
    <t>Raul</t>
  </si>
  <si>
    <t>Nicolette</t>
  </si>
  <si>
    <t>Lydia</t>
  </si>
  <si>
    <t>Roberto</t>
  </si>
  <si>
    <t>Laurette</t>
  </si>
  <si>
    <t>Aneudy</t>
  </si>
  <si>
    <t>Albertina</t>
  </si>
  <si>
    <t>Enrique</t>
  </si>
  <si>
    <t>Reyna</t>
  </si>
  <si>
    <t>Angela</t>
  </si>
  <si>
    <t>Unique</t>
  </si>
  <si>
    <t>Shameka</t>
  </si>
  <si>
    <t>Jeanette</t>
  </si>
  <si>
    <t>Ignacio</t>
  </si>
  <si>
    <t>Hernande</t>
  </si>
  <si>
    <t>Harold</t>
  </si>
  <si>
    <t>Woo Sik</t>
  </si>
  <si>
    <t>Ernest</t>
  </si>
  <si>
    <t>Glorie</t>
  </si>
  <si>
    <t>Makeba</t>
  </si>
  <si>
    <t>Maxine</t>
  </si>
  <si>
    <t>Janell</t>
  </si>
  <si>
    <t>Diamila</t>
  </si>
  <si>
    <t>Celeste</t>
  </si>
  <si>
    <t>Asia</t>
  </si>
  <si>
    <t>Jamie</t>
  </si>
  <si>
    <t>Alisa</t>
  </si>
  <si>
    <t>Regla</t>
  </si>
  <si>
    <t>Charmaine</t>
  </si>
  <si>
    <t>Olga</t>
  </si>
  <si>
    <t>Anthony</t>
  </si>
  <si>
    <t>Rashida</t>
  </si>
  <si>
    <t>Elena</t>
  </si>
  <si>
    <t>Terri</t>
  </si>
  <si>
    <t>Nieves</t>
  </si>
  <si>
    <t>Robin</t>
  </si>
  <si>
    <t>Sursattie</t>
  </si>
  <si>
    <t>Garland</t>
  </si>
  <si>
    <t>Jermail</t>
  </si>
  <si>
    <t>Yadira</t>
  </si>
  <si>
    <t>Girleene</t>
  </si>
  <si>
    <t>Chakema</t>
  </si>
  <si>
    <t>Jogui</t>
  </si>
  <si>
    <t>Kailani</t>
  </si>
  <si>
    <t>Keron</t>
  </si>
  <si>
    <t>Anessa</t>
  </si>
  <si>
    <t>Latisha</t>
  </si>
  <si>
    <t>Alam</t>
  </si>
  <si>
    <t>Bassam</t>
  </si>
  <si>
    <t>Davina</t>
  </si>
  <si>
    <t>Shahzad</t>
  </si>
  <si>
    <t>Orline</t>
  </si>
  <si>
    <t>Beatriz</t>
  </si>
  <si>
    <t>Adalis</t>
  </si>
  <si>
    <t>Jazzmera</t>
  </si>
  <si>
    <t>Lavinia</t>
  </si>
  <si>
    <t>Kisha</t>
  </si>
  <si>
    <t>Shawntay</t>
  </si>
  <si>
    <t>Francis</t>
  </si>
  <si>
    <t>Naima</t>
  </si>
  <si>
    <t>Curtis</t>
  </si>
  <si>
    <t>Deloris</t>
  </si>
  <si>
    <t>Prime-Rose</t>
  </si>
  <si>
    <t>Ayesha</t>
  </si>
  <si>
    <t>Benjamin</t>
  </si>
  <si>
    <t>Idris</t>
  </si>
  <si>
    <t>Cozette</t>
  </si>
  <si>
    <t>Aneris</t>
  </si>
  <si>
    <t>Cynthia</t>
  </si>
  <si>
    <t>Celina</t>
  </si>
  <si>
    <t>Felicita</t>
  </si>
  <si>
    <t>Firoz</t>
  </si>
  <si>
    <t>Phyllis</t>
  </si>
  <si>
    <t>Nandanie</t>
  </si>
  <si>
    <t>Marietta</t>
  </si>
  <si>
    <t>Kelly</t>
  </si>
  <si>
    <t>Stephen</t>
  </si>
  <si>
    <t>Daneil</t>
  </si>
  <si>
    <t>Fatou</t>
  </si>
  <si>
    <t>Ebony</t>
  </si>
  <si>
    <t>Deborah</t>
  </si>
  <si>
    <t>Bernal</t>
  </si>
  <si>
    <t>Jully</t>
  </si>
  <si>
    <t>Shadira</t>
  </si>
  <si>
    <t>Bryana</t>
  </si>
  <si>
    <t>Cleo</t>
  </si>
  <si>
    <t>Keba</t>
  </si>
  <si>
    <t>Tayanara</t>
  </si>
  <si>
    <t>Hernan</t>
  </si>
  <si>
    <t>Doris</t>
  </si>
  <si>
    <t>Indradai</t>
  </si>
  <si>
    <t>Alex</t>
  </si>
  <si>
    <t>Shateisha</t>
  </si>
  <si>
    <t>Matthew</t>
  </si>
  <si>
    <t>Iyanna</t>
  </si>
  <si>
    <t>Imtiyaz</t>
  </si>
  <si>
    <t>Ann Dena</t>
  </si>
  <si>
    <t>Chanel</t>
  </si>
  <si>
    <t>Latoya</t>
  </si>
  <si>
    <t>Amy</t>
  </si>
  <si>
    <t>Basilia</t>
  </si>
  <si>
    <t>Silvia</t>
  </si>
  <si>
    <t>Hugette</t>
  </si>
  <si>
    <t>Ingrid</t>
  </si>
  <si>
    <t>Marilu</t>
  </si>
  <si>
    <t>Karline</t>
  </si>
  <si>
    <t>Suhey</t>
  </si>
  <si>
    <t>Rosa Lee</t>
  </si>
  <si>
    <t>Antoine</t>
  </si>
  <si>
    <t>Tonesha</t>
  </si>
  <si>
    <t>Alondra</t>
  </si>
  <si>
    <t>Conrad</t>
  </si>
  <si>
    <t>Shaquana</t>
  </si>
  <si>
    <t>Dong</t>
  </si>
  <si>
    <t>Sheila</t>
  </si>
  <si>
    <t>Chuansong</t>
  </si>
  <si>
    <t>Baojin</t>
  </si>
  <si>
    <t>StacyAnn</t>
  </si>
  <si>
    <t>Jeannette</t>
  </si>
  <si>
    <t>Cassilda</t>
  </si>
  <si>
    <t>Cindy</t>
  </si>
  <si>
    <t>Cassia</t>
  </si>
  <si>
    <t>Kenia</t>
  </si>
  <si>
    <t>Jonathan</t>
  </si>
  <si>
    <t>Kim</t>
  </si>
  <si>
    <t>Cesar</t>
  </si>
  <si>
    <t>Athena</t>
  </si>
  <si>
    <t>Zhane</t>
  </si>
  <si>
    <t>Bruce</t>
  </si>
  <si>
    <t>Rita</t>
  </si>
  <si>
    <t>Beauze</t>
  </si>
  <si>
    <t>Kowsilia</t>
  </si>
  <si>
    <t>Itorobong</t>
  </si>
  <si>
    <t>Hanna</t>
  </si>
  <si>
    <t>Hawa</t>
  </si>
  <si>
    <t>Moses</t>
  </si>
  <si>
    <t>Asad</t>
  </si>
  <si>
    <t>Alejandro</t>
  </si>
  <si>
    <t>Alina</t>
  </si>
  <si>
    <t>Ericka</t>
  </si>
  <si>
    <t>Emelinda</t>
  </si>
  <si>
    <t>Laiza</t>
  </si>
  <si>
    <t>Xiomara</t>
  </si>
  <si>
    <t>Kathryn</t>
  </si>
  <si>
    <t>Bano</t>
  </si>
  <si>
    <t>Natashia</t>
  </si>
  <si>
    <t>Janie</t>
  </si>
  <si>
    <t>Allen</t>
  </si>
  <si>
    <t>Josephine</t>
  </si>
  <si>
    <t>Kevon</t>
  </si>
  <si>
    <t>Dupe</t>
  </si>
  <si>
    <t>Naomi</t>
  </si>
  <si>
    <t>Jinaya</t>
  </si>
  <si>
    <t>Lauren</t>
  </si>
  <si>
    <t>Mikhael</t>
  </si>
  <si>
    <t>Larissa</t>
  </si>
  <si>
    <t>Desdemonna</t>
  </si>
  <si>
    <t>Iesha</t>
  </si>
  <si>
    <t>Michele</t>
  </si>
  <si>
    <t>Belle</t>
  </si>
  <si>
    <t>Cordelia</t>
  </si>
  <si>
    <t>Rene</t>
  </si>
  <si>
    <t>Kerah</t>
  </si>
  <si>
    <t>Markel</t>
  </si>
  <si>
    <t>Monica</t>
  </si>
  <si>
    <t>Melanie</t>
  </si>
  <si>
    <t>Fatima</t>
  </si>
  <si>
    <t>Amirrah</t>
  </si>
  <si>
    <t>Kishia</t>
  </si>
  <si>
    <t>Ashia</t>
  </si>
  <si>
    <t>Barry</t>
  </si>
  <si>
    <t>Brett</t>
  </si>
  <si>
    <t>Alan</t>
  </si>
  <si>
    <t>Tina</t>
  </si>
  <si>
    <t>Lizzie</t>
  </si>
  <si>
    <t>Dale</t>
  </si>
  <si>
    <t>Amina</t>
  </si>
  <si>
    <t>Edwardo</t>
  </si>
  <si>
    <t>Emmanuel</t>
  </si>
  <si>
    <t>Betty</t>
  </si>
  <si>
    <t>Sarah</t>
  </si>
  <si>
    <t>Joy</t>
  </si>
  <si>
    <t>Jerry</t>
  </si>
  <si>
    <t>Tesha</t>
  </si>
  <si>
    <t>Alexcia</t>
  </si>
  <si>
    <t>Dawne</t>
  </si>
  <si>
    <t>Cadene</t>
  </si>
  <si>
    <t>Lorline</t>
  </si>
  <si>
    <t>Denis</t>
  </si>
  <si>
    <t>Bonilla</t>
  </si>
  <si>
    <t>Ospina</t>
  </si>
  <si>
    <t>Graham</t>
  </si>
  <si>
    <t>Landau</t>
  </si>
  <si>
    <t>Harrison</t>
  </si>
  <si>
    <t>Roach</t>
  </si>
  <si>
    <t>Gentile</t>
  </si>
  <si>
    <t>Sorhaindo</t>
  </si>
  <si>
    <t>Heim</t>
  </si>
  <si>
    <t>Thompson</t>
  </si>
  <si>
    <t>Burstin</t>
  </si>
  <si>
    <t>Kruse</t>
  </si>
  <si>
    <t>Ford</t>
  </si>
  <si>
    <t>Morrison</t>
  </si>
  <si>
    <t>Braz</t>
  </si>
  <si>
    <t>Canada</t>
  </si>
  <si>
    <t>Moss</t>
  </si>
  <si>
    <t>Aguero</t>
  </si>
  <si>
    <t>Santana</t>
  </si>
  <si>
    <t>Calhoun</t>
  </si>
  <si>
    <t>Costello</t>
  </si>
  <si>
    <t>Serrano</t>
  </si>
  <si>
    <t>Thomas</t>
  </si>
  <si>
    <t>Bellinger</t>
  </si>
  <si>
    <t>Glover</t>
  </si>
  <si>
    <t>McCrorey</t>
  </si>
  <si>
    <t>O'Bryan</t>
  </si>
  <si>
    <t>Palacios</t>
  </si>
  <si>
    <t>Bain</t>
  </si>
  <si>
    <t>Iglesias</t>
  </si>
  <si>
    <t>Gayle</t>
  </si>
  <si>
    <t>Magnus</t>
  </si>
  <si>
    <t>Wilson</t>
  </si>
  <si>
    <t>Caesar</t>
  </si>
  <si>
    <t>Elias</t>
  </si>
  <si>
    <t>Elie</t>
  </si>
  <si>
    <t>Gonzalez</t>
  </si>
  <si>
    <t>Magliore</t>
  </si>
  <si>
    <t>Saint-Albin</t>
  </si>
  <si>
    <t>Kirton</t>
  </si>
  <si>
    <t>Riley</t>
  </si>
  <si>
    <t>Ciuro</t>
  </si>
  <si>
    <t>Owens</t>
  </si>
  <si>
    <t>Leach</t>
  </si>
  <si>
    <t>Hryhoruck</t>
  </si>
  <si>
    <t>Martinez</t>
  </si>
  <si>
    <t>Polk</t>
  </si>
  <si>
    <t>Cortez</t>
  </si>
  <si>
    <t>Davis</t>
  </si>
  <si>
    <t>Knight</t>
  </si>
  <si>
    <t>Ramos</t>
  </si>
  <si>
    <t>Romeo</t>
  </si>
  <si>
    <t>Olivares</t>
  </si>
  <si>
    <t>Fair</t>
  </si>
  <si>
    <t>Maduako</t>
  </si>
  <si>
    <t>Smith</t>
  </si>
  <si>
    <t>Garcia</t>
  </si>
  <si>
    <t>Innerarity</t>
  </si>
  <si>
    <t>Rodrigues</t>
  </si>
  <si>
    <t>Mateo</t>
  </si>
  <si>
    <t>Vazquez- DeJesus</t>
  </si>
  <si>
    <t>Johnson</t>
  </si>
  <si>
    <t>Rogers</t>
  </si>
  <si>
    <t>Synsmir</t>
  </si>
  <si>
    <t>Grosvenor</t>
  </si>
  <si>
    <t>Jennett</t>
  </si>
  <si>
    <t>Williams</t>
  </si>
  <si>
    <t>St. Ellien</t>
  </si>
  <si>
    <t>Pierre</t>
  </si>
  <si>
    <t>Avis</t>
  </si>
  <si>
    <t>Brown</t>
  </si>
  <si>
    <t>Harper</t>
  </si>
  <si>
    <t>Green</t>
  </si>
  <si>
    <t>Perez</t>
  </si>
  <si>
    <t>McGee</t>
  </si>
  <si>
    <t>Cerrato</t>
  </si>
  <si>
    <t>Simmons</t>
  </si>
  <si>
    <t>McClean</t>
  </si>
  <si>
    <t>Alicea</t>
  </si>
  <si>
    <t>Fowler</t>
  </si>
  <si>
    <t>Hartley</t>
  </si>
  <si>
    <t>Masney</t>
  </si>
  <si>
    <t>Gaye</t>
  </si>
  <si>
    <t>Baker</t>
  </si>
  <si>
    <t>Phillips</t>
  </si>
  <si>
    <t>Jones</t>
  </si>
  <si>
    <t>Collins</t>
  </si>
  <si>
    <t>Zemlyanskiy</t>
  </si>
  <si>
    <t>Hunt</t>
  </si>
  <si>
    <t>Haynes</t>
  </si>
  <si>
    <t>Hamilton</t>
  </si>
  <si>
    <t>McNeil</t>
  </si>
  <si>
    <t>Noel</t>
  </si>
  <si>
    <t>Banton</t>
  </si>
  <si>
    <t>Evans</t>
  </si>
  <si>
    <t>Mitchell</t>
  </si>
  <si>
    <t>Kokab</t>
  </si>
  <si>
    <t>Franklin</t>
  </si>
  <si>
    <t>Sumpter</t>
  </si>
  <si>
    <t>Dubresil</t>
  </si>
  <si>
    <t>Djekan</t>
  </si>
  <si>
    <t>Antonie</t>
  </si>
  <si>
    <t>Bosquet</t>
  </si>
  <si>
    <t>Ellis</t>
  </si>
  <si>
    <t>Martin</t>
  </si>
  <si>
    <t>Juneau</t>
  </si>
  <si>
    <t>Hall</t>
  </si>
  <si>
    <t>Lykhovetskaya</t>
  </si>
  <si>
    <t>Hastick</t>
  </si>
  <si>
    <t>Lane</t>
  </si>
  <si>
    <t>Chaca</t>
  </si>
  <si>
    <t>Markarian</t>
  </si>
  <si>
    <t>Roderiguez</t>
  </si>
  <si>
    <t>Yashayeva</t>
  </si>
  <si>
    <t>Vega</t>
  </si>
  <si>
    <t>Thom</t>
  </si>
  <si>
    <t>Romero</t>
  </si>
  <si>
    <t>Small-Eligon</t>
  </si>
  <si>
    <t>Marksman</t>
  </si>
  <si>
    <t>Legions</t>
  </si>
  <si>
    <t>Viviel</t>
  </si>
  <si>
    <t>Aqsa</t>
  </si>
  <si>
    <t>Phillip</t>
  </si>
  <si>
    <t>Braswell</t>
  </si>
  <si>
    <t>Clerveaux</t>
  </si>
  <si>
    <t>DuSauzay</t>
  </si>
  <si>
    <t>Adams</t>
  </si>
  <si>
    <t>Savory</t>
  </si>
  <si>
    <t>Kinoshi</t>
  </si>
  <si>
    <t>Forrest</t>
  </si>
  <si>
    <t>Desmoulin</t>
  </si>
  <si>
    <t>Vicenty</t>
  </si>
  <si>
    <t>Nettles</t>
  </si>
  <si>
    <t>Lewis</t>
  </si>
  <si>
    <t>Atkinson</t>
  </si>
  <si>
    <t>Fleurimont</t>
  </si>
  <si>
    <t>Bowles</t>
  </si>
  <si>
    <t>Salikram</t>
  </si>
  <si>
    <t>Ennis</t>
  </si>
  <si>
    <t>Rodriguez</t>
  </si>
  <si>
    <t>Georges</t>
  </si>
  <si>
    <t>Grimmond</t>
  </si>
  <si>
    <t>Andrews</t>
  </si>
  <si>
    <t>Frazier</t>
  </si>
  <si>
    <t>Demmin</t>
  </si>
  <si>
    <t>Dey</t>
  </si>
  <si>
    <t>Deleon</t>
  </si>
  <si>
    <t>Samuel</t>
  </si>
  <si>
    <t>Barrow</t>
  </si>
  <si>
    <t>Sulaimon</t>
  </si>
  <si>
    <t>English</t>
  </si>
  <si>
    <t>Holland</t>
  </si>
  <si>
    <t>Butler</t>
  </si>
  <si>
    <t>Pollas</t>
  </si>
  <si>
    <t>james</t>
  </si>
  <si>
    <t>Logan</t>
  </si>
  <si>
    <t>Esberry</t>
  </si>
  <si>
    <t>Gatewood</t>
  </si>
  <si>
    <t>El Saleh</t>
  </si>
  <si>
    <t>Constantino</t>
  </si>
  <si>
    <t>Sandy</t>
  </si>
  <si>
    <t>Morgan</t>
  </si>
  <si>
    <t>Burrell</t>
  </si>
  <si>
    <t>Gough</t>
  </si>
  <si>
    <t>McWhirter</t>
  </si>
  <si>
    <t>Pryce</t>
  </si>
  <si>
    <t>Zambrana</t>
  </si>
  <si>
    <t>Sanchez</t>
  </si>
  <si>
    <t>Fleury</t>
  </si>
  <si>
    <t>Lucas</t>
  </si>
  <si>
    <t>Dias</t>
  </si>
  <si>
    <t>Jean Baptiste</t>
  </si>
  <si>
    <t>Harford</t>
  </si>
  <si>
    <t>Montanez</t>
  </si>
  <si>
    <t>Siegel</t>
  </si>
  <si>
    <t>Clearfield</t>
  </si>
  <si>
    <t>Estrada</t>
  </si>
  <si>
    <t>Burke</t>
  </si>
  <si>
    <t>Luncheon</t>
  </si>
  <si>
    <t>Rocourt</t>
  </si>
  <si>
    <t>Lafrese</t>
  </si>
  <si>
    <t>Peralta</t>
  </si>
  <si>
    <t>Lee</t>
  </si>
  <si>
    <t>Daniels</t>
  </si>
  <si>
    <t>Henriquez</t>
  </si>
  <si>
    <t>Clarke</t>
  </si>
  <si>
    <t>Ovalle</t>
  </si>
  <si>
    <t>Hoare</t>
  </si>
  <si>
    <t>De Jesus</t>
  </si>
  <si>
    <t>Crump</t>
  </si>
  <si>
    <t>Cruz Torres</t>
  </si>
  <si>
    <t>Read</t>
  </si>
  <si>
    <t>Toison</t>
  </si>
  <si>
    <t>Polanco</t>
  </si>
  <si>
    <t>Cartagena</t>
  </si>
  <si>
    <t>White</t>
  </si>
  <si>
    <t>Colon</t>
  </si>
  <si>
    <t>Espinal Rivera</t>
  </si>
  <si>
    <t>Rivera</t>
  </si>
  <si>
    <t>Alvarez</t>
  </si>
  <si>
    <t>Jimenez</t>
  </si>
  <si>
    <t>Soto</t>
  </si>
  <si>
    <t>Marmol</t>
  </si>
  <si>
    <t>Wright</t>
  </si>
  <si>
    <t>Mejia</t>
  </si>
  <si>
    <t>LAUREANO</t>
  </si>
  <si>
    <t>Middleton</t>
  </si>
  <si>
    <t>Ramirez</t>
  </si>
  <si>
    <t>Lazazzera</t>
  </si>
  <si>
    <t>Daley</t>
  </si>
  <si>
    <t>Pacheco</t>
  </si>
  <si>
    <t>Shubrick</t>
  </si>
  <si>
    <t>Carranza</t>
  </si>
  <si>
    <t>Yensi</t>
  </si>
  <si>
    <t>Molina</t>
  </si>
  <si>
    <t>Downing</t>
  </si>
  <si>
    <t>Goldston</t>
  </si>
  <si>
    <t>Freeman</t>
  </si>
  <si>
    <t>Ruiz</t>
  </si>
  <si>
    <t>Barea</t>
  </si>
  <si>
    <t>Rosado</t>
  </si>
  <si>
    <t>Ortiz</t>
  </si>
  <si>
    <t>Cooke</t>
  </si>
  <si>
    <t>Morales Jacobo</t>
  </si>
  <si>
    <t>Moncion</t>
  </si>
  <si>
    <t>Howell</t>
  </si>
  <si>
    <t>Brea</t>
  </si>
  <si>
    <t>Hendricks</t>
  </si>
  <si>
    <t>Minott</t>
  </si>
  <si>
    <t>Almanzar</t>
  </si>
  <si>
    <t>Sawh</t>
  </si>
  <si>
    <t>Lowe</t>
  </si>
  <si>
    <t>Clemons</t>
  </si>
  <si>
    <t>Taveras Rodriguez</t>
  </si>
  <si>
    <t>Acevedo</t>
  </si>
  <si>
    <t>Sosa</t>
  </si>
  <si>
    <t>Gallardo</t>
  </si>
  <si>
    <t>Cruz</t>
  </si>
  <si>
    <t>Flores</t>
  </si>
  <si>
    <t>Guzman</t>
  </si>
  <si>
    <t>Madison</t>
  </si>
  <si>
    <t>Simmons Jr.</t>
  </si>
  <si>
    <t>DAVIS</t>
  </si>
  <si>
    <t>Mills</t>
  </si>
  <si>
    <t>ESTEFANY</t>
  </si>
  <si>
    <t>Bautista</t>
  </si>
  <si>
    <t>Cruz Mejia</t>
  </si>
  <si>
    <t>Abreu</t>
  </si>
  <si>
    <t>Vargas</t>
  </si>
  <si>
    <t>Curry</t>
  </si>
  <si>
    <t>Taylor</t>
  </si>
  <si>
    <t>Machado</t>
  </si>
  <si>
    <t>Hicks</t>
  </si>
  <si>
    <t>Dunbar</t>
  </si>
  <si>
    <t>Rincon</t>
  </si>
  <si>
    <t>Washington</t>
  </si>
  <si>
    <t>Kake</t>
  </si>
  <si>
    <t>Donzo</t>
  </si>
  <si>
    <t>Machioudi</t>
  </si>
  <si>
    <t>Maldonado</t>
  </si>
  <si>
    <t>Hampden</t>
  </si>
  <si>
    <t>McCutter</t>
  </si>
  <si>
    <t>Suarez</t>
  </si>
  <si>
    <t>Reyes</t>
  </si>
  <si>
    <t>Morales</t>
  </si>
  <si>
    <t>WILLIAMS</t>
  </si>
  <si>
    <t>Cisse</t>
  </si>
  <si>
    <t>Morillo</t>
  </si>
  <si>
    <t>Zapata</t>
  </si>
  <si>
    <t>JOBE</t>
  </si>
  <si>
    <t>Dokie</t>
  </si>
  <si>
    <t>Kingston</t>
  </si>
  <si>
    <t>Abdullah-Greene</t>
  </si>
  <si>
    <t>Feliz</t>
  </si>
  <si>
    <t>Ricardi</t>
  </si>
  <si>
    <t>Swaby</t>
  </si>
  <si>
    <t>SEMIDEY</t>
  </si>
  <si>
    <t>Mendez</t>
  </si>
  <si>
    <t>Mensah</t>
  </si>
  <si>
    <t>Ellison</t>
  </si>
  <si>
    <t>Eremeyev</t>
  </si>
  <si>
    <t>Espinal</t>
  </si>
  <si>
    <t>Natalio</t>
  </si>
  <si>
    <t>Ryan</t>
  </si>
  <si>
    <t>Mendoza</t>
  </si>
  <si>
    <t>Papafino</t>
  </si>
  <si>
    <t>Little</t>
  </si>
  <si>
    <t>MUHAMMAD</t>
  </si>
  <si>
    <t>Odom</t>
  </si>
  <si>
    <t>Roberts</t>
  </si>
  <si>
    <t>Adorno</t>
  </si>
  <si>
    <t>Del Valle</t>
  </si>
  <si>
    <t>Reese</t>
  </si>
  <si>
    <t>Hernandez</t>
  </si>
  <si>
    <t>Curran</t>
  </si>
  <si>
    <t>Vasquez</t>
  </si>
  <si>
    <t>Javier</t>
  </si>
  <si>
    <t>Terrell</t>
  </si>
  <si>
    <t>Colbourne</t>
  </si>
  <si>
    <t>Jaikaran</t>
  </si>
  <si>
    <t>Brooks</t>
  </si>
  <si>
    <t>Vazquez</t>
  </si>
  <si>
    <t>Diaz</t>
  </si>
  <si>
    <t>Cumberatch</t>
  </si>
  <si>
    <t>Gilliam</t>
  </si>
  <si>
    <t>Estevez Bautista</t>
  </si>
  <si>
    <t>Campbell</t>
  </si>
  <si>
    <t>Lapaix</t>
  </si>
  <si>
    <t>MILES</t>
  </si>
  <si>
    <t>Novas</t>
  </si>
  <si>
    <t>Clark</t>
  </si>
  <si>
    <t>Laylock</t>
  </si>
  <si>
    <t>Medina</t>
  </si>
  <si>
    <t>Waring</t>
  </si>
  <si>
    <t>Rivas</t>
  </si>
  <si>
    <t>Ariza</t>
  </si>
  <si>
    <t>Larancuente Colon</t>
  </si>
  <si>
    <t>Stringfield</t>
  </si>
  <si>
    <t>Dejesus</t>
  </si>
  <si>
    <t>Pachnanda</t>
  </si>
  <si>
    <t>Checo</t>
  </si>
  <si>
    <t>Oquendo</t>
  </si>
  <si>
    <t>Fluellen</t>
  </si>
  <si>
    <t>Rice</t>
  </si>
  <si>
    <t>Lopez</t>
  </si>
  <si>
    <t>Cummins</t>
  </si>
  <si>
    <t>Villa</t>
  </si>
  <si>
    <t>Duarte</t>
  </si>
  <si>
    <t>Owusu Manu</t>
  </si>
  <si>
    <t>Quinones</t>
  </si>
  <si>
    <t>Gunz</t>
  </si>
  <si>
    <t>Remy</t>
  </si>
  <si>
    <t>Carty</t>
  </si>
  <si>
    <t>GONZALEZ</t>
  </si>
  <si>
    <t>Jarvis</t>
  </si>
  <si>
    <t>Soilis</t>
  </si>
  <si>
    <t>Asmal Barbecho</t>
  </si>
  <si>
    <t>Natal</t>
  </si>
  <si>
    <t>Trimble</t>
  </si>
  <si>
    <t>Cashman</t>
  </si>
  <si>
    <t>Johannes</t>
  </si>
  <si>
    <t>Marks</t>
  </si>
  <si>
    <t>Alvarez Eusebio</t>
  </si>
  <si>
    <t>Legette</t>
  </si>
  <si>
    <t>Jonnson</t>
  </si>
  <si>
    <t>Disla</t>
  </si>
  <si>
    <t>Holloman</t>
  </si>
  <si>
    <t>Silvestri</t>
  </si>
  <si>
    <t>Issa</t>
  </si>
  <si>
    <t>Wasson</t>
  </si>
  <si>
    <t>Washington Jones</t>
  </si>
  <si>
    <t>De la cruz</t>
  </si>
  <si>
    <t>Franks</t>
  </si>
  <si>
    <t>Marizan</t>
  </si>
  <si>
    <t>Romain</t>
  </si>
  <si>
    <t>Cedeno</t>
  </si>
  <si>
    <t>Camara</t>
  </si>
  <si>
    <t>Fuentes</t>
  </si>
  <si>
    <t>Suber</t>
  </si>
  <si>
    <t>Tovar</t>
  </si>
  <si>
    <t>Dodge</t>
  </si>
  <si>
    <t>Murray</t>
  </si>
  <si>
    <t>Regins</t>
  </si>
  <si>
    <t>Broadbelt</t>
  </si>
  <si>
    <t>Torres</t>
  </si>
  <si>
    <t>Guerrero</t>
  </si>
  <si>
    <t>Baez</t>
  </si>
  <si>
    <t>Maxell</t>
  </si>
  <si>
    <t>Robinson</t>
  </si>
  <si>
    <t>Zaten-Brea</t>
  </si>
  <si>
    <t>Figueroa</t>
  </si>
  <si>
    <t>Zeida</t>
  </si>
  <si>
    <t>Muniz</t>
  </si>
  <si>
    <t>Pressley</t>
  </si>
  <si>
    <t>BaBa</t>
  </si>
  <si>
    <t>Brito</t>
  </si>
  <si>
    <t>Liner</t>
  </si>
  <si>
    <t>Grier</t>
  </si>
  <si>
    <t>Abbott</t>
  </si>
  <si>
    <t>Goldfeld</t>
  </si>
  <si>
    <t>Pena</t>
  </si>
  <si>
    <t>Auson</t>
  </si>
  <si>
    <t>Ynfante</t>
  </si>
  <si>
    <t>Walker</t>
  </si>
  <si>
    <t>DelaCruz</t>
  </si>
  <si>
    <t>Laguerre</t>
  </si>
  <si>
    <t>Reape</t>
  </si>
  <si>
    <t>Munroe</t>
  </si>
  <si>
    <t>Law</t>
  </si>
  <si>
    <t>Slowley</t>
  </si>
  <si>
    <t>Powell</t>
  </si>
  <si>
    <t>Sandoval</t>
  </si>
  <si>
    <t>Aquino</t>
  </si>
  <si>
    <t>King</t>
  </si>
  <si>
    <t>Otero</t>
  </si>
  <si>
    <t>Sanders</t>
  </si>
  <si>
    <t>Palmer</t>
  </si>
  <si>
    <t>Coley</t>
  </si>
  <si>
    <t>Hubbard</t>
  </si>
  <si>
    <t>Spagner</t>
  </si>
  <si>
    <t>Sharwar</t>
  </si>
  <si>
    <t>Almonte</t>
  </si>
  <si>
    <t>McDonald</t>
  </si>
  <si>
    <t>Spencer</t>
  </si>
  <si>
    <t>Baxter</t>
  </si>
  <si>
    <t>Donald</t>
  </si>
  <si>
    <t>Rosario</t>
  </si>
  <si>
    <t>Sierra</t>
  </si>
  <si>
    <t>Vega Holmes</t>
  </si>
  <si>
    <t>McKinley</t>
  </si>
  <si>
    <t>Kabba</t>
  </si>
  <si>
    <t>Ranger</t>
  </si>
  <si>
    <t>Blanco</t>
  </si>
  <si>
    <t>Jeter</t>
  </si>
  <si>
    <t>Kong</t>
  </si>
  <si>
    <t>Louis</t>
  </si>
  <si>
    <t>Fernandez</t>
  </si>
  <si>
    <t>Irizarry</t>
  </si>
  <si>
    <t>Villafane</t>
  </si>
  <si>
    <t>Jackson</t>
  </si>
  <si>
    <t>Melendez</t>
  </si>
  <si>
    <t>Cintron</t>
  </si>
  <si>
    <t>Brightbill</t>
  </si>
  <si>
    <t>Shaheed</t>
  </si>
  <si>
    <t>Sainsbury</t>
  </si>
  <si>
    <t>Castillo</t>
  </si>
  <si>
    <t>Seda Dejesus</t>
  </si>
  <si>
    <t>Drayton</t>
  </si>
  <si>
    <t>Cox</t>
  </si>
  <si>
    <t>Fonville</t>
  </si>
  <si>
    <t>Lett</t>
  </si>
  <si>
    <t>German</t>
  </si>
  <si>
    <t>Alcantara</t>
  </si>
  <si>
    <t>Bates</t>
  </si>
  <si>
    <t>Piecyhna</t>
  </si>
  <si>
    <t>Arroyo</t>
  </si>
  <si>
    <t>Me</t>
  </si>
  <si>
    <t>Whalen</t>
  </si>
  <si>
    <t>Norman</t>
  </si>
  <si>
    <t>Grant</t>
  </si>
  <si>
    <t>Generlette</t>
  </si>
  <si>
    <t>McAlister</t>
  </si>
  <si>
    <t>Bronson</t>
  </si>
  <si>
    <t>Abdul-Fattaah</t>
  </si>
  <si>
    <t>Theodoro</t>
  </si>
  <si>
    <t>Lark</t>
  </si>
  <si>
    <t>Angrum</t>
  </si>
  <si>
    <t>Legins</t>
  </si>
  <si>
    <t>Lunas</t>
  </si>
  <si>
    <t>Koster</t>
  </si>
  <si>
    <t>Cerease</t>
  </si>
  <si>
    <t>Staggers</t>
  </si>
  <si>
    <t>Dergachev</t>
  </si>
  <si>
    <t>Presley</t>
  </si>
  <si>
    <t>Marquez</t>
  </si>
  <si>
    <t>Rountree</t>
  </si>
  <si>
    <t>Girault</t>
  </si>
  <si>
    <t>Renneker</t>
  </si>
  <si>
    <t>Karales</t>
  </si>
  <si>
    <t>McFarlane</t>
  </si>
  <si>
    <t>Vazoumana Turner</t>
  </si>
  <si>
    <t>Mbacke</t>
  </si>
  <si>
    <t>Weaver</t>
  </si>
  <si>
    <t>Ross</t>
  </si>
  <si>
    <t>Pantaleon</t>
  </si>
  <si>
    <t>Allan</t>
  </si>
  <si>
    <t>Ng</t>
  </si>
  <si>
    <t>Wu</t>
  </si>
  <si>
    <t>Marrero- Pagan</t>
  </si>
  <si>
    <t>Adames</t>
  </si>
  <si>
    <t>Allford</t>
  </si>
  <si>
    <t>Avalone</t>
  </si>
  <si>
    <t>D'Arata</t>
  </si>
  <si>
    <t>Husser</t>
  </si>
  <si>
    <t>Robles</t>
  </si>
  <si>
    <t>Higgins</t>
  </si>
  <si>
    <t>Messner</t>
  </si>
  <si>
    <t>Wharton</t>
  </si>
  <si>
    <t>Harris</t>
  </si>
  <si>
    <t>Despommier</t>
  </si>
  <si>
    <t>Skeete</t>
  </si>
  <si>
    <t>Poon Kwok</t>
  </si>
  <si>
    <t>Wills</t>
  </si>
  <si>
    <t>Rufino</t>
  </si>
  <si>
    <t>Woody</t>
  </si>
  <si>
    <t>Occilien</t>
  </si>
  <si>
    <t>Awe</t>
  </si>
  <si>
    <t>Curet</t>
  </si>
  <si>
    <t>Fantauzzi</t>
  </si>
  <si>
    <t>Corporan</t>
  </si>
  <si>
    <t>Danzy</t>
  </si>
  <si>
    <t>Negron</t>
  </si>
  <si>
    <t>Carrasco</t>
  </si>
  <si>
    <t>Siguencia</t>
  </si>
  <si>
    <t>Campoverdi</t>
  </si>
  <si>
    <t>Sanjines</t>
  </si>
  <si>
    <t>Aguirre</t>
  </si>
  <si>
    <t>Brandon</t>
  </si>
  <si>
    <t>DeLos Santos</t>
  </si>
  <si>
    <t>Wallace</t>
  </si>
  <si>
    <t>Bridge</t>
  </si>
  <si>
    <t>Cameron</t>
  </si>
  <si>
    <t>Pinnock</t>
  </si>
  <si>
    <t>Batista</t>
  </si>
  <si>
    <t>Chisom</t>
  </si>
  <si>
    <t>James</t>
  </si>
  <si>
    <t>Fournier</t>
  </si>
  <si>
    <t>Black</t>
  </si>
  <si>
    <t>Beriguete</t>
  </si>
  <si>
    <t>Hirsch</t>
  </si>
  <si>
    <t>Harley</t>
  </si>
  <si>
    <t>Loadholt</t>
  </si>
  <si>
    <t>Best</t>
  </si>
  <si>
    <t>Cuffee</t>
  </si>
  <si>
    <t>Singleton</t>
  </si>
  <si>
    <t>Mami</t>
  </si>
  <si>
    <t>Beatty</t>
  </si>
  <si>
    <t>Tyler</t>
  </si>
  <si>
    <t>Harris - Fenton</t>
  </si>
  <si>
    <t>Backer</t>
  </si>
  <si>
    <t>Pineda</t>
  </si>
  <si>
    <t>Maine</t>
  </si>
  <si>
    <t>Grubisin</t>
  </si>
  <si>
    <t>Getch</t>
  </si>
  <si>
    <t>Begum</t>
  </si>
  <si>
    <t>Onofre</t>
  </si>
  <si>
    <t>Orse</t>
  </si>
  <si>
    <t>Pokedoff</t>
  </si>
  <si>
    <t>Dhanraj Smith</t>
  </si>
  <si>
    <t>Leyton</t>
  </si>
  <si>
    <t>Watkins</t>
  </si>
  <si>
    <t>Rojas</t>
  </si>
  <si>
    <t>Moore</t>
  </si>
  <si>
    <t>Montaque</t>
  </si>
  <si>
    <t>Charlton</t>
  </si>
  <si>
    <t>Spaulding</t>
  </si>
  <si>
    <t>Ward</t>
  </si>
  <si>
    <t>Ludena Vasquez</t>
  </si>
  <si>
    <t>Brady</t>
  </si>
  <si>
    <t>Miller</t>
  </si>
  <si>
    <t>Rivera Tovar</t>
  </si>
  <si>
    <t>Wells</t>
  </si>
  <si>
    <t>Mozeb</t>
  </si>
  <si>
    <t>Samuels</t>
  </si>
  <si>
    <t>Malik</t>
  </si>
  <si>
    <t>Paez-Mejia</t>
  </si>
  <si>
    <t>Crawford</t>
  </si>
  <si>
    <t>McClain</t>
  </si>
  <si>
    <t>McFarland</t>
  </si>
  <si>
    <t>Copridge</t>
  </si>
  <si>
    <t>Angelilo</t>
  </si>
  <si>
    <t>Sultana</t>
  </si>
  <si>
    <t>Haskins</t>
  </si>
  <si>
    <t>Maddicks</t>
  </si>
  <si>
    <t>Placide</t>
  </si>
  <si>
    <t>Islam</t>
  </si>
  <si>
    <t>Nazario</t>
  </si>
  <si>
    <t>DeLacruz</t>
  </si>
  <si>
    <t>AAlaam</t>
  </si>
  <si>
    <t>Voltaire</t>
  </si>
  <si>
    <t>Largo</t>
  </si>
  <si>
    <t>Weiss</t>
  </si>
  <si>
    <t>Chunara</t>
  </si>
  <si>
    <t>Isaac</t>
  </si>
  <si>
    <t>Gause</t>
  </si>
  <si>
    <t>Groves</t>
  </si>
  <si>
    <t>Mahadeo</t>
  </si>
  <si>
    <t>Cardenas</t>
  </si>
  <si>
    <t>Munoz</t>
  </si>
  <si>
    <t>Chamorro Loaiza</t>
  </si>
  <si>
    <t>Crisci</t>
  </si>
  <si>
    <t>Cole</t>
  </si>
  <si>
    <t>Njie</t>
  </si>
  <si>
    <t>Belmosa</t>
  </si>
  <si>
    <t>Corbett</t>
  </si>
  <si>
    <t>Ferguson</t>
  </si>
  <si>
    <t>Mercado</t>
  </si>
  <si>
    <t>Desmond</t>
  </si>
  <si>
    <t>Roberson</t>
  </si>
  <si>
    <t>Sorenson</t>
  </si>
  <si>
    <t>Lovett</t>
  </si>
  <si>
    <t>McCleese Douglas</t>
  </si>
  <si>
    <t>Patton</t>
  </si>
  <si>
    <t>Ramhit</t>
  </si>
  <si>
    <t>Marte</t>
  </si>
  <si>
    <t>Spinner</t>
  </si>
  <si>
    <t>Lasker</t>
  </si>
  <si>
    <t>Lawson</t>
  </si>
  <si>
    <t>Whitely</t>
  </si>
  <si>
    <t>Bordiwala</t>
  </si>
  <si>
    <t>McCleary</t>
  </si>
  <si>
    <t>Nivens</t>
  </si>
  <si>
    <t>Talbert</t>
  </si>
  <si>
    <t>Trantham</t>
  </si>
  <si>
    <t>Smith-Watson</t>
  </si>
  <si>
    <t>Cimma</t>
  </si>
  <si>
    <t>Jara</t>
  </si>
  <si>
    <t>Kollar</t>
  </si>
  <si>
    <t>Duffer-Ordonez</t>
  </si>
  <si>
    <t>Castro</t>
  </si>
  <si>
    <t>Malu</t>
  </si>
  <si>
    <t>Tow</t>
  </si>
  <si>
    <t>Ramsey</t>
  </si>
  <si>
    <t>Faverey</t>
  </si>
  <si>
    <t>Ossa</t>
  </si>
  <si>
    <t>Delgado</t>
  </si>
  <si>
    <t>Ferrer</t>
  </si>
  <si>
    <t>Goodman</t>
  </si>
  <si>
    <t>Rios</t>
  </si>
  <si>
    <t>Guzman-Marquez</t>
  </si>
  <si>
    <t>Goldshine</t>
  </si>
  <si>
    <t>Layden</t>
  </si>
  <si>
    <t>Fredericks</t>
  </si>
  <si>
    <t>Caple</t>
  </si>
  <si>
    <t>Ying</t>
  </si>
  <si>
    <t>McCoy</t>
  </si>
  <si>
    <t>Lin</t>
  </si>
  <si>
    <t>Velez</t>
  </si>
  <si>
    <t>Qiu</t>
  </si>
  <si>
    <t>Reid Rose</t>
  </si>
  <si>
    <t>Gutierrez</t>
  </si>
  <si>
    <t>Silvera</t>
  </si>
  <si>
    <t>Angulo</t>
  </si>
  <si>
    <t>Cubides</t>
  </si>
  <si>
    <t>Lafebre</t>
  </si>
  <si>
    <t>Kippes</t>
  </si>
  <si>
    <t>Solis</t>
  </si>
  <si>
    <t>Albertini</t>
  </si>
  <si>
    <t>Anotanopoulus</t>
  </si>
  <si>
    <t>Guity</t>
  </si>
  <si>
    <t>Bennett</t>
  </si>
  <si>
    <t>Trozzi</t>
  </si>
  <si>
    <t>Parla-Edwards</t>
  </si>
  <si>
    <t>Jacques</t>
  </si>
  <si>
    <t>Rajkumar</t>
  </si>
  <si>
    <t>Ekpo</t>
  </si>
  <si>
    <t>Baclawska</t>
  </si>
  <si>
    <t>Chauncey</t>
  </si>
  <si>
    <t>Beck</t>
  </si>
  <si>
    <t>Swarna</t>
  </si>
  <si>
    <t>Perales</t>
  </si>
  <si>
    <t>Mahmud</t>
  </si>
  <si>
    <t>Sasaki</t>
  </si>
  <si>
    <t>Hidalgo</t>
  </si>
  <si>
    <t>Levstean</t>
  </si>
  <si>
    <t>Banuchi</t>
  </si>
  <si>
    <t>Milla</t>
  </si>
  <si>
    <t>Peguero</t>
  </si>
  <si>
    <t>Whyte</t>
  </si>
  <si>
    <t>Jenkins</t>
  </si>
  <si>
    <t>Ramsood</t>
  </si>
  <si>
    <t>Wrighton</t>
  </si>
  <si>
    <t>Deberry</t>
  </si>
  <si>
    <t>Levine</t>
  </si>
  <si>
    <t>Parker</t>
  </si>
  <si>
    <t>Rayford</t>
  </si>
  <si>
    <t>Maggio</t>
  </si>
  <si>
    <t>Taiwo</t>
  </si>
  <si>
    <t>Diallo</t>
  </si>
  <si>
    <t>Ferran</t>
  </si>
  <si>
    <t>Birmingham</t>
  </si>
  <si>
    <t>Acosta</t>
  </si>
  <si>
    <t>Edwards Dunning</t>
  </si>
  <si>
    <t>Zero</t>
  </si>
  <si>
    <t>Gerace</t>
  </si>
  <si>
    <t>Offley</t>
  </si>
  <si>
    <t>Bazemore</t>
  </si>
  <si>
    <t>DeSantiago</t>
  </si>
  <si>
    <t>Soler</t>
  </si>
  <si>
    <t>Young</t>
  </si>
  <si>
    <t>Pugh</t>
  </si>
  <si>
    <t>Coniglario</t>
  </si>
  <si>
    <t>Bratcher</t>
  </si>
  <si>
    <t>Harvey</t>
  </si>
  <si>
    <t>Webber</t>
  </si>
  <si>
    <t>Stewart</t>
  </si>
  <si>
    <t>Gormley</t>
  </si>
  <si>
    <t>Cambell</t>
  </si>
  <si>
    <t>Polizio</t>
  </si>
  <si>
    <t>Hyman</t>
  </si>
  <si>
    <t>Baugh</t>
  </si>
  <si>
    <t>Castellano</t>
  </si>
  <si>
    <t>Montalvo</t>
  </si>
  <si>
    <t>Peteroy</t>
  </si>
  <si>
    <t>Taveras</t>
  </si>
  <si>
    <t>Errico</t>
  </si>
  <si>
    <t>Sabat</t>
  </si>
  <si>
    <t>Clinton</t>
  </si>
  <si>
    <t>Pierce</t>
  </si>
  <si>
    <t>Dimson</t>
  </si>
  <si>
    <t>Rivieccio</t>
  </si>
  <si>
    <t>Dames</t>
  </si>
  <si>
    <t>Quian</t>
  </si>
  <si>
    <t>Eastmond-Brown</t>
  </si>
  <si>
    <t>Espada</t>
  </si>
  <si>
    <t>Cucci</t>
  </si>
  <si>
    <t>Mancuso</t>
  </si>
  <si>
    <t>Wolfe</t>
  </si>
  <si>
    <t>Scipio</t>
  </si>
  <si>
    <t>Turner</t>
  </si>
  <si>
    <t>Tyndale</t>
  </si>
  <si>
    <t>Matias</t>
  </si>
  <si>
    <t>08/26/2019</t>
  </si>
  <si>
    <t>08/04/2019</t>
  </si>
  <si>
    <t>Open</t>
  </si>
  <si>
    <t>Closed</t>
  </si>
  <si>
    <t>2070 Union St</t>
  </si>
  <si>
    <t>95 Cornelia St</t>
  </si>
  <si>
    <t>1110 Carroll St</t>
  </si>
  <si>
    <t>1963 73rd St</t>
  </si>
  <si>
    <t>130 Moore St</t>
  </si>
  <si>
    <t>70 Ross St</t>
  </si>
  <si>
    <t>456 Nostrand Ave</t>
  </si>
  <si>
    <t>185 Erasmus St</t>
  </si>
  <si>
    <t>1818 Benson Ave</t>
  </si>
  <si>
    <t>1040 Park Pl</t>
  </si>
  <si>
    <t>263 Parkside Ave</t>
  </si>
  <si>
    <t>333 New Lots Avenue</t>
  </si>
  <si>
    <t>9225 Foster Ave</t>
  </si>
  <si>
    <t>107 Harman St</t>
  </si>
  <si>
    <t>201 Brighton 1st Rd # 203</t>
  </si>
  <si>
    <t>194 Malcom X Blvd</t>
  </si>
  <si>
    <t>600 Gates Ave</t>
  </si>
  <si>
    <t>525 E 21st St</t>
  </si>
  <si>
    <t>2469 Bragg St</t>
  </si>
  <si>
    <t>454 Empire Blvd</t>
  </si>
  <si>
    <t>249 Ralph Ave</t>
  </si>
  <si>
    <t>185 Prospect Park W</t>
  </si>
  <si>
    <t>1350 Bedford Ave</t>
  </si>
  <si>
    <t>1969 63rd St</t>
  </si>
  <si>
    <t>470 Kosciusko Street</t>
  </si>
  <si>
    <t>470 Ocean Ave</t>
  </si>
  <si>
    <t>140 Moore St</t>
  </si>
  <si>
    <t>111 Bridge St</t>
  </si>
  <si>
    <t>456 Autumn Ave</t>
  </si>
  <si>
    <t>630 Ocean Ave</t>
  </si>
  <si>
    <t>750 Ocean Ave</t>
  </si>
  <si>
    <t>995 Gates Ave</t>
  </si>
  <si>
    <t>3111 Aurelia Ct</t>
  </si>
  <si>
    <t>333 Mcdonald Ave</t>
  </si>
  <si>
    <t>178 Rockaway Pkwy</t>
  </si>
  <si>
    <t>1733 Union St</t>
  </si>
  <si>
    <t>305 Ocean Ave</t>
  </si>
  <si>
    <t>855 E 19th St</t>
  </si>
  <si>
    <t>573 Hart St</t>
  </si>
  <si>
    <t>250 Clarkson Ave</t>
  </si>
  <si>
    <t>310 E 25th St</t>
  </si>
  <si>
    <t>3214 Clarendon Rd</t>
  </si>
  <si>
    <t>150 Linden St</t>
  </si>
  <si>
    <t>1506 Avenue L</t>
  </si>
  <si>
    <t>1670 Pacific St</t>
  </si>
  <si>
    <t>138 Cumberland Walk</t>
  </si>
  <si>
    <t>740 Uclid Avenue</t>
  </si>
  <si>
    <t>2832 W 23rd St</t>
  </si>
  <si>
    <t>72 Hemlock St</t>
  </si>
  <si>
    <t>444 Lexington Ave</t>
  </si>
  <si>
    <t>28 Paerdegat 5th St</t>
  </si>
  <si>
    <t>608 Flatbush Ave</t>
  </si>
  <si>
    <t>1785 Bedford Ave</t>
  </si>
  <si>
    <t>1209 Bushwick Ave</t>
  </si>
  <si>
    <t>67 Saint Pauls Pl</t>
  </si>
  <si>
    <t>1388 E 92nd St</t>
  </si>
  <si>
    <t>904 E 56th St</t>
  </si>
  <si>
    <t>1820 Avenue P</t>
  </si>
  <si>
    <t>864 Euclid Ave</t>
  </si>
  <si>
    <t>1098 Liberty Ave</t>
  </si>
  <si>
    <t>1422 Lincoln Pl</t>
  </si>
  <si>
    <t>2361 Coney Island Ave</t>
  </si>
  <si>
    <t>33 Crooke Ave</t>
  </si>
  <si>
    <t>298 Rogers Ave</t>
  </si>
  <si>
    <t>1066 Bergen St</t>
  </si>
  <si>
    <t>408 Marcus Garvey Blvd</t>
  </si>
  <si>
    <t>11 Maple St</t>
  </si>
  <si>
    <t>49 E 19th St</t>
  </si>
  <si>
    <t>10608 Glenwood Rd</t>
  </si>
  <si>
    <t>330 Lewis Ave</t>
  </si>
  <si>
    <t>1015 Hancock St</t>
  </si>
  <si>
    <t>257 E 32nd St</t>
  </si>
  <si>
    <t>965 Jefferson Ave</t>
  </si>
  <si>
    <t>2110 Westbury Ct</t>
  </si>
  <si>
    <t>2511 Newkirk Ave</t>
  </si>
  <si>
    <t>12 Kingston Ave</t>
  </si>
  <si>
    <t>1225 Tabor Ct</t>
  </si>
  <si>
    <t>5212 Glenwood Rd</t>
  </si>
  <si>
    <t>1494 E 46th St</t>
  </si>
  <si>
    <t>800 Madison St</t>
  </si>
  <si>
    <t>346 E 29th St</t>
  </si>
  <si>
    <t>783 Lincoln Pl</t>
  </si>
  <si>
    <t>346 Jefferson Ave</t>
  </si>
  <si>
    <t>9418 Wogan Ter</t>
  </si>
  <si>
    <t>36 Kenilworth Pl</t>
  </si>
  <si>
    <t>718 Saint Marks Ave</t>
  </si>
  <si>
    <t>50 Stuyvesant Ave</t>
  </si>
  <si>
    <t>501 Lefferts Ave</t>
  </si>
  <si>
    <t>57 Herkimer St</t>
  </si>
  <si>
    <t>222 Malcolm X Blvd</t>
  </si>
  <si>
    <t>132 Halsey St</t>
  </si>
  <si>
    <t>3500 Snyder Ave</t>
  </si>
  <si>
    <t>287 Linden Blvd</t>
  </si>
  <si>
    <t>650 Gates Ave</t>
  </si>
  <si>
    <t>805 Ditmas Ave</t>
  </si>
  <si>
    <t>1050 Hancock St</t>
  </si>
  <si>
    <t>14 Arlington Pl</t>
  </si>
  <si>
    <t>219 Sullivan Pl</t>
  </si>
  <si>
    <t>400 Tompkins Ave</t>
  </si>
  <si>
    <t>1772 Flatbush Ave</t>
  </si>
  <si>
    <t>532 Bristol St</t>
  </si>
  <si>
    <t>230 President St</t>
  </si>
  <si>
    <t>744 Gates Ave</t>
  </si>
  <si>
    <t>331 Tompkins Ave</t>
  </si>
  <si>
    <t>1561 W 6th St</t>
  </si>
  <si>
    <t>1455 Geneva Loop</t>
  </si>
  <si>
    <t>358 Marcus Garvey Blvd</t>
  </si>
  <si>
    <t>1501 Fulton St</t>
  </si>
  <si>
    <t>756 Stanley Ave</t>
  </si>
  <si>
    <t>325 Kent Ave</t>
  </si>
  <si>
    <t>6817 6th Ave</t>
  </si>
  <si>
    <t>545 E 82nd St</t>
  </si>
  <si>
    <t>190 62nd St</t>
  </si>
  <si>
    <t>53 Boerum Pl</t>
  </si>
  <si>
    <t>630 Linden Blvd</t>
  </si>
  <si>
    <t>2075 E 16th St</t>
  </si>
  <si>
    <t>485 Church Ave</t>
  </si>
  <si>
    <t>530 Parkside Ave</t>
  </si>
  <si>
    <t>865 Gates Ave</t>
  </si>
  <si>
    <t>167 Chestnut St</t>
  </si>
  <si>
    <t>1375 E 18th St</t>
  </si>
  <si>
    <t>711 Ocean Ave</t>
  </si>
  <si>
    <t>25 Spencer Pl</t>
  </si>
  <si>
    <t>280 Ocean Pkwy</t>
  </si>
  <si>
    <t>1023 Broadway</t>
  </si>
  <si>
    <t>1409 Troy Ave</t>
  </si>
  <si>
    <t>869 Flushing Ave</t>
  </si>
  <si>
    <t>1384 Hancock St</t>
  </si>
  <si>
    <t>426 E 22nd St</t>
  </si>
  <si>
    <t>305 Linden Blvd</t>
  </si>
  <si>
    <t>781 Greene Ave</t>
  </si>
  <si>
    <t>1150 President St</t>
  </si>
  <si>
    <t>1722 Kings Hwy</t>
  </si>
  <si>
    <t>201 Crown St</t>
  </si>
  <si>
    <t>555 Ocean Ave</t>
  </si>
  <si>
    <t>452 Madison St</t>
  </si>
  <si>
    <t>363 Grand Ave</t>
  </si>
  <si>
    <t>2567 Bedford Ave</t>
  </si>
  <si>
    <t>790 Lafayette ave</t>
  </si>
  <si>
    <t>611 Greene Ave</t>
  </si>
  <si>
    <t>1097 Prospect Pl</t>
  </si>
  <si>
    <t>1381 E 105th St</t>
  </si>
  <si>
    <t>20 N 5th St</t>
  </si>
  <si>
    <t>1455 Bedford Ave</t>
  </si>
  <si>
    <t>165 Clinton Ave</t>
  </si>
  <si>
    <t>1023 Putnam Ave</t>
  </si>
  <si>
    <t>997 DeKalb Ave</t>
  </si>
  <si>
    <t>300 Linden Blvd</t>
  </si>
  <si>
    <t>281 Quincy St</t>
  </si>
  <si>
    <t>891 Greene Ave</t>
  </si>
  <si>
    <t>2503 Cortelyou Rd</t>
  </si>
  <si>
    <t>55 Linden Blvd</t>
  </si>
  <si>
    <t>372 Kosciuszko St</t>
  </si>
  <si>
    <t>18 Avenue Albany</t>
  </si>
  <si>
    <t>201 E 18th St</t>
  </si>
  <si>
    <t>131 Moore St</t>
  </si>
  <si>
    <t>1030 Ocean Ave</t>
  </si>
  <si>
    <t>2317 Newkirk Ave</t>
  </si>
  <si>
    <t>987 Montgomery St</t>
  </si>
  <si>
    <t>222 Lenox Rd</t>
  </si>
  <si>
    <t>260 Herkimer St</t>
  </si>
  <si>
    <t>240 E 18th St</t>
  </si>
  <si>
    <t>1307 Loring Ave</t>
  </si>
  <si>
    <t>1939 Park Pl</t>
  </si>
  <si>
    <t>1740 Prospect Pl</t>
  </si>
  <si>
    <t>690 Gates Ave</t>
  </si>
  <si>
    <t>2532 Bedford Ave</t>
  </si>
  <si>
    <t>381 E 46th St</t>
  </si>
  <si>
    <t>61 Martense St</t>
  </si>
  <si>
    <t>1284 Saint Johns Pl</t>
  </si>
  <si>
    <t>909 E 29th St</t>
  </si>
  <si>
    <t>8525 Avenue J</t>
  </si>
  <si>
    <t>1966 70th St</t>
  </si>
  <si>
    <t>245 Midwood St</t>
  </si>
  <si>
    <t>760 Rogers Ave</t>
  </si>
  <si>
    <t>175 Hawthorne st</t>
  </si>
  <si>
    <t>393 Dumont Ave</t>
  </si>
  <si>
    <t>605 Park Ave</t>
  </si>
  <si>
    <t>486 Brooklyn Ave</t>
  </si>
  <si>
    <t>1041 Bushwick Ave</t>
  </si>
  <si>
    <t>1252 Dekalb Ave</t>
  </si>
  <si>
    <t>221 Lewis Ave</t>
  </si>
  <si>
    <t>579 57th St</t>
  </si>
  <si>
    <t>557 Rockaway Ave</t>
  </si>
  <si>
    <t>1 Brevoort Pl</t>
  </si>
  <si>
    <t>775 Saint Johns Pl</t>
  </si>
  <si>
    <t>1 Tennis Ct</t>
  </si>
  <si>
    <t>99 Madison St</t>
  </si>
  <si>
    <t>255 E 25th St</t>
  </si>
  <si>
    <t>2011 Newkirk Ave</t>
  </si>
  <si>
    <t>699 Ocean Ave</t>
  </si>
  <si>
    <t>1919 Bay Ave</t>
  </si>
  <si>
    <t>1601 W 5th St</t>
  </si>
  <si>
    <t>214 Rockaway Pkwy</t>
  </si>
  <si>
    <t>1604 Bedford Ave</t>
  </si>
  <si>
    <t>165 Van Buren St</t>
  </si>
  <si>
    <t>1048 Union St</t>
  </si>
  <si>
    <t>3012 Wallace Ave</t>
  </si>
  <si>
    <t>643 Thieriot Ave</t>
  </si>
  <si>
    <t>3618 Bronx Blvd</t>
  </si>
  <si>
    <t>860 Bryant Ave</t>
  </si>
  <si>
    <t>1266 Olmstead Ave</t>
  </si>
  <si>
    <t>162 E 184th St</t>
  </si>
  <si>
    <t>3215 Bainbridge Ave</t>
  </si>
  <si>
    <t>1098 Anderson Ave</t>
  </si>
  <si>
    <t>1744 Clay Ave</t>
  </si>
  <si>
    <t>3536 Hull Ave</t>
  </si>
  <si>
    <t>1820 Phelan Pl</t>
  </si>
  <si>
    <t>3560 Webster Ave</t>
  </si>
  <si>
    <t>204 Mount Hope Pl</t>
  </si>
  <si>
    <t>1500 Archer Rd</t>
  </si>
  <si>
    <t>2388 Creston Ave</t>
  </si>
  <si>
    <t>1514 Townsend Ave</t>
  </si>
  <si>
    <t>1480 Popham Ave</t>
  </si>
  <si>
    <t>2378 Hoffman St</t>
  </si>
  <si>
    <t>3114 Villa Ave</t>
  </si>
  <si>
    <t>420 E 169th St</t>
  </si>
  <si>
    <t>140 W 238th St</t>
  </si>
  <si>
    <t>2455 Cruger Ave</t>
  </si>
  <si>
    <t>2825 Grand concourse</t>
  </si>
  <si>
    <t>1005 Walton Ave</t>
  </si>
  <si>
    <t>3015 Matthews Ave</t>
  </si>
  <si>
    <t>2800 Creston Ave</t>
  </si>
  <si>
    <t>2110 Arthur Ave</t>
  </si>
  <si>
    <t>1485 Macombs Rd</t>
  </si>
  <si>
    <t>3435 Gates Pl</t>
  </si>
  <si>
    <t>1769 Vyse Ave</t>
  </si>
  <si>
    <t>2535 Davidson Ave</t>
  </si>
  <si>
    <t>1665 Monroe Ave</t>
  </si>
  <si>
    <t>1640 Macombs Rd</t>
  </si>
  <si>
    <t>2015 Grand Ave</t>
  </si>
  <si>
    <t>751 Tilden St</t>
  </si>
  <si>
    <t>405 E 182nd St</t>
  </si>
  <si>
    <t>1625 Arnow Ave</t>
  </si>
  <si>
    <t>1521 Sheridan Ave</t>
  </si>
  <si>
    <t>1899 Belmont Ave</t>
  </si>
  <si>
    <t>1725 Fulton Ave</t>
  </si>
  <si>
    <t>272 E Gun Hill Rd</t>
  </si>
  <si>
    <t>2060 Anthony Ave</t>
  </si>
  <si>
    <t>2095 Mohegan Ave</t>
  </si>
  <si>
    <t>576 E 165th St</t>
  </si>
  <si>
    <t>718 Garden St</t>
  </si>
  <si>
    <t>3220 Perry Ave</t>
  </si>
  <si>
    <t>315 E 206th St</t>
  </si>
  <si>
    <t>1720 Victor St</t>
  </si>
  <si>
    <t>735 Mace Ave</t>
  </si>
  <si>
    <t>80 W 170th St</t>
  </si>
  <si>
    <t>631 E 220th St</t>
  </si>
  <si>
    <t>730 Garden St</t>
  </si>
  <si>
    <t>2031 Hughes Ave</t>
  </si>
  <si>
    <t>3039 Wallace Ave</t>
  </si>
  <si>
    <t>1855 Monroe Ave</t>
  </si>
  <si>
    <t>350 Saint Anns Ave</t>
  </si>
  <si>
    <t>2615 Grand Concourse</t>
  </si>
  <si>
    <t>3562 Carlisle Pl</t>
  </si>
  <si>
    <t>15 North St</t>
  </si>
  <si>
    <t>1334 Louis Nine Blvd</t>
  </si>
  <si>
    <t>3320A Fish Ave</t>
  </si>
  <si>
    <t>2406 Walton Ave</t>
  </si>
  <si>
    <t>3424 Gates Pl</t>
  </si>
  <si>
    <t>1534 Selwyn Ave</t>
  </si>
  <si>
    <t>1600 Metropolitan Ave</t>
  </si>
  <si>
    <t>3440 Gates Pl</t>
  </si>
  <si>
    <t>64 Clinton Place</t>
  </si>
  <si>
    <t>2103 Honeywell Ave</t>
  </si>
  <si>
    <t>2125 Cruger Ave</t>
  </si>
  <si>
    <t>739 Arnow Ave</t>
  </si>
  <si>
    <t>1702 Wallace Ave</t>
  </si>
  <si>
    <t>2015 Belmont Ave</t>
  </si>
  <si>
    <t>1711 Morris Ave</t>
  </si>
  <si>
    <t>956 Leggett Ave</t>
  </si>
  <si>
    <t>435 E 146th St</t>
  </si>
  <si>
    <t>2119 Colonial Ave</t>
  </si>
  <si>
    <t>2140 Cruger Ave</t>
  </si>
  <si>
    <t>1500 Hoe Ave</t>
  </si>
  <si>
    <t>333 E 181st St</t>
  </si>
  <si>
    <t>92 W Tremont Ave</t>
  </si>
  <si>
    <t>3013 Matthews Ave</t>
  </si>
  <si>
    <t>1901 Hennessy Pl</t>
  </si>
  <si>
    <t>3343 Decatur Ave</t>
  </si>
  <si>
    <t>2277 Andrews Ave</t>
  </si>
  <si>
    <t>763 Edison Ave</t>
  </si>
  <si>
    <t>1771 Monroe Ave</t>
  </si>
  <si>
    <t>2840 Sedgwick Ave</t>
  </si>
  <si>
    <t>3764 Bronx blvd</t>
  </si>
  <si>
    <t>3444 White Plains Rd</t>
  </si>
  <si>
    <t>2111 Southern Blvd</t>
  </si>
  <si>
    <t>203 E 175th St</t>
  </si>
  <si>
    <t>428 E 137th St</t>
  </si>
  <si>
    <t>846 E 156th St</t>
  </si>
  <si>
    <t>600 Trinity Ave</t>
  </si>
  <si>
    <t>673 Beck St</t>
  </si>
  <si>
    <t>576 Timpson Pl</t>
  </si>
  <si>
    <t>455 E 148th St</t>
  </si>
  <si>
    <t>1230 Teller Ave</t>
  </si>
  <si>
    <t>225 Mcclellan St</t>
  </si>
  <si>
    <t>215 E 164th St</t>
  </si>
  <si>
    <t>411 E 136th St</t>
  </si>
  <si>
    <t>1358 Washington Ave</t>
  </si>
  <si>
    <t>1106 Morris Ave</t>
  </si>
  <si>
    <t>717 Crotona Park N</t>
  </si>
  <si>
    <t>2720 Grand Concourse</t>
  </si>
  <si>
    <t>340 E 194th St</t>
  </si>
  <si>
    <t>3000 Marion Ave</t>
  </si>
  <si>
    <t>502 E 189th St</t>
  </si>
  <si>
    <t>345 Cypress Ave</t>
  </si>
  <si>
    <t>1640 Grand Ave</t>
  </si>
  <si>
    <t>311 Bedford Park Blvd</t>
  </si>
  <si>
    <t>800 E 160th st</t>
  </si>
  <si>
    <t>1904 Loring Pl S</t>
  </si>
  <si>
    <t>1094 Longfellow Ave</t>
  </si>
  <si>
    <t>3204 Holland Ave</t>
  </si>
  <si>
    <t>3014 Bouck Ave</t>
  </si>
  <si>
    <t>710 Noble Ave</t>
  </si>
  <si>
    <t>3324 Kingsbridge Ave</t>
  </si>
  <si>
    <t>1130 Boynton Ave</t>
  </si>
  <si>
    <t>18a Broun Pl</t>
  </si>
  <si>
    <t>655 E 228th St</t>
  </si>
  <si>
    <t>1020 Boynton AVe</t>
  </si>
  <si>
    <t>1027 E 227th St</t>
  </si>
  <si>
    <t>1041 E 230th St</t>
  </si>
  <si>
    <t>2123 Boston Rd</t>
  </si>
  <si>
    <t>1141 E 224th St</t>
  </si>
  <si>
    <t>6200 Riverdale Ave</t>
  </si>
  <si>
    <t>3980 Orloff Ave</t>
  </si>
  <si>
    <t>2734 Kingsbridge Ter</t>
  </si>
  <si>
    <t>2855 Grand Concourse</t>
  </si>
  <si>
    <t>360 E 234th St</t>
  </si>
  <si>
    <t>1202 Noble Ave</t>
  </si>
  <si>
    <t>741 White Plains Rd</t>
  </si>
  <si>
    <t>710 Croes Ave</t>
  </si>
  <si>
    <t>900 Baychester ave</t>
  </si>
  <si>
    <t>1046 E 241st St</t>
  </si>
  <si>
    <t>1687 Hoe Ave</t>
  </si>
  <si>
    <t>3160 Park Ave</t>
  </si>
  <si>
    <t>3125 Park Ave</t>
  </si>
  <si>
    <t>1437 Leland Ave</t>
  </si>
  <si>
    <t>1635 Mahan Ave</t>
  </si>
  <si>
    <t>2025 Seward Ave</t>
  </si>
  <si>
    <t>4416 Matilda Ave</t>
  </si>
  <si>
    <t>2504 Olinville Ave</t>
  </si>
  <si>
    <t>4448 Furman Ave</t>
  </si>
  <si>
    <t>950 Union Ave</t>
  </si>
  <si>
    <t>2878 Harrington Ave</t>
  </si>
  <si>
    <t>329 E 197th St</t>
  </si>
  <si>
    <t>1118 Westchester Ave</t>
  </si>
  <si>
    <t>994 Intervale Ave</t>
  </si>
  <si>
    <t>2985 Webster Ave Apt 3</t>
  </si>
  <si>
    <t>993 Union Ave</t>
  </si>
  <si>
    <t>1695 Hoe Ave</t>
  </si>
  <si>
    <t>2067 Vyse Ave</t>
  </si>
  <si>
    <t>1012 Garrison Ave</t>
  </si>
  <si>
    <t>3317 Seymour Ave</t>
  </si>
  <si>
    <t>414 E 204th St</t>
  </si>
  <si>
    <t>2330 Valentine Ave</t>
  </si>
  <si>
    <t>399 E 160th st</t>
  </si>
  <si>
    <t>820 E 180th St</t>
  </si>
  <si>
    <t>1806 Vyse Ave</t>
  </si>
  <si>
    <t>3135 Park Ave</t>
  </si>
  <si>
    <t>324 E 143rd St</t>
  </si>
  <si>
    <t>974 Anderson Ave</t>
  </si>
  <si>
    <t>135 Elliot Pl</t>
  </si>
  <si>
    <t>917 Ogden Ave</t>
  </si>
  <si>
    <t>1400 Jesup Ave</t>
  </si>
  <si>
    <t>1520 Sedgwick Ave</t>
  </si>
  <si>
    <t>2200 Grand Ave</t>
  </si>
  <si>
    <t>20 Richman Plz</t>
  </si>
  <si>
    <t>1710 Vyse Ave</t>
  </si>
  <si>
    <t>190 W Burnside Ave</t>
  </si>
  <si>
    <t>1669 Grand Ave</t>
  </si>
  <si>
    <t>1971 Grand Ave</t>
  </si>
  <si>
    <t>2929 Bainbridge Ave</t>
  </si>
  <si>
    <t>1214 Sheridan Ave</t>
  </si>
  <si>
    <t>2075 Boston Rd</t>
  </si>
  <si>
    <t>1038 Southern Blvd</t>
  </si>
  <si>
    <t>984 Bronx Park S</t>
  </si>
  <si>
    <t>1330 Intervale Ave</t>
  </si>
  <si>
    <t>40 Richman Plz</t>
  </si>
  <si>
    <t>220 E 204th St</t>
  </si>
  <si>
    <t>2037 Radcliff Ave</t>
  </si>
  <si>
    <t>800 E 180th St</t>
  </si>
  <si>
    <t>1560 Grand Concourse</t>
  </si>
  <si>
    <t>2098 Ryer Ave</t>
  </si>
  <si>
    <t>230 Echo Pl</t>
  </si>
  <si>
    <t>2141 Starling Ave</t>
  </si>
  <si>
    <t>3521 Dekalb Ave</t>
  </si>
  <si>
    <t>3400 Tryon Ave</t>
  </si>
  <si>
    <t>1460 Grand Concourse</t>
  </si>
  <si>
    <t>3185 Villa Ave</t>
  </si>
  <si>
    <t>2434 Prospect Ave</t>
  </si>
  <si>
    <t>5550 Fieldston Rd</t>
  </si>
  <si>
    <t>1585 White Plains Rd</t>
  </si>
  <si>
    <t>823 E 217th St</t>
  </si>
  <si>
    <t>2769 University Ave</t>
  </si>
  <si>
    <t>1544 Boone Ave</t>
  </si>
  <si>
    <t>255 E 176th St</t>
  </si>
  <si>
    <t>2881 Heath Ave</t>
  </si>
  <si>
    <t>2781 Grand Concourse</t>
  </si>
  <si>
    <t>25 E 193rd St</t>
  </si>
  <si>
    <t>805 Fairmount Pl</t>
  </si>
  <si>
    <t>1175 Findlay Ave</t>
  </si>
  <si>
    <t>2060 White Plains Rd</t>
  </si>
  <si>
    <t>864 Hewitt Pl</t>
  </si>
  <si>
    <t>955 Walton Ave</t>
  </si>
  <si>
    <t>347-573-8693</t>
  </si>
  <si>
    <t>1314 Seneca Ave</t>
  </si>
  <si>
    <t>3500 Tryon Ave</t>
  </si>
  <si>
    <t>994 E 180th St</t>
  </si>
  <si>
    <t>731 Gerard Ave</t>
  </si>
  <si>
    <t>2759 Sedgwick Ave</t>
  </si>
  <si>
    <t>3045 Villa Ave</t>
  </si>
  <si>
    <t>1357 Plimpton Ave</t>
  </si>
  <si>
    <t>2076 Bronx Park East</t>
  </si>
  <si>
    <t>3915 Carpenter Ave</t>
  </si>
  <si>
    <t>4140 Carpenter Ave</t>
  </si>
  <si>
    <t>2279 Tiebout Ave</t>
  </si>
  <si>
    <t>711 E 218th St</t>
  </si>
  <si>
    <t>542 E 182nd St</t>
  </si>
  <si>
    <t>983 E 181st St</t>
  </si>
  <si>
    <t>2395 Grand Ave</t>
  </si>
  <si>
    <t>3990 Bronx Blvd</t>
  </si>
  <si>
    <t>1561 Unionport Rd</t>
  </si>
  <si>
    <t>769 Bryant Ave</t>
  </si>
  <si>
    <t>774 E 221st St</t>
  </si>
  <si>
    <t>2515 Davidson Ave</t>
  </si>
  <si>
    <t>165 W 197th St</t>
  </si>
  <si>
    <t>50 E 196th St</t>
  </si>
  <si>
    <t>2719 Morris Ave</t>
  </si>
  <si>
    <t>2414 Creston Ave</t>
  </si>
  <si>
    <t>2120 Tiebout Ave</t>
  </si>
  <si>
    <t>3021 Holland Ave</t>
  </si>
  <si>
    <t>3525 Bainbridge Ave</t>
  </si>
  <si>
    <t>85 Strong St</t>
  </si>
  <si>
    <t>750 E 166th St</t>
  </si>
  <si>
    <t>2280 Loring Pl N</t>
  </si>
  <si>
    <t>1707 Topping Ave</t>
  </si>
  <si>
    <t>735 E 182nd St</t>
  </si>
  <si>
    <t>2911 Barnes Ave</t>
  </si>
  <si>
    <t>3065 Grand Concourse</t>
  </si>
  <si>
    <t>1327 Southern Blvd</t>
  </si>
  <si>
    <t>744 Coster St</t>
  </si>
  <si>
    <t>2300 Olinville Ave</t>
  </si>
  <si>
    <t>653 Britton St</t>
  </si>
  <si>
    <t>3035 White Plains Rd</t>
  </si>
  <si>
    <t>1801 Loring Pl S</t>
  </si>
  <si>
    <t>3707 Olinville Ave</t>
  </si>
  <si>
    <t>3805 Review Pl</t>
  </si>
  <si>
    <t>1520 Sheridan Ave</t>
  </si>
  <si>
    <t>582 Courtlandt Ave</t>
  </si>
  <si>
    <t>1236 Burke Ave</t>
  </si>
  <si>
    <t>2575 Sedgwick Ave</t>
  </si>
  <si>
    <t>900 Lydig Ave</t>
  </si>
  <si>
    <t>2332 Creston Ave</t>
  </si>
  <si>
    <t>730 Grand Concourse</t>
  </si>
  <si>
    <t>2034 Benedict Ave</t>
  </si>
  <si>
    <t>1944 Unionport Rd</t>
  </si>
  <si>
    <t>2810 Morris Ave</t>
  </si>
  <si>
    <t>221 W 233rd St</t>
  </si>
  <si>
    <t>1015 E 179th St</t>
  </si>
  <si>
    <t>2800 University Ave</t>
  </si>
  <si>
    <t>1710 Andrews Ave</t>
  </si>
  <si>
    <t>2500 University Ave</t>
  </si>
  <si>
    <t>2309 Holland Ave</t>
  </si>
  <si>
    <t>111 Father Zeiser Place</t>
  </si>
  <si>
    <t>739 Tilden St</t>
  </si>
  <si>
    <t>624 E 220th St</t>
  </si>
  <si>
    <t>725 Garden St</t>
  </si>
  <si>
    <t>3121 Villa Ave</t>
  </si>
  <si>
    <t>1763 Fulton Ave</t>
  </si>
  <si>
    <t>1722 Purdy St</t>
  </si>
  <si>
    <t>2274 Grand Concourse</t>
  </si>
  <si>
    <t>2281 University Ave</t>
  </si>
  <si>
    <t>2028 Grand Concourse</t>
  </si>
  <si>
    <t>2515 Olinville Ave</t>
  </si>
  <si>
    <t>2000 Valentine Ave</t>
  </si>
  <si>
    <t>2783 Claflin Ave</t>
  </si>
  <si>
    <t>2757 Sedgwick Ave</t>
  </si>
  <si>
    <t>660 Arnow Ave</t>
  </si>
  <si>
    <t>1590 Undercliff Ave</t>
  </si>
  <si>
    <t>725 Southern Blvd</t>
  </si>
  <si>
    <t>2374 University Ave</t>
  </si>
  <si>
    <t>2435 Barker Ave</t>
  </si>
  <si>
    <t>2829 Sedgwick Ave</t>
  </si>
  <si>
    <t>2543 Bronxwood Ave</t>
  </si>
  <si>
    <t>2045 Holland Ave</t>
  </si>
  <si>
    <t>400 E 147th St</t>
  </si>
  <si>
    <t>5 E 196th St</t>
  </si>
  <si>
    <t>2015 Newbold Ave</t>
  </si>
  <si>
    <t>1467 Taylor Ave</t>
  </si>
  <si>
    <t>264 Echo Pl</t>
  </si>
  <si>
    <t>2273 Tiebout Ave</t>
  </si>
  <si>
    <t>3576 Dekalb Ave</t>
  </si>
  <si>
    <t>3764 Bronx Blvd</t>
  </si>
  <si>
    <t>1996 Anthony Ave</t>
  </si>
  <si>
    <t>819 E 218th St</t>
  </si>
  <si>
    <t>2780 Kingsbridge Ter</t>
  </si>
  <si>
    <t>331 E 146th St</t>
  </si>
  <si>
    <t>770 Bryant Ave</t>
  </si>
  <si>
    <t>2487 Grand Ave</t>
  </si>
  <si>
    <t>355 E 184th St</t>
  </si>
  <si>
    <t>277 E 207th St</t>
  </si>
  <si>
    <t>2850 Claflin Ave</t>
  </si>
  <si>
    <t>4728 Bronx Blvd</t>
  </si>
  <si>
    <t>2271 Washington Ave</t>
  </si>
  <si>
    <t>3304 Bronx Blvd</t>
  </si>
  <si>
    <t>2406 University Ave</t>
  </si>
  <si>
    <t>2264 Loring Pl N</t>
  </si>
  <si>
    <t>735 Magenta St</t>
  </si>
  <si>
    <t>796 Courtlandt Ave</t>
  </si>
  <si>
    <t>3535 Rochambeau ave</t>
  </si>
  <si>
    <t>1268 Olmstead Ave</t>
  </si>
  <si>
    <t>2409 Beaumont Ave</t>
  </si>
  <si>
    <t>60 E 106th St</t>
  </si>
  <si>
    <t>17 W 125th St</t>
  </si>
  <si>
    <t>460 Grand St</t>
  </si>
  <si>
    <t>225 W 106th St</t>
  </si>
  <si>
    <t>311 W 127th St</t>
  </si>
  <si>
    <t>1851 7th Ave</t>
  </si>
  <si>
    <t>55 Saint Nicholas Pl</t>
  </si>
  <si>
    <t>526 W 158th St</t>
  </si>
  <si>
    <t>77 Columbia St</t>
  </si>
  <si>
    <t>18 E 109th St</t>
  </si>
  <si>
    <t>74 W 92nd St</t>
  </si>
  <si>
    <t>138 Orchard st</t>
  </si>
  <si>
    <t>240 E 119th St</t>
  </si>
  <si>
    <t>1772 Amsterdam Ave</t>
  </si>
  <si>
    <t>234 E 119th St</t>
  </si>
  <si>
    <t>607 W 139th St</t>
  </si>
  <si>
    <t>60 E 135th St</t>
  </si>
  <si>
    <t>601 W 149th St</t>
  </si>
  <si>
    <t>107 Ellwood St</t>
  </si>
  <si>
    <t>719 Saint Nicholas Ave</t>
  </si>
  <si>
    <t>160 E 48th St</t>
  </si>
  <si>
    <t>2253 3rd Ave</t>
  </si>
  <si>
    <t>143 W 132nd St</t>
  </si>
  <si>
    <t>565 Manhattan Ave</t>
  </si>
  <si>
    <t>103 E 2nd St</t>
  </si>
  <si>
    <t>1 Columbus Pl</t>
  </si>
  <si>
    <t>16-18 Old Broadway</t>
  </si>
  <si>
    <t>159 W 145th St</t>
  </si>
  <si>
    <t>480 Saint Nicholas Ave</t>
  </si>
  <si>
    <t>154 Broome St</t>
  </si>
  <si>
    <t>515 W 159th St</t>
  </si>
  <si>
    <t>511 W 177th St</t>
  </si>
  <si>
    <t>1751 2nd Ave</t>
  </si>
  <si>
    <t>1365 Saint Nicholas Ave</t>
  </si>
  <si>
    <t>418 W 51st St</t>
  </si>
  <si>
    <t>583 W 215th St</t>
  </si>
  <si>
    <t>134 W 113th St</t>
  </si>
  <si>
    <t>90 Avenue D</t>
  </si>
  <si>
    <t>241 6th Ave</t>
  </si>
  <si>
    <t>71 W 112th St</t>
  </si>
  <si>
    <t>2430 W 111th St</t>
  </si>
  <si>
    <t>1867 7th Ave</t>
  </si>
  <si>
    <t>2949 8th Ave</t>
  </si>
  <si>
    <t>170 Avenue D</t>
  </si>
  <si>
    <t>160 Madison St</t>
  </si>
  <si>
    <t>70 W 115th St</t>
  </si>
  <si>
    <t>235 E 116th St</t>
  </si>
  <si>
    <t>65 W 96th St</t>
  </si>
  <si>
    <t>103 W 141st St</t>
  </si>
  <si>
    <t>2844 8th Ave</t>
  </si>
  <si>
    <t>1457 Amsterdam Ave</t>
  </si>
  <si>
    <t>408 W 150th St</t>
  </si>
  <si>
    <t>596 Riverside Dr</t>
  </si>
  <si>
    <t>700 Riverside Dr</t>
  </si>
  <si>
    <t>2395 1st Ave</t>
  </si>
  <si>
    <t>55 Tiemann Pl</t>
  </si>
  <si>
    <t>415 W 25th St</t>
  </si>
  <si>
    <t>147 W 79th St</t>
  </si>
  <si>
    <t>200 W 111th St</t>
  </si>
  <si>
    <t>1391 2nd Ave</t>
  </si>
  <si>
    <t>2166 Frederick Douglass Blvd</t>
  </si>
  <si>
    <t>350 Manhattan Ave</t>
  </si>
  <si>
    <t>2101 Madison Ave</t>
  </si>
  <si>
    <t>120 W 116th St</t>
  </si>
  <si>
    <t>580 W 161st St</t>
  </si>
  <si>
    <t>3544 Broadway</t>
  </si>
  <si>
    <t>52 Saint Nicholas Pl</t>
  </si>
  <si>
    <t>101 W 130th St</t>
  </si>
  <si>
    <t>129 W 147th st</t>
  </si>
  <si>
    <t>233 W 111th St</t>
  </si>
  <si>
    <t>135 W 115th St</t>
  </si>
  <si>
    <t>24 W 117th St</t>
  </si>
  <si>
    <t>46 Madison St</t>
  </si>
  <si>
    <t>2081 2nd Ave</t>
  </si>
  <si>
    <t>600 W 176th St</t>
  </si>
  <si>
    <t>520 W 151st St</t>
  </si>
  <si>
    <t>212 Saint Nicholas Ave</t>
  </si>
  <si>
    <t>500 W 144th St</t>
  </si>
  <si>
    <t>312 Manhattan Ave</t>
  </si>
  <si>
    <t>89 Avenue C</t>
  </si>
  <si>
    <t>450 W 42nd St</t>
  </si>
  <si>
    <t>68 Cumberland Walk</t>
  </si>
  <si>
    <t>644 Riverside Dr</t>
  </si>
  <si>
    <t>742 E 6th St</t>
  </si>
  <si>
    <t>420 W 19th St</t>
  </si>
  <si>
    <t>31 W 124th St</t>
  </si>
  <si>
    <t>321 W 94th St</t>
  </si>
  <si>
    <t>507 W 142nd St</t>
  </si>
  <si>
    <t>180 E 122nd St</t>
  </si>
  <si>
    <t>460 W 155th St</t>
  </si>
  <si>
    <t>617 W 170th St</t>
  </si>
  <si>
    <t>123 W 104th St</t>
  </si>
  <si>
    <t>123 Henry St</t>
  </si>
  <si>
    <t>107 W 68th St</t>
  </si>
  <si>
    <t>266 Nagle Ave</t>
  </si>
  <si>
    <t>75 W End Ave</t>
  </si>
  <si>
    <t>600 W 142nd St</t>
  </si>
  <si>
    <t>792 Columbus Ave</t>
  </si>
  <si>
    <t>22 Mount Morris Park W</t>
  </si>
  <si>
    <t>312 W 112th St</t>
  </si>
  <si>
    <t>45 W 110th St</t>
  </si>
  <si>
    <t>522 W 147th St</t>
  </si>
  <si>
    <t>241 E 115th st</t>
  </si>
  <si>
    <t>345 E 101st St</t>
  </si>
  <si>
    <t>53 E 131st St</t>
  </si>
  <si>
    <t>100 Post Ave</t>
  </si>
  <si>
    <t>452 Saint Nicholas Ave</t>
  </si>
  <si>
    <t>165 E 112th St</t>
  </si>
  <si>
    <t>290 W 147th St</t>
  </si>
  <si>
    <t>795 Saint Nicholas Ave</t>
  </si>
  <si>
    <t>600 W 144th St</t>
  </si>
  <si>
    <t>229 W 97th St</t>
  </si>
  <si>
    <t>510 W 152nd St</t>
  </si>
  <si>
    <t>146 W 127th St</t>
  </si>
  <si>
    <t>36 St. Nicholas Place</t>
  </si>
  <si>
    <t>314 E 100th St</t>
  </si>
  <si>
    <t>419 W 34th St</t>
  </si>
  <si>
    <t>1420 Amsterdam Ave</t>
  </si>
  <si>
    <t>3609 Broadway</t>
  </si>
  <si>
    <t>1 Jacobus Pl</t>
  </si>
  <si>
    <t>27 W 118th St</t>
  </si>
  <si>
    <t>56 W 119th St</t>
  </si>
  <si>
    <t>626 Riverside Dr</t>
  </si>
  <si>
    <t>1980 Adam Clayton Powell Jr Blvd</t>
  </si>
  <si>
    <t>525 Fdr Dr</t>
  </si>
  <si>
    <t>1470 Amsterdam Ave</t>
  </si>
  <si>
    <t>430 W 125th St</t>
  </si>
  <si>
    <t>1900 Lexington Ave</t>
  </si>
  <si>
    <t>100 W 139th St</t>
  </si>
  <si>
    <t>505 W 135th St</t>
  </si>
  <si>
    <t>388 Audubon Ave</t>
  </si>
  <si>
    <t>666 W End Ave</t>
  </si>
  <si>
    <t>243 W 99th St</t>
  </si>
  <si>
    <t>200 W 143rd St</t>
  </si>
  <si>
    <t>60 Saint Nicholas Ave</t>
  </si>
  <si>
    <t>15 Saint James Pl</t>
  </si>
  <si>
    <t>357 Bristol St</t>
  </si>
  <si>
    <t>65 W 127th St</t>
  </si>
  <si>
    <t>287 Edgecombe Ave</t>
  </si>
  <si>
    <t>433 W 126th St</t>
  </si>
  <si>
    <t>3170 Broadway</t>
  </si>
  <si>
    <t>263 W 152nd St</t>
  </si>
  <si>
    <t>930 W End Ave</t>
  </si>
  <si>
    <t>209 W 118th St</t>
  </si>
  <si>
    <t>453 W 141st St</t>
  </si>
  <si>
    <t>260 Convent Ave</t>
  </si>
  <si>
    <t>400 W 150th st</t>
  </si>
  <si>
    <t>210 W 102nd St</t>
  </si>
  <si>
    <t>201 W 121st St</t>
  </si>
  <si>
    <t>3519 99th St</t>
  </si>
  <si>
    <t>10632 98th St</t>
  </si>
  <si>
    <t>3123 56th St</t>
  </si>
  <si>
    <t>123-12197th st</t>
  </si>
  <si>
    <t>5238 69th St</t>
  </si>
  <si>
    <t>2130 35th Ave</t>
  </si>
  <si>
    <t>942 College Point Blvd</t>
  </si>
  <si>
    <t>9835 57th Ave</t>
  </si>
  <si>
    <t>9263 240th St</t>
  </si>
  <si>
    <t>13538 123rd St</t>
  </si>
  <si>
    <t>9116 95th Ave</t>
  </si>
  <si>
    <t>1351 Boston Rd</t>
  </si>
  <si>
    <t>College Point Blvd</t>
  </si>
  <si>
    <t>16909 105th Ave</t>
  </si>
  <si>
    <t>3555 73rd St</t>
  </si>
  <si>
    <t>172-10 133rd Avenue</t>
  </si>
  <si>
    <t>10519 34th Ave</t>
  </si>
  <si>
    <t>10702 154th St</t>
  </si>
  <si>
    <t>12365 147th St</t>
  </si>
  <si>
    <t>3402 106th St</t>
  </si>
  <si>
    <t>11640 Guy R Brewer Blvd</t>
  </si>
  <si>
    <t>5305 92nd St</t>
  </si>
  <si>
    <t>11635 Sutphin Blvd</t>
  </si>
  <si>
    <t>9511 90th St</t>
  </si>
  <si>
    <t>172 30 125th Ave</t>
  </si>
  <si>
    <t>15316 Foch Blvd</t>
  </si>
  <si>
    <t>10741 Sutphin Blvd</t>
  </si>
  <si>
    <t>15327 73rd Ave</t>
  </si>
  <si>
    <t>17024 130th ave</t>
  </si>
  <si>
    <t>7313 70th St</t>
  </si>
  <si>
    <t>8202 Rockaway Beach Blvd</t>
  </si>
  <si>
    <t>9815 Horace Harding Expy</t>
  </si>
  <si>
    <t>9711 Horace Harding Expy</t>
  </si>
  <si>
    <t>10930 Francis Lewis Blvd</t>
  </si>
  <si>
    <t>11942 177th St</t>
  </si>
  <si>
    <t>4210 82nd St</t>
  </si>
  <si>
    <t>7207 73rd St</t>
  </si>
  <si>
    <t>10644 Ruscoe St</t>
  </si>
  <si>
    <t>16824 127th Ave</t>
  </si>
  <si>
    <t>16011 132nd Ave</t>
  </si>
  <si>
    <t>17204 Linden Blvd</t>
  </si>
  <si>
    <t>7441 45th Ave</t>
  </si>
  <si>
    <t>10858 154th St</t>
  </si>
  <si>
    <t>10404 Jamaica Ave</t>
  </si>
  <si>
    <t>12619 Inwood St</t>
  </si>
  <si>
    <t>14643 105th Ave</t>
  </si>
  <si>
    <t>4323 Ithaca St</t>
  </si>
  <si>
    <t>4148 40th St</t>
  </si>
  <si>
    <t>612 125th St</t>
  </si>
  <si>
    <t>204 Astoria Blvd</t>
  </si>
  <si>
    <t>410 Beach Ave</t>
  </si>
  <si>
    <t>16329 130th Ave</t>
  </si>
  <si>
    <t>8105 Rockaway Beach Blvd</t>
  </si>
  <si>
    <t>3950 60th St</t>
  </si>
  <si>
    <t>11469 208th St</t>
  </si>
  <si>
    <t>6759 152nd St</t>
  </si>
  <si>
    <t>3221 34th St</t>
  </si>
  <si>
    <t>8415 109th Ave</t>
  </si>
  <si>
    <t>8616 60th Ave</t>
  </si>
  <si>
    <t>10832 159th St</t>
  </si>
  <si>
    <t>17436 126th Ave</t>
  </si>
  <si>
    <t>16311 Foch Blvd</t>
  </si>
  <si>
    <t>10538 170th St</t>
  </si>
  <si>
    <t>5610 94th St</t>
  </si>
  <si>
    <t>15910 109th Ave</t>
  </si>
  <si>
    <t>15901 110th Ave</t>
  </si>
  <si>
    <t>4216 82nd St</t>
  </si>
  <si>
    <t>7939 Calamus Ave</t>
  </si>
  <si>
    <t>4033 74th St</t>
  </si>
  <si>
    <t>14647 107th Ave</t>
  </si>
  <si>
    <t>11406 Bedell St</t>
  </si>
  <si>
    <t>4094 Denman St</t>
  </si>
  <si>
    <t>9720 57th Ave</t>
  </si>
  <si>
    <t>170-25 171st Pl</t>
  </si>
  <si>
    <t>10910 160th St</t>
  </si>
  <si>
    <t>17711 105th Ave</t>
  </si>
  <si>
    <t>10718 156TH ST</t>
  </si>
  <si>
    <t>14027 183rd St</t>
  </si>
  <si>
    <t>16225 112th Rd</t>
  </si>
  <si>
    <t>1665 Palmetto St</t>
  </si>
  <si>
    <t>10610 Atlantic Ave</t>
  </si>
  <si>
    <t>20218 43rd Ave</t>
  </si>
  <si>
    <t>7127 65th St</t>
  </si>
  <si>
    <t>1737 Willoughby Ave</t>
  </si>
  <si>
    <t>14964 256th St</t>
  </si>
  <si>
    <t>3725 98th St</t>
  </si>
  <si>
    <t>10624 159th St</t>
  </si>
  <si>
    <t>10748 159th St</t>
  </si>
  <si>
    <t>5933 59th Dr</t>
  </si>
  <si>
    <t>10841 159th St</t>
  </si>
  <si>
    <t>10854 159th St</t>
  </si>
  <si>
    <t>10838 159th St</t>
  </si>
  <si>
    <t>9254 172nd St</t>
  </si>
  <si>
    <t>5928 Xenia St</t>
  </si>
  <si>
    <t>10615 159th St</t>
  </si>
  <si>
    <t>5906a 38th Ave</t>
  </si>
  <si>
    <t>18825 Keeseville Ave</t>
  </si>
  <si>
    <t>3415 12th St</t>
  </si>
  <si>
    <t>9728 Linden Blvd</t>
  </si>
  <si>
    <t>562 Seneca Ave</t>
  </si>
  <si>
    <t>7121 65th St</t>
  </si>
  <si>
    <t>13923 229th St</t>
  </si>
  <si>
    <t>15024 116th Dr</t>
  </si>
  <si>
    <t>14205 180th St</t>
  </si>
  <si>
    <t>150-29 Forch Blvd</t>
  </si>
  <si>
    <t>11514 Rockaway Blvd</t>
  </si>
  <si>
    <t>1715 Gates Ave</t>
  </si>
  <si>
    <t>10511 Inwood St</t>
  </si>
  <si>
    <t>8720 109th St</t>
  </si>
  <si>
    <t>4116 51st St</t>
  </si>
  <si>
    <t>5611 94th St</t>
  </si>
  <si>
    <t>1913 23rd Dr</t>
  </si>
  <si>
    <t>8333 118th St</t>
  </si>
  <si>
    <t>8545 115th St</t>
  </si>
  <si>
    <t>5302 Browvale Ln</t>
  </si>
  <si>
    <t>14711 71st Rd</t>
  </si>
  <si>
    <t>17117 107th Ave</t>
  </si>
  <si>
    <t>12911 Jamaica Ave</t>
  </si>
  <si>
    <t>10707 157th St</t>
  </si>
  <si>
    <t>6129 56th St</t>
  </si>
  <si>
    <t>9523 92nd St</t>
  </si>
  <si>
    <t>11943 178th St</t>
  </si>
  <si>
    <t>14235 231st St</t>
  </si>
  <si>
    <t>6091 70th Ave</t>
  </si>
  <si>
    <t>12312 197th St</t>
  </si>
  <si>
    <t>2112 23rd St</t>
  </si>
  <si>
    <t>11422 158th St</t>
  </si>
  <si>
    <t>7711 Park Dr E</t>
  </si>
  <si>
    <t>15046 72nd Dr</t>
  </si>
  <si>
    <t>6514 Parsons Blvd</t>
  </si>
  <si>
    <t>17004 118th Ave</t>
  </si>
  <si>
    <t>133-08 41st Ave</t>
  </si>
  <si>
    <t>9012 187th St</t>
  </si>
  <si>
    <t>14050 Ash Ave</t>
  </si>
  <si>
    <t>8670 Francis Lewis Blvd</t>
  </si>
  <si>
    <t>13257 Sanford Ave</t>
  </si>
  <si>
    <t>11369 Springfield Blvd</t>
  </si>
  <si>
    <t>13534 116th St</t>
  </si>
  <si>
    <t>11803 Farmers Blvd</t>
  </si>
  <si>
    <t>32-2 28th Avenue</t>
  </si>
  <si>
    <t>17020 130th Ave</t>
  </si>
  <si>
    <t>99-19 66th rd</t>
  </si>
  <si>
    <t>4726 44th St</t>
  </si>
  <si>
    <t>5835 Granger St</t>
  </si>
  <si>
    <t>5337 97th St</t>
  </si>
  <si>
    <t>3219 81st St</t>
  </si>
  <si>
    <t>10910 Park Ln S</t>
  </si>
  <si>
    <t>14701 Hillside Ave</t>
  </si>
  <si>
    <t>9163 85th St</t>
  </si>
  <si>
    <t>8910 Whitney Ave</t>
  </si>
  <si>
    <t>12560 Sutphin Blvd</t>
  </si>
  <si>
    <t>13425 166th Pl</t>
  </si>
  <si>
    <t>6935 166th St</t>
  </si>
  <si>
    <t>13215 155th St</t>
  </si>
  <si>
    <t>15009 88th Ave</t>
  </si>
  <si>
    <t>10330 126th St</t>
  </si>
  <si>
    <t>15707 Rockaway Blvd</t>
  </si>
  <si>
    <t>105-24 171rst Place</t>
  </si>
  <si>
    <t>6832 64th Pl</t>
  </si>
  <si>
    <t>5311 90th St</t>
  </si>
  <si>
    <t>17916 146th Dr</t>
  </si>
  <si>
    <t>4102 12th St</t>
  </si>
  <si>
    <t>9425 57th Ave</t>
  </si>
  <si>
    <t>458 Woodward Ave</t>
  </si>
  <si>
    <t>94025 57th Avenue</t>
  </si>
  <si>
    <t>4405 Macnish St</t>
  </si>
  <si>
    <t>7036 65th Pl</t>
  </si>
  <si>
    <t>6418 32nd Ave</t>
  </si>
  <si>
    <t>4122 45th St</t>
  </si>
  <si>
    <t>5906 Catalpa Ave</t>
  </si>
  <si>
    <t>7315 72nd St</t>
  </si>
  <si>
    <t>5045 48th St</t>
  </si>
  <si>
    <t>206 Astoria Blvd</t>
  </si>
  <si>
    <t>801 Woodward Ave</t>
  </si>
  <si>
    <t>5231 39th Rd</t>
  </si>
  <si>
    <t>12052 168th St</t>
  </si>
  <si>
    <t>11015 Rockaway Blvd</t>
  </si>
  <si>
    <t>8412 Rockaway Beach Blvd</t>
  </si>
  <si>
    <t>9212 175th St</t>
  </si>
  <si>
    <t>16820 127th Ave</t>
  </si>
  <si>
    <t>5512 111th St</t>
  </si>
  <si>
    <t>10703 159th St</t>
  </si>
  <si>
    <t>11155 77th Ave</t>
  </si>
  <si>
    <t>3421 21st St</t>
  </si>
  <si>
    <t>182 Van Pelt Ave</t>
  </si>
  <si>
    <t>85 Holland Ave</t>
  </si>
  <si>
    <t>124 Brabant st</t>
  </si>
  <si>
    <t>1955 Richmond Ter</t>
  </si>
  <si>
    <t>35 Holland Ave</t>
  </si>
  <si>
    <t>20 Davidson Ct</t>
  </si>
  <si>
    <t>806 Henderson Ave</t>
  </si>
  <si>
    <t>658 Delafield Ave</t>
  </si>
  <si>
    <t>125 Freedom Ave</t>
  </si>
  <si>
    <t>17 Ashton Dr</t>
  </si>
  <si>
    <t>260 Broadway</t>
  </si>
  <si>
    <t>298 Lockman Ave</t>
  </si>
  <si>
    <t>2419 Richmond Rd</t>
  </si>
  <si>
    <t>166 Oakdale St</t>
  </si>
  <si>
    <t>206 Lake Ave</t>
  </si>
  <si>
    <t>20 Laguardia Ave</t>
  </si>
  <si>
    <t>65 Holland Ave</t>
  </si>
  <si>
    <t>165 Vassar St</t>
  </si>
  <si>
    <t>176 Schmidts Ln</t>
  </si>
  <si>
    <t>155 Friendship Ln</t>
  </si>
  <si>
    <t>212 Broad St</t>
  </si>
  <si>
    <t>170 Holland Ave</t>
  </si>
  <si>
    <t>335 South Ave</t>
  </si>
  <si>
    <t>14 Skinner Ln</t>
  </si>
  <si>
    <t>30 Ebbitts St</t>
  </si>
  <si>
    <t>1726 Richmond Rd</t>
  </si>
  <si>
    <t>456 Richmond Ter</t>
  </si>
  <si>
    <t>150 Brabant St</t>
  </si>
  <si>
    <t>209a Van Name Ave</t>
  </si>
  <si>
    <t>84 Hecker St</t>
  </si>
  <si>
    <t>35 Androvette St</t>
  </si>
  <si>
    <t>63 Dongan Ave</t>
  </si>
  <si>
    <t>4 Laguardia Ave</t>
  </si>
  <si>
    <t>58 Millstone Ct</t>
  </si>
  <si>
    <t>91 Holland Ave</t>
  </si>
  <si>
    <t>810 Henderson Ave</t>
  </si>
  <si>
    <t>256 Egbert Ave</t>
  </si>
  <si>
    <t>39 Jaffe St</t>
  </si>
  <si>
    <t>171 Trantor Pl</t>
  </si>
  <si>
    <t>174 Sandalwood Dr</t>
  </si>
  <si>
    <t>24 Hett Ave</t>
  </si>
  <si>
    <t>17 Slaight St</t>
  </si>
  <si>
    <t>156 N Burgher Ave</t>
  </si>
  <si>
    <t>55 Holland Ave</t>
  </si>
  <si>
    <t>1331 Bay St</t>
  </si>
  <si>
    <t>51 Hill St</t>
  </si>
  <si>
    <t>1077 Castleton Ave</t>
  </si>
  <si>
    <t>6 Kingsbridge Ave</t>
  </si>
  <si>
    <t>89a Andros Ave</t>
  </si>
  <si>
    <t>88 Renee Pl</t>
  </si>
  <si>
    <t>114 Justin Ave</t>
  </si>
  <si>
    <t>274 Norway Ave</t>
  </si>
  <si>
    <t>177 Continental Pl</t>
  </si>
  <si>
    <t>1869 Richmond Ave</t>
  </si>
  <si>
    <t>32 Holiday Way</t>
  </si>
  <si>
    <t>16 Julie Ct</t>
  </si>
  <si>
    <t>185 Saint Marks Pl</t>
  </si>
  <si>
    <t>#3F</t>
  </si>
  <si>
    <t>1st floor</t>
  </si>
  <si>
    <t>1st Floor</t>
  </si>
  <si>
    <t>2F</t>
  </si>
  <si>
    <t>2D</t>
  </si>
  <si>
    <t>5B</t>
  </si>
  <si>
    <t>Apt. 1F</t>
  </si>
  <si>
    <t>C6</t>
  </si>
  <si>
    <t>A5</t>
  </si>
  <si>
    <t>Apt. 2F</t>
  </si>
  <si>
    <t>Basement</t>
  </si>
  <si>
    <t>#1-S</t>
  </si>
  <si>
    <t>#C5</t>
  </si>
  <si>
    <t>2E</t>
  </si>
  <si>
    <t>1D</t>
  </si>
  <si>
    <t>3rd floor Room #3</t>
  </si>
  <si>
    <t>1R</t>
  </si>
  <si>
    <t>2nd Floor</t>
  </si>
  <si>
    <t>5K</t>
  </si>
  <si>
    <t>Attic</t>
  </si>
  <si>
    <t>2A</t>
  </si>
  <si>
    <t>RE6</t>
  </si>
  <si>
    <t>13 E</t>
  </si>
  <si>
    <t>3rd Fl.</t>
  </si>
  <si>
    <t>8E</t>
  </si>
  <si>
    <t>Marcus Garvey Blvd.</t>
  </si>
  <si>
    <t>6A</t>
  </si>
  <si>
    <t>2C</t>
  </si>
  <si>
    <t>#E6</t>
  </si>
  <si>
    <t>3A</t>
  </si>
  <si>
    <t>2 fl</t>
  </si>
  <si>
    <t>#2F</t>
  </si>
  <si>
    <t>2B</t>
  </si>
  <si>
    <t>6M</t>
  </si>
  <si>
    <t>#1st floor</t>
  </si>
  <si>
    <t>1C</t>
  </si>
  <si>
    <t>4J</t>
  </si>
  <si>
    <t>D12</t>
  </si>
  <si>
    <t>Top Floor</t>
  </si>
  <si>
    <t>First Floor</t>
  </si>
  <si>
    <t>#1E</t>
  </si>
  <si>
    <t>2 Floor</t>
  </si>
  <si>
    <t>1F</t>
  </si>
  <si>
    <t>F10</t>
  </si>
  <si>
    <t>1B</t>
  </si>
  <si>
    <t>#2A</t>
  </si>
  <si>
    <t>3rd Floor</t>
  </si>
  <si>
    <t>2nd floor, left rear room</t>
  </si>
  <si>
    <t>3B</t>
  </si>
  <si>
    <t>B7</t>
  </si>
  <si>
    <t>4A</t>
  </si>
  <si>
    <t>2nd floor</t>
  </si>
  <si>
    <t>Private House</t>
  </si>
  <si>
    <t>4C</t>
  </si>
  <si>
    <t>2R</t>
  </si>
  <si>
    <t>4B</t>
  </si>
  <si>
    <t>1A</t>
  </si>
  <si>
    <t>14C</t>
  </si>
  <si>
    <t>2H</t>
  </si>
  <si>
    <t>5D</t>
  </si>
  <si>
    <t>1 Rm 5</t>
  </si>
  <si>
    <t>2V</t>
  </si>
  <si>
    <t>17C</t>
  </si>
  <si>
    <t>3D</t>
  </si>
  <si>
    <t>4D</t>
  </si>
  <si>
    <t>A1</t>
  </si>
  <si>
    <t>B</t>
  </si>
  <si>
    <t>#1C</t>
  </si>
  <si>
    <t>A2</t>
  </si>
  <si>
    <t>3rd floor</t>
  </si>
  <si>
    <t>1-C</t>
  </si>
  <si>
    <t>PH1G</t>
  </si>
  <si>
    <t>3R</t>
  </si>
  <si>
    <t>6G</t>
  </si>
  <si>
    <t>2N</t>
  </si>
  <si>
    <t>4I</t>
  </si>
  <si>
    <t>A6</t>
  </si>
  <si>
    <t>3K</t>
  </si>
  <si>
    <t>1L</t>
  </si>
  <si>
    <t>2X</t>
  </si>
  <si>
    <t>18F</t>
  </si>
  <si>
    <t>2nd Fl</t>
  </si>
  <si>
    <t>C17</t>
  </si>
  <si>
    <t>D4</t>
  </si>
  <si>
    <t>W4</t>
  </si>
  <si>
    <t>5C</t>
  </si>
  <si>
    <t>#1</t>
  </si>
  <si>
    <t>#13F</t>
  </si>
  <si>
    <t>3T</t>
  </si>
  <si>
    <t>#2B</t>
  </si>
  <si>
    <t>#9B</t>
  </si>
  <si>
    <t>5p</t>
  </si>
  <si>
    <t>5V</t>
  </si>
  <si>
    <t>7C</t>
  </si>
  <si>
    <t>Apt 3R</t>
  </si>
  <si>
    <t>4F</t>
  </si>
  <si>
    <t>#4B</t>
  </si>
  <si>
    <t>#1K</t>
  </si>
  <si>
    <t>#6J</t>
  </si>
  <si>
    <t>14A</t>
  </si>
  <si>
    <t>E7</t>
  </si>
  <si>
    <t>3L</t>
  </si>
  <si>
    <t>B4</t>
  </si>
  <si>
    <t>4O</t>
  </si>
  <si>
    <t>5W</t>
  </si>
  <si>
    <t>D9</t>
  </si>
  <si>
    <t>#4G</t>
  </si>
  <si>
    <t>2G</t>
  </si>
  <si>
    <t>10G</t>
  </si>
  <si>
    <t>6F</t>
  </si>
  <si>
    <t>5M</t>
  </si>
  <si>
    <t>15F</t>
  </si>
  <si>
    <t>a21</t>
  </si>
  <si>
    <t>3b</t>
  </si>
  <si>
    <t>p4</t>
  </si>
  <si>
    <t>3G</t>
  </si>
  <si>
    <t>Bsmt</t>
  </si>
  <si>
    <t>CGA</t>
  </si>
  <si>
    <t>4e</t>
  </si>
  <si>
    <t>3C</t>
  </si>
  <si>
    <t>6i</t>
  </si>
  <si>
    <t>B11</t>
  </si>
  <si>
    <t>7F</t>
  </si>
  <si>
    <t>4E</t>
  </si>
  <si>
    <t>6P</t>
  </si>
  <si>
    <t>Ground loor</t>
  </si>
  <si>
    <t>1G</t>
  </si>
  <si>
    <t>5G</t>
  </si>
  <si>
    <t>C5A</t>
  </si>
  <si>
    <t>3M</t>
  </si>
  <si>
    <t>1M</t>
  </si>
  <si>
    <t>1W</t>
  </si>
  <si>
    <t>5I</t>
  </si>
  <si>
    <t>15L</t>
  </si>
  <si>
    <t>BSMT</t>
  </si>
  <si>
    <t>6a</t>
  </si>
  <si>
    <t>basement</t>
  </si>
  <si>
    <t>5A</t>
  </si>
  <si>
    <t>5H</t>
  </si>
  <si>
    <t>8H</t>
  </si>
  <si>
    <t>3F</t>
  </si>
  <si>
    <t>Apt 2L</t>
  </si>
  <si>
    <t>6E</t>
  </si>
  <si>
    <t>21W</t>
  </si>
  <si>
    <t>2S</t>
  </si>
  <si>
    <t>C</t>
  </si>
  <si>
    <t>3E</t>
  </si>
  <si>
    <t>7B</t>
  </si>
  <si>
    <t>6C</t>
  </si>
  <si>
    <t>9E</t>
  </si>
  <si>
    <t>1ST</t>
  </si>
  <si>
    <t>2M</t>
  </si>
  <si>
    <t>5E</t>
  </si>
  <si>
    <t>5F</t>
  </si>
  <si>
    <t>RM 1</t>
  </si>
  <si>
    <t>16B</t>
  </si>
  <si>
    <t>5R</t>
  </si>
  <si>
    <t>G</t>
  </si>
  <si>
    <t>1RF</t>
  </si>
  <si>
    <t>2nd FL</t>
  </si>
  <si>
    <t>BM</t>
  </si>
  <si>
    <t>3H</t>
  </si>
  <si>
    <t>N-53</t>
  </si>
  <si>
    <t>17N</t>
  </si>
  <si>
    <t>4H</t>
  </si>
  <si>
    <t>15K</t>
  </si>
  <si>
    <t>2n</t>
  </si>
  <si>
    <t>A-A</t>
  </si>
  <si>
    <t>34C</t>
  </si>
  <si>
    <t>2-D</t>
  </si>
  <si>
    <t>2I</t>
  </si>
  <si>
    <t>47A</t>
  </si>
  <si>
    <t>D10</t>
  </si>
  <si>
    <t>2 D</t>
  </si>
  <si>
    <t>BB</t>
  </si>
  <si>
    <t>5N</t>
  </si>
  <si>
    <t>c8</t>
  </si>
  <si>
    <t>E22</t>
  </si>
  <si>
    <t>3f</t>
  </si>
  <si>
    <t>12A</t>
  </si>
  <si>
    <t>6D</t>
  </si>
  <si>
    <t>5a</t>
  </si>
  <si>
    <t>4f</t>
  </si>
  <si>
    <t>6B</t>
  </si>
  <si>
    <t>B42</t>
  </si>
  <si>
    <t>1N</t>
  </si>
  <si>
    <t>A55</t>
  </si>
  <si>
    <t>DD</t>
  </si>
  <si>
    <t>5O</t>
  </si>
  <si>
    <t>15H</t>
  </si>
  <si>
    <t>C4</t>
  </si>
  <si>
    <t>4l</t>
  </si>
  <si>
    <t>4a</t>
  </si>
  <si>
    <t>7L</t>
  </si>
  <si>
    <t>4G</t>
  </si>
  <si>
    <t>s-34</t>
  </si>
  <si>
    <t>34N</t>
  </si>
  <si>
    <t>5L</t>
  </si>
  <si>
    <t>6H</t>
  </si>
  <si>
    <t>C8</t>
  </si>
  <si>
    <t>13E</t>
  </si>
  <si>
    <t>10D</t>
  </si>
  <si>
    <t>9H</t>
  </si>
  <si>
    <t>Apt 1R</t>
  </si>
  <si>
    <t>Apt. D4</t>
  </si>
  <si>
    <t>Apt. 5A</t>
  </si>
  <si>
    <t>D3</t>
  </si>
  <si>
    <t>6K</t>
  </si>
  <si>
    <t>27D</t>
  </si>
  <si>
    <t>13H</t>
  </si>
  <si>
    <t>5BW</t>
  </si>
  <si>
    <t>4R</t>
  </si>
  <si>
    <t>2c</t>
  </si>
  <si>
    <t>1T</t>
  </si>
  <si>
    <t>14H</t>
  </si>
  <si>
    <t>2K</t>
  </si>
  <si>
    <t>7E</t>
  </si>
  <si>
    <t>15C</t>
  </si>
  <si>
    <t>14D</t>
  </si>
  <si>
    <t>2L</t>
  </si>
  <si>
    <t>14E</t>
  </si>
  <si>
    <t>Bmst</t>
  </si>
  <si>
    <t>6I</t>
  </si>
  <si>
    <t>ground fl</t>
  </si>
  <si>
    <t>N17I</t>
  </si>
  <si>
    <t>16H</t>
  </si>
  <si>
    <t>07B</t>
  </si>
  <si>
    <t>5S</t>
  </si>
  <si>
    <t>1FR</t>
  </si>
  <si>
    <t>8N</t>
  </si>
  <si>
    <t>7-G</t>
  </si>
  <si>
    <t>N9I</t>
  </si>
  <si>
    <t>6-G</t>
  </si>
  <si>
    <t>25D</t>
  </si>
  <si>
    <t>7K</t>
  </si>
  <si>
    <t>9D</t>
  </si>
  <si>
    <t>3I</t>
  </si>
  <si>
    <t>16A</t>
  </si>
  <si>
    <t>7G</t>
  </si>
  <si>
    <t>05C</t>
  </si>
  <si>
    <t>5J</t>
  </si>
  <si>
    <t>2J</t>
  </si>
  <si>
    <t>12G1</t>
  </si>
  <si>
    <t>7J</t>
  </si>
  <si>
    <t>6W</t>
  </si>
  <si>
    <t>9F</t>
  </si>
  <si>
    <t>4K</t>
  </si>
  <si>
    <t>C9L</t>
  </si>
  <si>
    <t>10S</t>
  </si>
  <si>
    <t>B3</t>
  </si>
  <si>
    <t>9B</t>
  </si>
  <si>
    <t>Patio Apt</t>
  </si>
  <si>
    <t>B32</t>
  </si>
  <si>
    <t>23O</t>
  </si>
  <si>
    <t>Apt 2B</t>
  </si>
  <si>
    <t>4k</t>
  </si>
  <si>
    <t>21K</t>
  </si>
  <si>
    <t>8B</t>
  </si>
  <si>
    <t>12K</t>
  </si>
  <si>
    <t>10C</t>
  </si>
  <si>
    <t>13A</t>
  </si>
  <si>
    <t>71E</t>
  </si>
  <si>
    <t>1st fl</t>
  </si>
  <si>
    <t>2nd fl</t>
  </si>
  <si>
    <t>APpt. 5G</t>
  </si>
  <si>
    <t>17E</t>
  </si>
  <si>
    <t>4N</t>
  </si>
  <si>
    <t>5-D</t>
  </si>
  <si>
    <t>1st</t>
  </si>
  <si>
    <t>L1</t>
  </si>
  <si>
    <t>B9</t>
  </si>
  <si>
    <t>10B</t>
  </si>
  <si>
    <t>B45</t>
  </si>
  <si>
    <t>192B</t>
  </si>
  <si>
    <t>1st Floor- Apt 1</t>
  </si>
  <si>
    <t>8A</t>
  </si>
  <si>
    <t>bsmnt</t>
  </si>
  <si>
    <t>Bsmnt</t>
  </si>
  <si>
    <t>#2</t>
  </si>
  <si>
    <t>1st FL</t>
  </si>
  <si>
    <t>02B</t>
  </si>
  <si>
    <t>GF</t>
  </si>
  <si>
    <t>10A</t>
  </si>
  <si>
    <t>A4</t>
  </si>
  <si>
    <t>311A</t>
  </si>
  <si>
    <t>3X</t>
  </si>
  <si>
    <t>rm 2</t>
  </si>
  <si>
    <t>6ST</t>
  </si>
  <si>
    <t>B61</t>
  </si>
  <si>
    <t>11D</t>
  </si>
  <si>
    <t>7N</t>
  </si>
  <si>
    <t>B5</t>
  </si>
  <si>
    <t>C309</t>
  </si>
  <si>
    <t>1st. Floor</t>
  </si>
  <si>
    <t>7M</t>
  </si>
  <si>
    <t>5c</t>
  </si>
  <si>
    <t>7R</t>
  </si>
  <si>
    <t>5X</t>
  </si>
  <si>
    <t>3rd fl</t>
  </si>
  <si>
    <t>01D</t>
  </si>
  <si>
    <t>12-A</t>
  </si>
  <si>
    <t>13D</t>
  </si>
  <si>
    <t>A</t>
  </si>
  <si>
    <t>Bottom Floor</t>
  </si>
  <si>
    <t>6J</t>
  </si>
  <si>
    <t>9C</t>
  </si>
  <si>
    <t>8D</t>
  </si>
  <si>
    <t>PH</t>
  </si>
  <si>
    <t>13B</t>
  </si>
  <si>
    <t>2b</t>
  </si>
  <si>
    <t>5T</t>
  </si>
  <si>
    <t>Apt 1</t>
  </si>
  <si>
    <t>TH</t>
  </si>
  <si>
    <t>7A</t>
  </si>
  <si>
    <t>LO</t>
  </si>
  <si>
    <t>Basement Apartment</t>
  </si>
  <si>
    <t>7b</t>
  </si>
  <si>
    <t>Brooklyn</t>
  </si>
  <si>
    <t>Bronx</t>
  </si>
  <si>
    <t>New York</t>
  </si>
  <si>
    <t>Corona</t>
  </si>
  <si>
    <t>Ozone Park</t>
  </si>
  <si>
    <t>Woodside</t>
  </si>
  <si>
    <t>Springfield Gardens</t>
  </si>
  <si>
    <t>Maspeth</t>
  </si>
  <si>
    <t>Astoria</t>
  </si>
  <si>
    <t>College Point</t>
  </si>
  <si>
    <t>Bellerose</t>
  </si>
  <si>
    <t>South Ozone Park</t>
  </si>
  <si>
    <t>Jamaica</t>
  </si>
  <si>
    <t>Jackson Heights</t>
  </si>
  <si>
    <t>Elmhurst</t>
  </si>
  <si>
    <t>Flushing</t>
  </si>
  <si>
    <t>Glendale</t>
  </si>
  <si>
    <t>Rockaway Beach</t>
  </si>
  <si>
    <t>Queens Village</t>
  </si>
  <si>
    <t>Richmond Hill</t>
  </si>
  <si>
    <t>Sunnyside</t>
  </si>
  <si>
    <t>Cambria Hts</t>
  </si>
  <si>
    <t>Ridgewood</t>
  </si>
  <si>
    <t>Bayside</t>
  </si>
  <si>
    <t>Rosedale</t>
  </si>
  <si>
    <t>Saint Albans</t>
  </si>
  <si>
    <t>Laurelton</t>
  </si>
  <si>
    <t>Kew Gardens</t>
  </si>
  <si>
    <t>Little Neck</t>
  </si>
  <si>
    <t>Fresh Meadows</t>
  </si>
  <si>
    <t>Hollis</t>
  </si>
  <si>
    <t>Rego Park</t>
  </si>
  <si>
    <t>East Elmhurst</t>
  </si>
  <si>
    <t>Woodhaven</t>
  </si>
  <si>
    <t>South Richmond Hill</t>
  </si>
  <si>
    <t>Long Island City</t>
  </si>
  <si>
    <t>Forest Hills</t>
  </si>
  <si>
    <t>Staten Island</t>
  </si>
  <si>
    <t>NY</t>
  </si>
  <si>
    <t>HRA</t>
  </si>
  <si>
    <t>HRA ELS Part F Brooklyn</t>
  </si>
  <si>
    <t>Community Organization</t>
  </si>
  <si>
    <t>Court Referral-NON HRA</t>
  </si>
  <si>
    <t>Returning Client</t>
  </si>
  <si>
    <t>Self-referred</t>
  </si>
  <si>
    <t>Friends/Family</t>
  </si>
  <si>
    <t>Other</t>
  </si>
  <si>
    <t>Word of mouth</t>
  </si>
  <si>
    <t>In-House</t>
  </si>
  <si>
    <t>Home base</t>
  </si>
  <si>
    <t>Elected Official</t>
  </si>
  <si>
    <t>Other City Agency</t>
  </si>
  <si>
    <t>3-1-1</t>
  </si>
  <si>
    <t>Outreach</t>
  </si>
  <si>
    <t>LT-068551-19/KI</t>
  </si>
  <si>
    <t>LT-053787-19</t>
  </si>
  <si>
    <t>LT-073002-19/KI</t>
  </si>
  <si>
    <t>LT-062394-19/KI</t>
  </si>
  <si>
    <t>LT-074780-19/KI</t>
  </si>
  <si>
    <t>LT-068266-19/KI</t>
  </si>
  <si>
    <t>LT-001778-19/KI</t>
  </si>
  <si>
    <t>LT-068666-19/KI</t>
  </si>
  <si>
    <t>LT-092551-18/KI</t>
  </si>
  <si>
    <t>LT-074230-19/KI</t>
  </si>
  <si>
    <t>LT-063887-19/KI</t>
  </si>
  <si>
    <t>LT-072104-19/KI</t>
  </si>
  <si>
    <t>LT-074697-19/KI</t>
  </si>
  <si>
    <t>L&amp;T-094615-18/KI</t>
  </si>
  <si>
    <t>LT-069298-19/KI</t>
  </si>
  <si>
    <t>LT-073418-19/KI</t>
  </si>
  <si>
    <t>LT-069807-19/KI</t>
  </si>
  <si>
    <t>LT-076748-19/KI</t>
  </si>
  <si>
    <t>070743-19</t>
  </si>
  <si>
    <t>LT-061076-19/KI</t>
  </si>
  <si>
    <t>LT-018067-19/KI</t>
  </si>
  <si>
    <t>LT-003977-18/KI</t>
  </si>
  <si>
    <t>L&amp;T-057365-19/KI</t>
  </si>
  <si>
    <t>LT-073886-19/KI</t>
  </si>
  <si>
    <t>LT-073137-19/KI</t>
  </si>
  <si>
    <t>LT-075096-19/KI</t>
  </si>
  <si>
    <t>L&amp;T-061805-19/KI</t>
  </si>
  <si>
    <t>LT-074396-19/KI</t>
  </si>
  <si>
    <t>LT-075380-19/KI</t>
  </si>
  <si>
    <t>LT-075146-19/KI</t>
  </si>
  <si>
    <t>LT-073621-19/KI</t>
  </si>
  <si>
    <t>LT-096595-18/KI</t>
  </si>
  <si>
    <t>LT-074091-19/KI</t>
  </si>
  <si>
    <t>LT-071292-19/KI</t>
  </si>
  <si>
    <t>LT-075789-19/KI</t>
  </si>
  <si>
    <t>LT-073807-19/KI</t>
  </si>
  <si>
    <t>LT-072882-19/KI</t>
  </si>
  <si>
    <t>LT-075327-19/KI</t>
  </si>
  <si>
    <t>LT-018210-19/KI</t>
  </si>
  <si>
    <t>LT-013657-19/KI</t>
  </si>
  <si>
    <t>LT-014727-19</t>
  </si>
  <si>
    <t>LT-018223-19/KI</t>
  </si>
  <si>
    <t>LT-001988-19/KI</t>
  </si>
  <si>
    <t>LT-071696-19/KI</t>
  </si>
  <si>
    <t>LT-076313-19/KI</t>
  </si>
  <si>
    <t>LT-71000-19/KI</t>
  </si>
  <si>
    <t>LT-064044-19/KI</t>
  </si>
  <si>
    <t>LT-069474-19/KI</t>
  </si>
  <si>
    <t>LT-075549-19/KI</t>
  </si>
  <si>
    <t>LT-072659-19/KI</t>
  </si>
  <si>
    <t>06355727-19</t>
  </si>
  <si>
    <t>LT-075975-19/KI</t>
  </si>
  <si>
    <t>LT-060605-19/KI</t>
  </si>
  <si>
    <t>LT-072054-19/KI</t>
  </si>
  <si>
    <t>LT-071566-19</t>
  </si>
  <si>
    <t>LT-069904-19/KI</t>
  </si>
  <si>
    <t>LT-073557-19/KI</t>
  </si>
  <si>
    <t>LT-073671-19/KI</t>
  </si>
  <si>
    <t>LT-070248-19/KI</t>
  </si>
  <si>
    <t>LT-071291-19/KI</t>
  </si>
  <si>
    <t>LT-072299-19/KI</t>
  </si>
  <si>
    <t>LT-085018-18/KI</t>
  </si>
  <si>
    <t>LT-017851-18/KI</t>
  </si>
  <si>
    <t>LT-073738-19/KI</t>
  </si>
  <si>
    <t>LT-072488-19/KI</t>
  </si>
  <si>
    <t>LT-071993-19/KI</t>
  </si>
  <si>
    <t>LT-092975-18/KI</t>
  </si>
  <si>
    <t>LT-065971-19/KI</t>
  </si>
  <si>
    <t>LT-062237-19/KI</t>
  </si>
  <si>
    <t>LT-059339-19/KI</t>
  </si>
  <si>
    <t>LT-071723-19</t>
  </si>
  <si>
    <t>LT-052112-18</t>
  </si>
  <si>
    <t>LT-076068-19/KI</t>
  </si>
  <si>
    <t>LT-074257-19/KI</t>
  </si>
  <si>
    <t>LT-071969-19/KI</t>
  </si>
  <si>
    <t>LT-064826-19/KI</t>
  </si>
  <si>
    <t>LT-073634-19/KI</t>
  </si>
  <si>
    <t>L&amp;T-071608-19/KI</t>
  </si>
  <si>
    <t>LT-016016-19/KI</t>
  </si>
  <si>
    <t>LT-069809-19/KI</t>
  </si>
  <si>
    <t>57603-19</t>
  </si>
  <si>
    <t>LT-071564-19/KI</t>
  </si>
  <si>
    <t>LT-070165-19/KI</t>
  </si>
  <si>
    <t>LT-071749-19/KI</t>
  </si>
  <si>
    <t>LT-069761-19/KI</t>
  </si>
  <si>
    <t>LT-067228-19/KI</t>
  </si>
  <si>
    <t>LT-052346-19/KI</t>
  </si>
  <si>
    <t>LT-072867-19/KI</t>
  </si>
  <si>
    <t>LT-071918-19/KI</t>
  </si>
  <si>
    <t>LT-072138-19/KI</t>
  </si>
  <si>
    <t>LT-057738-18/KI</t>
  </si>
  <si>
    <t>LT-069127-19/KI</t>
  </si>
  <si>
    <t>LT-069568-19/KI</t>
  </si>
  <si>
    <t>LT-072071-19/KI</t>
  </si>
  <si>
    <t>LT-075104-19/KI</t>
  </si>
  <si>
    <t>LT-068118-19/KI</t>
  </si>
  <si>
    <t>LT-060956-18/KI</t>
  </si>
  <si>
    <t>LT-069741-19/KI</t>
  </si>
  <si>
    <t>LT-012935-19</t>
  </si>
  <si>
    <t>LT-073837-19/KI</t>
  </si>
  <si>
    <t>LT-073881-19/KI</t>
  </si>
  <si>
    <t>LT-076317-19/KI</t>
  </si>
  <si>
    <t>LT-087159-18/KI</t>
  </si>
  <si>
    <t>LT-073880-19/KI</t>
  </si>
  <si>
    <t>LT-071415-19/KI</t>
  </si>
  <si>
    <t>LT-002379-19/KI</t>
  </si>
  <si>
    <t>LT-075504-19/KI</t>
  </si>
  <si>
    <t>LT-072962-19/KI</t>
  </si>
  <si>
    <t>LT-073882-19/KI</t>
  </si>
  <si>
    <t>LT-055489-19/KI</t>
  </si>
  <si>
    <t>LT-072447-19/KI</t>
  </si>
  <si>
    <t>LT-074658-19/KI</t>
  </si>
  <si>
    <t>LT-066171-19/KI</t>
  </si>
  <si>
    <t>LT-072724-19/KI</t>
  </si>
  <si>
    <t>LT-017993-19</t>
  </si>
  <si>
    <t>LT-074611-19/KI</t>
  </si>
  <si>
    <t>LT-074222-19/KI</t>
  </si>
  <si>
    <t>LT-071586-19/KI</t>
  </si>
  <si>
    <t>LT-070300-19/KI</t>
  </si>
  <si>
    <t>LT-067015-19/KI</t>
  </si>
  <si>
    <t>LT-066377-19/KI</t>
  </si>
  <si>
    <t>LT-069908-19/KI</t>
  </si>
  <si>
    <t>LT-069591-19/KI</t>
  </si>
  <si>
    <t>LT-068809-19/KI</t>
  </si>
  <si>
    <t>LT-071565-19/KI</t>
  </si>
  <si>
    <t>LT-073607-19/KI</t>
  </si>
  <si>
    <t>LT-071806-19/KI</t>
  </si>
  <si>
    <t>LT-065924-19/KI</t>
  </si>
  <si>
    <t>LT-18158-19/KI</t>
  </si>
  <si>
    <t>LT-071865-19/KI</t>
  </si>
  <si>
    <t>LT-072680-19/KI</t>
  </si>
  <si>
    <t>LT-074788-19/KI</t>
  </si>
  <si>
    <t>LT-061599-19/KI</t>
  </si>
  <si>
    <t>LT-016119-19/KI</t>
  </si>
  <si>
    <t>LT-067794-19/KI</t>
  </si>
  <si>
    <t>LT-069949-19/KI</t>
  </si>
  <si>
    <t>LT-002209-19/KI</t>
  </si>
  <si>
    <t>LT-069721-19/KI</t>
  </si>
  <si>
    <t>LT-064083-19/KI</t>
  </si>
  <si>
    <t>LT-071261-19/KI</t>
  </si>
  <si>
    <t>LT-077304-19/KI</t>
  </si>
  <si>
    <t>LT-067966-19/KI</t>
  </si>
  <si>
    <t>LT-016738-19/KI</t>
  </si>
  <si>
    <t>LT-072565-19/KI</t>
  </si>
  <si>
    <t>LT-074023-19/KI</t>
  </si>
  <si>
    <t>LT-050764-19/KI</t>
  </si>
  <si>
    <t>LT-071011-19/KI</t>
  </si>
  <si>
    <t>LT-74111-2019/KI</t>
  </si>
  <si>
    <t>LT-077301-19/KI</t>
  </si>
  <si>
    <t>074750/19</t>
  </si>
  <si>
    <t>LT-066314-19/KI</t>
  </si>
  <si>
    <t>LT-056662-19/KI</t>
  </si>
  <si>
    <t>LT-066302-19/KI</t>
  </si>
  <si>
    <t>54901/19</t>
  </si>
  <si>
    <t>LT-059457-19/KI</t>
  </si>
  <si>
    <t>LT-59727-19/KI</t>
  </si>
  <si>
    <t>LT-068826-19/KI</t>
  </si>
  <si>
    <t>LT-069590-19/KI</t>
  </si>
  <si>
    <t>LT-072876-19/KI</t>
  </si>
  <si>
    <t>LT-065217-19/KI</t>
  </si>
  <si>
    <t>LT-068790-19/KI</t>
  </si>
  <si>
    <t>LT-075571-19/KI</t>
  </si>
  <si>
    <t>015423/29</t>
  </si>
  <si>
    <t>LT-075186-19/KI</t>
  </si>
  <si>
    <t>LT-071132-19/KI</t>
  </si>
  <si>
    <t>LT-075889-19/KI</t>
  </si>
  <si>
    <t>LT-070225-19/KI</t>
  </si>
  <si>
    <t>LT-075323-19/KI</t>
  </si>
  <si>
    <t>L&amp;T-17553-19</t>
  </si>
  <si>
    <t>LT-064569-19/KI</t>
  </si>
  <si>
    <t>LT-060046-19/KI</t>
  </si>
  <si>
    <t>LT-074977-19/KI</t>
  </si>
  <si>
    <t>LT-075753-19/KI</t>
  </si>
  <si>
    <t>LT-50155-19/KI</t>
  </si>
  <si>
    <t>LT-072698-19/KI</t>
  </si>
  <si>
    <t>LT-070347-19/KI</t>
  </si>
  <si>
    <t>LT-067791-19/KI</t>
  </si>
  <si>
    <t>LT-074211-18/K</t>
  </si>
  <si>
    <t>LT-052288-19/KI</t>
  </si>
  <si>
    <t>LT-075868-19/KI</t>
  </si>
  <si>
    <t>LT-051327-19/KI</t>
  </si>
  <si>
    <t>LT-073559-19/KI</t>
  </si>
  <si>
    <t>LT-074850-19/KI</t>
  </si>
  <si>
    <t>LT-073972-19/KI</t>
  </si>
  <si>
    <t>LT-067733-19/KI</t>
  </si>
  <si>
    <t>LT-034757-19/BX</t>
  </si>
  <si>
    <t>LT-031673-19/BX</t>
  </si>
  <si>
    <t>LT-036869-19/BX</t>
  </si>
  <si>
    <t>LT-031530-19/BX</t>
  </si>
  <si>
    <t>LT-024152-19/BX</t>
  </si>
  <si>
    <t>LT-035590-19/BX</t>
  </si>
  <si>
    <t>LT-034558-19/BX</t>
  </si>
  <si>
    <t>LT-031958-19/BX</t>
  </si>
  <si>
    <t>LT-032682-19/BX</t>
  </si>
  <si>
    <t>LT-034487-19/BX</t>
  </si>
  <si>
    <t>LT-027400-19/BX</t>
  </si>
  <si>
    <t>LT-031160-19/BX</t>
  </si>
  <si>
    <t>LT-037096-19/BX</t>
  </si>
  <si>
    <t>LT-033769-19/BX</t>
  </si>
  <si>
    <t>LT-054650-18/BX</t>
  </si>
  <si>
    <t>LT-028535-19/BX</t>
  </si>
  <si>
    <t>LT-027080-19/BX</t>
  </si>
  <si>
    <t>LT-806255-19/BX</t>
  </si>
  <si>
    <t>LT-036317-19/BX</t>
  </si>
  <si>
    <t>LT-032855-19/BX</t>
  </si>
  <si>
    <t>LT-038157-19/BX</t>
  </si>
  <si>
    <t>LT-003356-19/BX</t>
  </si>
  <si>
    <t>LT-032733-19/BX</t>
  </si>
  <si>
    <t>LT-034794-19/BX</t>
  </si>
  <si>
    <t>LT-029022-19/BX</t>
  </si>
  <si>
    <t>LT-030593-18/BX</t>
  </si>
  <si>
    <t>LT-032084-19/BX</t>
  </si>
  <si>
    <t>LT-035917-19/BX</t>
  </si>
  <si>
    <t>LT-008522-19/BX</t>
  </si>
  <si>
    <t>LT-009380-19/BX</t>
  </si>
  <si>
    <t>LT-025032-19/BX</t>
  </si>
  <si>
    <t>LT-014279-19/BX</t>
  </si>
  <si>
    <t>LT-022693-19/BX</t>
  </si>
  <si>
    <t>LT-034826-19/BX</t>
  </si>
  <si>
    <t>LT-057837-18/BX</t>
  </si>
  <si>
    <t>LT-028284-19/BX</t>
  </si>
  <si>
    <t>LT-014407-19/BX</t>
  </si>
  <si>
    <t>LT-033748-19/BX</t>
  </si>
  <si>
    <t>LT-028022-19/BX</t>
  </si>
  <si>
    <t>LT-028790-19/BX</t>
  </si>
  <si>
    <t>LT-014213-19/BX</t>
  </si>
  <si>
    <t>LT-033255-19/BX</t>
  </si>
  <si>
    <t>LT-014462-19/BX</t>
  </si>
  <si>
    <t>LT-029472-19/BX</t>
  </si>
  <si>
    <t>LT-031295-19/BX</t>
  </si>
  <si>
    <t>LT-027239-19/BX</t>
  </si>
  <si>
    <t>LT-032613-19/BX</t>
  </si>
  <si>
    <t>LT-032611-19/BX</t>
  </si>
  <si>
    <t>LT-034574-19/BX</t>
  </si>
  <si>
    <t>LT-012023-19/BX</t>
  </si>
  <si>
    <t>LT-047481-18/BX</t>
  </si>
  <si>
    <t>LT-028521-19/BX</t>
  </si>
  <si>
    <t>LT-036746-18/BX</t>
  </si>
  <si>
    <t>LT-028831-19/BX</t>
  </si>
  <si>
    <t>LT-035834-19/BX</t>
  </si>
  <si>
    <t>LT-015796-19/BX</t>
  </si>
  <si>
    <t>LT-017711-19/BX</t>
  </si>
  <si>
    <t>LT-026493-19/BX</t>
  </si>
  <si>
    <t>LT-031387-19/BX</t>
  </si>
  <si>
    <t>LT-031710-19/BX</t>
  </si>
  <si>
    <t>LT-034311-19/BX</t>
  </si>
  <si>
    <t>LT-036757-19/BX</t>
  </si>
  <si>
    <t>LT-034366-19/BX</t>
  </si>
  <si>
    <t>LT-036216-19/BX</t>
  </si>
  <si>
    <t>LT-037702-19/BX</t>
  </si>
  <si>
    <t>LT-039138-19/BX</t>
  </si>
  <si>
    <t>LT-036248-18/BX</t>
  </si>
  <si>
    <t>LT-028391-19/BX</t>
  </si>
  <si>
    <t>LT-035065-19/BX</t>
  </si>
  <si>
    <t>LT-033211-19/BX</t>
  </si>
  <si>
    <t>LT-033312-19/BX</t>
  </si>
  <si>
    <t>LT-033025-19/BX</t>
  </si>
  <si>
    <t>LT-032000-19/BX</t>
  </si>
  <si>
    <t>LT-005801-19/BX</t>
  </si>
  <si>
    <t>LT-030388-19/BX</t>
  </si>
  <si>
    <t>LT-026492-19/BX</t>
  </si>
  <si>
    <t>LT-005595-19/BX</t>
  </si>
  <si>
    <t>LT-062700-18/BX</t>
  </si>
  <si>
    <t>LT-029526-19/BX</t>
  </si>
  <si>
    <t>LT-009316-18/BX</t>
  </si>
  <si>
    <t>LT-026231-19/BX</t>
  </si>
  <si>
    <t>LT-038451-18/BX</t>
  </si>
  <si>
    <t>LT-035338-19/BX</t>
  </si>
  <si>
    <t>LT-031906-19/BX</t>
  </si>
  <si>
    <t>LT-032622-19/BX</t>
  </si>
  <si>
    <t>LT-049350-18/BX</t>
  </si>
  <si>
    <t>LT-035254-19/BX</t>
  </si>
  <si>
    <t>LT-023923-19/BX</t>
  </si>
  <si>
    <t>LT-803032-19/BX</t>
  </si>
  <si>
    <t>LT-037166-19/BX</t>
  </si>
  <si>
    <t>LT-025690-19/BX</t>
  </si>
  <si>
    <t>LT-028220-19/BX</t>
  </si>
  <si>
    <t>LT-034488-19/BX</t>
  </si>
  <si>
    <t>LT-029999-19/BX</t>
  </si>
  <si>
    <t>LT-021609-19/BX</t>
  </si>
  <si>
    <t>LT-019189-19/BX</t>
  </si>
  <si>
    <t>LT-027891-19/BX</t>
  </si>
  <si>
    <t>LT-033453-19/BX</t>
  </si>
  <si>
    <t>LT-036986-19/BX</t>
  </si>
  <si>
    <t>LT-032882-19/BX</t>
  </si>
  <si>
    <t>LT-806729-19/BX</t>
  </si>
  <si>
    <t>LT-018667-19/BX</t>
  </si>
  <si>
    <t>LT-037526-19/BX</t>
  </si>
  <si>
    <t>LT-033939-19/BX</t>
  </si>
  <si>
    <t>LT-031329-19/BX</t>
  </si>
  <si>
    <t>LT-023705/17-BX</t>
  </si>
  <si>
    <t>LT-034540-19/BX</t>
  </si>
  <si>
    <t>LT-023131-19/BX</t>
  </si>
  <si>
    <t>LT-031264-19/BX</t>
  </si>
  <si>
    <t>LT-032284-19/BX</t>
  </si>
  <si>
    <t>LT-037742-19/BX</t>
  </si>
  <si>
    <t>LT-031781-19/BX</t>
  </si>
  <si>
    <t>LT-031480-19/BX</t>
  </si>
  <si>
    <t>LT-813546-18/BX</t>
  </si>
  <si>
    <t>LT-037263-19/BX</t>
  </si>
  <si>
    <t>LT-031693-19/BX</t>
  </si>
  <si>
    <t>LT-025905-19/BX</t>
  </si>
  <si>
    <t>LT-029358-19/BX</t>
  </si>
  <si>
    <t>LT-029199-19/BX</t>
  </si>
  <si>
    <t>LT-30072-19/BX</t>
  </si>
  <si>
    <t>LT-035573-19/BX</t>
  </si>
  <si>
    <t>LT-032387-19/BX</t>
  </si>
  <si>
    <t>LT-035741-19/BX</t>
  </si>
  <si>
    <t>LT-029544-19/BX</t>
  </si>
  <si>
    <t>LT-026497-19/BX</t>
  </si>
  <si>
    <t>LT-036397-19/BX</t>
  </si>
  <si>
    <t>LT-022734-19/BX</t>
  </si>
  <si>
    <t>LT-813600-18/BX</t>
  </si>
  <si>
    <t>LT-027319-19/BX</t>
  </si>
  <si>
    <t>LT-032135-19/BX</t>
  </si>
  <si>
    <t>LT-010222-19/BX</t>
  </si>
  <si>
    <t>LT-023994-19/BX</t>
  </si>
  <si>
    <t>LT-804603-15/BX</t>
  </si>
  <si>
    <t>LT-031779-19/BX</t>
  </si>
  <si>
    <t>LT-021613-13/BX</t>
  </si>
  <si>
    <t>LT-024670-19/BX</t>
  </si>
  <si>
    <t>LT-033474-19/BX</t>
  </si>
  <si>
    <t>LT-030016-19/BX</t>
  </si>
  <si>
    <t>LT-034802-19/BX</t>
  </si>
  <si>
    <t>LT-033900-19/BX</t>
  </si>
  <si>
    <t>LT-032140-19/BX</t>
  </si>
  <si>
    <t>LT-022940-19/BX</t>
  </si>
  <si>
    <t>LT-022097-19/BX</t>
  </si>
  <si>
    <t>LT-331298-19/BX</t>
  </si>
  <si>
    <t>LT-026372-19/BX</t>
  </si>
  <si>
    <t>LT-009769-19/BX</t>
  </si>
  <si>
    <t>LT-035321-19/BX</t>
  </si>
  <si>
    <t>LT 35317-19/BX</t>
  </si>
  <si>
    <t>LT-030598-19/BX</t>
  </si>
  <si>
    <t>LT-028667-19/BX</t>
  </si>
  <si>
    <t>LT-024939-19/BX</t>
  </si>
  <si>
    <t>LT-033409-19/BX</t>
  </si>
  <si>
    <t>LT-034332-19/BX</t>
  </si>
  <si>
    <t>LT-030510-19/BX</t>
  </si>
  <si>
    <t>LT-034107-19/BX</t>
  </si>
  <si>
    <t>LT-805496-19/BX</t>
  </si>
  <si>
    <t>LT-806356-18/BX</t>
  </si>
  <si>
    <t>LT-033199-19/BX</t>
  </si>
  <si>
    <t>LT-028501-19/BX</t>
  </si>
  <si>
    <t>LT-001763-18/BX</t>
  </si>
  <si>
    <t>LT-026808-19/BX</t>
  </si>
  <si>
    <t>LT-025230-19/BX</t>
  </si>
  <si>
    <t>LT-031731-19/BX</t>
  </si>
  <si>
    <t>LT-029217-19/BX</t>
  </si>
  <si>
    <t>LT-021753-19/BX</t>
  </si>
  <si>
    <t>LT-685987-18/BX</t>
  </si>
  <si>
    <t>LT-028032-19/BX</t>
  </si>
  <si>
    <t>LT-014875-19/BX</t>
  </si>
  <si>
    <t>LT-033622-19/BX</t>
  </si>
  <si>
    <t>LT-037749-19/BX</t>
  </si>
  <si>
    <t>LT-018118-19/BX</t>
  </si>
  <si>
    <t>LT-011663-19/BX</t>
  </si>
  <si>
    <t>LT-073738-17/BX</t>
  </si>
  <si>
    <t>LT-030279-19/BX</t>
  </si>
  <si>
    <t>LT-028120-19/BX</t>
  </si>
  <si>
    <t>LT-012906-19/BX</t>
  </si>
  <si>
    <t>LT-025073-19/BX</t>
  </si>
  <si>
    <t>LT-031477-19/BX</t>
  </si>
  <si>
    <t>LT-027755-19/BX</t>
  </si>
  <si>
    <t>LT-032739-19/BX</t>
  </si>
  <si>
    <t>LT-025970-19/BX</t>
  </si>
  <si>
    <t>LT-059773-11/BX</t>
  </si>
  <si>
    <t>LT-031261-19/BX</t>
  </si>
  <si>
    <t>LT-032075-19/BX</t>
  </si>
  <si>
    <t>LT-050784-18/BX</t>
  </si>
  <si>
    <t>LT-035123-19/BX</t>
  </si>
  <si>
    <t>LT-032393-19/BX</t>
  </si>
  <si>
    <t>LT-029859-19/BX</t>
  </si>
  <si>
    <t>LT-033889-19/BX</t>
  </si>
  <si>
    <t>LT-037179-19/BX</t>
  </si>
  <si>
    <t>LT-033459-19/BX</t>
  </si>
  <si>
    <t>LT-036520-19/BX</t>
  </si>
  <si>
    <t>LT-005885-19/BX</t>
  </si>
  <si>
    <t>LT-018661-19/BX</t>
  </si>
  <si>
    <t>LT-035459-19/BX</t>
  </si>
  <si>
    <t>LT-031489-19/BX</t>
  </si>
  <si>
    <t>LT-066911-18/BX</t>
  </si>
  <si>
    <t>LT-029025-19/BX</t>
  </si>
  <si>
    <t>LT-030390-19/BX</t>
  </si>
  <si>
    <t>LT-027704-19/BX</t>
  </si>
  <si>
    <t>LT-037310-19/BX</t>
  </si>
  <si>
    <t>LT-040640-18/BX</t>
  </si>
  <si>
    <t>LT-031084-19/BX</t>
  </si>
  <si>
    <t>LT-036356-19/BX</t>
  </si>
  <si>
    <t>LT-035686-19/BX</t>
  </si>
  <si>
    <t>LT-057737-18/BX</t>
  </si>
  <si>
    <t>LT-034852-19/BX</t>
  </si>
  <si>
    <t>LT-005853-19/BX</t>
  </si>
  <si>
    <t>LT-059537-18/BX</t>
  </si>
  <si>
    <t>LT- 038893-19/BX</t>
  </si>
  <si>
    <t>LT-019216-19/BX</t>
  </si>
  <si>
    <t>LT-030529-19/BX</t>
  </si>
  <si>
    <t>LT-029477-19/BX</t>
  </si>
  <si>
    <t>LT-030469-19/BX</t>
  </si>
  <si>
    <t>LT-028869-19/BX</t>
  </si>
  <si>
    <t>LT-67825-18/Bx</t>
  </si>
  <si>
    <t>LT-026818-19/BX</t>
  </si>
  <si>
    <t>LT-033898-19/BX</t>
  </si>
  <si>
    <t>LT-034161-19/BX</t>
  </si>
  <si>
    <t>LT-036207-19/BX</t>
  </si>
  <si>
    <t>LT-035012-19/BX</t>
  </si>
  <si>
    <t>LT-034966-19/BX</t>
  </si>
  <si>
    <t>LT-023871-19/BX</t>
  </si>
  <si>
    <t>LT-030297-19/BX</t>
  </si>
  <si>
    <t>LT-034941-19/BX</t>
  </si>
  <si>
    <t>LT-033164-19/BX</t>
  </si>
  <si>
    <t>LT-064320-18/BX</t>
  </si>
  <si>
    <t>LT-033952-19/BX</t>
  </si>
  <si>
    <t>LT-031894-19/BX</t>
  </si>
  <si>
    <t>LT-802471- 16/BX</t>
  </si>
  <si>
    <t>LT 023994-19/BX</t>
  </si>
  <si>
    <t>LT-026431-19/BX</t>
  </si>
  <si>
    <t>LT-031080-19/BX</t>
  </si>
  <si>
    <t>LT-037159-19/BX</t>
  </si>
  <si>
    <t>LT-031017-19/BX</t>
  </si>
  <si>
    <t>LT-035006-19/BX</t>
  </si>
  <si>
    <t>LT-000797-19/BX</t>
  </si>
  <si>
    <t>LT-035835-19/BX</t>
  </si>
  <si>
    <t>LT-016498-19/BX</t>
  </si>
  <si>
    <t>LT-026462-19/BX</t>
  </si>
  <si>
    <t>LT-035911-19/BX</t>
  </si>
  <si>
    <t>LT-031033-19/BX</t>
  </si>
  <si>
    <t>LT-035452-19/BX</t>
  </si>
  <si>
    <t>LT-059244-18/BX</t>
  </si>
  <si>
    <t>LT-022195-19/BX</t>
  </si>
  <si>
    <t>LT-031322-19/BX</t>
  </si>
  <si>
    <t>LT-033410-19/BX</t>
  </si>
  <si>
    <t>LT-058934-18/BX</t>
  </si>
  <si>
    <t>LT-803288-16/BX</t>
  </si>
  <si>
    <t>LT-028426-19/BX</t>
  </si>
  <si>
    <t>LT-026480-19/BX</t>
  </si>
  <si>
    <t>LT-034316-19/BX</t>
  </si>
  <si>
    <t>LT-025758-19/BX</t>
  </si>
  <si>
    <t>LT-031771-19/BX</t>
  </si>
  <si>
    <t>LT-033209-19/BX</t>
  </si>
  <si>
    <t>LT-025785-19/BX</t>
  </si>
  <si>
    <t>LT-003838-18/BX</t>
  </si>
  <si>
    <t>LT-030033-19/BX</t>
  </si>
  <si>
    <t>LT-037246-19/BX</t>
  </si>
  <si>
    <t>LT-013499-18/BX</t>
  </si>
  <si>
    <t>LT-025343-19/BX</t>
  </si>
  <si>
    <t>LT-031036-19/BX</t>
  </si>
  <si>
    <t>LT-029949-19/BX</t>
  </si>
  <si>
    <t>LT-030832-19/BX</t>
  </si>
  <si>
    <t>LT-031335-19/BX</t>
  </si>
  <si>
    <t>LT-029508-19/BX</t>
  </si>
  <si>
    <t>LT-032928-19/BX</t>
  </si>
  <si>
    <t>LT-032886-19/BX</t>
  </si>
  <si>
    <t>LT-028131-19/BX</t>
  </si>
  <si>
    <t>LT-032141-19/BX</t>
  </si>
  <si>
    <t>LT-035614-19/BX</t>
  </si>
  <si>
    <t>LT-030407-19/BX</t>
  </si>
  <si>
    <t>LT-032144-19/BX</t>
  </si>
  <si>
    <t>LT-027986-19/BX</t>
  </si>
  <si>
    <t>LT-022502-19/BX</t>
  </si>
  <si>
    <t>LT-054606-18/BX</t>
  </si>
  <si>
    <t>LT-036354-19/BX</t>
  </si>
  <si>
    <t>LT-805823-19/BX</t>
  </si>
  <si>
    <t>LT-022616-19/BX</t>
  </si>
  <si>
    <t>LT-034050-19/BX</t>
  </si>
  <si>
    <t>LT-033694-19/BX</t>
  </si>
  <si>
    <t>LT-025412-19/BX</t>
  </si>
  <si>
    <t>LT-035266-19/BX</t>
  </si>
  <si>
    <t>LT-047350-18/BX</t>
  </si>
  <si>
    <t>LT-036438-19/BX</t>
  </si>
  <si>
    <t>LT-032435-19/BX</t>
  </si>
  <si>
    <t>LT-804639-17/BX</t>
  </si>
  <si>
    <t>LT-033469-19/BX</t>
  </si>
  <si>
    <t>LT-037829-19/BX</t>
  </si>
  <si>
    <t>LT-003808-19/BX</t>
  </si>
  <si>
    <t>LT 033361-19BX</t>
  </si>
  <si>
    <t>LT-034146-19/BX</t>
  </si>
  <si>
    <t>LT-032454-19/BX</t>
  </si>
  <si>
    <t>LT-001956-19/BX</t>
  </si>
  <si>
    <t>LT-028765-19/BX</t>
  </si>
  <si>
    <t>LT-031883-19/BX</t>
  </si>
  <si>
    <t>LT-036063-19/BX</t>
  </si>
  <si>
    <t>LT-022034-19/BX</t>
  </si>
  <si>
    <t>LT-023424-19/BX</t>
  </si>
  <si>
    <t>LT-031914-19/BX</t>
  </si>
  <si>
    <t>LT-073121-19/BX</t>
  </si>
  <si>
    <t>LT-018087-19/BX</t>
  </si>
  <si>
    <t>LT-034949-19/BX</t>
  </si>
  <si>
    <t>LT-035793-18/BX</t>
  </si>
  <si>
    <t>LT-022736-19/BX</t>
  </si>
  <si>
    <t>LT-027462-19/BX</t>
  </si>
  <si>
    <t>LT-033836-19/BX</t>
  </si>
  <si>
    <t>LT-034003-19/BX</t>
  </si>
  <si>
    <t>LT-030060-19/BX</t>
  </si>
  <si>
    <t>LT-805438-19/BX</t>
  </si>
  <si>
    <t>LT-041058-16/BX</t>
  </si>
  <si>
    <t>LT-030907-19/BX</t>
  </si>
  <si>
    <t>LT-021832-16/BX</t>
  </si>
  <si>
    <t>LT-064982-19/NY</t>
  </si>
  <si>
    <t>LT-058602-19/NY</t>
  </si>
  <si>
    <t>LT-057937-19/NY</t>
  </si>
  <si>
    <t>LT-063235-19/NY</t>
  </si>
  <si>
    <t>LT-066350-19/NY</t>
  </si>
  <si>
    <t>LT-060434-19/NY</t>
  </si>
  <si>
    <t>LT-064372-19/NY</t>
  </si>
  <si>
    <t>LT-052566-19/NY</t>
  </si>
  <si>
    <t>LT-064830-19/NY</t>
  </si>
  <si>
    <t>LT-016369-19/NY</t>
  </si>
  <si>
    <t>LT-066431-19/NY</t>
  </si>
  <si>
    <t>LT-250558-19/NY</t>
  </si>
  <si>
    <t>LT-063836-19/NY</t>
  </si>
  <si>
    <t>LT-251164-19/NY</t>
  </si>
  <si>
    <t>LT-066481-19/NY</t>
  </si>
  <si>
    <t>LT-210767-19/NY</t>
  </si>
  <si>
    <t>LT-064700-19/NY</t>
  </si>
  <si>
    <t>LT-065946-19/NY</t>
  </si>
  <si>
    <t>0151596/2019</t>
  </si>
  <si>
    <t>LT-076638-18/NY</t>
  </si>
  <si>
    <t>LT-250962-19/NY</t>
  </si>
  <si>
    <t>906305-TD-2018</t>
  </si>
  <si>
    <t>LT-062853-19/NY</t>
  </si>
  <si>
    <t>LT-065250-19/NY</t>
  </si>
  <si>
    <t>LT-066238-19/NY</t>
  </si>
  <si>
    <t>LT-066954-19/NY</t>
  </si>
  <si>
    <t>LT-064895-19/NY</t>
  </si>
  <si>
    <t>LT-064034-19/NY</t>
  </si>
  <si>
    <t>LT-014292-19/NY</t>
  </si>
  <si>
    <t>LT-063400-19/NY</t>
  </si>
  <si>
    <t>LT-016518-16/NY</t>
  </si>
  <si>
    <t>LT-059978-19/NY</t>
  </si>
  <si>
    <t>LT-055486-19/NY</t>
  </si>
  <si>
    <t>LT-065629-19/NY</t>
  </si>
  <si>
    <t>LT-064422-19/NY</t>
  </si>
  <si>
    <t>LT-063738-19/NY</t>
  </si>
  <si>
    <t>LT-015798-19/NY</t>
  </si>
  <si>
    <t>LT-061344-19/NY</t>
  </si>
  <si>
    <t>62661-19</t>
  </si>
  <si>
    <t>063246-19</t>
  </si>
  <si>
    <t>LT-056120-19/NY</t>
  </si>
  <si>
    <t>LT-011579-19/NY</t>
  </si>
  <si>
    <t>LT-012377-19/NY</t>
  </si>
  <si>
    <t>LT-064296-19/NY</t>
  </si>
  <si>
    <t>LT-057534-19/NY</t>
  </si>
  <si>
    <t>LT-066095-19/NY</t>
  </si>
  <si>
    <t>LT-061824-19/NY</t>
  </si>
  <si>
    <t>LT-066962-19/NY</t>
  </si>
  <si>
    <t>LT-063560-19/NY</t>
  </si>
  <si>
    <t>LT-063992-19/NY</t>
  </si>
  <si>
    <t>LT-066638-19/NY</t>
  </si>
  <si>
    <t>LT-211453-16/NY</t>
  </si>
  <si>
    <t>LT-063980-19/NY</t>
  </si>
  <si>
    <t>LT-014172-19/NY</t>
  </si>
  <si>
    <t>LT-065372-19/NY</t>
  </si>
  <si>
    <t>LT-063355-19/NY</t>
  </si>
  <si>
    <t>LT-063261-19/NY</t>
  </si>
  <si>
    <t>LT-050467-19/NY</t>
  </si>
  <si>
    <t>LT-064261-19/NY</t>
  </si>
  <si>
    <t>910569-An-2019</t>
  </si>
  <si>
    <t>LT-061067-19/NY</t>
  </si>
  <si>
    <t>LT-066795-19/NY</t>
  </si>
  <si>
    <t>LT-064209-19/NY</t>
  </si>
  <si>
    <t>LT-066262-19/NY</t>
  </si>
  <si>
    <t>LT-062388-19/NY</t>
  </si>
  <si>
    <t>LT-064037-19/NY</t>
  </si>
  <si>
    <t>LT-061202-19/NY</t>
  </si>
  <si>
    <t>LT-056299-19/NY</t>
  </si>
  <si>
    <t>LT-063807-19/NY</t>
  </si>
  <si>
    <t>910790-TD-2019</t>
  </si>
  <si>
    <t>LT-066630-19/NY</t>
  </si>
  <si>
    <t>LT-065814-19/NY</t>
  </si>
  <si>
    <t>LT-065383-19/NY</t>
  </si>
  <si>
    <t>LT-065097-19/NY</t>
  </si>
  <si>
    <t>LT-064012-19/NY</t>
  </si>
  <si>
    <t>LT-016275-19/NY</t>
  </si>
  <si>
    <t>LT-064874-19/NY</t>
  </si>
  <si>
    <t>LT-063588-19/NY</t>
  </si>
  <si>
    <t>LT-060641-19/NY</t>
  </si>
  <si>
    <t>LT-013516-19/NY</t>
  </si>
  <si>
    <t>LT-066846-19/NY</t>
  </si>
  <si>
    <t>LT-063432-19/NY</t>
  </si>
  <si>
    <t>LT-065162-19/NY</t>
  </si>
  <si>
    <t>LT-252351-HA</t>
  </si>
  <si>
    <t>LT-065548-19/NY</t>
  </si>
  <si>
    <t>LT-058517-19/NY</t>
  </si>
  <si>
    <t>LT-066009-19/NY</t>
  </si>
  <si>
    <t>LT-064677-19/NY</t>
  </si>
  <si>
    <t>HP1000/2019</t>
  </si>
  <si>
    <t>LT-059192-19/NY</t>
  </si>
  <si>
    <t>LT-055554-19/NY</t>
  </si>
  <si>
    <t>LT-064503-19/NY</t>
  </si>
  <si>
    <t>062930-19</t>
  </si>
  <si>
    <t>LT-057650-19/NY</t>
  </si>
  <si>
    <t>LT-066682-19/NY</t>
  </si>
  <si>
    <t>LT-063772-19/NY</t>
  </si>
  <si>
    <t>LT-055152-19/NY</t>
  </si>
  <si>
    <t>LT-066512-19/NY</t>
  </si>
  <si>
    <t>LT-016533-19/NY</t>
  </si>
  <si>
    <t>LT-251897-18/HA</t>
  </si>
  <si>
    <t>LT-066133-19/NY</t>
  </si>
  <si>
    <t>LT-052817-19/NY</t>
  </si>
  <si>
    <t>LT-013820-19/NY</t>
  </si>
  <si>
    <t>LT-065881-19/NY</t>
  </si>
  <si>
    <t>LT-064091-19/NY</t>
  </si>
  <si>
    <t>LT-066183-19/NY</t>
  </si>
  <si>
    <t>LT-057999-19/NY</t>
  </si>
  <si>
    <t>LT-066683-19/NY</t>
  </si>
  <si>
    <t>LT-065169-19/NY</t>
  </si>
  <si>
    <t>LT-055023-19/NY</t>
  </si>
  <si>
    <t>LT-064229-19/NY</t>
  </si>
  <si>
    <t>LT-065110-19/NY</t>
  </si>
  <si>
    <t>LT-017991-18/NY</t>
  </si>
  <si>
    <t>LT-065081-19/NY</t>
  </si>
  <si>
    <t>LT-064923-19/NY</t>
  </si>
  <si>
    <t>LT-063764-19/NY</t>
  </si>
  <si>
    <t>LT-066914-19/NY</t>
  </si>
  <si>
    <t>LT-063015-19/NY</t>
  </si>
  <si>
    <t>LT-054447-19/NY</t>
  </si>
  <si>
    <t>LT-018671-17/NY</t>
  </si>
  <si>
    <t>LT-013699-18/NY</t>
  </si>
  <si>
    <t>LT-250009-HA</t>
  </si>
  <si>
    <t>LT-065906-19/NY</t>
  </si>
  <si>
    <t>LT-063016-19/NY</t>
  </si>
  <si>
    <t>LT-080137-16/NY</t>
  </si>
  <si>
    <t>LT-066163-19/NY</t>
  </si>
  <si>
    <t>910368-NB-2019</t>
  </si>
  <si>
    <t>LT-063404-19/NY</t>
  </si>
  <si>
    <t>LT-063791-19/NY</t>
  </si>
  <si>
    <t>LT-062096-19/NY</t>
  </si>
  <si>
    <t>LT-050289-19/NY</t>
  </si>
  <si>
    <t>LT-063465-18/NY</t>
  </si>
  <si>
    <t>LT-056901-19/NY</t>
  </si>
  <si>
    <t>LT-066280-19/NY</t>
  </si>
  <si>
    <t>LT-065631-19/NY</t>
  </si>
  <si>
    <t>LT-063077-19/NY</t>
  </si>
  <si>
    <t>LT-066883-19/NY</t>
  </si>
  <si>
    <t>LT-065534-19/NY</t>
  </si>
  <si>
    <t>LT-066802-19/NY</t>
  </si>
  <si>
    <t>LT-065300-19/QU</t>
  </si>
  <si>
    <t>LT-065532-19/QU</t>
  </si>
  <si>
    <t>LT-063570-19/QU</t>
  </si>
  <si>
    <t>LT-059890-19/QU</t>
  </si>
  <si>
    <t>LT-053548-19/QU</t>
  </si>
  <si>
    <t>LT-011108-18/QU</t>
  </si>
  <si>
    <t>LT-057271-19/QU</t>
  </si>
  <si>
    <t>LT-060402-19/QU</t>
  </si>
  <si>
    <t>LT-066260-19/QU</t>
  </si>
  <si>
    <t>LT-065568-19/QU</t>
  </si>
  <si>
    <t>LT-059920-19 QU</t>
  </si>
  <si>
    <t>LT-066910-19/QU</t>
  </si>
  <si>
    <t>LT-069850-18/QU</t>
  </si>
  <si>
    <t>LT-066795-19/QU</t>
  </si>
  <si>
    <t>LT-061806-19/QU</t>
  </si>
  <si>
    <t>LT-064168-19/QU</t>
  </si>
  <si>
    <t>LT-063687-19/QU</t>
  </si>
  <si>
    <t>LT-060995-19/QU</t>
  </si>
  <si>
    <t>LT-056457-19/QU</t>
  </si>
  <si>
    <t>LT-011826-19/QU</t>
  </si>
  <si>
    <t>LT-064570-19/QU</t>
  </si>
  <si>
    <t>LT-064881-19/QU</t>
  </si>
  <si>
    <t>LT-057789-19/QU</t>
  </si>
  <si>
    <t>LT-62807-19/QU</t>
  </si>
  <si>
    <t>LT-066341-19/QU</t>
  </si>
  <si>
    <t>LT-064635-19/QU</t>
  </si>
  <si>
    <t>LT 055703-19 QU</t>
  </si>
  <si>
    <t>LT-63320-19/QU</t>
  </si>
  <si>
    <t>LT-063636-19/QU</t>
  </si>
  <si>
    <t>LT-011992-19/QU</t>
  </si>
  <si>
    <t>LT-065066-19/QU</t>
  </si>
  <si>
    <t>LT-066105-19/QU</t>
  </si>
  <si>
    <t>LT-012494-19/QU</t>
  </si>
  <si>
    <t>LT-064694-19/QU</t>
  </si>
  <si>
    <t>LT-066411-19/QU</t>
  </si>
  <si>
    <t>LT-065773-19/QU</t>
  </si>
  <si>
    <t>LT-064807-19/QU</t>
  </si>
  <si>
    <t>LT-053042-19/QU</t>
  </si>
  <si>
    <t>LT-065981-19/QU</t>
  </si>
  <si>
    <t>LT-066437-19/QU</t>
  </si>
  <si>
    <t>LT-067224-19/QU</t>
  </si>
  <si>
    <t>LT-066584-19/QU</t>
  </si>
  <si>
    <t>LT-063924-19/QU</t>
  </si>
  <si>
    <t>LT-065385-19/QU</t>
  </si>
  <si>
    <t>LT-064731-19/QU</t>
  </si>
  <si>
    <t>LT-056255-19/QU</t>
  </si>
  <si>
    <t>LT-051340-19/QU</t>
  </si>
  <si>
    <t>LT-056607-19/QU</t>
  </si>
  <si>
    <t>LT-057699-19/QU</t>
  </si>
  <si>
    <t>LT-011993-19/QU</t>
  </si>
  <si>
    <t>LT-063478-19/QU</t>
  </si>
  <si>
    <t>LT-078842-18/QU</t>
  </si>
  <si>
    <t>LT-072496-19/QU</t>
  </si>
  <si>
    <t>LT-061067-19/QU</t>
  </si>
  <si>
    <t>LT-065746-19/QU</t>
  </si>
  <si>
    <t>LT-063385-19/QU</t>
  </si>
  <si>
    <t>LT-012280-19/QU</t>
  </si>
  <si>
    <t>LT-011479-19/QU</t>
  </si>
  <si>
    <t>LT-012076-19/QU</t>
  </si>
  <si>
    <t>LT-063349-19/QU</t>
  </si>
  <si>
    <t>LT-52949-19/QU</t>
  </si>
  <si>
    <t>LT-012318-19/QU</t>
  </si>
  <si>
    <t>LT-011872-19/QU</t>
  </si>
  <si>
    <t>LT-073141-18/QU</t>
  </si>
  <si>
    <t>LT-064716-19/QU</t>
  </si>
  <si>
    <t>LT-64712-19/QU</t>
  </si>
  <si>
    <t>LT-067161-19/QU</t>
  </si>
  <si>
    <t>LT-060043-19/QU</t>
  </si>
  <si>
    <t>LT-065283-19/QU</t>
  </si>
  <si>
    <t>LT-65063-19/QU</t>
  </si>
  <si>
    <t>LT-061295-19/QU</t>
  </si>
  <si>
    <t>LT-013492-19/QU</t>
  </si>
  <si>
    <t>LT-064782-19/QU</t>
  </si>
  <si>
    <t>LT-064661-19/QU</t>
  </si>
  <si>
    <t>LT-61784-19/QU</t>
  </si>
  <si>
    <t>LT-064677-19/QU</t>
  </si>
  <si>
    <t>LT-064718-19/QU</t>
  </si>
  <si>
    <t>LT-063172-19/QU</t>
  </si>
  <si>
    <t>LT-057535-19/QU</t>
  </si>
  <si>
    <t>LT-063412-19/QU</t>
  </si>
  <si>
    <t>LT-063917-19/QU</t>
  </si>
  <si>
    <t>LT-063262-19/QU</t>
  </si>
  <si>
    <t>LT-061970-19/QU</t>
  </si>
  <si>
    <t>LT-012276-19/QU</t>
  </si>
  <si>
    <t>LT-063899-19/QU</t>
  </si>
  <si>
    <t>LT-012301-19/QU</t>
  </si>
  <si>
    <t>LT-012286-19/QU</t>
  </si>
  <si>
    <t>LT-012281-19/QU</t>
  </si>
  <si>
    <t>LT-012309-19/QU</t>
  </si>
  <si>
    <t>LT-012466-19/QU</t>
  </si>
  <si>
    <t>LT-062031-19/QU</t>
  </si>
  <si>
    <t>LT-012293-19/QU</t>
  </si>
  <si>
    <t>LT-063963-19/QU</t>
  </si>
  <si>
    <t>LT-064129-19/QU</t>
  </si>
  <si>
    <t>LT-000000-19/QU</t>
  </si>
  <si>
    <t>LT-064166-19/QU</t>
  </si>
  <si>
    <t>LT-064915-19/QU</t>
  </si>
  <si>
    <t>LT- 066244-19/QU</t>
  </si>
  <si>
    <t>LT-066606-19/QU</t>
  </si>
  <si>
    <t>LT-066320-19/QU</t>
  </si>
  <si>
    <t>LT-064912-19/QU</t>
  </si>
  <si>
    <t>LT-061421-19/QU</t>
  </si>
  <si>
    <t>LT-57535-19/QU</t>
  </si>
  <si>
    <t>LT-064669-19/QU</t>
  </si>
  <si>
    <t>LT-050058-19/QU</t>
  </si>
  <si>
    <t>LT-064756-19/QU</t>
  </si>
  <si>
    <t>LT-67431-19/QU</t>
  </si>
  <si>
    <t>LT-61903-19/QU</t>
  </si>
  <si>
    <t>LT-064088-19/QU</t>
  </si>
  <si>
    <t>LT-064009-19/QU</t>
  </si>
  <si>
    <t>LT-064934-19/QU</t>
  </si>
  <si>
    <t>LT-058918-19/QU</t>
  </si>
  <si>
    <t>LT-66534-19/QU</t>
  </si>
  <si>
    <t>LT-067136-19/QU</t>
  </si>
  <si>
    <t>LT-063968-19/QU</t>
  </si>
  <si>
    <t>LT-61035-19/QU</t>
  </si>
  <si>
    <t>LT-065183-19/QU</t>
  </si>
  <si>
    <t>LT-066582-19/QU</t>
  </si>
  <si>
    <t>LT-059643-19/QU</t>
  </si>
  <si>
    <t>LT-063911-19/QU</t>
  </si>
  <si>
    <t>LT-63821/19</t>
  </si>
  <si>
    <t>LT-059888-19/QU</t>
  </si>
  <si>
    <t>LT-065446-19/QU</t>
  </si>
  <si>
    <t>LT-063938-19/QU</t>
  </si>
  <si>
    <t>LT-065453-19/QU</t>
  </si>
  <si>
    <t>LT-012262-19/QU</t>
  </si>
  <si>
    <t>LT-011168-19/QU</t>
  </si>
  <si>
    <t>LT-063491-19/QU</t>
  </si>
  <si>
    <t>LT-063330-19/QU</t>
  </si>
  <si>
    <t>LT-067393-19/QU</t>
  </si>
  <si>
    <t>no case</t>
  </si>
  <si>
    <t>LT-063939-19/QU</t>
  </si>
  <si>
    <t>LT-063572-19/QU</t>
  </si>
  <si>
    <t>LT-057933-19/QU</t>
  </si>
  <si>
    <t>LT-059436-19/QU</t>
  </si>
  <si>
    <t>LT-059727-19/QU</t>
  </si>
  <si>
    <t>LT-064877-19/QU</t>
  </si>
  <si>
    <t>LT-064539-19/QU</t>
  </si>
  <si>
    <t>LT-059450-19/QU</t>
  </si>
  <si>
    <t>LT-057616-19/QU</t>
  </si>
  <si>
    <t>LT-061535-19/QU</t>
  </si>
  <si>
    <t>LT-054888-19/QU</t>
  </si>
  <si>
    <t>LT-057717-19/QU</t>
  </si>
  <si>
    <t>LT-061275-19/QU</t>
  </si>
  <si>
    <t>LT-062936-19/QU</t>
  </si>
  <si>
    <t>LT-063223-19/QU</t>
  </si>
  <si>
    <t>LT-055458/19</t>
  </si>
  <si>
    <t>LT-065176-19/QU</t>
  </si>
  <si>
    <t>LT-063304-19/QU</t>
  </si>
  <si>
    <t>LT-064117-19/QU</t>
  </si>
  <si>
    <t>LT-012073-19/QU</t>
  </si>
  <si>
    <t>LT-065410-19/QU</t>
  </si>
  <si>
    <t>LT-063530-19/QU</t>
  </si>
  <si>
    <t>LT-064851-19/QU</t>
  </si>
  <si>
    <t>LT-064462-19/QU</t>
  </si>
  <si>
    <t>LT-066674-19/QU</t>
  </si>
  <si>
    <t>LT-013124-19/QU</t>
  </si>
  <si>
    <t>LT-065137-19/QU</t>
  </si>
  <si>
    <t>LT-063993-19/QU</t>
  </si>
  <si>
    <t>LT-057293-19/QU</t>
  </si>
  <si>
    <t>LT-061405-19/QU</t>
  </si>
  <si>
    <t>LT-063597-19/QU</t>
  </si>
  <si>
    <t>LT-063832-19/QU</t>
  </si>
  <si>
    <t>LT-065580-19/QU</t>
  </si>
  <si>
    <t>LT-064619-19/QU</t>
  </si>
  <si>
    <t>LT-066581-19/QU</t>
  </si>
  <si>
    <t>LT-063546-19/QU</t>
  </si>
  <si>
    <t>LT-065655-19/QU</t>
  </si>
  <si>
    <t>LT-063205-19/QU</t>
  </si>
  <si>
    <t>LT-067007-19/QU</t>
  </si>
  <si>
    <t>LT-012235-19/QU</t>
  </si>
  <si>
    <t>LT-066483-19/QU</t>
  </si>
  <si>
    <t>LT-064933-19/QU</t>
  </si>
  <si>
    <t>LT-076248-18/QU</t>
  </si>
  <si>
    <t>LT-12290-19/QU</t>
  </si>
  <si>
    <t>LT-011762-19/QU</t>
  </si>
  <si>
    <t>LT-064869-19/QU</t>
  </si>
  <si>
    <t>LT-011930-19-QU</t>
  </si>
  <si>
    <t>LT-051711-19/RI</t>
  </si>
  <si>
    <t>LT-052165-19/RI</t>
  </si>
  <si>
    <t>LT-010586-19/RI</t>
  </si>
  <si>
    <t>LT-051791-19/RI</t>
  </si>
  <si>
    <t>LT-052175-19/RI</t>
  </si>
  <si>
    <t>LT-051875-19/RI</t>
  </si>
  <si>
    <t>LT-051913-19/RI</t>
  </si>
  <si>
    <t>LT-050913-19/RI</t>
  </si>
  <si>
    <t>LT-051542-19/RI</t>
  </si>
  <si>
    <t>LT-011300-18/RI</t>
  </si>
  <si>
    <t>LT-051510-19/RI</t>
  </si>
  <si>
    <t>LT-051854-19/RI</t>
  </si>
  <si>
    <t>LT-051787-19/RI</t>
  </si>
  <si>
    <t>LT-051710-19/RI</t>
  </si>
  <si>
    <t>lt-052156-19/RI</t>
  </si>
  <si>
    <t>LT-051862-19/RI</t>
  </si>
  <si>
    <t>LT-052159-19/RI</t>
  </si>
  <si>
    <t>LT-010608-19/RI</t>
  </si>
  <si>
    <t>LT-051984-19/RI</t>
  </si>
  <si>
    <t>LID #909826-2019</t>
  </si>
  <si>
    <t>LT-052170-19/RI</t>
  </si>
  <si>
    <t>LT-051881-19/RI</t>
  </si>
  <si>
    <t>LT-010647-19/RI</t>
  </si>
  <si>
    <t>LT-051785-19/RI</t>
  </si>
  <si>
    <t>LT-051993-19/RI</t>
  </si>
  <si>
    <t>LT-010500-19/RI</t>
  </si>
  <si>
    <t>LT-010089-19/RI</t>
  </si>
  <si>
    <t>LT-010473-19/RI</t>
  </si>
  <si>
    <t>LT-051733-19/RI</t>
  </si>
  <si>
    <t>LT-051556-19/RI</t>
  </si>
  <si>
    <t>LT-051623-19/RI</t>
  </si>
  <si>
    <t>LT-051889-19/RI</t>
  </si>
  <si>
    <t>LT-010605-19/RI</t>
  </si>
  <si>
    <t>LT-051925-19/RI</t>
  </si>
  <si>
    <t>LT-052176-19/RI</t>
  </si>
  <si>
    <t>LT-010577-19/RI</t>
  </si>
  <si>
    <t>LT-051723-19/RI</t>
  </si>
  <si>
    <t>LT-052169-19/RI</t>
  </si>
  <si>
    <t>LT-051658-19/RI</t>
  </si>
  <si>
    <t>LT-051701-19/RI</t>
  </si>
  <si>
    <t>LT-051717-19/RI</t>
  </si>
  <si>
    <t>LT-051846-19/RI</t>
  </si>
  <si>
    <t>LT-051798-19/RI</t>
  </si>
  <si>
    <t>LT-051389-19/RI</t>
  </si>
  <si>
    <t>No case</t>
  </si>
  <si>
    <t>LT-050183-19/RI</t>
  </si>
  <si>
    <t>LT-050474-19/RI</t>
  </si>
  <si>
    <t>911337-TD2019</t>
  </si>
  <si>
    <t>LT-051732-19/RI</t>
  </si>
  <si>
    <t>LT-051491-19/RI</t>
  </si>
  <si>
    <t>LT-052009-19/RI</t>
  </si>
  <si>
    <t>LT-051498-19/RI</t>
  </si>
  <si>
    <t>LT-051857-19/RI</t>
  </si>
  <si>
    <t>LT-010582-19/RI</t>
  </si>
  <si>
    <t>LT-052005-19/RI</t>
  </si>
  <si>
    <t>LT-051260-19/RI</t>
  </si>
  <si>
    <t>LT-051863-19/RI</t>
  </si>
  <si>
    <t>A - Counsel and Advice</t>
  </si>
  <si>
    <t>G - Negotiated Settlement with Litigation</t>
  </si>
  <si>
    <t>F - Negotiated Settlement w/out Litigation</t>
  </si>
  <si>
    <t>B - Limited Action (Brief Service)</t>
  </si>
  <si>
    <t>IA - Uncontested Court Decision</t>
  </si>
  <si>
    <t>3112 HPLP-Homelessness Prevention Law Project</t>
  </si>
  <si>
    <t>3121 Universal Access to Counsel – (UAC)</t>
  </si>
  <si>
    <t>3122 Universal Access to Counsel – (UAC)</t>
  </si>
  <si>
    <t>3114 HRA-HPLP-Homelessness Prevention Law Project</t>
  </si>
  <si>
    <t>3115 HPLP-Homelessness Prevention Law Project</t>
  </si>
  <si>
    <t>3123 Universal Access to Counsel – (UAC)</t>
  </si>
  <si>
    <t>3113 HPLP-Homelessness Prevention Law Project</t>
  </si>
  <si>
    <t>3124 Universal Access to Counsel – (UAC)</t>
  </si>
  <si>
    <t>3125 Universal Access to Counsel – (UAC)</t>
  </si>
  <si>
    <t>3111 HPLP-Homelessness Prevention Law Project</t>
  </si>
  <si>
    <t>5556 Robin Hood-Foreclosure and Housing</t>
  </si>
  <si>
    <t>3020 CLS-Civil Legal Services</t>
  </si>
  <si>
    <t>63 Private Landlord/Tenant</t>
  </si>
  <si>
    <t>64 Public Housing</t>
  </si>
  <si>
    <t>69 Other Housing</t>
  </si>
  <si>
    <t>66 Housing Discrimination</t>
  </si>
  <si>
    <t>71 TANF</t>
  </si>
  <si>
    <t>61 Federally Subsidized Housing</t>
  </si>
  <si>
    <t>No Stipulation; No Judgment</t>
  </si>
  <si>
    <t>Post-Judgment, Tenant in Possession-Judgment Due to Other</t>
  </si>
  <si>
    <t>Post-Stipulation, No Judgment</t>
  </si>
  <si>
    <t>Post-Judgment, Tenant in Possession-Judgment Due to Default</t>
  </si>
  <si>
    <t>Post-Judgment, Tenant Out of Possession</t>
  </si>
  <si>
    <t>On for Trial</t>
  </si>
  <si>
    <t>6014-Obtained advice and counsel on a Housing matter</t>
  </si>
  <si>
    <t>6001-Prevented eviction from public housing</t>
  </si>
  <si>
    <t>6002-Prevented eviction from private housing</t>
  </si>
  <si>
    <t>6009-Obtained repairs, Improved housing conditions or otherwise enforced rights to decent, habitable housing</t>
  </si>
  <si>
    <t>6021-Provided full representation in a Housing matter, but no legal benefit achieved for the client</t>
  </si>
  <si>
    <t>03/08/1985</t>
  </si>
  <si>
    <t>09/15/1974</t>
  </si>
  <si>
    <t>10/18/1939</t>
  </si>
  <si>
    <t>11/03/1964</t>
  </si>
  <si>
    <t>10/21/1972</t>
  </si>
  <si>
    <t>10/27/1949</t>
  </si>
  <si>
    <t>02/11/1986</t>
  </si>
  <si>
    <t>05/19/1978</t>
  </si>
  <si>
    <t>07/25/1964</t>
  </si>
  <si>
    <t>10/04/1943</t>
  </si>
  <si>
    <t>04/18/1977</t>
  </si>
  <si>
    <t>03/19/1974</t>
  </si>
  <si>
    <t>06/09/1962</t>
  </si>
  <si>
    <t>10/20/1961</t>
  </si>
  <si>
    <t>03/06/1965</t>
  </si>
  <si>
    <t>08/11/1950</t>
  </si>
  <si>
    <t>11/03/1988</t>
  </si>
  <si>
    <t>09/12/1951</t>
  </si>
  <si>
    <t>12/04/1964</t>
  </si>
  <si>
    <t>08/12/1943</t>
  </si>
  <si>
    <t>08/01/1942</t>
  </si>
  <si>
    <t>06/11/1985</t>
  </si>
  <si>
    <t>03/14/1959</t>
  </si>
  <si>
    <t>06/11/1950</t>
  </si>
  <si>
    <t>06/11/1987</t>
  </si>
  <si>
    <t>01/14/1956</t>
  </si>
  <si>
    <t>10/30/1975</t>
  </si>
  <si>
    <t>01/10/1949</t>
  </si>
  <si>
    <t>08/23/1987</t>
  </si>
  <si>
    <t>10/05/1980</t>
  </si>
  <si>
    <t>05/19/1981</t>
  </si>
  <si>
    <t>08/21/1976</t>
  </si>
  <si>
    <t>09/20/1974</t>
  </si>
  <si>
    <t>05/22/1954</t>
  </si>
  <si>
    <t>10/26/1966</t>
  </si>
  <si>
    <t>06/25/1979</t>
  </si>
  <si>
    <t>04/17/1949</t>
  </si>
  <si>
    <t>11/02/1977</t>
  </si>
  <si>
    <t>05/01/1957</t>
  </si>
  <si>
    <t>01/30/1963</t>
  </si>
  <si>
    <t>04/20/1957</t>
  </si>
  <si>
    <t>09/20/1994</t>
  </si>
  <si>
    <t>04/03/1953</t>
  </si>
  <si>
    <t>05/31/1953</t>
  </si>
  <si>
    <t>04/08/1950</t>
  </si>
  <si>
    <t>09/22/1986</t>
  </si>
  <si>
    <t>05/07/2014</t>
  </si>
  <si>
    <t>11/07/1953</t>
  </si>
  <si>
    <t>07/31/1946</t>
  </si>
  <si>
    <t>06/17/1990</t>
  </si>
  <si>
    <t>10/27/1967</t>
  </si>
  <si>
    <t>09/02/1978</t>
  </si>
  <si>
    <t>06/22/1984</t>
  </si>
  <si>
    <t>04/03/1959</t>
  </si>
  <si>
    <t>05/05/1950</t>
  </si>
  <si>
    <t>02/04/1961</t>
  </si>
  <si>
    <t>01/21/1993</t>
  </si>
  <si>
    <t>01/07/1965</t>
  </si>
  <si>
    <t>09/25/1996</t>
  </si>
  <si>
    <t>11/02/1959</t>
  </si>
  <si>
    <t>10/02/1976</t>
  </si>
  <si>
    <t>04/18/1980</t>
  </si>
  <si>
    <t>06/26/1973</t>
  </si>
  <si>
    <t>03/11/1964</t>
  </si>
  <si>
    <t>11/14/1973</t>
  </si>
  <si>
    <t>04/25/1963</t>
  </si>
  <si>
    <t>08/03/1971</t>
  </si>
  <si>
    <t>12/16/1968</t>
  </si>
  <si>
    <t>01/06/1967</t>
  </si>
  <si>
    <t>10/13/1934</t>
  </si>
  <si>
    <t>02/18/1971</t>
  </si>
  <si>
    <t>05/19/1952</t>
  </si>
  <si>
    <t>08/08/1937</t>
  </si>
  <si>
    <t>08/07/1974</t>
  </si>
  <si>
    <t>06/20/1979</t>
  </si>
  <si>
    <t>01/13/1960</t>
  </si>
  <si>
    <t>03/15/1955</t>
  </si>
  <si>
    <t>08/17/1979</t>
  </si>
  <si>
    <t>05/11/1960</t>
  </si>
  <si>
    <t>07/12/1980</t>
  </si>
  <si>
    <t>09/02/1986</t>
  </si>
  <si>
    <t>03/18/1951</t>
  </si>
  <si>
    <t>03/18/1964</t>
  </si>
  <si>
    <t>11/16/1985</t>
  </si>
  <si>
    <t>03/30/1953</t>
  </si>
  <si>
    <t>10/05/1975</t>
  </si>
  <si>
    <t>11/09/1966</t>
  </si>
  <si>
    <t>04/02/1993</t>
  </si>
  <si>
    <t>10/11/1988</t>
  </si>
  <si>
    <t>04/20/1958</t>
  </si>
  <si>
    <t>10/11/1980</t>
  </si>
  <si>
    <t>05/16/1969</t>
  </si>
  <si>
    <t>01/19/1994</t>
  </si>
  <si>
    <t>10/11/1956</t>
  </si>
  <si>
    <t>06/24/1939</t>
  </si>
  <si>
    <t>01/11/1992</t>
  </si>
  <si>
    <t>06/18/1965</t>
  </si>
  <si>
    <t>08/08/1985</t>
  </si>
  <si>
    <t>10/08/1967</t>
  </si>
  <si>
    <t>08/05/1953</t>
  </si>
  <si>
    <t>04/10/1955</t>
  </si>
  <si>
    <t>08/08/1966</t>
  </si>
  <si>
    <t>05/24/1962</t>
  </si>
  <si>
    <t>03/08/1990</t>
  </si>
  <si>
    <t>11/28/1964</t>
  </si>
  <si>
    <t>01/10/1988</t>
  </si>
  <si>
    <t>10/15/1983</t>
  </si>
  <si>
    <t>01/01/1974</t>
  </si>
  <si>
    <t>06/26/1953</t>
  </si>
  <si>
    <t>06/13/1956</t>
  </si>
  <si>
    <t>01/19/1977</t>
  </si>
  <si>
    <t>10/24/1982</t>
  </si>
  <si>
    <t>01/10/1986</t>
  </si>
  <si>
    <t>06/15/1952</t>
  </si>
  <si>
    <t>01/29/1990</t>
  </si>
  <si>
    <t>12/01/1958</t>
  </si>
  <si>
    <t>04/15/1966</t>
  </si>
  <si>
    <t>03/23/1964</t>
  </si>
  <si>
    <t>05/12/1947</t>
  </si>
  <si>
    <t>12/01/1967</t>
  </si>
  <si>
    <t>10/23/1969</t>
  </si>
  <si>
    <t>07/02/1955</t>
  </si>
  <si>
    <t>03/30/1950</t>
  </si>
  <si>
    <t>02/23/1970</t>
  </si>
  <si>
    <t>01/17/1984</t>
  </si>
  <si>
    <t>12/10/1981</t>
  </si>
  <si>
    <t>10/27/1963</t>
  </si>
  <si>
    <t>10/29/1953</t>
  </si>
  <si>
    <t>09/27/1964</t>
  </si>
  <si>
    <t>04/01/1977</t>
  </si>
  <si>
    <t>05/12/1931</t>
  </si>
  <si>
    <t>08/24/1990</t>
  </si>
  <si>
    <t>06/03/1983</t>
  </si>
  <si>
    <t>04/06/1982</t>
  </si>
  <si>
    <t>10/30/1956</t>
  </si>
  <si>
    <t>10/16/1979</t>
  </si>
  <si>
    <t>02/01/1970</t>
  </si>
  <si>
    <t>12/04/1953</t>
  </si>
  <si>
    <t>04/17/1987</t>
  </si>
  <si>
    <t>02/01/1956</t>
  </si>
  <si>
    <t>07/24/1986</t>
  </si>
  <si>
    <t>10/27/1965</t>
  </si>
  <si>
    <t>04/20/1982</t>
  </si>
  <si>
    <t>12/08/1977</t>
  </si>
  <si>
    <t>01/21/1984</t>
  </si>
  <si>
    <t>11/18/1968</t>
  </si>
  <si>
    <t>03/21/1986</t>
  </si>
  <si>
    <t>08/27/1981</t>
  </si>
  <si>
    <t>07/30/1978</t>
  </si>
  <si>
    <t>05/21/1958</t>
  </si>
  <si>
    <t>02/16/1982</t>
  </si>
  <si>
    <t>06/22/1992</t>
  </si>
  <si>
    <t>08/26/1987</t>
  </si>
  <si>
    <t>02/23/1946</t>
  </si>
  <si>
    <t>09/27/1983</t>
  </si>
  <si>
    <t>05/31/1970</t>
  </si>
  <si>
    <t>03/19/1928</t>
  </si>
  <si>
    <t>03/04/1980</t>
  </si>
  <si>
    <t>09/10/1988</t>
  </si>
  <si>
    <t>03/02/1975</t>
  </si>
  <si>
    <t>12/12/1991</t>
  </si>
  <si>
    <t>05/06/1963</t>
  </si>
  <si>
    <t>04/28/1987</t>
  </si>
  <si>
    <t>04/18/1958</t>
  </si>
  <si>
    <t>06/30/1960</t>
  </si>
  <si>
    <t>08/30/1958</t>
  </si>
  <si>
    <t>01/28/1962</t>
  </si>
  <si>
    <t>06/23/1964</t>
  </si>
  <si>
    <t>01/03/1958</t>
  </si>
  <si>
    <t>10/12/1958</t>
  </si>
  <si>
    <t>03/22/1951</t>
  </si>
  <si>
    <t>08/25/1978</t>
  </si>
  <si>
    <t>08/31/1963</t>
  </si>
  <si>
    <t>12/11/1987</t>
  </si>
  <si>
    <t>12/06/1937</t>
  </si>
  <si>
    <t>06/24/1972</t>
  </si>
  <si>
    <t>06/13/1975</t>
  </si>
  <si>
    <t>09/28/1964</t>
  </si>
  <si>
    <t>12/16/1996</t>
  </si>
  <si>
    <t>06/12/1969</t>
  </si>
  <si>
    <t>08/15/1944</t>
  </si>
  <si>
    <t>12/28/1950</t>
  </si>
  <si>
    <t>07/13/1963</t>
  </si>
  <si>
    <t>08/23/1960</t>
  </si>
  <si>
    <t>06/20/1987</t>
  </si>
  <si>
    <t>03/18/1948</t>
  </si>
  <si>
    <t>02/18/1966</t>
  </si>
  <si>
    <t>01/14/1968</t>
  </si>
  <si>
    <t>10/19/1959</t>
  </si>
  <si>
    <t>09/13/1993</t>
  </si>
  <si>
    <t>08/02/1976</t>
  </si>
  <si>
    <t>08/18/1988</t>
  </si>
  <si>
    <t>09/06/1967</t>
  </si>
  <si>
    <t>01/17/1962</t>
  </si>
  <si>
    <t>11/20/1965</t>
  </si>
  <si>
    <t>03/05/1974</t>
  </si>
  <si>
    <t>07/06/1946</t>
  </si>
  <si>
    <t>08/13/1995</t>
  </si>
  <si>
    <t>08/12/1982</t>
  </si>
  <si>
    <t>12/29/1960</t>
  </si>
  <si>
    <t>01/26/1985</t>
  </si>
  <si>
    <t>04/15/1972</t>
  </si>
  <si>
    <t>01/22/1962</t>
  </si>
  <si>
    <t>08/20/1963</t>
  </si>
  <si>
    <t>01/13/1982</t>
  </si>
  <si>
    <t>01/21/1971</t>
  </si>
  <si>
    <t>09/05/1964</t>
  </si>
  <si>
    <t>05/02/1968</t>
  </si>
  <si>
    <t>04/17/1950</t>
  </si>
  <si>
    <t>08/18/1965</t>
  </si>
  <si>
    <t>04/05/1992</t>
  </si>
  <si>
    <t>05/20/1974</t>
  </si>
  <si>
    <t>02/06/1962</t>
  </si>
  <si>
    <t>09/25/1984</t>
  </si>
  <si>
    <t>02/27/1993</t>
  </si>
  <si>
    <t>03/27/1992</t>
  </si>
  <si>
    <t>01/23/1977</t>
  </si>
  <si>
    <t>05/29/1988</t>
  </si>
  <si>
    <t>02/15/1988</t>
  </si>
  <si>
    <t>09/13/1983</t>
  </si>
  <si>
    <t>10/29/1956</t>
  </si>
  <si>
    <t>10/13/1982</t>
  </si>
  <si>
    <t>12/16/1983</t>
  </si>
  <si>
    <t>01/15/1950</t>
  </si>
  <si>
    <t>09/17/1980</t>
  </si>
  <si>
    <t>03/07/1962</t>
  </si>
  <si>
    <t>01/22/1993</t>
  </si>
  <si>
    <t>09/21/1955</t>
  </si>
  <si>
    <t>01/12/1973</t>
  </si>
  <si>
    <t>03/07/1973</t>
  </si>
  <si>
    <t>08/16/1987</t>
  </si>
  <si>
    <t>05/22/1988</t>
  </si>
  <si>
    <t>05/27/1995</t>
  </si>
  <si>
    <t>12/23/1955</t>
  </si>
  <si>
    <t>03/20/1973</t>
  </si>
  <si>
    <t>06/21/1970</t>
  </si>
  <si>
    <t>07/09/1953</t>
  </si>
  <si>
    <t>09/23/1949</t>
  </si>
  <si>
    <t>01/27/1954</t>
  </si>
  <si>
    <t>05/12/1968</t>
  </si>
  <si>
    <t>01/31/1983</t>
  </si>
  <si>
    <t>12/30/1930</t>
  </si>
  <si>
    <t>02/07/1987</t>
  </si>
  <si>
    <t>10/24/1948</t>
  </si>
  <si>
    <t>07/18/1981</t>
  </si>
  <si>
    <t>10/30/1994</t>
  </si>
  <si>
    <t>08/11/1960</t>
  </si>
  <si>
    <t>07/24/1981</t>
  </si>
  <si>
    <t>11/03/1968</t>
  </si>
  <si>
    <t>03/15/1983</t>
  </si>
  <si>
    <t>07/07/1981</t>
  </si>
  <si>
    <t>04/12/1987</t>
  </si>
  <si>
    <t>12/01/1978</t>
  </si>
  <si>
    <t>07/23/1995</t>
  </si>
  <si>
    <t>11/25/1972</t>
  </si>
  <si>
    <t>11/08/1995</t>
  </si>
  <si>
    <t>12/26/1953</t>
  </si>
  <si>
    <t>06/12/1966</t>
  </si>
  <si>
    <t>01/08/1969</t>
  </si>
  <si>
    <t>02/22/1980</t>
  </si>
  <si>
    <t>09/26/1963</t>
  </si>
  <si>
    <t>07/10/1976</t>
  </si>
  <si>
    <t>03/26/2019</t>
  </si>
  <si>
    <t>01/27/1990</t>
  </si>
  <si>
    <t>10/01/1973</t>
  </si>
  <si>
    <t>06/27/1993</t>
  </si>
  <si>
    <t>09/15/1955</t>
  </si>
  <si>
    <t>02/08/1964</t>
  </si>
  <si>
    <t>03/29/1980</t>
  </si>
  <si>
    <t>08/12/1994</t>
  </si>
  <si>
    <t>08/03/1991</t>
  </si>
  <si>
    <t>04/13/1960</t>
  </si>
  <si>
    <t>08/16/1979</t>
  </si>
  <si>
    <t>06/13/1960</t>
  </si>
  <si>
    <t>04/28/1992</t>
  </si>
  <si>
    <t>06/17/1986</t>
  </si>
  <si>
    <t>11/16/1973</t>
  </si>
  <si>
    <t>04/03/1977</t>
  </si>
  <si>
    <t>04/30/1976</t>
  </si>
  <si>
    <t>01/25/1985</t>
  </si>
  <si>
    <t>02/11/1965</t>
  </si>
  <si>
    <t>09/07/1977</t>
  </si>
  <si>
    <t>08/28/1982</t>
  </si>
  <si>
    <t>11/06/1961</t>
  </si>
  <si>
    <t>10/23/1980</t>
  </si>
  <si>
    <t>03/19/1990</t>
  </si>
  <si>
    <t>07/16/1985</t>
  </si>
  <si>
    <t>09/11/1975</t>
  </si>
  <si>
    <t>05/21/1990</t>
  </si>
  <si>
    <t>08/13/1987</t>
  </si>
  <si>
    <t>01/16/1979</t>
  </si>
  <si>
    <t>11/30/1969</t>
  </si>
  <si>
    <t>04/01/1998</t>
  </si>
  <si>
    <t>11/25/1962</t>
  </si>
  <si>
    <t>08/02/1953</t>
  </si>
  <si>
    <t>07/17/1964</t>
  </si>
  <si>
    <t>05/04/1999</t>
  </si>
  <si>
    <t>02/22/1987</t>
  </si>
  <si>
    <t>05/12/1990</t>
  </si>
  <si>
    <t>12/31/1975</t>
  </si>
  <si>
    <t>04/01/1958</t>
  </si>
  <si>
    <t>10/03/1962</t>
  </si>
  <si>
    <t>03/20/1985</t>
  </si>
  <si>
    <t>09/10/1979</t>
  </si>
  <si>
    <t>04/29/1977</t>
  </si>
  <si>
    <t>10/23/1991</t>
  </si>
  <si>
    <t>02/09/1991</t>
  </si>
  <si>
    <t>01/12/1983</t>
  </si>
  <si>
    <t>10/01/1971</t>
  </si>
  <si>
    <t>07/30/1961</t>
  </si>
  <si>
    <t>07/02/1973</t>
  </si>
  <si>
    <t>01/31/1989</t>
  </si>
  <si>
    <t>11/22/1988</t>
  </si>
  <si>
    <t>08/13/1969</t>
  </si>
  <si>
    <t>06/08/1976</t>
  </si>
  <si>
    <t>11/22/1974</t>
  </si>
  <si>
    <t>07/07/1965</t>
  </si>
  <si>
    <t>02/10/1994</t>
  </si>
  <si>
    <t>06/28/1961</t>
  </si>
  <si>
    <t>05/20/1982</t>
  </si>
  <si>
    <t>05/07/1974</t>
  </si>
  <si>
    <t>04/29/1971</t>
  </si>
  <si>
    <t>05/30/1999</t>
  </si>
  <si>
    <t>02/10/1991</t>
  </si>
  <si>
    <t>05/06/1959</t>
  </si>
  <si>
    <t>10/31/1946</t>
  </si>
  <si>
    <t>12/03/1976</t>
  </si>
  <si>
    <t>10/01/1968</t>
  </si>
  <si>
    <t>01/18/1976</t>
  </si>
  <si>
    <t>07/27/1961</t>
  </si>
  <si>
    <t>10/08/1965</t>
  </si>
  <si>
    <t>12/20/1952</t>
  </si>
  <si>
    <t>04/16/1951</t>
  </si>
  <si>
    <t>02/20/1967</t>
  </si>
  <si>
    <t>07/15/1957</t>
  </si>
  <si>
    <t>04/21/1987</t>
  </si>
  <si>
    <t>09/04/1967</t>
  </si>
  <si>
    <t>12/21/1960</t>
  </si>
  <si>
    <t>06/27/1977</t>
  </si>
  <si>
    <t>04/18/1995</t>
  </si>
  <si>
    <t>01/13/1958</t>
  </si>
  <si>
    <t>05/26/1959</t>
  </si>
  <si>
    <t>06/24/1961</t>
  </si>
  <si>
    <t>08/15/1967</t>
  </si>
  <si>
    <t>12/28/1964</t>
  </si>
  <si>
    <t>12/17/1972</t>
  </si>
  <si>
    <t>05/30/1964</t>
  </si>
  <si>
    <t>12/18/1982</t>
  </si>
  <si>
    <t>01/04/1988</t>
  </si>
  <si>
    <t>11/23/1981</t>
  </si>
  <si>
    <t>09/04/1966</t>
  </si>
  <si>
    <t>10/01/1957</t>
  </si>
  <si>
    <t>02/09/1983</t>
  </si>
  <si>
    <t>05/25/1985</t>
  </si>
  <si>
    <t>02/16/1974</t>
  </si>
  <si>
    <t>03/18/1989</t>
  </si>
  <si>
    <t>11/30/1982</t>
  </si>
  <si>
    <t>04/25/1980</t>
  </si>
  <si>
    <t>01/28/1992</t>
  </si>
  <si>
    <t>03/16/1982</t>
  </si>
  <si>
    <t>08/12/1956</t>
  </si>
  <si>
    <t>04/15/1942</t>
  </si>
  <si>
    <t>01/15/1963</t>
  </si>
  <si>
    <t>10/11/1983</t>
  </si>
  <si>
    <t>05/15/1985</t>
  </si>
  <si>
    <t>02/23/1973</t>
  </si>
  <si>
    <t>09/23/1993</t>
  </si>
  <si>
    <t>01/25/1960</t>
  </si>
  <si>
    <t>08/11/1988</t>
  </si>
  <si>
    <t>10/31/1975</t>
  </si>
  <si>
    <t>11/07/1957</t>
  </si>
  <si>
    <t>07/05/1966</t>
  </si>
  <si>
    <t>11/27/1958</t>
  </si>
  <si>
    <t>08/28/1967</t>
  </si>
  <si>
    <t>07/25/1987</t>
  </si>
  <si>
    <t>11/04/1961</t>
  </si>
  <si>
    <t>04/21/1995</t>
  </si>
  <si>
    <t>07/01/1981</t>
  </si>
  <si>
    <t>11/16/1976</t>
  </si>
  <si>
    <t>09/18/1962</t>
  </si>
  <si>
    <t>12/18/1988</t>
  </si>
  <si>
    <t>01/11/1982</t>
  </si>
  <si>
    <t>12/03/1960</t>
  </si>
  <si>
    <t>03/20/1964</t>
  </si>
  <si>
    <t>07/10/1957</t>
  </si>
  <si>
    <t>10/25/1957</t>
  </si>
  <si>
    <t>02/01/1947</t>
  </si>
  <si>
    <t>01/09/1952</t>
  </si>
  <si>
    <t>11/13/1979</t>
  </si>
  <si>
    <t>11/11/1970</t>
  </si>
  <si>
    <t>06/04/1985</t>
  </si>
  <si>
    <t>11/12/1964</t>
  </si>
  <si>
    <t>03/22/1958</t>
  </si>
  <si>
    <t>06/16/1955</t>
  </si>
  <si>
    <t>12/19/1984</t>
  </si>
  <si>
    <t>04/12/1969</t>
  </si>
  <si>
    <t>01/22/1960</t>
  </si>
  <si>
    <t>04/24/1964</t>
  </si>
  <si>
    <t>11/13/1957</t>
  </si>
  <si>
    <t>04/21/1964</t>
  </si>
  <si>
    <t>04/12/1947</t>
  </si>
  <si>
    <t>09/22/1973</t>
  </si>
  <si>
    <t>01/09/1973</t>
  </si>
  <si>
    <t>09/27/1982</t>
  </si>
  <si>
    <t>01/21/1992</t>
  </si>
  <si>
    <t>06/15/1967</t>
  </si>
  <si>
    <t>10/30/1954</t>
  </si>
  <si>
    <t>09/14/1985</t>
  </si>
  <si>
    <t>04/02/1969</t>
  </si>
  <si>
    <t>04/13/1993</t>
  </si>
  <si>
    <t>02/15/1947</t>
  </si>
  <si>
    <t>01/06/1977</t>
  </si>
  <si>
    <t>04/27/1987</t>
  </si>
  <si>
    <t>02/12/1948</t>
  </si>
  <si>
    <t>08/10/1959</t>
  </si>
  <si>
    <t>12/20/1972</t>
  </si>
  <si>
    <t>05/14/1992</t>
  </si>
  <si>
    <t>12/24/1972</t>
  </si>
  <si>
    <t>05/17/1993</t>
  </si>
  <si>
    <t>01/16/1992</t>
  </si>
  <si>
    <t>06/08/1974</t>
  </si>
  <si>
    <t>09/06/1965</t>
  </si>
  <si>
    <t>09/15/1992</t>
  </si>
  <si>
    <t>10/15/1990</t>
  </si>
  <si>
    <t>10/31/1979</t>
  </si>
  <si>
    <t>07/24/1947</t>
  </si>
  <si>
    <t>07/01/1972</t>
  </si>
  <si>
    <t>03/21/1953</t>
  </si>
  <si>
    <t>05/13/1970</t>
  </si>
  <si>
    <t>11/20/1983</t>
  </si>
  <si>
    <t>04/10/1963</t>
  </si>
  <si>
    <t>05/12/1988</t>
  </si>
  <si>
    <t>10/19/1958</t>
  </si>
  <si>
    <t>11/07/1996</t>
  </si>
  <si>
    <t>12/27/1971</t>
  </si>
  <si>
    <t>09/23/1961</t>
  </si>
  <si>
    <t>11/30/1987</t>
  </si>
  <si>
    <t>12/24/1953</t>
  </si>
  <si>
    <t>05/17/1981</t>
  </si>
  <si>
    <t>02/19/1985</t>
  </si>
  <si>
    <t>05/18/1988</t>
  </si>
  <si>
    <t>04/20/1971</t>
  </si>
  <si>
    <t>05/05/1996</t>
  </si>
  <si>
    <t>11/27/1980</t>
  </si>
  <si>
    <t>09/11/1973</t>
  </si>
  <si>
    <t>05/11/1950</t>
  </si>
  <si>
    <t>09/30/1958</t>
  </si>
  <si>
    <t>09/21/1981</t>
  </si>
  <si>
    <t>10/09/1990</t>
  </si>
  <si>
    <t>06/02/1961</t>
  </si>
  <si>
    <t>06/25/1956</t>
  </si>
  <si>
    <t>11/25/1964</t>
  </si>
  <si>
    <t>11/18/1975</t>
  </si>
  <si>
    <t>10/14/1988</t>
  </si>
  <si>
    <t>11/25/1983</t>
  </si>
  <si>
    <t>08/02/1993</t>
  </si>
  <si>
    <t>11/06/1986</t>
  </si>
  <si>
    <t>01/06/1983</t>
  </si>
  <si>
    <t>12/01/1985</t>
  </si>
  <si>
    <t>07/03/1964</t>
  </si>
  <si>
    <t>02/03/1984</t>
  </si>
  <si>
    <t>12/11/1958</t>
  </si>
  <si>
    <t>05/30/1989</t>
  </si>
  <si>
    <t>08/11/1979</t>
  </si>
  <si>
    <t>10/30/1996</t>
  </si>
  <si>
    <t>12/09/1986</t>
  </si>
  <si>
    <t>05/02/1992</t>
  </si>
  <si>
    <t>05/17/1952</t>
  </si>
  <si>
    <t>10/24/1978</t>
  </si>
  <si>
    <t>03/06/1957</t>
  </si>
  <si>
    <t>01/24/1977</t>
  </si>
  <si>
    <t>07/14/1947</t>
  </si>
  <si>
    <t>09/20/1961</t>
  </si>
  <si>
    <t>07/18/1972</t>
  </si>
  <si>
    <t>07/10/1971</t>
  </si>
  <si>
    <t>04/22/1987</t>
  </si>
  <si>
    <t>04/05/1972</t>
  </si>
  <si>
    <t>08/20/1955</t>
  </si>
  <si>
    <t>01/25/1963</t>
  </si>
  <si>
    <t>09/12/1964</t>
  </si>
  <si>
    <t>04/03/1994</t>
  </si>
  <si>
    <t>09/06/1960</t>
  </si>
  <si>
    <t>08/10/1988</t>
  </si>
  <si>
    <t>07/29/1977</t>
  </si>
  <si>
    <t>07/27/1990</t>
  </si>
  <si>
    <t>04/04/1990</t>
  </si>
  <si>
    <t>05/19/1974</t>
  </si>
  <si>
    <t>11/14/1953</t>
  </si>
  <si>
    <t>07/14/1981</t>
  </si>
  <si>
    <t>06/19/1999</t>
  </si>
  <si>
    <t>11/20/1993</t>
  </si>
  <si>
    <t>05/07/1988</t>
  </si>
  <si>
    <t>05/19/1966</t>
  </si>
  <si>
    <t>12/12/1989</t>
  </si>
  <si>
    <t>12/08/1975</t>
  </si>
  <si>
    <t>12/29/1963</t>
  </si>
  <si>
    <t>07/03/1970</t>
  </si>
  <si>
    <t>04/14/1965</t>
  </si>
  <si>
    <t>06/16/1963</t>
  </si>
  <si>
    <t>01/01/1989</t>
  </si>
  <si>
    <t>05/31/1985</t>
  </si>
  <si>
    <t>05/26/1977</t>
  </si>
  <si>
    <t>07/07/1980</t>
  </si>
  <si>
    <t>04/05/1948</t>
  </si>
  <si>
    <t>10/01/1956</t>
  </si>
  <si>
    <t>11/17/1979</t>
  </si>
  <si>
    <t>06/16/1974</t>
  </si>
  <si>
    <t>10/22/1988</t>
  </si>
  <si>
    <t>09/09/1976</t>
  </si>
  <si>
    <t>02/05/1973</t>
  </si>
  <si>
    <t>05/23/1968</t>
  </si>
  <si>
    <t>12/10/1967</t>
  </si>
  <si>
    <t>02/27/1981</t>
  </si>
  <si>
    <t>04/29/1983</t>
  </si>
  <si>
    <t>12/05/1971</t>
  </si>
  <si>
    <t>05/21/1968</t>
  </si>
  <si>
    <t>01/10/1961</t>
  </si>
  <si>
    <t>10/20/1975</t>
  </si>
  <si>
    <t>03/04/1972</t>
  </si>
  <si>
    <t>05/31/1972</t>
  </si>
  <si>
    <t>03/15/1964</t>
  </si>
  <si>
    <t>08/01/1975</t>
  </si>
  <si>
    <t>06/08/1960</t>
  </si>
  <si>
    <t>10/01/1961</t>
  </si>
  <si>
    <t>04/23/1983</t>
  </si>
  <si>
    <t>05/02/1991</t>
  </si>
  <si>
    <t>04/30/1965</t>
  </si>
  <si>
    <t>05/05/1967</t>
  </si>
  <si>
    <t>11/14/1946</t>
  </si>
  <si>
    <t>06/06/1963</t>
  </si>
  <si>
    <t>01/02/1970</t>
  </si>
  <si>
    <t>07/15/1988</t>
  </si>
  <si>
    <t>09/30/1986</t>
  </si>
  <si>
    <t>07/06/1955</t>
  </si>
  <si>
    <t>03/15/1978</t>
  </si>
  <si>
    <t>05/20/1972</t>
  </si>
  <si>
    <t>06/10/1956</t>
  </si>
  <si>
    <t>12/25/1960</t>
  </si>
  <si>
    <t>12/08/1962</t>
  </si>
  <si>
    <t>07/31/1955</t>
  </si>
  <si>
    <t>08/07/1983</t>
  </si>
  <si>
    <t>11/26/1945</t>
  </si>
  <si>
    <t>12/04/1979</t>
  </si>
  <si>
    <t>02/02/1985</t>
  </si>
  <si>
    <t>12/21/1994</t>
  </si>
  <si>
    <t>11/12/1985</t>
  </si>
  <si>
    <t>02/20/1950</t>
  </si>
  <si>
    <t>12/16/1961</t>
  </si>
  <si>
    <t>10/15/1959</t>
  </si>
  <si>
    <t>07/11/1934</t>
  </si>
  <si>
    <t>01/02/1955</t>
  </si>
  <si>
    <t>05/08/1967</t>
  </si>
  <si>
    <t>11/18/1951</t>
  </si>
  <si>
    <t>12/22/1944</t>
  </si>
  <si>
    <t>07/05/1935</t>
  </si>
  <si>
    <t>07/21/1977</t>
  </si>
  <si>
    <t>01/04/1972</t>
  </si>
  <si>
    <t>06/16/1965</t>
  </si>
  <si>
    <t>09/22/1970</t>
  </si>
  <si>
    <t>04/09/1975</t>
  </si>
  <si>
    <t>03/08/1974</t>
  </si>
  <si>
    <t>12/03/1975</t>
  </si>
  <si>
    <t>01/03/1971</t>
  </si>
  <si>
    <t>09/09/1949</t>
  </si>
  <si>
    <t>07/23/1960</t>
  </si>
  <si>
    <t>02/05/1960</t>
  </si>
  <si>
    <t>11/02/1964</t>
  </si>
  <si>
    <t>11/10/1939</t>
  </si>
  <si>
    <t>10/01/1989</t>
  </si>
  <si>
    <t>06/22/1968</t>
  </si>
  <si>
    <t>07/25/1963</t>
  </si>
  <si>
    <t>05/12/2000</t>
  </si>
  <si>
    <t>06/24/1966</t>
  </si>
  <si>
    <t>10/17/1958</t>
  </si>
  <si>
    <t>06/12/1992</t>
  </si>
  <si>
    <t>07/29/1979</t>
  </si>
  <si>
    <t>10/23/1982</t>
  </si>
  <si>
    <t>03/24/1961</t>
  </si>
  <si>
    <t>04/16/1961</t>
  </si>
  <si>
    <t>06/12/1977</t>
  </si>
  <si>
    <t>03/04/1962</t>
  </si>
  <si>
    <t>01/01/1969</t>
  </si>
  <si>
    <t>12/08/1981</t>
  </si>
  <si>
    <t>07/13/1945</t>
  </si>
  <si>
    <t>09/04/1962</t>
  </si>
  <si>
    <t>10/24/1961</t>
  </si>
  <si>
    <t>04/15/1977</t>
  </si>
  <si>
    <t>04/17/1977</t>
  </si>
  <si>
    <t>10/23/1965</t>
  </si>
  <si>
    <t>08/14/1982</t>
  </si>
  <si>
    <t>01/14/1954</t>
  </si>
  <si>
    <t>04/10/1945</t>
  </si>
  <si>
    <t>07/10/1960</t>
  </si>
  <si>
    <t>10/07/1964</t>
  </si>
  <si>
    <t>04/08/1958</t>
  </si>
  <si>
    <t>07/14/1971</t>
  </si>
  <si>
    <t>06/29/1990</t>
  </si>
  <si>
    <t>03/23/1962</t>
  </si>
  <si>
    <t>05/05/1980</t>
  </si>
  <si>
    <t>02/21/1949</t>
  </si>
  <si>
    <t>07/22/1986</t>
  </si>
  <si>
    <t>06/20/1946</t>
  </si>
  <si>
    <t>12/01/1963</t>
  </si>
  <si>
    <t>03/05/1965</t>
  </si>
  <si>
    <t>02/20/1961</t>
  </si>
  <si>
    <t>09/08/1971</t>
  </si>
  <si>
    <t>06/30/1965</t>
  </si>
  <si>
    <t>07/03/1990</t>
  </si>
  <si>
    <t>02/06/1989</t>
  </si>
  <si>
    <t>07/20/1962</t>
  </si>
  <si>
    <t>07/26/1959</t>
  </si>
  <si>
    <t>02/28/1970</t>
  </si>
  <si>
    <t>10/28/1963</t>
  </si>
  <si>
    <t>11/19/1988</t>
  </si>
  <si>
    <t>08/30/1986</t>
  </si>
  <si>
    <t>07/24/1957</t>
  </si>
  <si>
    <t>03/30/1980</t>
  </si>
  <si>
    <t>07/31/1983</t>
  </si>
  <si>
    <t>06/21/1962</t>
  </si>
  <si>
    <t>05/09/1971</t>
  </si>
  <si>
    <t>05/06/1967</t>
  </si>
  <si>
    <t>12/21/1944</t>
  </si>
  <si>
    <t>04/15/1945</t>
  </si>
  <si>
    <t>08/11/1967</t>
  </si>
  <si>
    <t>12/04/1972</t>
  </si>
  <si>
    <t>08/11/1962</t>
  </si>
  <si>
    <t>07/08/1989</t>
  </si>
  <si>
    <t>08/12/1979</t>
  </si>
  <si>
    <t>05/03/1971</t>
  </si>
  <si>
    <t>09/13/1956</t>
  </si>
  <si>
    <t>09/28/1973</t>
  </si>
  <si>
    <t>10/07/1965</t>
  </si>
  <si>
    <t>06/10/1958</t>
  </si>
  <si>
    <t>05/16/1948</t>
  </si>
  <si>
    <t>11/09/1951</t>
  </si>
  <si>
    <t>12/24/1986</t>
  </si>
  <si>
    <t>12/04/1970</t>
  </si>
  <si>
    <t>06/17/1955</t>
  </si>
  <si>
    <t>05/17/1950</t>
  </si>
  <si>
    <t>03/16/1986</t>
  </si>
  <si>
    <t>10/07/1963</t>
  </si>
  <si>
    <t>11/01/1955</t>
  </si>
  <si>
    <t>11/02/1983</t>
  </si>
  <si>
    <t>07/07/1953</t>
  </si>
  <si>
    <t>05/10/1984</t>
  </si>
  <si>
    <t>06/29/1978</t>
  </si>
  <si>
    <t>05/03/1964</t>
  </si>
  <si>
    <t>08/29/1979</t>
  </si>
  <si>
    <t>04/14/1954</t>
  </si>
  <si>
    <t>04/20/1966</t>
  </si>
  <si>
    <t>07/20/1967</t>
  </si>
  <si>
    <t>03/10/1987</t>
  </si>
  <si>
    <t>06/02/1966</t>
  </si>
  <si>
    <t>06/27/1968</t>
  </si>
  <si>
    <t>08/02/1940</t>
  </si>
  <si>
    <t>09/08/1991</t>
  </si>
  <si>
    <t>07/31/1981</t>
  </si>
  <si>
    <t>04/12/1959</t>
  </si>
  <si>
    <t>09/28/1950</t>
  </si>
  <si>
    <t>07/03/1969</t>
  </si>
  <si>
    <t>01/26/1969</t>
  </si>
  <si>
    <t>05/19/1950</t>
  </si>
  <si>
    <t>10/21/1940</t>
  </si>
  <si>
    <t>12/31/1966</t>
  </si>
  <si>
    <t>03/13/1965</t>
  </si>
  <si>
    <t>05/10/1959</t>
  </si>
  <si>
    <t>05/07/1967</t>
  </si>
  <si>
    <t>11/07/1962</t>
  </si>
  <si>
    <t>11/24/1981</t>
  </si>
  <si>
    <t>06/28/1962</t>
  </si>
  <si>
    <t>12/22/1951</t>
  </si>
  <si>
    <t>06/15/1976</t>
  </si>
  <si>
    <t>04/03/1964</t>
  </si>
  <si>
    <t>05/13/1988</t>
  </si>
  <si>
    <t>01/25/1945</t>
  </si>
  <si>
    <t>10/21/1985</t>
  </si>
  <si>
    <t>01/03/1965</t>
  </si>
  <si>
    <t>12/08/1969</t>
  </si>
  <si>
    <t>08/31/1970</t>
  </si>
  <si>
    <t>05/01/1965</t>
  </si>
  <si>
    <t>04/25/1959</t>
  </si>
  <si>
    <t>12/28/1967</t>
  </si>
  <si>
    <t>10/28/1975</t>
  </si>
  <si>
    <t>03/11/1950</t>
  </si>
  <si>
    <t>08/05/1959</t>
  </si>
  <si>
    <t>08/14/1969</t>
  </si>
  <si>
    <t>02/19/1978</t>
  </si>
  <si>
    <t>11/11/1939</t>
  </si>
  <si>
    <t>01/06/1936</t>
  </si>
  <si>
    <t>07/03/1978</t>
  </si>
  <si>
    <t>09/26/1953</t>
  </si>
  <si>
    <t>07/23/1952</t>
  </si>
  <si>
    <t>07/28/1970</t>
  </si>
  <si>
    <t>09/28/1962</t>
  </si>
  <si>
    <t>09/06/1942</t>
  </si>
  <si>
    <t>11/20/1955</t>
  </si>
  <si>
    <t>09/16/1981</t>
  </si>
  <si>
    <t>04/19/1971</t>
  </si>
  <si>
    <t>12/06/1994</t>
  </si>
  <si>
    <t>11/13/1987</t>
  </si>
  <si>
    <t>06/04/1965</t>
  </si>
  <si>
    <t>11/21/1989</t>
  </si>
  <si>
    <t>04/05/1977</t>
  </si>
  <si>
    <t>09/29/1987</t>
  </si>
  <si>
    <t>08/04/1952</t>
  </si>
  <si>
    <t>10/04/1987</t>
  </si>
  <si>
    <t>11/27/1989</t>
  </si>
  <si>
    <t>11/18/1977</t>
  </si>
  <si>
    <t>08/10/1961</t>
  </si>
  <si>
    <t>03/20/1962</t>
  </si>
  <si>
    <t>03/23/1989</t>
  </si>
  <si>
    <t>10/27/1943</t>
  </si>
  <si>
    <t>01/20/1962</t>
  </si>
  <si>
    <t>09/03/1984</t>
  </si>
  <si>
    <t>03/02/1956</t>
  </si>
  <si>
    <t>02/25/1974</t>
  </si>
  <si>
    <t>11/11/1980</t>
  </si>
  <si>
    <t>09/07/1956</t>
  </si>
  <si>
    <t>10/07/1979</t>
  </si>
  <si>
    <t>01/10/1982</t>
  </si>
  <si>
    <t>06/05/1963</t>
  </si>
  <si>
    <t>07/10/1945</t>
  </si>
  <si>
    <t>01/05/1955</t>
  </si>
  <si>
    <t>06/05/1968</t>
  </si>
  <si>
    <t>04/04/1954</t>
  </si>
  <si>
    <t>08/18/1947</t>
  </si>
  <si>
    <t>10/29/1945</t>
  </si>
  <si>
    <t>08/30/1967</t>
  </si>
  <si>
    <t>01/09/1975</t>
  </si>
  <si>
    <t>07/02/1961</t>
  </si>
  <si>
    <t>10/19/1953</t>
  </si>
  <si>
    <t>02/20/1947</t>
  </si>
  <si>
    <t>01/31/1995</t>
  </si>
  <si>
    <t>10/22/1951</t>
  </si>
  <si>
    <t>08/21/1953</t>
  </si>
  <si>
    <t>10/04/1964</t>
  </si>
  <si>
    <t>08/26/1963</t>
  </si>
  <si>
    <t>05/12/1962</t>
  </si>
  <si>
    <t>09/22/1963</t>
  </si>
  <si>
    <t>09/20/1976</t>
  </si>
  <si>
    <t>08/20/1959</t>
  </si>
  <si>
    <t>11/17/1998</t>
  </si>
  <si>
    <t>02/27/1980</t>
  </si>
  <si>
    <t>04/06/1998</t>
  </si>
  <si>
    <t>11/22/1953</t>
  </si>
  <si>
    <t>02/27/1974</t>
  </si>
  <si>
    <t>07/14/1974</t>
  </si>
  <si>
    <t>05/17/1989</t>
  </si>
  <si>
    <t>10/26/1979</t>
  </si>
  <si>
    <t>11/20/1961</t>
  </si>
  <si>
    <t>07/28/1959</t>
  </si>
  <si>
    <t>12/08/1959</t>
  </si>
  <si>
    <t>06/19/1969</t>
  </si>
  <si>
    <t>01/30/1973</t>
  </si>
  <si>
    <t>03/11/1979</t>
  </si>
  <si>
    <t>05/20/1970</t>
  </si>
  <si>
    <t>10/30/1992</t>
  </si>
  <si>
    <t>09/21/1982</t>
  </si>
  <si>
    <t>11/17/1971</t>
  </si>
  <si>
    <t>07/24/1977</t>
  </si>
  <si>
    <t>08/01/1980</t>
  </si>
  <si>
    <t>06/16/1999</t>
  </si>
  <si>
    <t>08/26/1964</t>
  </si>
  <si>
    <t>09/12/1975</t>
  </si>
  <si>
    <t>03/06/1956</t>
  </si>
  <si>
    <t>09/13/1963</t>
  </si>
  <si>
    <t>07/27/1959</t>
  </si>
  <si>
    <t>06/12/1976</t>
  </si>
  <si>
    <t>12/01/1975</t>
  </si>
  <si>
    <t>07/01/1986</t>
  </si>
  <si>
    <t>09/20/1979</t>
  </si>
  <si>
    <t>02/20/1990</t>
  </si>
  <si>
    <t>02/13/1985</t>
  </si>
  <si>
    <t>06/01/1960</t>
  </si>
  <si>
    <t>12/25/1983</t>
  </si>
  <si>
    <t>01/27/1982</t>
  </si>
  <si>
    <t>11/15/1989</t>
  </si>
  <si>
    <t>05/08/1970</t>
  </si>
  <si>
    <t>11/23/1960</t>
  </si>
  <si>
    <t>08/27/1994</t>
  </si>
  <si>
    <t>12/24/1935</t>
  </si>
  <si>
    <t>08/06/1951</t>
  </si>
  <si>
    <t>06/17/1957</t>
  </si>
  <si>
    <t>12/17/1967</t>
  </si>
  <si>
    <t>04/18/1962</t>
  </si>
  <si>
    <t>10/28/1974</t>
  </si>
  <si>
    <t>08/20/1951</t>
  </si>
  <si>
    <t>02/14/1969</t>
  </si>
  <si>
    <t>04/28/1978</t>
  </si>
  <si>
    <t>09/06/1952</t>
  </si>
  <si>
    <t>05/16/1954</t>
  </si>
  <si>
    <t>11/07/1960</t>
  </si>
  <si>
    <t>06/25/1983</t>
  </si>
  <si>
    <t>12/25/1975</t>
  </si>
  <si>
    <t>02/19/1992</t>
  </si>
  <si>
    <t>01/27/1978</t>
  </si>
  <si>
    <t>02/22/1959</t>
  </si>
  <si>
    <t>11/25/1998</t>
  </si>
  <si>
    <t>10/02/1958</t>
  </si>
  <si>
    <t>11/15/1962</t>
  </si>
  <si>
    <t>12/18/1953</t>
  </si>
  <si>
    <t>07/15/1961</t>
  </si>
  <si>
    <t>07/06/1978</t>
  </si>
  <si>
    <t>10/23/1946</t>
  </si>
  <si>
    <t>04/08/1968</t>
  </si>
  <si>
    <t>02/02/1953</t>
  </si>
  <si>
    <t>03/17/1994</t>
  </si>
  <si>
    <t>01/11/1973</t>
  </si>
  <si>
    <t>07/08/1988</t>
  </si>
  <si>
    <t>01/09/1953</t>
  </si>
  <si>
    <t>06/30/1974</t>
  </si>
  <si>
    <t>07/04/1990</t>
  </si>
  <si>
    <t>07/04/1973</t>
  </si>
  <si>
    <t>04/25/1973</t>
  </si>
  <si>
    <t>01/23/1992</t>
  </si>
  <si>
    <t>11/13/1982</t>
  </si>
  <si>
    <t>09/17/1977</t>
  </si>
  <si>
    <t>07/16/1986</t>
  </si>
  <si>
    <t>11/10/1978</t>
  </si>
  <si>
    <t>02/07/1978</t>
  </si>
  <si>
    <t>10/27/1998</t>
  </si>
  <si>
    <t>04/28/1950</t>
  </si>
  <si>
    <t>09/06/1968</t>
  </si>
  <si>
    <t>06/15/1985</t>
  </si>
  <si>
    <t>10/17/1955</t>
  </si>
  <si>
    <t>04/28/1952</t>
  </si>
  <si>
    <t>04/05/1986</t>
  </si>
  <si>
    <t>06/13/1961</t>
  </si>
  <si>
    <t>03/01/1951</t>
  </si>
  <si>
    <t>07/28/1983</t>
  </si>
  <si>
    <t>09/26/1960</t>
  </si>
  <si>
    <t>04/18/1994</t>
  </si>
  <si>
    <t>10/17/1987</t>
  </si>
  <si>
    <t>06/15/1993</t>
  </si>
  <si>
    <t>01/28/1998</t>
  </si>
  <si>
    <t>03/30/1969</t>
  </si>
  <si>
    <t>02/16/1962</t>
  </si>
  <si>
    <t>10/11/1972</t>
  </si>
  <si>
    <t>09/28/1979</t>
  </si>
  <si>
    <t>05/24/1975</t>
  </si>
  <si>
    <t>09/20/1987</t>
  </si>
  <si>
    <t>02/13/1986</t>
  </si>
  <si>
    <t>09/16/1982</t>
  </si>
  <si>
    <t>03/26/1954</t>
  </si>
  <si>
    <t>09/09/1987</t>
  </si>
  <si>
    <t>04/21/1970</t>
  </si>
  <si>
    <t>12/28/1972</t>
  </si>
  <si>
    <t>05/12/1979</t>
  </si>
  <si>
    <t>12/24/1974</t>
  </si>
  <si>
    <t>02/26/1982</t>
  </si>
  <si>
    <t>03/02/1982</t>
  </si>
  <si>
    <t>02/11/1982</t>
  </si>
  <si>
    <t>02/13/1941</t>
  </si>
  <si>
    <t>06/29/1981</t>
  </si>
  <si>
    <t>03/13/1996</t>
  </si>
  <si>
    <t>01/13/1987</t>
  </si>
  <si>
    <t>03/23/1957</t>
  </si>
  <si>
    <t>02/17/1957</t>
  </si>
  <si>
    <t>02/17/1959</t>
  </si>
  <si>
    <t>06/21/1987</t>
  </si>
  <si>
    <t>10/11/1955</t>
  </si>
  <si>
    <t>09/02/1987</t>
  </si>
  <si>
    <t>11/15/1981</t>
  </si>
  <si>
    <t>07/07/1984</t>
  </si>
  <si>
    <t>07/30/1947</t>
  </si>
  <si>
    <t>01/11/1976</t>
  </si>
  <si>
    <t>10/19/1982</t>
  </si>
  <si>
    <t>04/21/1961</t>
  </si>
  <si>
    <t>03/27/1963</t>
  </si>
  <si>
    <t>07/26/1970</t>
  </si>
  <si>
    <t>01/27/1980</t>
  </si>
  <si>
    <t>10/23/1976</t>
  </si>
  <si>
    <t>05/05/1970</t>
  </si>
  <si>
    <t>05/14/1955</t>
  </si>
  <si>
    <t>11/26/1950</t>
  </si>
  <si>
    <t>05/30/1988</t>
  </si>
  <si>
    <t>02/18/1994</t>
  </si>
  <si>
    <t>11/11/1992</t>
  </si>
  <si>
    <t>03/30/1993</t>
  </si>
  <si>
    <t>12/21/1987</t>
  </si>
  <si>
    <t>05/09/1976</t>
  </si>
  <si>
    <t>01/08/1995</t>
  </si>
  <si>
    <t>11/13/1978</t>
  </si>
  <si>
    <t>07/03/1980</t>
  </si>
  <si>
    <t>01/19/1957</t>
  </si>
  <si>
    <t>09/25/1950</t>
  </si>
  <si>
    <t>10/28/1986</t>
  </si>
  <si>
    <t>05/05/1968</t>
  </si>
  <si>
    <t>07/13/1992</t>
  </si>
  <si>
    <t>08/24/1968</t>
  </si>
  <si>
    <t>10/06/1966</t>
  </si>
  <si>
    <t>04/18/1982</t>
  </si>
  <si>
    <t>07/22/1963</t>
  </si>
  <si>
    <t>05/02/1985</t>
  </si>
  <si>
    <t>11/06/1983</t>
  </si>
  <si>
    <t>03/14/1970</t>
  </si>
  <si>
    <t>12/15/1971</t>
  </si>
  <si>
    <t>07/13/1982</t>
  </si>
  <si>
    <t>07/21/1960</t>
  </si>
  <si>
    <t>01/08/1984</t>
  </si>
  <si>
    <t>12/16/1986</t>
  </si>
  <si>
    <t>10/09/1978</t>
  </si>
  <si>
    <t>04/28/1947</t>
  </si>
  <si>
    <t>04/25/1961</t>
  </si>
  <si>
    <t>12/30/1971</t>
  </si>
  <si>
    <t>04/21/1992</t>
  </si>
  <si>
    <t>03/04/1979</t>
  </si>
  <si>
    <t>08/02/1974</t>
  </si>
  <si>
    <t>11/10/1959</t>
  </si>
  <si>
    <t>05/26/1988</t>
  </si>
  <si>
    <t>10/27/1973</t>
  </si>
  <si>
    <t>09/06/1987</t>
  </si>
  <si>
    <t>07/07/1956</t>
  </si>
  <si>
    <t>12/26/1976</t>
  </si>
  <si>
    <t>06/23/1987</t>
  </si>
  <si>
    <t>01/16/1990</t>
  </si>
  <si>
    <t>061-80-7115</t>
  </si>
  <si>
    <t>131-98-4050</t>
  </si>
  <si>
    <t>112-52-3288</t>
  </si>
  <si>
    <t>115-88-5127</t>
  </si>
  <si>
    <t>127-58-6921</t>
  </si>
  <si>
    <t>121-46-4394</t>
  </si>
  <si>
    <t>000-00-2247</t>
  </si>
  <si>
    <t>103-62-3660</t>
  </si>
  <si>
    <t>094-64-7196</t>
  </si>
  <si>
    <t>121-48-5149</t>
  </si>
  <si>
    <t>076-82-0813</t>
  </si>
  <si>
    <t>076-60-2503</t>
  </si>
  <si>
    <t>760-54-7947</t>
  </si>
  <si>
    <t>000-00-8810</t>
  </si>
  <si>
    <t>075-92-4099</t>
  </si>
  <si>
    <t>156-42-7140</t>
  </si>
  <si>
    <t>000-00-9126</t>
  </si>
  <si>
    <t>000-00-6375</t>
  </si>
  <si>
    <t>115-62-1133</t>
  </si>
  <si>
    <t>000-00-4035</t>
  </si>
  <si>
    <t>263-99-2839</t>
  </si>
  <si>
    <t>078-70-2922</t>
  </si>
  <si>
    <t>000-00-7531</t>
  </si>
  <si>
    <t>129-42-1081</t>
  </si>
  <si>
    <t>000-00-3625</t>
  </si>
  <si>
    <t>000-00-4236</t>
  </si>
  <si>
    <t>059-42-2791</t>
  </si>
  <si>
    <t>106-72-5433</t>
  </si>
  <si>
    <t>097-84-1599</t>
  </si>
  <si>
    <t>067-72-8277</t>
  </si>
  <si>
    <t>066-98-2970</t>
  </si>
  <si>
    <t>000-00-1932</t>
  </si>
  <si>
    <t>591-23-6237</t>
  </si>
  <si>
    <t>000-00-8825</t>
  </si>
  <si>
    <t>060-64-5080</t>
  </si>
  <si>
    <t>058-92-1473</t>
  </si>
  <si>
    <t>087-92-3998</t>
  </si>
  <si>
    <t>000-00-1501</t>
  </si>
  <si>
    <t>000-00-3368</t>
  </si>
  <si>
    <t>592-45-9653</t>
  </si>
  <si>
    <t>270-37-5108</t>
  </si>
  <si>
    <t>073-44-8389</t>
  </si>
  <si>
    <t>132-82-3063</t>
  </si>
  <si>
    <t>086-72-7785</t>
  </si>
  <si>
    <t>000-00-6844</t>
  </si>
  <si>
    <t>133-80-0298</t>
  </si>
  <si>
    <t>121-96-6367</t>
  </si>
  <si>
    <t>245-19-0937</t>
  </si>
  <si>
    <t>000-00-0655</t>
  </si>
  <si>
    <t>107-68-0415</t>
  </si>
  <si>
    <t>096-50-1500</t>
  </si>
  <si>
    <t>000-00-1216</t>
  </si>
  <si>
    <t>076-80-7904</t>
  </si>
  <si>
    <t>000-00-4041</t>
  </si>
  <si>
    <t>000-00-5704</t>
  </si>
  <si>
    <t>082-86-8099</t>
  </si>
  <si>
    <t>000-00-4861</t>
  </si>
  <si>
    <t>000-00-4412</t>
  </si>
  <si>
    <t>000-00-1119</t>
  </si>
  <si>
    <t>125-90-6055</t>
  </si>
  <si>
    <t>103-58-4294</t>
  </si>
  <si>
    <t>127-58-7981</t>
  </si>
  <si>
    <t>000-00-4196</t>
  </si>
  <si>
    <t>096-88-7307</t>
  </si>
  <si>
    <t>058-76-4962</t>
  </si>
  <si>
    <t>148-40-0566</t>
  </si>
  <si>
    <t>000-00-5470</t>
  </si>
  <si>
    <t>052-44-7744</t>
  </si>
  <si>
    <t>000-00-6553</t>
  </si>
  <si>
    <t>092-64-6567</t>
  </si>
  <si>
    <t>128-48-3275</t>
  </si>
  <si>
    <t>072-64-1343</t>
  </si>
  <si>
    <t>000-00-7323</t>
  </si>
  <si>
    <t>000-00-4856</t>
  </si>
  <si>
    <t>067-76-2825</t>
  </si>
  <si>
    <t>057-34-9054</t>
  </si>
  <si>
    <t>000-00-5682</t>
  </si>
  <si>
    <t>000-00-7285</t>
  </si>
  <si>
    <t>091-42-4424</t>
  </si>
  <si>
    <t>000-00-8408</t>
  </si>
  <si>
    <t>084-68-4470</t>
  </si>
  <si>
    <t>000-00-2374</t>
  </si>
  <si>
    <t>000-00-0034</t>
  </si>
  <si>
    <t>000-00-8158</t>
  </si>
  <si>
    <t>000-00-3682</t>
  </si>
  <si>
    <t>159-64-1282</t>
  </si>
  <si>
    <t>038-62-6383</t>
  </si>
  <si>
    <t>000-00-2327</t>
  </si>
  <si>
    <t>000-00-1159</t>
  </si>
  <si>
    <t>000-00-7019</t>
  </si>
  <si>
    <t>116-56-0822</t>
  </si>
  <si>
    <t>091-90-6224</t>
  </si>
  <si>
    <t>068-58-5875</t>
  </si>
  <si>
    <t>220-06-4793</t>
  </si>
  <si>
    <t>128-94-2172</t>
  </si>
  <si>
    <t>054-58-7116</t>
  </si>
  <si>
    <t>000-00-9627</t>
  </si>
  <si>
    <t>131-76-7640</t>
  </si>
  <si>
    <t>000-00-6212</t>
  </si>
  <si>
    <t>384-11-9733</t>
  </si>
  <si>
    <t>000-00-0050</t>
  </si>
  <si>
    <t>000-00-0700</t>
  </si>
  <si>
    <t>000-00-4891</t>
  </si>
  <si>
    <t>591-54-8293</t>
  </si>
  <si>
    <t>317-35-8147</t>
  </si>
  <si>
    <t>075-72-7634</t>
  </si>
  <si>
    <t>027-72-6388</t>
  </si>
  <si>
    <t>115-74-9052</t>
  </si>
  <si>
    <t>119-76-1432</t>
  </si>
  <si>
    <t>080-86-0776</t>
  </si>
  <si>
    <t>000-00-0956</t>
  </si>
  <si>
    <t>000-00-1174</t>
  </si>
  <si>
    <t>053-88-9659</t>
  </si>
  <si>
    <t>091-56-2070</t>
  </si>
  <si>
    <t>668-34-5027</t>
  </si>
  <si>
    <t>126-46-2645</t>
  </si>
  <si>
    <t>117-54-9819</t>
  </si>
  <si>
    <t>090-83-3870</t>
  </si>
  <si>
    <t>095-68-3768</t>
  </si>
  <si>
    <t>109-84-6043</t>
  </si>
  <si>
    <t>122-56-9500</t>
  </si>
  <si>
    <t>072-86-8950</t>
  </si>
  <si>
    <t>098-56-4787</t>
  </si>
  <si>
    <t>000-00-8962</t>
  </si>
  <si>
    <t>000-00-0884</t>
  </si>
  <si>
    <t>718-66-9098</t>
  </si>
  <si>
    <t>055-68-1758</t>
  </si>
  <si>
    <t>000-00-6118</t>
  </si>
  <si>
    <t>000-00-7757</t>
  </si>
  <si>
    <t>067-74-8168</t>
  </si>
  <si>
    <t>050-98-5636</t>
  </si>
  <si>
    <t>000-00-8807</t>
  </si>
  <si>
    <t>000-00-4770</t>
  </si>
  <si>
    <t>063-74-0604</t>
  </si>
  <si>
    <t>075-64-9600</t>
  </si>
  <si>
    <t>000-00-8939</t>
  </si>
  <si>
    <t>067-62-5487</t>
  </si>
  <si>
    <t>129-88-3969</t>
  </si>
  <si>
    <t>128-64-7899</t>
  </si>
  <si>
    <t>069-90-3023</t>
  </si>
  <si>
    <t>079-66-0530</t>
  </si>
  <si>
    <t>224-17-4997</t>
  </si>
  <si>
    <t>077-44-9024</t>
  </si>
  <si>
    <t>000-00-7147</t>
  </si>
  <si>
    <t>086-80-3130</t>
  </si>
  <si>
    <t>103-35-1525</t>
  </si>
  <si>
    <t>000-00-9841</t>
  </si>
  <si>
    <t>000-00-1647</t>
  </si>
  <si>
    <t>000-00-6043</t>
  </si>
  <si>
    <t>000-00-6654</t>
  </si>
  <si>
    <t>082-68-9233</t>
  </si>
  <si>
    <t>000-00-9530</t>
  </si>
  <si>
    <t>055-62-2445</t>
  </si>
  <si>
    <t>064-80-7375</t>
  </si>
  <si>
    <t>120-58-9462</t>
  </si>
  <si>
    <t>067-92-2104</t>
  </si>
  <si>
    <t>100-67-3024</t>
  </si>
  <si>
    <t>000-00-4410</t>
  </si>
  <si>
    <t>119-68-7068</t>
  </si>
  <si>
    <t>057-78-3469</t>
  </si>
  <si>
    <t>095-74-5808</t>
  </si>
  <si>
    <t>056-70-0155</t>
  </si>
  <si>
    <t>129-42-0347</t>
  </si>
  <si>
    <t>112-62-7928</t>
  </si>
  <si>
    <t>000-00-9526</t>
  </si>
  <si>
    <t>129-72-5690</t>
  </si>
  <si>
    <t>125-86-9638</t>
  </si>
  <si>
    <t>072-60-5007</t>
  </si>
  <si>
    <t>116-74-0383</t>
  </si>
  <si>
    <t>000-00-0224</t>
  </si>
  <si>
    <t>079-86-9141</t>
  </si>
  <si>
    <t>000-00-3830</t>
  </si>
  <si>
    <t>109-34-1440</t>
  </si>
  <si>
    <t>083-62-5171</t>
  </si>
  <si>
    <t>000-00-7259</t>
  </si>
  <si>
    <t>070-78-5857</t>
  </si>
  <si>
    <t>087-72-2214</t>
  </si>
  <si>
    <t>076-36-0217</t>
  </si>
  <si>
    <t>093-92-6312</t>
  </si>
  <si>
    <t>000-00-1034</t>
  </si>
  <si>
    <t>070-74-5729</t>
  </si>
  <si>
    <t>258-87-6669</t>
  </si>
  <si>
    <t>089-80-6032</t>
  </si>
  <si>
    <t>053-60-1689</t>
  </si>
  <si>
    <t>115-76-2287</t>
  </si>
  <si>
    <t>000-00-2763</t>
  </si>
  <si>
    <t>247-35-7529</t>
  </si>
  <si>
    <t>092-56-8264</t>
  </si>
  <si>
    <t>059-90-7583</t>
  </si>
  <si>
    <t>059-72-6348</t>
  </si>
  <si>
    <t>596-48-6132</t>
  </si>
  <si>
    <t>000-00-8569</t>
  </si>
  <si>
    <t>174-54-3954</t>
  </si>
  <si>
    <t>127-68-8751</t>
  </si>
  <si>
    <t>117-86-6585</t>
  </si>
  <si>
    <t>097-56-2174</t>
  </si>
  <si>
    <t>072-66-3828</t>
  </si>
  <si>
    <t>093-70-3291</t>
  </si>
  <si>
    <t>716-53-6837</t>
  </si>
  <si>
    <t>134-56-6932</t>
  </si>
  <si>
    <t>110-86-3325</t>
  </si>
  <si>
    <t>072-56-7435</t>
  </si>
  <si>
    <t>081-80-2016</t>
  </si>
  <si>
    <t>580-13-4649</t>
  </si>
  <si>
    <t>068-80-9536</t>
  </si>
  <si>
    <t>073-74-4845</t>
  </si>
  <si>
    <t>127-80-6037</t>
  </si>
  <si>
    <t>084-80-4338</t>
  </si>
  <si>
    <t>082-02-5060</t>
  </si>
  <si>
    <t>100-74-5236</t>
  </si>
  <si>
    <t>077-74-4992</t>
  </si>
  <si>
    <t>100-48-4746</t>
  </si>
  <si>
    <t>101-66-6319</t>
  </si>
  <si>
    <t>058-70-9553</t>
  </si>
  <si>
    <t>078-86-9083</t>
  </si>
  <si>
    <t>106-64-3802</t>
  </si>
  <si>
    <t>111-56-7396</t>
  </si>
  <si>
    <t>100-52-0179</t>
  </si>
  <si>
    <t>054-82-3620</t>
  </si>
  <si>
    <t>071-50-4918</t>
  </si>
  <si>
    <t>051-58-4721</t>
  </si>
  <si>
    <t>114-56-6587</t>
  </si>
  <si>
    <t>250-69-1996</t>
  </si>
  <si>
    <t>129-82-5693</t>
  </si>
  <si>
    <t>598-84-4152</t>
  </si>
  <si>
    <t>104-48-9084</t>
  </si>
  <si>
    <t>058-58-8153</t>
  </si>
  <si>
    <t>071-60-6615</t>
  </si>
  <si>
    <t>094-44-4993</t>
  </si>
  <si>
    <t>073-42-1573</t>
  </si>
  <si>
    <t>102-48-6868</t>
  </si>
  <si>
    <t>753-46-7607</t>
  </si>
  <si>
    <t>117-68-4511</t>
  </si>
  <si>
    <t>082-46-4681</t>
  </si>
  <si>
    <t>119-44-9027</t>
  </si>
  <si>
    <t>066-68-3070</t>
  </si>
  <si>
    <t>100-43-7140</t>
  </si>
  <si>
    <t>057-74-7612</t>
  </si>
  <si>
    <t>582-83-5451</t>
  </si>
  <si>
    <t>075-46-6790</t>
  </si>
  <si>
    <t>119-66-8939</t>
  </si>
  <si>
    <t>133-64-1123</t>
  </si>
  <si>
    <t>072-70-0675</t>
  </si>
  <si>
    <t>125-84-6531</t>
  </si>
  <si>
    <t>108-86-4731</t>
  </si>
  <si>
    <t>896-62-9819</t>
  </si>
  <si>
    <t>230-74-6181</t>
  </si>
  <si>
    <t>072-66-6595</t>
  </si>
  <si>
    <t>127-64-6009</t>
  </si>
  <si>
    <t>122-84-4594</t>
  </si>
  <si>
    <t>068-76-5145</t>
  </si>
  <si>
    <t>128-86-3043</t>
  </si>
  <si>
    <t>059-02-0682</t>
  </si>
  <si>
    <t>091-80-0654</t>
  </si>
  <si>
    <t>112-58-1659</t>
  </si>
  <si>
    <t>063-64-3960</t>
  </si>
  <si>
    <t>356-73-4440</t>
  </si>
  <si>
    <t>113-92-8641</t>
  </si>
  <si>
    <t>581-17-2527</t>
  </si>
  <si>
    <t>066-64-1544</t>
  </si>
  <si>
    <t>091-80-6174</t>
  </si>
  <si>
    <t>119-76-2239</t>
  </si>
  <si>
    <t>105-78-5632</t>
  </si>
  <si>
    <t>053-92-6913</t>
  </si>
  <si>
    <t>059-70-4875</t>
  </si>
  <si>
    <t>128-60-5427</t>
  </si>
  <si>
    <t>056-62-5869</t>
  </si>
  <si>
    <t>595-18-2903</t>
  </si>
  <si>
    <t>132-56-2258</t>
  </si>
  <si>
    <t>580-21-5253</t>
  </si>
  <si>
    <t>041-99-9617</t>
  </si>
  <si>
    <t>599-30-6722</t>
  </si>
  <si>
    <t>062-70-5281</t>
  </si>
  <si>
    <t>063-96-6689</t>
  </si>
  <si>
    <t>100-02-5140</t>
  </si>
  <si>
    <t>090-64-2104</t>
  </si>
  <si>
    <t>094-56-2120</t>
  </si>
  <si>
    <t>052-88-6592</t>
  </si>
  <si>
    <t>113-78-0084</t>
  </si>
  <si>
    <t>129-44-0476</t>
  </si>
  <si>
    <t>086-60-9667</t>
  </si>
  <si>
    <t>099-88-6051</t>
  </si>
  <si>
    <t>070-74-0645</t>
  </si>
  <si>
    <t>074-58-4288</t>
  </si>
  <si>
    <t>130-68-1772</t>
  </si>
  <si>
    <t>080-54-5004</t>
  </si>
  <si>
    <t>106-94-5307</t>
  </si>
  <si>
    <t>129-84-5574</t>
  </si>
  <si>
    <t>127-66-4955</t>
  </si>
  <si>
    <t>085-64-7245</t>
  </si>
  <si>
    <t>687-18-4267</t>
  </si>
  <si>
    <t>072-76-7496</t>
  </si>
  <si>
    <t>069-58-2284</t>
  </si>
  <si>
    <t>295-08-1363</t>
  </si>
  <si>
    <t>120-74-2691</t>
  </si>
  <si>
    <t>239-25-8334</t>
  </si>
  <si>
    <t>100-92-7874</t>
  </si>
  <si>
    <t>213-29-2210</t>
  </si>
  <si>
    <t>000-00-0642</t>
  </si>
  <si>
    <t>096-68-1376</t>
  </si>
  <si>
    <t>097-56-8499</t>
  </si>
  <si>
    <t>101-88-9399</t>
  </si>
  <si>
    <t>101-78-4889</t>
  </si>
  <si>
    <t>094-52-5487</t>
  </si>
  <si>
    <t>132-68-3499</t>
  </si>
  <si>
    <t>106-60-2468</t>
  </si>
  <si>
    <t>057-58-6095</t>
  </si>
  <si>
    <t>119-62-1549</t>
  </si>
  <si>
    <t>074-58-4782</t>
  </si>
  <si>
    <t>000-00-9794</t>
  </si>
  <si>
    <t>072-40-9046</t>
  </si>
  <si>
    <t>102-80-1013</t>
  </si>
  <si>
    <t>122-86-6587</t>
  </si>
  <si>
    <t>000-00-0000</t>
  </si>
  <si>
    <t>893-33-8377</t>
  </si>
  <si>
    <t>091-84-0704</t>
  </si>
  <si>
    <t>131-52-0779</t>
  </si>
  <si>
    <t>053-54-7371</t>
  </si>
  <si>
    <t>000-00-7021</t>
  </si>
  <si>
    <t>069-58-0987</t>
  </si>
  <si>
    <t>584-92-3882</t>
  </si>
  <si>
    <t>104-68-1566</t>
  </si>
  <si>
    <t>080-68-1616</t>
  </si>
  <si>
    <t>088-74-8465</t>
  </si>
  <si>
    <t>117-90-7908</t>
  </si>
  <si>
    <t>091-58-8600</t>
  </si>
  <si>
    <t>063-56-0560</t>
  </si>
  <si>
    <t>012-64-4773</t>
  </si>
  <si>
    <t>095-90-9026</t>
  </si>
  <si>
    <t>067-66-8911</t>
  </si>
  <si>
    <t>086-76-2933</t>
  </si>
  <si>
    <t>000-00-6034</t>
  </si>
  <si>
    <t>064-66-5547</t>
  </si>
  <si>
    <t>000-00-6466</t>
  </si>
  <si>
    <t>079-66-1818</t>
  </si>
  <si>
    <t>115-76-6280</t>
  </si>
  <si>
    <t>126-76-4099</t>
  </si>
  <si>
    <t>080-70-6246</t>
  </si>
  <si>
    <t>096-70-7153</t>
  </si>
  <si>
    <t>083-82-4872</t>
  </si>
  <si>
    <t>070-02-0436</t>
  </si>
  <si>
    <t>058-08-6084</t>
  </si>
  <si>
    <t>063-50-2805</t>
  </si>
  <si>
    <t>084-58-5885</t>
  </si>
  <si>
    <t>294-83-4280</t>
  </si>
  <si>
    <t>067-84-2757</t>
  </si>
  <si>
    <t>096-56-7923</t>
  </si>
  <si>
    <t>089-68-4376</t>
  </si>
  <si>
    <t>076-62-1681</t>
  </si>
  <si>
    <t>060-60-3274</t>
  </si>
  <si>
    <t>085-50-9077</t>
  </si>
  <si>
    <t>059-50-2489</t>
  </si>
  <si>
    <t>581-90-3205</t>
  </si>
  <si>
    <t>110-66-4764</t>
  </si>
  <si>
    <t>088-58-2391</t>
  </si>
  <si>
    <t>114-70-2595</t>
  </si>
  <si>
    <t>062-62-0711</t>
  </si>
  <si>
    <t>082-46-5855</t>
  </si>
  <si>
    <t>255-13-9166</t>
  </si>
  <si>
    <t>178-24-4163</t>
  </si>
  <si>
    <t>095-02-7209</t>
  </si>
  <si>
    <t>100-58-2434</t>
  </si>
  <si>
    <t>078-98-6891</t>
  </si>
  <si>
    <t>073-48-8107</t>
  </si>
  <si>
    <t>090-88-3948</t>
  </si>
  <si>
    <t>127-36-9940</t>
  </si>
  <si>
    <t>118-84-5702</t>
  </si>
  <si>
    <t>421-91-5113</t>
  </si>
  <si>
    <t>115-98-4810</t>
  </si>
  <si>
    <t>131-86-0022</t>
  </si>
  <si>
    <t>206-44-9645</t>
  </si>
  <si>
    <t>113-58-6234</t>
  </si>
  <si>
    <t>088-96-9483</t>
  </si>
  <si>
    <t>087-60-0433</t>
  </si>
  <si>
    <t>117-72-2566</t>
  </si>
  <si>
    <t>129-46-7944</t>
  </si>
  <si>
    <t>598-52-6327</t>
  </si>
  <si>
    <t>086-56-0313</t>
  </si>
  <si>
    <t>122-98-7891</t>
  </si>
  <si>
    <t>070-15-9599</t>
  </si>
  <si>
    <t>063-82-7448</t>
  </si>
  <si>
    <t>075-82-1887</t>
  </si>
  <si>
    <t>073-52-2918</t>
  </si>
  <si>
    <t>113-80-0755</t>
  </si>
  <si>
    <t>134-86-2996</t>
  </si>
  <si>
    <t>584-85-7908</t>
  </si>
  <si>
    <t>103-38-8186</t>
  </si>
  <si>
    <t>186-78-2608</t>
  </si>
  <si>
    <t>077-58-9468</t>
  </si>
  <si>
    <t>109-82-9461</t>
  </si>
  <si>
    <t>098-58-4620</t>
  </si>
  <si>
    <t>599-13-4161</t>
  </si>
  <si>
    <t>072-86-7414</t>
  </si>
  <si>
    <t>105-98-4678</t>
  </si>
  <si>
    <t>057-80-5215</t>
  </si>
  <si>
    <t>094-44-7329</t>
  </si>
  <si>
    <t>101-74-9641</t>
  </si>
  <si>
    <t>349-69-0608</t>
  </si>
  <si>
    <t>035-74-9104</t>
  </si>
  <si>
    <t>071-58-6936</t>
  </si>
  <si>
    <t>132-84-1470</t>
  </si>
  <si>
    <t>581-83-1038</t>
  </si>
  <si>
    <t>068-58-5931</t>
  </si>
  <si>
    <t>114-82-1539</t>
  </si>
  <si>
    <t>119-50-5441</t>
  </si>
  <si>
    <t>596-30-6691</t>
  </si>
  <si>
    <t>128-55-9155</t>
  </si>
  <si>
    <t>069-60-8106</t>
  </si>
  <si>
    <t>465-00-0000</t>
  </si>
  <si>
    <t>088-60-7430</t>
  </si>
  <si>
    <t>110-92-6213</t>
  </si>
  <si>
    <t>118-88-9107</t>
  </si>
  <si>
    <t>823-18-4139</t>
  </si>
  <si>
    <t>076-86-3678</t>
  </si>
  <si>
    <t>124-56-9596</t>
  </si>
  <si>
    <t>090-68-8414</t>
  </si>
  <si>
    <t>599-24-5532</t>
  </si>
  <si>
    <t>815-06-8289</t>
  </si>
  <si>
    <t>033-49-0701</t>
  </si>
  <si>
    <t>091-80-5585</t>
  </si>
  <si>
    <t>119-50-9701</t>
  </si>
  <si>
    <t>057-84-1589</t>
  </si>
  <si>
    <t>084-48-5648</t>
  </si>
  <si>
    <t>060-78-2331</t>
  </si>
  <si>
    <t>128-46-1250</t>
  </si>
  <si>
    <t>584-33-1406</t>
  </si>
  <si>
    <t>078-74-6421</t>
  </si>
  <si>
    <t>112-86-9975</t>
  </si>
  <si>
    <t>100-64-8971</t>
  </si>
  <si>
    <t>120-82-3394</t>
  </si>
  <si>
    <t>118-58-0924</t>
  </si>
  <si>
    <t>127-46-0384</t>
  </si>
  <si>
    <t>117-56-5788</t>
  </si>
  <si>
    <t>223-87-9376</t>
  </si>
  <si>
    <t>055-86-4252</t>
  </si>
  <si>
    <t>057-58-2207</t>
  </si>
  <si>
    <t>108-60-7775</t>
  </si>
  <si>
    <t>076-78-3782</t>
  </si>
  <si>
    <t>063-58-6655</t>
  </si>
  <si>
    <t>103-44-6088</t>
  </si>
  <si>
    <t>106-88-2630</t>
  </si>
  <si>
    <t>082-82-2767</t>
  </si>
  <si>
    <t>068-84-0742</t>
  </si>
  <si>
    <t>115-60-5156</t>
  </si>
  <si>
    <t>770-72-5728</t>
  </si>
  <si>
    <t>080-82-9202</t>
  </si>
  <si>
    <t>063-70-2565</t>
  </si>
  <si>
    <t>085-55-2555</t>
  </si>
  <si>
    <t>729-09-8596</t>
  </si>
  <si>
    <t>097-56-3862</t>
  </si>
  <si>
    <t>082-46-2689</t>
  </si>
  <si>
    <t>000-00-1480</t>
  </si>
  <si>
    <t>063-70-6161</t>
  </si>
  <si>
    <t>105-64-6473</t>
  </si>
  <si>
    <t>123-64-8619</t>
  </si>
  <si>
    <t>058-42-2387</t>
  </si>
  <si>
    <t>102-94-5458</t>
  </si>
  <si>
    <t>115-70-2021</t>
  </si>
  <si>
    <t>090-66-4257</t>
  </si>
  <si>
    <t>131-74-8039</t>
  </si>
  <si>
    <t>075-62-0942</t>
  </si>
  <si>
    <t>105-84-2067</t>
  </si>
  <si>
    <t>111-86-9254</t>
  </si>
  <si>
    <t>059-58-0435</t>
  </si>
  <si>
    <t>758-21-3761</t>
  </si>
  <si>
    <t>128-66-0146</t>
  </si>
  <si>
    <t>562-71-5766</t>
  </si>
  <si>
    <t>096-76-8412</t>
  </si>
  <si>
    <t>930-72-6024</t>
  </si>
  <si>
    <t>110-60-9790</t>
  </si>
  <si>
    <t>596-82-0291</t>
  </si>
  <si>
    <t>153-78-9628</t>
  </si>
  <si>
    <t>000-00-2794</t>
  </si>
  <si>
    <t>063-64-9253</t>
  </si>
  <si>
    <t>077-58-3007</t>
  </si>
  <si>
    <t>596-50-8071</t>
  </si>
  <si>
    <t>128-66-9299</t>
  </si>
  <si>
    <t>117-78-5428</t>
  </si>
  <si>
    <t>581-31-8733</t>
  </si>
  <si>
    <t>505-99-3087</t>
  </si>
  <si>
    <t>000-00-1181</t>
  </si>
  <si>
    <t>091-58-9904</t>
  </si>
  <si>
    <t>090-60-9105</t>
  </si>
  <si>
    <t>124-74-5121</t>
  </si>
  <si>
    <t>132-70-1122</t>
  </si>
  <si>
    <t>318-52-7710</t>
  </si>
  <si>
    <t>102-62-1978</t>
  </si>
  <si>
    <t>116-64-1813</t>
  </si>
  <si>
    <t>109-54-5104</t>
  </si>
  <si>
    <t>061-66-0530</t>
  </si>
  <si>
    <t>142-62-0545</t>
  </si>
  <si>
    <t>081-46-5846</t>
  </si>
  <si>
    <t>077-68-5171</t>
  </si>
  <si>
    <t>582-94-6227</t>
  </si>
  <si>
    <t>068-64-1333</t>
  </si>
  <si>
    <t>063-70-7055</t>
  </si>
  <si>
    <t>081-84-7167</t>
  </si>
  <si>
    <t>410-77-1252</t>
  </si>
  <si>
    <t>082-40-4491</t>
  </si>
  <si>
    <t>113-88-5521</t>
  </si>
  <si>
    <t>006-97-4948</t>
  </si>
  <si>
    <t>154-50-9446</t>
  </si>
  <si>
    <t>102-58-1032</t>
  </si>
  <si>
    <t>125-44-0274</t>
  </si>
  <si>
    <t>117-34-3243</t>
  </si>
  <si>
    <t>100-28-5597</t>
  </si>
  <si>
    <t>118-62-0389</t>
  </si>
  <si>
    <t>112-56-0460</t>
  </si>
  <si>
    <t>133-90-0489</t>
  </si>
  <si>
    <t>094-52-8972</t>
  </si>
  <si>
    <t>054-64-8978</t>
  </si>
  <si>
    <t>066-58-1175</t>
  </si>
  <si>
    <t>055-60-1207</t>
  </si>
  <si>
    <t>086-70-5208</t>
  </si>
  <si>
    <t>105-84-4205</t>
  </si>
  <si>
    <t>110-54-8821</t>
  </si>
  <si>
    <t>103-60-7312</t>
  </si>
  <si>
    <t>089-64-1488</t>
  </si>
  <si>
    <t>054-58-9288</t>
  </si>
  <si>
    <t>134-30-6863</t>
  </si>
  <si>
    <t>100-76-5378</t>
  </si>
  <si>
    <t>108-66-8695</t>
  </si>
  <si>
    <t>057-60-9812</t>
  </si>
  <si>
    <t>058-90-6025</t>
  </si>
  <si>
    <t>117-56-5511</t>
  </si>
  <si>
    <t>060-54-2293</t>
  </si>
  <si>
    <t>124-98-7250</t>
  </si>
  <si>
    <t>070-64-3736</t>
  </si>
  <si>
    <t>319-41-3152</t>
  </si>
  <si>
    <t>262-27-8124</t>
  </si>
  <si>
    <t>107-80-5800</t>
  </si>
  <si>
    <t>102-64-1767</t>
  </si>
  <si>
    <t>069-56-6290</t>
  </si>
  <si>
    <t>100-54-2439</t>
  </si>
  <si>
    <t>084-66-0268</t>
  </si>
  <si>
    <t>129-34-0746</t>
  </si>
  <si>
    <t>115-56-0318</t>
  </si>
  <si>
    <t>071-54-5016</t>
  </si>
  <si>
    <t>077-60-7676</t>
  </si>
  <si>
    <t>099-68-3529</t>
  </si>
  <si>
    <t>102-62-2178</t>
  </si>
  <si>
    <t>081-86-3596</t>
  </si>
  <si>
    <t>371-02-0875</t>
  </si>
  <si>
    <t>133-46-6454</t>
  </si>
  <si>
    <t>059-36-8266</t>
  </si>
  <si>
    <t>064-72-8032</t>
  </si>
  <si>
    <t>135-66-8052</t>
  </si>
  <si>
    <t>077-62-5804</t>
  </si>
  <si>
    <t>033-72-7061</t>
  </si>
  <si>
    <t>101-56-1448</t>
  </si>
  <si>
    <t>114-84-6814</t>
  </si>
  <si>
    <t>068-62-8316</t>
  </si>
  <si>
    <t>114-72-3265</t>
  </si>
  <si>
    <t>128-90-7212</t>
  </si>
  <si>
    <t>584-08-2150</t>
  </si>
  <si>
    <t>059-86-5981</t>
  </si>
  <si>
    <t>062-58-0034</t>
  </si>
  <si>
    <t>115-56-1846</t>
  </si>
  <si>
    <t>146-92-0194</t>
  </si>
  <si>
    <t>060-78-3270</t>
  </si>
  <si>
    <t>068-60-0172</t>
  </si>
  <si>
    <t>126-48-4974</t>
  </si>
  <si>
    <t>053-66-4996</t>
  </si>
  <si>
    <t>206-48-8604</t>
  </si>
  <si>
    <t>114-74-7143</t>
  </si>
  <si>
    <t>063-72-1690</t>
  </si>
  <si>
    <t>407-90-0955</t>
  </si>
  <si>
    <t>084-64-2094</t>
  </si>
  <si>
    <t>060-70-2064</t>
  </si>
  <si>
    <t>053-60-2846</t>
  </si>
  <si>
    <t>147-56-0132</t>
  </si>
  <si>
    <t>098-62-0232</t>
  </si>
  <si>
    <t>137-88-0774</t>
  </si>
  <si>
    <t>078-32-1113</t>
  </si>
  <si>
    <t>056-58-0867</t>
  </si>
  <si>
    <t>080-72-9082</t>
  </si>
  <si>
    <t>074-60-0612</t>
  </si>
  <si>
    <t>090-76-0625</t>
  </si>
  <si>
    <t>122-60-0938</t>
  </si>
  <si>
    <t>186-56-3012</t>
  </si>
  <si>
    <t>116-46-4869</t>
  </si>
  <si>
    <t>078-72-4853</t>
  </si>
  <si>
    <t>130-66-6880</t>
  </si>
  <si>
    <t>121-78-3442</t>
  </si>
  <si>
    <t>091-40-2162</t>
  </si>
  <si>
    <t>583-46-1454</t>
  </si>
  <si>
    <t>060-82-4139</t>
  </si>
  <si>
    <t>079-66-9930</t>
  </si>
  <si>
    <t>098-46-1764</t>
  </si>
  <si>
    <t>063-42-2029</t>
  </si>
  <si>
    <t>103-70-6335</t>
  </si>
  <si>
    <t>133-98-8208</t>
  </si>
  <si>
    <t>087-48-0443</t>
  </si>
  <si>
    <t>078-68-7431</t>
  </si>
  <si>
    <t>070-44-3186</t>
  </si>
  <si>
    <t>121-68-8014</t>
  </si>
  <si>
    <t>110-62-4831</t>
  </si>
  <si>
    <t>065-62-1047</t>
  </si>
  <si>
    <t>122-64-3956</t>
  </si>
  <si>
    <t>116-64-0078</t>
  </si>
  <si>
    <t>060-62-5550</t>
  </si>
  <si>
    <t>065-66-8813</t>
  </si>
  <si>
    <t>410-65-0510</t>
  </si>
  <si>
    <t>055-58-8323</t>
  </si>
  <si>
    <t>068-84-4361</t>
  </si>
  <si>
    <t>582-66-5931</t>
  </si>
  <si>
    <t>129-78-2722</t>
  </si>
  <si>
    <t>064-66-1028</t>
  </si>
  <si>
    <t>068-52-7414</t>
  </si>
  <si>
    <t>123-42-4584</t>
  </si>
  <si>
    <t>093-74-7398</t>
  </si>
  <si>
    <t>118-80-5425</t>
  </si>
  <si>
    <t>112-40-3796</t>
  </si>
  <si>
    <t>089-74-1679</t>
  </si>
  <si>
    <t>051-30-6077</t>
  </si>
  <si>
    <t>077-50-8493</t>
  </si>
  <si>
    <t>096-48-4772</t>
  </si>
  <si>
    <t>076-64-1570</t>
  </si>
  <si>
    <t>075-56-7462</t>
  </si>
  <si>
    <t>070-66-3835</t>
  </si>
  <si>
    <t>084-80-5013</t>
  </si>
  <si>
    <t>059-90-1235</t>
  </si>
  <si>
    <t>064-46-7845</t>
  </si>
  <si>
    <t>082-88-4339</t>
  </si>
  <si>
    <t>245-13-3051</t>
  </si>
  <si>
    <t>096-74-0073</t>
  </si>
  <si>
    <t>128-58-1683</t>
  </si>
  <si>
    <t>377-96-2734</t>
  </si>
  <si>
    <t>113-54-2643</t>
  </si>
  <si>
    <t>056-58-4858</t>
  </si>
  <si>
    <t>098-70-2745</t>
  </si>
  <si>
    <t>084-50-9999</t>
  </si>
  <si>
    <t>055-84-4621</t>
  </si>
  <si>
    <t>059-62-8747</t>
  </si>
  <si>
    <t>066-62-7537</t>
  </si>
  <si>
    <t>119-42-9950</t>
  </si>
  <si>
    <t>111-54-5590</t>
  </si>
  <si>
    <t>093-66-4014</t>
  </si>
  <si>
    <t>625-71-9125</t>
  </si>
  <si>
    <t>064-32-4842</t>
  </si>
  <si>
    <t>056-78-2216</t>
  </si>
  <si>
    <t>066-66-7105</t>
  </si>
  <si>
    <t>069-62-8055</t>
  </si>
  <si>
    <t>084-42-6059</t>
  </si>
  <si>
    <t>131-76-5656</t>
  </si>
  <si>
    <t>589-11-0670</t>
  </si>
  <si>
    <t>380-42-1354</t>
  </si>
  <si>
    <t>080-60-7926</t>
  </si>
  <si>
    <t>124-66-5951</t>
  </si>
  <si>
    <t>931-70-5725</t>
  </si>
  <si>
    <t>081-84-5149</t>
  </si>
  <si>
    <t>070-74-5339</t>
  </si>
  <si>
    <t>151-76-7186</t>
  </si>
  <si>
    <t>134-76-6708</t>
  </si>
  <si>
    <t>095-62-5959</t>
  </si>
  <si>
    <t>777-33-0164</t>
  </si>
  <si>
    <t>084-44-1167</t>
  </si>
  <si>
    <t>730-09-1091</t>
  </si>
  <si>
    <t>094-76-7225</t>
  </si>
  <si>
    <t>663-12-2548</t>
  </si>
  <si>
    <t>067-82-3461</t>
  </si>
  <si>
    <t>082-84-2195</t>
  </si>
  <si>
    <t>118-68-3680</t>
  </si>
  <si>
    <t>108-58-4021</t>
  </si>
  <si>
    <t>101-58-3505</t>
  </si>
  <si>
    <t>078-54-9265</t>
  </si>
  <si>
    <t>067-64-4402</t>
  </si>
  <si>
    <t>818-32-0448</t>
  </si>
  <si>
    <t>061-54-3323</t>
  </si>
  <si>
    <t>092-40-3191</t>
  </si>
  <si>
    <t>359-56-0690</t>
  </si>
  <si>
    <t>040-25-1370</t>
  </si>
  <si>
    <t>056-46-2503</t>
  </si>
  <si>
    <t>252-80-3832</t>
  </si>
  <si>
    <t>130-36-6121</t>
  </si>
  <si>
    <t>112-76-5042</t>
  </si>
  <si>
    <t>075-60-3931</t>
  </si>
  <si>
    <t>083-92-4183</t>
  </si>
  <si>
    <t>577-06-3448</t>
  </si>
  <si>
    <t>273-42-0123</t>
  </si>
  <si>
    <t>024-89-0404</t>
  </si>
  <si>
    <t>056-42-4502</t>
  </si>
  <si>
    <t>080-80-8322</t>
  </si>
  <si>
    <t>090-68-5433</t>
  </si>
  <si>
    <t>100-58-8528</t>
  </si>
  <si>
    <t>082-50-7868</t>
  </si>
  <si>
    <t>060-74-5338</t>
  </si>
  <si>
    <t>051-72-1953</t>
  </si>
  <si>
    <t>583-94-7765</t>
  </si>
  <si>
    <t>080-88-7887</t>
  </si>
  <si>
    <t>078-94-2471</t>
  </si>
  <si>
    <t>106-48-3373</t>
  </si>
  <si>
    <t>111-56-7441</t>
  </si>
  <si>
    <t>092-74-4128</t>
  </si>
  <si>
    <t>051-76-5996</t>
  </si>
  <si>
    <t>219-31-0340</t>
  </si>
  <si>
    <t>477-79-9379</t>
  </si>
  <si>
    <t>060-54-8911</t>
  </si>
  <si>
    <t>056-60-3249</t>
  </si>
  <si>
    <t>114-50-6813</t>
  </si>
  <si>
    <t>055-54-2061</t>
  </si>
  <si>
    <t>054-68-0767</t>
  </si>
  <si>
    <t>084-52-7018</t>
  </si>
  <si>
    <t>108-62-7128</t>
  </si>
  <si>
    <t>080-80-7239</t>
  </si>
  <si>
    <t>105-66-8557</t>
  </si>
  <si>
    <t>263-57-8247</t>
  </si>
  <si>
    <t>089-64-9189</t>
  </si>
  <si>
    <t>106-88-3060</t>
  </si>
  <si>
    <t>176-58-9095</t>
  </si>
  <si>
    <t>083-58-8293</t>
  </si>
  <si>
    <t>123-50-3171</t>
  </si>
  <si>
    <t>126-60-4400</t>
  </si>
  <si>
    <t>124-90-3573</t>
  </si>
  <si>
    <t>078-64-7604</t>
  </si>
  <si>
    <t>121-86-3718</t>
  </si>
  <si>
    <t>095-74-2113</t>
  </si>
  <si>
    <t>585-73-9160</t>
  </si>
  <si>
    <t>120-90-3919</t>
  </si>
  <si>
    <t>133-22-5402</t>
  </si>
  <si>
    <t>094-75-0284</t>
  </si>
  <si>
    <t>769-28-7910</t>
  </si>
  <si>
    <t>080-66-9844</t>
  </si>
  <si>
    <t>058-80-7052</t>
  </si>
  <si>
    <t>051-80-8102</t>
  </si>
  <si>
    <t>086-76-5772</t>
  </si>
  <si>
    <t>065-64-3931</t>
  </si>
  <si>
    <t>065-84-9286</t>
  </si>
  <si>
    <t>071-48-1101</t>
  </si>
  <si>
    <t>551-15-1037</t>
  </si>
  <si>
    <t>057-68-5180</t>
  </si>
  <si>
    <t>068-78-5935</t>
  </si>
  <si>
    <t>055-86-1731</t>
  </si>
  <si>
    <t>582-61-3047</t>
  </si>
  <si>
    <t>107-40-4435</t>
  </si>
  <si>
    <t>060-72-7844</t>
  </si>
  <si>
    <t>093-94-7206</t>
  </si>
  <si>
    <t>053-46-7871</t>
  </si>
  <si>
    <t>115-76-7553</t>
  </si>
  <si>
    <t>804-80-6041</t>
  </si>
  <si>
    <t>058-68-0981</t>
  </si>
  <si>
    <t>084-58-6146</t>
  </si>
  <si>
    <t>077-92-4376</t>
  </si>
  <si>
    <t>105-62-7094</t>
  </si>
  <si>
    <t>069-50-3538</t>
  </si>
  <si>
    <t>320-96-1380</t>
  </si>
  <si>
    <t>092-52-4713</t>
  </si>
  <si>
    <t>158-46-8859</t>
  </si>
  <si>
    <t>117-56-1571</t>
  </si>
  <si>
    <t>792-62-7915</t>
  </si>
  <si>
    <t>660-67-4776</t>
  </si>
  <si>
    <t>336-62-6669</t>
  </si>
  <si>
    <t>120-80-9234</t>
  </si>
  <si>
    <t>110-82-4436</t>
  </si>
  <si>
    <t>069-84-9249</t>
  </si>
  <si>
    <t>009-82-8545</t>
  </si>
  <si>
    <t>102-74-3278</t>
  </si>
  <si>
    <t>744-60-7293</t>
  </si>
  <si>
    <t>459-48-7955</t>
  </si>
  <si>
    <t>122-68-4361</t>
  </si>
  <si>
    <t>128-94-8614</t>
  </si>
  <si>
    <t>025-06-8028</t>
  </si>
  <si>
    <t>084-94-2915</t>
  </si>
  <si>
    <t>084-80-8099</t>
  </si>
  <si>
    <t>096-70-1114</t>
  </si>
  <si>
    <t>113-60-8981</t>
  </si>
  <si>
    <t>082-86-8022</t>
  </si>
  <si>
    <t>087-62-1545</t>
  </si>
  <si>
    <t>078-88-2001</t>
  </si>
  <si>
    <t>079-62-4604</t>
  </si>
  <si>
    <t>108-76-5513</t>
  </si>
  <si>
    <t>112-48-1015</t>
  </si>
  <si>
    <t>083-48-4360</t>
  </si>
  <si>
    <t>192-65-1173</t>
  </si>
  <si>
    <t>073-58-4381</t>
  </si>
  <si>
    <t>106-88-4506</t>
  </si>
  <si>
    <t>072-68-7324</t>
  </si>
  <si>
    <t>088-84-0565</t>
  </si>
  <si>
    <t>115-49-4798</t>
  </si>
  <si>
    <t>066-74-5501</t>
  </si>
  <si>
    <t>068-82-0629</t>
  </si>
  <si>
    <t>071-96-3808</t>
  </si>
  <si>
    <t>105-82-9933</t>
  </si>
  <si>
    <t>126-68-6687</t>
  </si>
  <si>
    <t>108-82-9821</t>
  </si>
  <si>
    <t>116-72-0569</t>
  </si>
  <si>
    <t>102-70-3872</t>
  </si>
  <si>
    <t>126-80-9687</t>
  </si>
  <si>
    <t>265-99-1820</t>
  </si>
  <si>
    <t>270-21-5660</t>
  </si>
  <si>
    <t>112-70-7802</t>
  </si>
  <si>
    <t>092-58-6633</t>
  </si>
  <si>
    <t>709-31-8408</t>
  </si>
  <si>
    <t>105-58-3467</t>
  </si>
  <si>
    <t>092-66-9756</t>
  </si>
  <si>
    <t>122-68-1328</t>
  </si>
  <si>
    <t>061-68-0305</t>
  </si>
  <si>
    <t>103-32-5163</t>
  </si>
  <si>
    <t>599-18-8788</t>
  </si>
  <si>
    <t>134-84-9838</t>
  </si>
  <si>
    <t>067-84-7166</t>
  </si>
  <si>
    <t>086-50-8168</t>
  </si>
  <si>
    <t>121-52-7354</t>
  </si>
  <si>
    <t>091-92-9910</t>
  </si>
  <si>
    <t>039-74-1037</t>
  </si>
  <si>
    <t>114-46-2516</t>
  </si>
  <si>
    <t>102-72-6386</t>
  </si>
  <si>
    <t>124-68-0274</t>
  </si>
  <si>
    <t>117-68-7939</t>
  </si>
  <si>
    <t>071-40-0578</t>
  </si>
  <si>
    <t>582-37-0992</t>
  </si>
  <si>
    <t>167-78-2609</t>
  </si>
  <si>
    <t>063-80-3678</t>
  </si>
  <si>
    <t>064-58-1518</t>
  </si>
  <si>
    <t>055-58-7881</t>
  </si>
  <si>
    <t>067-72-8021</t>
  </si>
  <si>
    <t>072-64-3786</t>
  </si>
  <si>
    <t>088-62-0112</t>
  </si>
  <si>
    <t>104-60-5948</t>
  </si>
  <si>
    <t>116-44-9502</t>
  </si>
  <si>
    <t>091-42-1520</t>
  </si>
  <si>
    <t>051-76-3914</t>
  </si>
  <si>
    <t>111-82-8361</t>
  </si>
  <si>
    <t>130-80-8230</t>
  </si>
  <si>
    <t>063-82-1024</t>
  </si>
  <si>
    <t>081-78-9984</t>
  </si>
  <si>
    <t>076-60-1987</t>
  </si>
  <si>
    <t>087-84-6755</t>
  </si>
  <si>
    <t>090-62-6503</t>
  </si>
  <si>
    <t>193-62-1814</t>
  </si>
  <si>
    <t>121-48-5817</t>
  </si>
  <si>
    <t>055-42-7593</t>
  </si>
  <si>
    <t>089-72-3016</t>
  </si>
  <si>
    <t>061-70-8078</t>
  </si>
  <si>
    <t>091-80-0499</t>
  </si>
  <si>
    <t>092-62-1777</t>
  </si>
  <si>
    <t>069-56-4359</t>
  </si>
  <si>
    <t>084-66-1173</t>
  </si>
  <si>
    <t>070-56-7397</t>
  </si>
  <si>
    <t>064-70-1856</t>
  </si>
  <si>
    <t>118-76-8724</t>
  </si>
  <si>
    <t>055-58-9736</t>
  </si>
  <si>
    <t>052-66-9187</t>
  </si>
  <si>
    <t>096-66-8783</t>
  </si>
  <si>
    <t>174-66-4928</t>
  </si>
  <si>
    <t>072-70-5502</t>
  </si>
  <si>
    <t>050-72-4818</t>
  </si>
  <si>
    <t>086-90-5870</t>
  </si>
  <si>
    <t>078-36-0732</t>
  </si>
  <si>
    <t>120-52-0129</t>
  </si>
  <si>
    <t>933-62-9150</t>
  </si>
  <si>
    <t>087-94-3819</t>
  </si>
  <si>
    <t>052-64-6599</t>
  </si>
  <si>
    <t>082-60-5054</t>
  </si>
  <si>
    <t>083-58-4038</t>
  </si>
  <si>
    <t>150-84-7397</t>
  </si>
  <si>
    <t>073-58-3004</t>
  </si>
  <si>
    <t>050-48-4635</t>
  </si>
  <si>
    <t>101-88-8061</t>
  </si>
  <si>
    <t>125-74-9753</t>
  </si>
  <si>
    <t>111-76-6302</t>
  </si>
  <si>
    <t>Mitchell-Lama</t>
  </si>
  <si>
    <t>Unregulated</t>
  </si>
  <si>
    <t>Unknown</t>
  </si>
  <si>
    <t>Public Housing/NYCHA</t>
  </si>
  <si>
    <t>Rent Stabilized</t>
  </si>
  <si>
    <t>HDFC</t>
  </si>
  <si>
    <t>Project-based Sec. 8</t>
  </si>
  <si>
    <t>Public Housing</t>
  </si>
  <si>
    <t>Unregulated – Other</t>
  </si>
  <si>
    <t>Low Income Tax Credit</t>
  </si>
  <si>
    <t>Supportive Housing</t>
  </si>
  <si>
    <t>Unregulated – Co-Op</t>
  </si>
  <si>
    <t>Rent Controlled</t>
  </si>
  <si>
    <t>Other Subsidized Housing</t>
  </si>
  <si>
    <t>06/24/2019</t>
  </si>
  <si>
    <t>Income Waiver</t>
  </si>
  <si>
    <t>Section 8</t>
  </si>
  <si>
    <t>DRIE/SCRIE</t>
  </si>
  <si>
    <t>FEPS</t>
  </si>
  <si>
    <t>City FEPS</t>
  </si>
  <si>
    <t>HUD VASH</t>
  </si>
  <si>
    <t>HOMETBRA</t>
  </si>
  <si>
    <t>SEPS</t>
  </si>
  <si>
    <t>HASA</t>
  </si>
  <si>
    <t>LINC</t>
  </si>
  <si>
    <t>Spanish</t>
  </si>
  <si>
    <t>Creole</t>
  </si>
  <si>
    <t>Russian</t>
  </si>
  <si>
    <t>Urdu</t>
  </si>
  <si>
    <t>Sign Language</t>
  </si>
  <si>
    <t>Dutch</t>
  </si>
  <si>
    <t>French</t>
  </si>
  <si>
    <t>Finnish</t>
  </si>
  <si>
    <t>Rumanian</t>
  </si>
  <si>
    <t>Cantonese</t>
  </si>
  <si>
    <t xml:space="preserve">Chinese </t>
  </si>
  <si>
    <t>Bengali</t>
  </si>
  <si>
    <t>French Creole</t>
  </si>
  <si>
    <t>Mandarin</t>
  </si>
  <si>
    <t>Portuguese</t>
  </si>
  <si>
    <t>Polish</t>
  </si>
  <si>
    <t>needs waiver if full rep</t>
  </si>
  <si>
    <t>missing DHCI and consent</t>
  </si>
  <si>
    <t>UA Advice - clt refused full rep</t>
  </si>
  <si>
    <t>needs waiver</t>
  </si>
  <si>
    <t>DHCI missing DOB for HH</t>
  </si>
  <si>
    <t>missing HRA and DHCI</t>
  </si>
  <si>
    <t>8/28- waiting for advice notes</t>
  </si>
  <si>
    <t>overincome advice only</t>
  </si>
  <si>
    <t>Missing Forms</t>
  </si>
  <si>
    <t>missing forms</t>
  </si>
  <si>
    <t>verbal consent needed</t>
  </si>
  <si>
    <t>Missing forms</t>
  </si>
  <si>
    <t>need waiver if full 415%</t>
  </si>
  <si>
    <t>over 200%</t>
  </si>
  <si>
    <t>income waiver needed</t>
  </si>
  <si>
    <t>Lane, Diane</t>
  </si>
  <si>
    <t>Oquendo, Joann</t>
  </si>
  <si>
    <t>Frias De Sosa, Yajaira</t>
  </si>
  <si>
    <t>Escobar, Sarah</t>
  </si>
  <si>
    <t>Wilson-Wieland, Cherille</t>
  </si>
  <si>
    <t>Namuche, Raquel</t>
  </si>
  <si>
    <t>Villalobos, Tanya</t>
  </si>
  <si>
    <t>Sanchez, Dennis</t>
  </si>
  <si>
    <t>Castellanos, Rachel</t>
  </si>
  <si>
    <t>Castillo, Angel</t>
  </si>
  <si>
    <t>Acevedo, Tiffany</t>
  </si>
  <si>
    <t>Prado, Steven</t>
  </si>
  <si>
    <t>Lebro-Lopez, Wanda</t>
  </si>
  <si>
    <t>Pierre, Haenley</t>
  </si>
  <si>
    <t>Then, Laura</t>
  </si>
  <si>
    <t>Diaz, Sharon</t>
  </si>
  <si>
    <t>Medina, Marta</t>
  </si>
  <si>
    <t>Ukegbu, Ezi</t>
  </si>
  <si>
    <t>Wong, Angela</t>
  </si>
  <si>
    <t>Guzman Velazquez, Leida</t>
  </si>
  <si>
    <t>Bateman, Steven</t>
  </si>
  <si>
    <t>Guzman, Michael</t>
  </si>
  <si>
    <t>Ortega, Luis</t>
  </si>
  <si>
    <t>Vergeli, Evelyn</t>
  </si>
  <si>
    <t>Velasquez, Diana</t>
  </si>
  <si>
    <t>Santiago, Denya</t>
  </si>
  <si>
    <t>Benitez, Vicenta</t>
  </si>
  <si>
    <t>McDonald, Susan</t>
  </si>
  <si>
    <t>Garcia, Delci</t>
  </si>
  <si>
    <t>Acosta, Rosa</t>
  </si>
  <si>
    <t>Garcia, Alexandra</t>
  </si>
  <si>
    <t>Guerra, Yolanda</t>
  </si>
  <si>
    <t>Bernardez, Florencita</t>
  </si>
  <si>
    <t>Pujols, Isabel</t>
  </si>
  <si>
    <t>Umoke, Jacob</t>
  </si>
  <si>
    <t>Fuentes, Maria</t>
  </si>
  <si>
    <t>Torres, Elizabeth</t>
  </si>
  <si>
    <t>Counsel Assisted in Filing or Refiling of Answer, Filed/Argued/Supplemented Dispositive or other Substantive Motion</t>
  </si>
  <si>
    <t>Filed/Argued/Supplemented Dispositive or other Substantive Motion</t>
  </si>
  <si>
    <t>Filed for an Emergency Order to Show Cause</t>
  </si>
  <si>
    <t>Counsel Assisted in Filing or Refiling of Answer</t>
  </si>
  <si>
    <t>Conducted Evidentiary Hearing</t>
  </si>
  <si>
    <t>Case Discontinued/Dismissed/Landlord Fails to Prosecute</t>
  </si>
  <si>
    <t>Case Discontinued/Dismissed/Landlord Fails to Prosecute, Case Resolved without Judgment of Eviction Against Client</t>
  </si>
  <si>
    <t>Obtain Ongoing Rent Subsidy</t>
  </si>
  <si>
    <t>Case Discontinued/Dismissed/Landlord Fails to Prosecute, Obtain Ongoing Rent Subsidy, Restored Access to Personal Property</t>
  </si>
  <si>
    <t>Case Discontinued/Dismissed/Landlord Fails to Prosecute, Case Resolved without Judgment of Eviction Against Client, Secured Order or Agreement for Repairs in Apartment/Building</t>
  </si>
  <si>
    <t>Other, Secured Order or Agreement for Repairs in Apartment/Building, Secured Rent Abatement</t>
  </si>
  <si>
    <t>Case Resolved without Judgment of Eviction Against Client</t>
  </si>
  <si>
    <t>Obtained Negotiated Buyout, Secured Rent Reduction</t>
  </si>
  <si>
    <t>Secured 6 Months or Longer in Residence, Secured Order or Agreement for Repairs in Apartment/Building, Secured Rent Reduction</t>
  </si>
  <si>
    <t>Obtained Negotiated Buyout, Restored Access to Personal Property</t>
  </si>
  <si>
    <t>Food Stamps (SNAP), SSI</t>
  </si>
  <si>
    <t>Food Stamps (SNAP), Social Security Disability</t>
  </si>
  <si>
    <t>Social Security</t>
  </si>
  <si>
    <t>No Income</t>
  </si>
  <si>
    <t>Unemployment Compensation</t>
  </si>
  <si>
    <t>Food Stamps (SNAP), Medicaid (MA), Social Security</t>
  </si>
  <si>
    <t>Food Stamps (SNAP), Welfare</t>
  </si>
  <si>
    <t>Employment</t>
  </si>
  <si>
    <t>Social Security Disability</t>
  </si>
  <si>
    <t>Employment, Food Stamps (SNAP)</t>
  </si>
  <si>
    <t>Employment, Social Security Disability, Welfare</t>
  </si>
  <si>
    <t>General Assistance</t>
  </si>
  <si>
    <t>Employment, Food Stamps (SNAP), Welfare</t>
  </si>
  <si>
    <t>Employment (Self-Employed)</t>
  </si>
  <si>
    <t>Employment, Food Stamps (SNAP), SSI</t>
  </si>
  <si>
    <t>Food Stamps (SNAP), Social Security</t>
  </si>
  <si>
    <t>Pension/Retirement (Not Soc. Sec.), Social Security</t>
  </si>
  <si>
    <t>SSI</t>
  </si>
  <si>
    <t>Welfare</t>
  </si>
  <si>
    <t>Child Support, Food Stamps (SNAP)</t>
  </si>
  <si>
    <t>Employment, SSI</t>
  </si>
  <si>
    <t>Employment, Food Stamps (SNAP), Social Security</t>
  </si>
  <si>
    <t>Other, Social Security Disability</t>
  </si>
  <si>
    <t>Food Stamps (SNAP)</t>
  </si>
  <si>
    <t>Child Support</t>
  </si>
  <si>
    <t>Employment, Welfare</t>
  </si>
  <si>
    <t>Disability</t>
  </si>
  <si>
    <t>Employment, Other</t>
  </si>
  <si>
    <t>Child Support, Food Stamps (SNAP), Social Security Disability</t>
  </si>
  <si>
    <t>Food Stamps (SNAP), Medicaid (MA), Social Security Disability</t>
  </si>
  <si>
    <t>Food Stamps (SNAP), Social Security, Social Security Disability</t>
  </si>
  <si>
    <t>Food Stamps (SNAP), Social Security, Veterans Benefits</t>
  </si>
  <si>
    <t>Alimony, Food Stamps (SNAP)</t>
  </si>
  <si>
    <t>Food Stamps (SNAP), Pension/Retirement (Not Soc. Sec.), Social Security</t>
  </si>
  <si>
    <t>Food Stamps (SNAP), Other, SSI</t>
  </si>
  <si>
    <t>Food Stamps (SNAP), Medicaid (MA), SSI</t>
  </si>
  <si>
    <t>Food Stamps (SNAP), Medicaid (MA), SSI, Welfare</t>
  </si>
  <si>
    <t>Child Support, Employment, Food Stamps (SNAP)</t>
  </si>
  <si>
    <t>Employment, Other, Social Security Disability</t>
  </si>
  <si>
    <t>Child Support, Food Stamps (SNAP), Welfare</t>
  </si>
  <si>
    <t>Child Support, Employment</t>
  </si>
  <si>
    <t>Employment, Social Security</t>
  </si>
  <si>
    <t>Other, SSI</t>
  </si>
  <si>
    <t>Food Stamps (SNAP), Other</t>
  </si>
  <si>
    <t>Food Stamps (SNAP), Social Security Disability, Welfare</t>
  </si>
  <si>
    <t>Welfare - Fam. Assis.</t>
  </si>
  <si>
    <t>Both SSI and SSD</t>
  </si>
  <si>
    <t>Food Stamps (SNAP), Other, Social Security Disability</t>
  </si>
  <si>
    <t>Food Stamps (SNAP), TANF</t>
  </si>
  <si>
    <t>Employment, Unemployment Compensation</t>
  </si>
  <si>
    <t>Employment, Employment (Self-Employed), Food Stamps (SNAP)</t>
  </si>
  <si>
    <t>Food Stamps (SNAP), SSI, Welfare</t>
  </si>
  <si>
    <t>Social Security, Welfare</t>
  </si>
  <si>
    <t>Child Support, Welfare</t>
  </si>
  <si>
    <t>Food Stamps (SNAP), SSI, TANF</t>
  </si>
  <si>
    <t>Employment, Social Security Disability</t>
  </si>
  <si>
    <t>Food Stamps (SNAP), Veterans Benefits</t>
  </si>
  <si>
    <t>Food Stamps (SNAP), Unemployment Compensation</t>
  </si>
  <si>
    <t>Child Support, SSI</t>
  </si>
  <si>
    <t>SSI, Welfare - Fam. Assis.</t>
  </si>
  <si>
    <t>Workers Compensation</t>
  </si>
  <si>
    <t>Employment (Self-Employed), Food Stamps (SNAP)</t>
  </si>
  <si>
    <t>Social Security Retirement</t>
  </si>
  <si>
    <t>Disability, Food Stamps (SNAP), SSI</t>
  </si>
  <si>
    <t>Disability, SSI</t>
  </si>
  <si>
    <t>Unemployment Compensation, Welfare</t>
  </si>
  <si>
    <t>Disability, Employment</t>
  </si>
  <si>
    <t>Pension/Retirement (Not Soc. Sec.), Social Security Disability, SSI</t>
  </si>
  <si>
    <t>Pension/Retirement (Not Soc. Sec.)</t>
  </si>
  <si>
    <t>Income Not Provided</t>
  </si>
  <si>
    <t>Employment, SSI, Unemployment Compensation</t>
  </si>
  <si>
    <t>Employment, Food Stamps (SNAP), Social Security Disability</t>
  </si>
  <si>
    <t>Veterans Benefits</t>
  </si>
  <si>
    <t>Other, Social Security</t>
  </si>
  <si>
    <t>SSI, Welfare</t>
  </si>
  <si>
    <t>Food Stamps (SNAP), Social Security Retirement</t>
  </si>
  <si>
    <t>Food Stamps (SNAP), SSI, Unemployment Compensation</t>
  </si>
  <si>
    <t>Food Stamps (SNAP), Social Security, Social Security Disability, Unemployment Compensation</t>
  </si>
  <si>
    <t>Employment, Food Stamps (SNAP), Worker's Compensation</t>
  </si>
  <si>
    <t>Child Support, Social Security Disability</t>
  </si>
  <si>
    <t>Both SSI and SSD, Food Stamps (SNAP)</t>
  </si>
  <si>
    <t>TANF</t>
  </si>
  <si>
    <t>Child Support, Unemployment Compensation</t>
  </si>
  <si>
    <t>Food Stamps (SNAP), General Assistance</t>
  </si>
  <si>
    <t>Employment (Self-Employed), Social Security</t>
  </si>
  <si>
    <t>Employment, Employment (Self-Employed)</t>
  </si>
  <si>
    <t>Employment, General Assistance</t>
  </si>
  <si>
    <t>Employment, Food Stamps (SNAP), General Assistance</t>
  </si>
  <si>
    <t>Employment, Social Security, Social Security Disability</t>
  </si>
  <si>
    <t>Food Stamps (SNAP), Welfare - Fam. Assis.</t>
  </si>
  <si>
    <t>Disability, Food Stamps (SNAP)</t>
  </si>
  <si>
    <t>Social Security, Worker's Compensation</t>
  </si>
  <si>
    <t>Food Stamps (SNAP), General Assistance, SSI</t>
  </si>
  <si>
    <t>Social Security Retirement, SSI</t>
  </si>
  <si>
    <t>Food Stamps (SNAP), Social Security Disability, Unemployment Compensation</t>
  </si>
  <si>
    <t>Employment, Employment (Self-Employed), Social Security Retirement</t>
  </si>
  <si>
    <t>Employment, Food Stamps (SNAP), Other, TANF</t>
  </si>
  <si>
    <t>Disability, Social Security</t>
  </si>
  <si>
    <t>Employment (Self-Employed), Welfare</t>
  </si>
  <si>
    <t>Social Security Disability, SSI</t>
  </si>
  <si>
    <t>SSI, TANF</t>
  </si>
  <si>
    <t>Social Security, Social Security Disability</t>
  </si>
  <si>
    <t>Other, Social Security, Welfare - Fam. Assis.</t>
  </si>
  <si>
    <t>Other, Pension/Retirement (Not Soc. Sec.)</t>
  </si>
  <si>
    <t>Both SSI and SSD, Child Support, Food Stamps (SNAP)</t>
  </si>
  <si>
    <t>Employment, Social Security Disability, Social Security Retirement</t>
  </si>
  <si>
    <t>TANF, Worker's Compensation</t>
  </si>
  <si>
    <t>Employment, Worker's Compensation</t>
  </si>
  <si>
    <t>Worker's Compensation</t>
  </si>
  <si>
    <t>Pension/Retirement (Not Soc. Sec.), SSI</t>
  </si>
  <si>
    <t>Food Stamps (SNAP), Social Security Disability, SSI</t>
  </si>
  <si>
    <t>Social Security Disability, TANF</t>
  </si>
  <si>
    <t>Employment, Food Stamps (SNAP), Unemployment Compensation</t>
  </si>
  <si>
    <t>Food Stamps (SNAP), Social Security Disability, Welfare - Fam. Assis.</t>
  </si>
  <si>
    <t>DHCI Form</t>
  </si>
  <si>
    <t>Active CA/SNAP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</si>
</sst>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L954"/>
  <sheetViews>
    <sheetView tabSelected="1" workbookViewId="0"/>
  </sheetViews>
  <sheetFormatPr defaultRowHeight="15"/>
  <cols>
    <col min="1" max="1" width="20.7109375" style="1" customWidth="1"/>
    <col min="2" max="2" width="19.7109375" customWidth="1"/>
    <col min="3" max="64" width="30.7109375" customWidth="1"/>
  </cols>
  <sheetData>
    <row r="1" spans="1:6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</row>
    <row r="2" spans="1:64">
      <c r="A2" s="1">
        <f>HYPERLINK("https://lsnyc.legalserver.org/matter/dynamic-profile/view/1906438","19-1906438")</f>
        <v>0</v>
      </c>
      <c r="B2" t="s">
        <v>64</v>
      </c>
      <c r="C2" t="s">
        <v>69</v>
      </c>
      <c r="D2" t="s">
        <v>200</v>
      </c>
      <c r="E2" t="s">
        <v>201</v>
      </c>
      <c r="G2" t="s">
        <v>270</v>
      </c>
      <c r="I2" t="s">
        <v>202</v>
      </c>
      <c r="J2" t="s">
        <v>289</v>
      </c>
      <c r="K2" t="s">
        <v>292</v>
      </c>
      <c r="M2" t="s">
        <v>290</v>
      </c>
      <c r="N2" t="s">
        <v>419</v>
      </c>
      <c r="P2" t="s">
        <v>427</v>
      </c>
      <c r="S2" t="s">
        <v>463</v>
      </c>
      <c r="T2" t="s">
        <v>1171</v>
      </c>
      <c r="U2" t="s">
        <v>207</v>
      </c>
      <c r="W2" t="s">
        <v>1876</v>
      </c>
      <c r="X2" t="s">
        <v>1878</v>
      </c>
      <c r="Y2" t="s">
        <v>2780</v>
      </c>
      <c r="Z2" t="s">
        <v>3097</v>
      </c>
      <c r="AA2" t="s">
        <v>3135</v>
      </c>
      <c r="AB2">
        <v>11212</v>
      </c>
      <c r="AC2" t="s">
        <v>3136</v>
      </c>
      <c r="AD2" t="s">
        <v>3151</v>
      </c>
      <c r="AE2">
        <v>6</v>
      </c>
      <c r="AG2" t="s">
        <v>4028</v>
      </c>
      <c r="AH2" t="s">
        <v>291</v>
      </c>
      <c r="AK2" t="s">
        <v>4040</v>
      </c>
      <c r="AM2">
        <v>0</v>
      </c>
      <c r="AN2">
        <v>217</v>
      </c>
      <c r="AO2">
        <v>5.5</v>
      </c>
      <c r="AQ2" t="s">
        <v>4057</v>
      </c>
      <c r="AR2" t="s">
        <v>4973</v>
      </c>
      <c r="AS2">
        <v>0</v>
      </c>
      <c r="AU2">
        <v>1</v>
      </c>
      <c r="AV2">
        <v>4</v>
      </c>
      <c r="AW2">
        <v>25.73</v>
      </c>
      <c r="BB2" t="s">
        <v>1322</v>
      </c>
      <c r="BC2">
        <v>7764</v>
      </c>
      <c r="BG2" t="s">
        <v>5890</v>
      </c>
      <c r="BJ2" t="s">
        <v>5942</v>
      </c>
      <c r="BK2" t="s">
        <v>240</v>
      </c>
      <c r="BL2" t="s">
        <v>6056</v>
      </c>
    </row>
    <row r="3" spans="1:64">
      <c r="A3" s="1">
        <f>HYPERLINK("https://lsnyc.legalserver.org/matter/dynamic-profile/view/1906996","19-1906996")</f>
        <v>0</v>
      </c>
      <c r="B3" t="s">
        <v>64</v>
      </c>
      <c r="C3" t="s">
        <v>70</v>
      </c>
      <c r="D3" t="s">
        <v>200</v>
      </c>
      <c r="E3" t="s">
        <v>201</v>
      </c>
      <c r="G3" t="s">
        <v>202</v>
      </c>
      <c r="H3" t="s">
        <v>271</v>
      </c>
      <c r="I3" t="s">
        <v>288</v>
      </c>
      <c r="J3" t="s">
        <v>290</v>
      </c>
      <c r="K3" t="s">
        <v>202</v>
      </c>
      <c r="L3" t="s">
        <v>293</v>
      </c>
      <c r="M3" t="s">
        <v>290</v>
      </c>
      <c r="N3" t="s">
        <v>419</v>
      </c>
      <c r="O3" t="s">
        <v>420</v>
      </c>
      <c r="P3" t="s">
        <v>427</v>
      </c>
      <c r="S3" t="s">
        <v>464</v>
      </c>
      <c r="T3" t="s">
        <v>1172</v>
      </c>
      <c r="U3" t="s">
        <v>226</v>
      </c>
      <c r="W3" t="s">
        <v>1876</v>
      </c>
      <c r="X3" t="s">
        <v>1879</v>
      </c>
      <c r="Y3" t="s">
        <v>2781</v>
      </c>
      <c r="Z3" t="s">
        <v>3097</v>
      </c>
      <c r="AA3" t="s">
        <v>3135</v>
      </c>
      <c r="AB3">
        <v>11221</v>
      </c>
      <c r="AD3" t="s">
        <v>3152</v>
      </c>
      <c r="AE3">
        <v>1</v>
      </c>
      <c r="AG3" t="s">
        <v>4029</v>
      </c>
      <c r="AH3" t="s">
        <v>291</v>
      </c>
      <c r="AK3" t="s">
        <v>4040</v>
      </c>
      <c r="AM3">
        <v>0</v>
      </c>
      <c r="AN3">
        <v>1515</v>
      </c>
      <c r="AO3">
        <v>11.6</v>
      </c>
      <c r="AQ3" t="s">
        <v>4058</v>
      </c>
      <c r="AR3" t="s">
        <v>4974</v>
      </c>
      <c r="AS3">
        <v>0</v>
      </c>
      <c r="AU3">
        <v>3</v>
      </c>
      <c r="AV3">
        <v>2</v>
      </c>
      <c r="AW3">
        <v>116.98</v>
      </c>
      <c r="BB3" t="s">
        <v>5859</v>
      </c>
      <c r="BC3">
        <v>35292</v>
      </c>
      <c r="BG3" t="s">
        <v>5891</v>
      </c>
      <c r="BJ3" t="s">
        <v>5943</v>
      </c>
      <c r="BK3" t="s">
        <v>236</v>
      </c>
    </row>
    <row r="4" spans="1:64">
      <c r="A4" s="1">
        <f>HYPERLINK("https://lsnyc.legalserver.org/matter/dynamic-profile/view/1908653","19-1908653")</f>
        <v>0</v>
      </c>
      <c r="B4" t="s">
        <v>64</v>
      </c>
      <c r="C4" t="s">
        <v>70</v>
      </c>
      <c r="D4" t="s">
        <v>200</v>
      </c>
      <c r="E4" t="s">
        <v>201</v>
      </c>
      <c r="G4" t="s">
        <v>202</v>
      </c>
      <c r="H4" t="s">
        <v>272</v>
      </c>
      <c r="I4" t="s">
        <v>202</v>
      </c>
      <c r="J4" t="s">
        <v>289</v>
      </c>
      <c r="K4" t="s">
        <v>292</v>
      </c>
      <c r="M4" t="s">
        <v>290</v>
      </c>
      <c r="N4" t="s">
        <v>202</v>
      </c>
      <c r="O4" t="s">
        <v>421</v>
      </c>
      <c r="P4" t="s">
        <v>427</v>
      </c>
      <c r="S4" t="s">
        <v>465</v>
      </c>
      <c r="T4" t="s">
        <v>1058</v>
      </c>
      <c r="U4" t="s">
        <v>252</v>
      </c>
      <c r="W4" t="s">
        <v>1876</v>
      </c>
      <c r="X4" t="s">
        <v>1880</v>
      </c>
      <c r="Y4">
        <v>16</v>
      </c>
      <c r="Z4" t="s">
        <v>3097</v>
      </c>
      <c r="AA4" t="s">
        <v>3135</v>
      </c>
      <c r="AB4">
        <v>11225</v>
      </c>
      <c r="AC4" t="s">
        <v>3137</v>
      </c>
      <c r="AD4" t="s">
        <v>3153</v>
      </c>
      <c r="AE4">
        <v>0</v>
      </c>
      <c r="AG4" t="s">
        <v>4029</v>
      </c>
      <c r="AH4" t="s">
        <v>291</v>
      </c>
      <c r="AI4" t="s">
        <v>291</v>
      </c>
      <c r="AK4" t="s">
        <v>4040</v>
      </c>
      <c r="AM4">
        <v>0</v>
      </c>
      <c r="AN4">
        <v>0</v>
      </c>
      <c r="AO4">
        <v>5.1</v>
      </c>
      <c r="AQ4" t="s">
        <v>4059</v>
      </c>
      <c r="AR4" t="s">
        <v>4975</v>
      </c>
      <c r="AS4">
        <v>0</v>
      </c>
      <c r="AU4">
        <v>1</v>
      </c>
      <c r="AV4">
        <v>0</v>
      </c>
      <c r="AW4">
        <v>64.84999999999999</v>
      </c>
      <c r="BB4" t="s">
        <v>1322</v>
      </c>
      <c r="BC4">
        <v>8100</v>
      </c>
      <c r="BG4" t="s">
        <v>5892</v>
      </c>
      <c r="BJ4" t="s">
        <v>5944</v>
      </c>
      <c r="BK4" t="s">
        <v>267</v>
      </c>
      <c r="BL4" t="s">
        <v>6056</v>
      </c>
    </row>
    <row r="5" spans="1:64">
      <c r="A5" s="1">
        <f>HYPERLINK("https://lsnyc.legalserver.org/matter/dynamic-profile/view/1907405","19-1907405")</f>
        <v>0</v>
      </c>
      <c r="B5" t="s">
        <v>64</v>
      </c>
      <c r="C5" t="s">
        <v>70</v>
      </c>
      <c r="D5" t="s">
        <v>200</v>
      </c>
      <c r="E5" t="s">
        <v>201</v>
      </c>
      <c r="G5" t="s">
        <v>202</v>
      </c>
      <c r="H5" t="s">
        <v>271</v>
      </c>
      <c r="I5" t="s">
        <v>288</v>
      </c>
      <c r="J5" t="s">
        <v>290</v>
      </c>
      <c r="K5" t="s">
        <v>292</v>
      </c>
      <c r="M5" t="s">
        <v>290</v>
      </c>
      <c r="N5" t="s">
        <v>202</v>
      </c>
      <c r="O5" t="s">
        <v>422</v>
      </c>
      <c r="P5" t="s">
        <v>427</v>
      </c>
      <c r="S5" t="s">
        <v>466</v>
      </c>
      <c r="T5" t="s">
        <v>1173</v>
      </c>
      <c r="U5" t="s">
        <v>257</v>
      </c>
      <c r="W5" t="s">
        <v>1876</v>
      </c>
      <c r="X5" t="s">
        <v>1881</v>
      </c>
      <c r="Y5" t="s">
        <v>2782</v>
      </c>
      <c r="Z5" t="s">
        <v>3097</v>
      </c>
      <c r="AA5" t="s">
        <v>3135</v>
      </c>
      <c r="AB5">
        <v>11204</v>
      </c>
      <c r="AC5" t="s">
        <v>3138</v>
      </c>
      <c r="AE5">
        <v>5</v>
      </c>
      <c r="AG5" t="s">
        <v>4028</v>
      </c>
      <c r="AH5" t="s">
        <v>291</v>
      </c>
      <c r="AK5" t="s">
        <v>4040</v>
      </c>
      <c r="AM5">
        <v>0</v>
      </c>
      <c r="AN5">
        <v>1900</v>
      </c>
      <c r="AO5">
        <v>0</v>
      </c>
      <c r="AQ5" t="s">
        <v>4060</v>
      </c>
      <c r="AR5" t="s">
        <v>4976</v>
      </c>
      <c r="AS5">
        <v>2</v>
      </c>
      <c r="AU5">
        <v>3</v>
      </c>
      <c r="AV5">
        <v>2</v>
      </c>
      <c r="AW5">
        <v>0</v>
      </c>
      <c r="BB5" t="s">
        <v>5859</v>
      </c>
      <c r="BC5">
        <v>0</v>
      </c>
      <c r="BG5" t="s">
        <v>70</v>
      </c>
      <c r="BJ5" t="s">
        <v>5945</v>
      </c>
    </row>
    <row r="6" spans="1:64">
      <c r="A6" s="1">
        <f>HYPERLINK("https://lsnyc.legalserver.org/matter/dynamic-profile/view/1906845","19-1906845")</f>
        <v>0</v>
      </c>
      <c r="B6" t="s">
        <v>64</v>
      </c>
      <c r="C6" t="s">
        <v>70</v>
      </c>
      <c r="D6" t="s">
        <v>200</v>
      </c>
      <c r="E6" t="s">
        <v>201</v>
      </c>
      <c r="G6" t="s">
        <v>270</v>
      </c>
      <c r="I6" t="s">
        <v>288</v>
      </c>
      <c r="J6" t="s">
        <v>291</v>
      </c>
      <c r="K6" t="s">
        <v>292</v>
      </c>
      <c r="M6" t="s">
        <v>290</v>
      </c>
      <c r="N6" t="s">
        <v>202</v>
      </c>
      <c r="O6" t="s">
        <v>423</v>
      </c>
      <c r="P6" t="s">
        <v>427</v>
      </c>
      <c r="S6" t="s">
        <v>467</v>
      </c>
      <c r="T6" t="s">
        <v>1174</v>
      </c>
      <c r="U6" t="s">
        <v>240</v>
      </c>
      <c r="W6" t="s">
        <v>1876</v>
      </c>
      <c r="X6" t="s">
        <v>1882</v>
      </c>
      <c r="Z6" t="s">
        <v>3097</v>
      </c>
      <c r="AA6" t="s">
        <v>3135</v>
      </c>
      <c r="AB6">
        <v>11206</v>
      </c>
      <c r="AC6" t="s">
        <v>3136</v>
      </c>
      <c r="AE6">
        <v>2</v>
      </c>
      <c r="AG6" t="s">
        <v>4028</v>
      </c>
      <c r="AH6" t="s">
        <v>291</v>
      </c>
      <c r="AK6" t="s">
        <v>4041</v>
      </c>
      <c r="AM6">
        <v>0</v>
      </c>
      <c r="AN6">
        <v>0</v>
      </c>
      <c r="AO6">
        <v>6</v>
      </c>
      <c r="AQ6" t="s">
        <v>4061</v>
      </c>
      <c r="AR6" t="s">
        <v>4977</v>
      </c>
      <c r="AS6">
        <v>100</v>
      </c>
      <c r="AU6">
        <v>1</v>
      </c>
      <c r="AV6">
        <v>0</v>
      </c>
      <c r="AW6">
        <v>72.06</v>
      </c>
      <c r="BB6" t="s">
        <v>1322</v>
      </c>
      <c r="BC6">
        <v>9000</v>
      </c>
      <c r="BG6" t="s">
        <v>5893</v>
      </c>
      <c r="BJ6" t="s">
        <v>5946</v>
      </c>
      <c r="BK6" t="s">
        <v>218</v>
      </c>
    </row>
    <row r="7" spans="1:64">
      <c r="A7" s="1">
        <f>HYPERLINK("https://lsnyc.legalserver.org/matter/dynamic-profile/view/1904387","19-1904387")</f>
        <v>0</v>
      </c>
      <c r="B7" t="s">
        <v>64</v>
      </c>
      <c r="C7" t="s">
        <v>70</v>
      </c>
      <c r="D7" t="s">
        <v>200</v>
      </c>
      <c r="E7" t="s">
        <v>202</v>
      </c>
      <c r="F7" t="s">
        <v>204</v>
      </c>
      <c r="G7" t="s">
        <v>270</v>
      </c>
      <c r="I7" t="s">
        <v>202</v>
      </c>
      <c r="J7" t="s">
        <v>289</v>
      </c>
      <c r="K7" t="s">
        <v>202</v>
      </c>
      <c r="L7" t="s">
        <v>294</v>
      </c>
      <c r="M7" t="s">
        <v>290</v>
      </c>
      <c r="N7" t="s">
        <v>419</v>
      </c>
      <c r="O7" t="s">
        <v>420</v>
      </c>
      <c r="P7" t="s">
        <v>427</v>
      </c>
      <c r="S7" t="s">
        <v>468</v>
      </c>
      <c r="T7" t="s">
        <v>1175</v>
      </c>
      <c r="U7" t="s">
        <v>204</v>
      </c>
      <c r="W7" t="s">
        <v>1876</v>
      </c>
      <c r="X7" t="s">
        <v>1883</v>
      </c>
      <c r="Y7" t="s">
        <v>2783</v>
      </c>
      <c r="Z7" t="s">
        <v>3097</v>
      </c>
      <c r="AA7" t="s">
        <v>3135</v>
      </c>
      <c r="AB7">
        <v>11249</v>
      </c>
      <c r="AC7" t="s">
        <v>3136</v>
      </c>
      <c r="AE7">
        <v>3</v>
      </c>
      <c r="AG7" t="s">
        <v>4028</v>
      </c>
      <c r="AH7" t="s">
        <v>291</v>
      </c>
      <c r="AK7" t="s">
        <v>4040</v>
      </c>
      <c r="AM7">
        <v>0</v>
      </c>
      <c r="AN7">
        <v>1159</v>
      </c>
      <c r="AO7">
        <v>0</v>
      </c>
      <c r="AQ7" t="s">
        <v>4062</v>
      </c>
      <c r="AR7" t="s">
        <v>4978</v>
      </c>
      <c r="AS7">
        <v>83</v>
      </c>
      <c r="AT7" t="s">
        <v>5834</v>
      </c>
      <c r="AU7">
        <v>1</v>
      </c>
      <c r="AV7">
        <v>0</v>
      </c>
      <c r="AW7">
        <v>58.9</v>
      </c>
      <c r="BB7" t="s">
        <v>1322</v>
      </c>
      <c r="BC7">
        <v>7356</v>
      </c>
      <c r="BG7" t="s">
        <v>5893</v>
      </c>
      <c r="BJ7" t="s">
        <v>5947</v>
      </c>
      <c r="BL7" t="s">
        <v>6056</v>
      </c>
    </row>
    <row r="8" spans="1:64">
      <c r="A8" s="1">
        <f>HYPERLINK("https://lsnyc.legalserver.org/matter/dynamic-profile/view/1904408","19-1904408")</f>
        <v>0</v>
      </c>
      <c r="B8" t="s">
        <v>64</v>
      </c>
      <c r="C8" t="s">
        <v>70</v>
      </c>
      <c r="D8" t="s">
        <v>200</v>
      </c>
      <c r="E8" t="s">
        <v>201</v>
      </c>
      <c r="G8" t="s">
        <v>202</v>
      </c>
      <c r="H8" t="s">
        <v>272</v>
      </c>
      <c r="I8" t="s">
        <v>202</v>
      </c>
      <c r="J8" t="s">
        <v>289</v>
      </c>
      <c r="K8" t="s">
        <v>202</v>
      </c>
      <c r="L8">
        <v>36992633</v>
      </c>
      <c r="M8" t="s">
        <v>290</v>
      </c>
      <c r="N8" t="s">
        <v>419</v>
      </c>
      <c r="O8" t="s">
        <v>420</v>
      </c>
      <c r="P8" t="s">
        <v>427</v>
      </c>
      <c r="S8" t="s">
        <v>469</v>
      </c>
      <c r="T8" t="s">
        <v>1176</v>
      </c>
      <c r="U8" t="s">
        <v>204</v>
      </c>
      <c r="W8" t="s">
        <v>1876</v>
      </c>
      <c r="X8" t="s">
        <v>1884</v>
      </c>
      <c r="Y8" t="s">
        <v>2784</v>
      </c>
      <c r="Z8" t="s">
        <v>3097</v>
      </c>
      <c r="AA8" t="s">
        <v>3135</v>
      </c>
      <c r="AB8">
        <v>11216</v>
      </c>
      <c r="AC8" t="s">
        <v>3137</v>
      </c>
      <c r="AD8" t="s">
        <v>3154</v>
      </c>
      <c r="AE8">
        <v>6</v>
      </c>
      <c r="AG8" t="s">
        <v>4029</v>
      </c>
      <c r="AH8" t="s">
        <v>291</v>
      </c>
      <c r="AK8" t="s">
        <v>4040</v>
      </c>
      <c r="AM8">
        <v>0</v>
      </c>
      <c r="AN8">
        <v>795</v>
      </c>
      <c r="AO8">
        <v>3.7</v>
      </c>
      <c r="AQ8" t="s">
        <v>4063</v>
      </c>
      <c r="AR8" t="s">
        <v>4979</v>
      </c>
      <c r="AS8">
        <v>12</v>
      </c>
      <c r="AU8">
        <v>1</v>
      </c>
      <c r="AV8">
        <v>2</v>
      </c>
      <c r="AW8">
        <v>22.5</v>
      </c>
      <c r="BA8" t="s">
        <v>5850</v>
      </c>
      <c r="BB8" t="s">
        <v>1322</v>
      </c>
      <c r="BC8">
        <v>4800</v>
      </c>
      <c r="BG8" t="s">
        <v>5894</v>
      </c>
      <c r="BJ8" t="s">
        <v>5948</v>
      </c>
      <c r="BK8" t="s">
        <v>225</v>
      </c>
      <c r="BL8" t="s">
        <v>6056</v>
      </c>
    </row>
    <row r="9" spans="1:64">
      <c r="A9" s="1">
        <f>HYPERLINK("https://lsnyc.legalserver.org/matter/dynamic-profile/view/1909209","19-1909209")</f>
        <v>0</v>
      </c>
      <c r="B9" t="s">
        <v>64</v>
      </c>
      <c r="C9" t="s">
        <v>70</v>
      </c>
      <c r="D9" t="s">
        <v>200</v>
      </c>
      <c r="E9" t="s">
        <v>201</v>
      </c>
      <c r="G9" t="s">
        <v>202</v>
      </c>
      <c r="H9" t="s">
        <v>272</v>
      </c>
      <c r="I9" t="s">
        <v>202</v>
      </c>
      <c r="J9" t="s">
        <v>289</v>
      </c>
      <c r="K9" t="s">
        <v>292</v>
      </c>
      <c r="M9" t="s">
        <v>290</v>
      </c>
      <c r="N9" t="s">
        <v>419</v>
      </c>
      <c r="O9" t="s">
        <v>420</v>
      </c>
      <c r="P9" t="s">
        <v>427</v>
      </c>
      <c r="S9" t="s">
        <v>470</v>
      </c>
      <c r="T9" t="s">
        <v>1177</v>
      </c>
      <c r="U9" t="s">
        <v>228</v>
      </c>
      <c r="W9" t="s">
        <v>1876</v>
      </c>
      <c r="X9" t="s">
        <v>1885</v>
      </c>
      <c r="Y9" t="s">
        <v>2785</v>
      </c>
      <c r="Z9" t="s">
        <v>3097</v>
      </c>
      <c r="AA9" t="s">
        <v>3135</v>
      </c>
      <c r="AB9">
        <v>11226</v>
      </c>
      <c r="AD9" t="s">
        <v>3155</v>
      </c>
      <c r="AE9">
        <v>0</v>
      </c>
      <c r="AG9" t="s">
        <v>4029</v>
      </c>
      <c r="AH9" t="s">
        <v>291</v>
      </c>
      <c r="AK9" t="s">
        <v>4040</v>
      </c>
      <c r="AM9">
        <v>0</v>
      </c>
      <c r="AN9">
        <v>0</v>
      </c>
      <c r="AO9">
        <v>0</v>
      </c>
      <c r="AQ9" t="s">
        <v>4064</v>
      </c>
      <c r="AR9" t="s">
        <v>4980</v>
      </c>
      <c r="AS9">
        <v>0</v>
      </c>
      <c r="AU9">
        <v>2</v>
      </c>
      <c r="AV9">
        <v>0</v>
      </c>
      <c r="AW9">
        <v>153.76</v>
      </c>
      <c r="BB9" t="s">
        <v>1322</v>
      </c>
      <c r="BC9">
        <v>26000</v>
      </c>
      <c r="BG9" t="s">
        <v>5894</v>
      </c>
      <c r="BJ9" t="s">
        <v>5949</v>
      </c>
      <c r="BL9" t="s">
        <v>6056</v>
      </c>
    </row>
    <row r="10" spans="1:64">
      <c r="A10" s="1">
        <f>HYPERLINK("https://lsnyc.legalserver.org/matter/dynamic-profile/view/1907398","19-1907398")</f>
        <v>0</v>
      </c>
      <c r="B10" t="s">
        <v>64</v>
      </c>
      <c r="C10" t="s">
        <v>70</v>
      </c>
      <c r="D10" t="s">
        <v>200</v>
      </c>
      <c r="E10" t="s">
        <v>201</v>
      </c>
      <c r="G10" t="s">
        <v>270</v>
      </c>
      <c r="I10" t="s">
        <v>288</v>
      </c>
      <c r="J10" t="s">
        <v>290</v>
      </c>
      <c r="K10" t="s">
        <v>292</v>
      </c>
      <c r="M10" t="s">
        <v>290</v>
      </c>
      <c r="N10" t="s">
        <v>202</v>
      </c>
      <c r="O10" t="s">
        <v>423</v>
      </c>
      <c r="P10" t="s">
        <v>427</v>
      </c>
      <c r="S10" t="s">
        <v>471</v>
      </c>
      <c r="T10" t="s">
        <v>1178</v>
      </c>
      <c r="U10" t="s">
        <v>257</v>
      </c>
      <c r="W10" t="s">
        <v>1876</v>
      </c>
      <c r="X10" t="s">
        <v>1886</v>
      </c>
      <c r="Y10" t="s">
        <v>2786</v>
      </c>
      <c r="Z10" t="s">
        <v>3097</v>
      </c>
      <c r="AA10" t="s">
        <v>3135</v>
      </c>
      <c r="AB10">
        <v>11214</v>
      </c>
      <c r="AE10">
        <v>0</v>
      </c>
      <c r="AG10" t="s">
        <v>4028</v>
      </c>
      <c r="AH10" t="s">
        <v>291</v>
      </c>
      <c r="AK10" t="s">
        <v>4040</v>
      </c>
      <c r="AM10">
        <v>0</v>
      </c>
      <c r="AN10">
        <v>0</v>
      </c>
      <c r="AO10">
        <v>0</v>
      </c>
      <c r="AQ10" t="s">
        <v>4065</v>
      </c>
      <c r="AR10" t="s">
        <v>4981</v>
      </c>
      <c r="AS10">
        <v>0</v>
      </c>
      <c r="AU10">
        <v>1</v>
      </c>
      <c r="AV10">
        <v>0</v>
      </c>
      <c r="AW10">
        <v>98.56999999999999</v>
      </c>
      <c r="BB10" t="s">
        <v>1322</v>
      </c>
      <c r="BC10">
        <v>12312</v>
      </c>
      <c r="BG10" t="s">
        <v>70</v>
      </c>
      <c r="BJ10" t="s">
        <v>5950</v>
      </c>
    </row>
    <row r="11" spans="1:64">
      <c r="A11" s="1">
        <f>HYPERLINK("https://lsnyc.legalserver.org/matter/dynamic-profile/view/1907127","19-1907127")</f>
        <v>0</v>
      </c>
      <c r="B11" t="s">
        <v>64</v>
      </c>
      <c r="C11" t="s">
        <v>70</v>
      </c>
      <c r="D11" t="s">
        <v>200</v>
      </c>
      <c r="E11" t="s">
        <v>201</v>
      </c>
      <c r="G11" t="s">
        <v>270</v>
      </c>
      <c r="I11" t="s">
        <v>288</v>
      </c>
      <c r="J11" t="s">
        <v>290</v>
      </c>
      <c r="K11" t="s">
        <v>292</v>
      </c>
      <c r="M11" t="s">
        <v>290</v>
      </c>
      <c r="N11" t="s">
        <v>202</v>
      </c>
      <c r="O11" t="s">
        <v>423</v>
      </c>
      <c r="P11" t="s">
        <v>427</v>
      </c>
      <c r="S11" t="s">
        <v>472</v>
      </c>
      <c r="T11" t="s">
        <v>1041</v>
      </c>
      <c r="U11" t="s">
        <v>248</v>
      </c>
      <c r="W11" t="s">
        <v>1876</v>
      </c>
      <c r="X11" t="s">
        <v>1887</v>
      </c>
      <c r="Y11" t="s">
        <v>2787</v>
      </c>
      <c r="Z11" t="s">
        <v>3097</v>
      </c>
      <c r="AA11" t="s">
        <v>3135</v>
      </c>
      <c r="AB11">
        <v>11213</v>
      </c>
      <c r="AC11" t="s">
        <v>3136</v>
      </c>
      <c r="AE11">
        <v>50</v>
      </c>
      <c r="AG11" t="s">
        <v>4028</v>
      </c>
      <c r="AH11" t="s">
        <v>291</v>
      </c>
      <c r="AK11" t="s">
        <v>4040</v>
      </c>
      <c r="AM11">
        <v>0</v>
      </c>
      <c r="AN11">
        <v>637.45</v>
      </c>
      <c r="AO11">
        <v>4.4</v>
      </c>
      <c r="AQ11" t="s">
        <v>4066</v>
      </c>
      <c r="AR11" t="s">
        <v>4982</v>
      </c>
      <c r="AS11">
        <v>7</v>
      </c>
      <c r="AU11">
        <v>1</v>
      </c>
      <c r="AV11">
        <v>0</v>
      </c>
      <c r="AW11">
        <v>28.82</v>
      </c>
      <c r="BA11" t="s">
        <v>5851</v>
      </c>
      <c r="BB11" t="s">
        <v>1322</v>
      </c>
      <c r="BC11">
        <v>3600</v>
      </c>
      <c r="BG11" t="s">
        <v>5893</v>
      </c>
      <c r="BJ11" t="s">
        <v>5942</v>
      </c>
      <c r="BK11" t="s">
        <v>213</v>
      </c>
    </row>
    <row r="12" spans="1:64">
      <c r="A12" s="1">
        <f>HYPERLINK("https://lsnyc.legalserver.org/matter/dynamic-profile/view/1907012","19-1907012")</f>
        <v>0</v>
      </c>
      <c r="B12" t="s">
        <v>64</v>
      </c>
      <c r="C12" t="s">
        <v>70</v>
      </c>
      <c r="D12" t="s">
        <v>200</v>
      </c>
      <c r="E12" t="s">
        <v>201</v>
      </c>
      <c r="G12" t="s">
        <v>202</v>
      </c>
      <c r="H12" t="s">
        <v>272</v>
      </c>
      <c r="I12" t="s">
        <v>202</v>
      </c>
      <c r="J12" t="s">
        <v>289</v>
      </c>
      <c r="K12" t="s">
        <v>292</v>
      </c>
      <c r="M12" t="s">
        <v>290</v>
      </c>
      <c r="N12" t="s">
        <v>419</v>
      </c>
      <c r="O12" t="s">
        <v>420</v>
      </c>
      <c r="P12" t="s">
        <v>427</v>
      </c>
      <c r="S12" t="s">
        <v>473</v>
      </c>
      <c r="T12" t="s">
        <v>1179</v>
      </c>
      <c r="U12" t="s">
        <v>226</v>
      </c>
      <c r="W12" t="s">
        <v>1876</v>
      </c>
      <c r="X12" t="s">
        <v>1888</v>
      </c>
      <c r="Y12" t="s">
        <v>2788</v>
      </c>
      <c r="Z12" t="s">
        <v>3097</v>
      </c>
      <c r="AA12" t="s">
        <v>3135</v>
      </c>
      <c r="AB12">
        <v>11226</v>
      </c>
      <c r="AC12" t="s">
        <v>3136</v>
      </c>
      <c r="AD12" t="s">
        <v>3156</v>
      </c>
      <c r="AE12">
        <v>25</v>
      </c>
      <c r="AG12" t="s">
        <v>4029</v>
      </c>
      <c r="AH12" t="s">
        <v>291</v>
      </c>
      <c r="AK12" t="s">
        <v>4040</v>
      </c>
      <c r="AM12">
        <v>0</v>
      </c>
      <c r="AN12">
        <v>1119.3</v>
      </c>
      <c r="AO12">
        <v>0.5</v>
      </c>
      <c r="AQ12" t="s">
        <v>4067</v>
      </c>
      <c r="AR12" t="s">
        <v>4983</v>
      </c>
      <c r="AS12">
        <v>23</v>
      </c>
      <c r="AU12">
        <v>2</v>
      </c>
      <c r="AV12">
        <v>1</v>
      </c>
      <c r="AW12">
        <v>134.92</v>
      </c>
      <c r="BA12" t="s">
        <v>329</v>
      </c>
      <c r="BB12" t="s">
        <v>1322</v>
      </c>
      <c r="BC12">
        <v>28777.84</v>
      </c>
      <c r="BG12" t="s">
        <v>5894</v>
      </c>
      <c r="BJ12" t="s">
        <v>5951</v>
      </c>
      <c r="BK12" t="s">
        <v>213</v>
      </c>
      <c r="BL12" t="s">
        <v>6056</v>
      </c>
    </row>
    <row r="13" spans="1:64">
      <c r="A13" s="1">
        <f>HYPERLINK("https://lsnyc.legalserver.org/matter/dynamic-profile/view/1907411","19-1907411")</f>
        <v>0</v>
      </c>
      <c r="B13" t="s">
        <v>64</v>
      </c>
      <c r="C13" t="s">
        <v>70</v>
      </c>
      <c r="D13" t="s">
        <v>200</v>
      </c>
      <c r="E13" t="s">
        <v>201</v>
      </c>
      <c r="G13" t="s">
        <v>270</v>
      </c>
      <c r="I13" t="s">
        <v>288</v>
      </c>
      <c r="J13" t="s">
        <v>291</v>
      </c>
      <c r="K13" t="s">
        <v>292</v>
      </c>
      <c r="M13" t="s">
        <v>290</v>
      </c>
      <c r="N13" t="s">
        <v>202</v>
      </c>
      <c r="O13" t="s">
        <v>422</v>
      </c>
      <c r="P13" t="s">
        <v>427</v>
      </c>
      <c r="S13" t="s">
        <v>474</v>
      </c>
      <c r="T13" t="s">
        <v>1180</v>
      </c>
      <c r="U13" t="s">
        <v>257</v>
      </c>
      <c r="W13" t="s">
        <v>1876</v>
      </c>
      <c r="X13" t="s">
        <v>1889</v>
      </c>
      <c r="Y13" t="s">
        <v>2789</v>
      </c>
      <c r="Z13" t="s">
        <v>3097</v>
      </c>
      <c r="AA13" t="s">
        <v>3135</v>
      </c>
      <c r="AB13">
        <v>11207</v>
      </c>
      <c r="AE13">
        <v>1</v>
      </c>
      <c r="AG13" t="s">
        <v>4028</v>
      </c>
      <c r="AH13" t="s">
        <v>291</v>
      </c>
      <c r="AK13" t="s">
        <v>4040</v>
      </c>
      <c r="AM13">
        <v>0</v>
      </c>
      <c r="AN13">
        <v>278</v>
      </c>
      <c r="AO13">
        <v>0</v>
      </c>
      <c r="AQ13" t="s">
        <v>4068</v>
      </c>
      <c r="AR13" t="s">
        <v>4984</v>
      </c>
      <c r="AS13">
        <v>0</v>
      </c>
      <c r="AU13">
        <v>2</v>
      </c>
      <c r="AV13">
        <v>1</v>
      </c>
      <c r="AW13">
        <v>62.73</v>
      </c>
      <c r="BB13" t="s">
        <v>1322</v>
      </c>
      <c r="BC13">
        <v>13380</v>
      </c>
      <c r="BG13" t="s">
        <v>70</v>
      </c>
      <c r="BJ13" t="s">
        <v>5952</v>
      </c>
    </row>
    <row r="14" spans="1:64">
      <c r="A14" s="1">
        <f>HYPERLINK("https://lsnyc.legalserver.org/matter/dynamic-profile/view/1904636","19-1904636")</f>
        <v>0</v>
      </c>
      <c r="B14" t="s">
        <v>64</v>
      </c>
      <c r="C14" t="s">
        <v>71</v>
      </c>
      <c r="D14" t="s">
        <v>200</v>
      </c>
      <c r="E14" t="s">
        <v>202</v>
      </c>
      <c r="F14" t="s">
        <v>205</v>
      </c>
      <c r="G14" t="s">
        <v>202</v>
      </c>
      <c r="H14" t="s">
        <v>273</v>
      </c>
      <c r="I14" t="s">
        <v>202</v>
      </c>
      <c r="J14" t="s">
        <v>289</v>
      </c>
      <c r="K14" t="s">
        <v>202</v>
      </c>
      <c r="L14" t="s">
        <v>295</v>
      </c>
      <c r="M14" t="s">
        <v>290</v>
      </c>
      <c r="N14" t="s">
        <v>202</v>
      </c>
      <c r="O14" t="s">
        <v>422</v>
      </c>
      <c r="P14" t="s">
        <v>428</v>
      </c>
      <c r="S14" t="s">
        <v>475</v>
      </c>
      <c r="T14" t="s">
        <v>1181</v>
      </c>
      <c r="U14" t="s">
        <v>246</v>
      </c>
      <c r="V14" t="s">
        <v>231</v>
      </c>
      <c r="W14" t="s">
        <v>1877</v>
      </c>
      <c r="X14" t="s">
        <v>1890</v>
      </c>
      <c r="Y14" t="s">
        <v>2790</v>
      </c>
      <c r="Z14" t="s">
        <v>3097</v>
      </c>
      <c r="AA14" t="s">
        <v>3135</v>
      </c>
      <c r="AB14">
        <v>11236</v>
      </c>
      <c r="AC14" t="s">
        <v>3136</v>
      </c>
      <c r="AD14" t="s">
        <v>3157</v>
      </c>
      <c r="AE14">
        <v>4</v>
      </c>
      <c r="AF14" t="s">
        <v>4023</v>
      </c>
      <c r="AG14" t="s">
        <v>4028</v>
      </c>
      <c r="AH14" t="s">
        <v>291</v>
      </c>
      <c r="AI14" t="s">
        <v>291</v>
      </c>
      <c r="AK14" t="s">
        <v>4040</v>
      </c>
      <c r="AL14" t="s">
        <v>4046</v>
      </c>
      <c r="AM14">
        <v>0</v>
      </c>
      <c r="AN14">
        <v>0</v>
      </c>
      <c r="AO14">
        <v>0.5</v>
      </c>
      <c r="AP14" t="s">
        <v>4052</v>
      </c>
      <c r="AQ14" t="s">
        <v>4069</v>
      </c>
      <c r="AR14" t="s">
        <v>4985</v>
      </c>
      <c r="AS14">
        <v>2</v>
      </c>
      <c r="AT14" t="s">
        <v>5835</v>
      </c>
      <c r="AU14">
        <v>1</v>
      </c>
      <c r="AV14">
        <v>0</v>
      </c>
      <c r="AW14">
        <v>17.49</v>
      </c>
      <c r="BA14" t="s">
        <v>329</v>
      </c>
      <c r="BB14" t="s">
        <v>1322</v>
      </c>
      <c r="BC14">
        <v>2184</v>
      </c>
      <c r="BG14" t="s">
        <v>5890</v>
      </c>
      <c r="BJ14" t="s">
        <v>5953</v>
      </c>
      <c r="BK14" t="s">
        <v>205</v>
      </c>
      <c r="BL14" t="s">
        <v>6056</v>
      </c>
    </row>
    <row r="15" spans="1:64">
      <c r="A15" s="1">
        <f>HYPERLINK("https://lsnyc.legalserver.org/matter/dynamic-profile/view/1904143","19-1904143")</f>
        <v>0</v>
      </c>
      <c r="B15" t="s">
        <v>64</v>
      </c>
      <c r="C15" t="s">
        <v>71</v>
      </c>
      <c r="D15" t="s">
        <v>200</v>
      </c>
      <c r="E15" t="s">
        <v>201</v>
      </c>
      <c r="G15" t="s">
        <v>202</v>
      </c>
      <c r="H15" t="s">
        <v>271</v>
      </c>
      <c r="I15" t="s">
        <v>202</v>
      </c>
      <c r="J15" t="s">
        <v>289</v>
      </c>
      <c r="K15" t="s">
        <v>292</v>
      </c>
      <c r="M15" t="s">
        <v>290</v>
      </c>
      <c r="N15" t="s">
        <v>419</v>
      </c>
      <c r="O15" t="s">
        <v>420</v>
      </c>
      <c r="P15" t="s">
        <v>427</v>
      </c>
      <c r="S15" t="s">
        <v>476</v>
      </c>
      <c r="T15" t="s">
        <v>1182</v>
      </c>
      <c r="U15" t="s">
        <v>227</v>
      </c>
      <c r="W15" t="s">
        <v>1876</v>
      </c>
      <c r="X15" t="s">
        <v>1891</v>
      </c>
      <c r="Y15">
        <v>1</v>
      </c>
      <c r="Z15" t="s">
        <v>3097</v>
      </c>
      <c r="AA15" t="s">
        <v>3135</v>
      </c>
      <c r="AB15">
        <v>11221</v>
      </c>
      <c r="AC15" t="s">
        <v>3137</v>
      </c>
      <c r="AD15" t="s">
        <v>3158</v>
      </c>
      <c r="AE15">
        <v>-1</v>
      </c>
      <c r="AG15" t="s">
        <v>4029</v>
      </c>
      <c r="AH15" t="s">
        <v>291</v>
      </c>
      <c r="AK15" t="s">
        <v>4040</v>
      </c>
      <c r="AM15">
        <v>0</v>
      </c>
      <c r="AN15">
        <v>1557</v>
      </c>
      <c r="AO15">
        <v>9</v>
      </c>
      <c r="AQ15" t="s">
        <v>4070</v>
      </c>
      <c r="AR15" t="s">
        <v>4986</v>
      </c>
      <c r="AS15">
        <v>0</v>
      </c>
      <c r="AU15">
        <v>3</v>
      </c>
      <c r="AV15">
        <v>0</v>
      </c>
      <c r="AW15">
        <v>90.81</v>
      </c>
      <c r="BB15" t="s">
        <v>1322</v>
      </c>
      <c r="BC15">
        <v>19370</v>
      </c>
      <c r="BG15" t="s">
        <v>5892</v>
      </c>
      <c r="BJ15" t="s">
        <v>5954</v>
      </c>
      <c r="BK15" t="s">
        <v>263</v>
      </c>
      <c r="BL15" t="s">
        <v>6056</v>
      </c>
    </row>
    <row r="16" spans="1:64">
      <c r="A16" s="1">
        <f>HYPERLINK("https://lsnyc.legalserver.org/matter/dynamic-profile/view/1904561","19-1904561")</f>
        <v>0</v>
      </c>
      <c r="B16" t="s">
        <v>64</v>
      </c>
      <c r="C16" t="s">
        <v>71</v>
      </c>
      <c r="D16" t="s">
        <v>200</v>
      </c>
      <c r="E16" t="s">
        <v>202</v>
      </c>
      <c r="F16" t="s">
        <v>205</v>
      </c>
      <c r="G16" t="s">
        <v>202</v>
      </c>
      <c r="H16" t="s">
        <v>272</v>
      </c>
      <c r="I16" t="s">
        <v>202</v>
      </c>
      <c r="J16" t="s">
        <v>289</v>
      </c>
      <c r="K16" t="s">
        <v>292</v>
      </c>
      <c r="M16" t="s">
        <v>290</v>
      </c>
      <c r="N16" t="s">
        <v>202</v>
      </c>
      <c r="O16" t="s">
        <v>422</v>
      </c>
      <c r="P16" t="s">
        <v>428</v>
      </c>
      <c r="S16" t="s">
        <v>477</v>
      </c>
      <c r="T16" t="s">
        <v>1183</v>
      </c>
      <c r="U16" t="s">
        <v>205</v>
      </c>
      <c r="V16" t="s">
        <v>246</v>
      </c>
      <c r="W16" t="s">
        <v>1877</v>
      </c>
      <c r="X16" t="s">
        <v>1892</v>
      </c>
      <c r="Y16" t="s">
        <v>2791</v>
      </c>
      <c r="Z16" t="s">
        <v>3097</v>
      </c>
      <c r="AA16" t="s">
        <v>3135</v>
      </c>
      <c r="AB16">
        <v>11235</v>
      </c>
      <c r="AC16" t="s">
        <v>3139</v>
      </c>
      <c r="AD16" t="s">
        <v>3159</v>
      </c>
      <c r="AE16">
        <v>15</v>
      </c>
      <c r="AF16" t="s">
        <v>4023</v>
      </c>
      <c r="AG16" t="s">
        <v>4028</v>
      </c>
      <c r="AH16" t="s">
        <v>291</v>
      </c>
      <c r="AI16" t="s">
        <v>291</v>
      </c>
      <c r="AK16" t="s">
        <v>4040</v>
      </c>
      <c r="AL16" t="s">
        <v>4047</v>
      </c>
      <c r="AM16">
        <v>0</v>
      </c>
      <c r="AN16">
        <v>1504.6</v>
      </c>
      <c r="AO16">
        <v>3.6</v>
      </c>
      <c r="AP16" t="s">
        <v>4052</v>
      </c>
      <c r="AQ16" t="s">
        <v>4071</v>
      </c>
      <c r="AR16" t="s">
        <v>4987</v>
      </c>
      <c r="AS16">
        <v>108</v>
      </c>
      <c r="AT16" t="s">
        <v>5836</v>
      </c>
      <c r="AU16">
        <v>1</v>
      </c>
      <c r="AV16">
        <v>0</v>
      </c>
      <c r="AW16">
        <v>96.08</v>
      </c>
      <c r="BA16" t="s">
        <v>329</v>
      </c>
      <c r="BB16" t="s">
        <v>1322</v>
      </c>
      <c r="BC16">
        <v>12000</v>
      </c>
      <c r="BG16" t="s">
        <v>5890</v>
      </c>
      <c r="BJ16" t="s">
        <v>5955</v>
      </c>
      <c r="BK16" t="s">
        <v>260</v>
      </c>
      <c r="BL16" t="s">
        <v>6056</v>
      </c>
    </row>
    <row r="17" spans="1:64">
      <c r="A17" s="1">
        <f>HYPERLINK("https://lsnyc.legalserver.org/matter/dynamic-profile/view/1908012","19-1908012")</f>
        <v>0</v>
      </c>
      <c r="B17" t="s">
        <v>64</v>
      </c>
      <c r="C17" t="s">
        <v>71</v>
      </c>
      <c r="D17" t="s">
        <v>200</v>
      </c>
      <c r="E17" t="s">
        <v>201</v>
      </c>
      <c r="G17" t="s">
        <v>202</v>
      </c>
      <c r="H17" t="s">
        <v>272</v>
      </c>
      <c r="I17" t="s">
        <v>202</v>
      </c>
      <c r="J17" t="s">
        <v>289</v>
      </c>
      <c r="K17" t="s">
        <v>292</v>
      </c>
      <c r="M17" t="s">
        <v>290</v>
      </c>
      <c r="N17" t="s">
        <v>419</v>
      </c>
      <c r="P17" t="s">
        <v>427</v>
      </c>
      <c r="S17" t="s">
        <v>478</v>
      </c>
      <c r="T17" t="s">
        <v>1184</v>
      </c>
      <c r="U17" t="s">
        <v>221</v>
      </c>
      <c r="W17" t="s">
        <v>1876</v>
      </c>
      <c r="X17" t="s">
        <v>1893</v>
      </c>
      <c r="Y17" t="s">
        <v>2792</v>
      </c>
      <c r="Z17" t="s">
        <v>3097</v>
      </c>
      <c r="AA17" t="s">
        <v>3135</v>
      </c>
      <c r="AB17">
        <v>11221</v>
      </c>
      <c r="AC17" t="s">
        <v>3137</v>
      </c>
      <c r="AD17" t="s">
        <v>3160</v>
      </c>
      <c r="AE17">
        <v>0</v>
      </c>
      <c r="AG17" t="s">
        <v>4029</v>
      </c>
      <c r="AH17" t="s">
        <v>291</v>
      </c>
      <c r="AK17" t="s">
        <v>4040</v>
      </c>
      <c r="AM17">
        <v>0</v>
      </c>
      <c r="AN17">
        <v>0</v>
      </c>
      <c r="AO17">
        <v>0.5</v>
      </c>
      <c r="AQ17" t="s">
        <v>4072</v>
      </c>
      <c r="AR17" t="s">
        <v>4988</v>
      </c>
      <c r="AS17">
        <v>0</v>
      </c>
      <c r="AU17">
        <v>2</v>
      </c>
      <c r="AV17">
        <v>3</v>
      </c>
      <c r="AW17">
        <v>116.61</v>
      </c>
      <c r="BB17" t="s">
        <v>1322</v>
      </c>
      <c r="BC17">
        <v>35180</v>
      </c>
      <c r="BG17" t="s">
        <v>5890</v>
      </c>
      <c r="BJ17" t="s">
        <v>5956</v>
      </c>
      <c r="BK17" t="s">
        <v>247</v>
      </c>
      <c r="BL17" t="s">
        <v>6056</v>
      </c>
    </row>
    <row r="18" spans="1:64">
      <c r="A18" s="1">
        <f>HYPERLINK("https://lsnyc.legalserver.org/matter/dynamic-profile/view/1904521","19-1904521")</f>
        <v>0</v>
      </c>
      <c r="B18" t="s">
        <v>64</v>
      </c>
      <c r="C18" t="s">
        <v>71</v>
      </c>
      <c r="D18" t="s">
        <v>200</v>
      </c>
      <c r="E18" t="s">
        <v>201</v>
      </c>
      <c r="G18" t="s">
        <v>202</v>
      </c>
      <c r="H18" t="s">
        <v>272</v>
      </c>
      <c r="I18" t="s">
        <v>202</v>
      </c>
      <c r="J18" t="s">
        <v>289</v>
      </c>
      <c r="K18" t="s">
        <v>202</v>
      </c>
      <c r="L18" t="s">
        <v>296</v>
      </c>
      <c r="M18" t="s">
        <v>290</v>
      </c>
      <c r="N18" t="s">
        <v>202</v>
      </c>
      <c r="O18" t="s">
        <v>421</v>
      </c>
      <c r="P18" t="s">
        <v>427</v>
      </c>
      <c r="S18" t="s">
        <v>479</v>
      </c>
      <c r="T18" t="s">
        <v>1185</v>
      </c>
      <c r="U18" t="s">
        <v>205</v>
      </c>
      <c r="W18" t="s">
        <v>1876</v>
      </c>
      <c r="X18" t="s">
        <v>1894</v>
      </c>
      <c r="Y18" t="s">
        <v>2793</v>
      </c>
      <c r="Z18" t="s">
        <v>3097</v>
      </c>
      <c r="AA18" t="s">
        <v>3135</v>
      </c>
      <c r="AB18">
        <v>11221</v>
      </c>
      <c r="AC18" t="s">
        <v>3137</v>
      </c>
      <c r="AD18" t="s">
        <v>3161</v>
      </c>
      <c r="AE18">
        <v>4</v>
      </c>
      <c r="AG18" t="s">
        <v>4029</v>
      </c>
      <c r="AH18" t="s">
        <v>291</v>
      </c>
      <c r="AI18" t="s">
        <v>291</v>
      </c>
      <c r="AK18" t="s">
        <v>4040</v>
      </c>
      <c r="AM18">
        <v>0</v>
      </c>
      <c r="AN18">
        <v>1230</v>
      </c>
      <c r="AO18">
        <v>8.300000000000001</v>
      </c>
      <c r="AQ18" t="s">
        <v>4073</v>
      </c>
      <c r="AR18" t="s">
        <v>4989</v>
      </c>
      <c r="AS18">
        <v>0</v>
      </c>
      <c r="AU18">
        <v>1</v>
      </c>
      <c r="AV18">
        <v>2</v>
      </c>
      <c r="AW18">
        <v>18.89</v>
      </c>
      <c r="BB18" t="s">
        <v>1322</v>
      </c>
      <c r="BC18">
        <v>4030</v>
      </c>
      <c r="BG18" t="s">
        <v>5892</v>
      </c>
      <c r="BJ18" t="s">
        <v>5948</v>
      </c>
      <c r="BK18" t="s">
        <v>230</v>
      </c>
      <c r="BL18" t="s">
        <v>6056</v>
      </c>
    </row>
    <row r="19" spans="1:64">
      <c r="A19" s="1">
        <f>HYPERLINK("https://lsnyc.legalserver.org/matter/dynamic-profile/view/1906428","19-1906428")</f>
        <v>0</v>
      </c>
      <c r="B19" t="s">
        <v>64</v>
      </c>
      <c r="C19" t="s">
        <v>71</v>
      </c>
      <c r="D19" t="s">
        <v>200</v>
      </c>
      <c r="E19" t="s">
        <v>201</v>
      </c>
      <c r="G19" t="s">
        <v>202</v>
      </c>
      <c r="H19" t="s">
        <v>272</v>
      </c>
      <c r="I19" t="s">
        <v>202</v>
      </c>
      <c r="J19" t="s">
        <v>289</v>
      </c>
      <c r="K19" t="s">
        <v>292</v>
      </c>
      <c r="M19" t="s">
        <v>290</v>
      </c>
      <c r="N19" t="s">
        <v>202</v>
      </c>
      <c r="O19" t="s">
        <v>421</v>
      </c>
      <c r="P19" t="s">
        <v>427</v>
      </c>
      <c r="S19" t="s">
        <v>480</v>
      </c>
      <c r="T19" t="s">
        <v>1186</v>
      </c>
      <c r="U19" t="s">
        <v>207</v>
      </c>
      <c r="W19" t="s">
        <v>1876</v>
      </c>
      <c r="X19" t="s">
        <v>1895</v>
      </c>
      <c r="Y19" t="s">
        <v>2794</v>
      </c>
      <c r="Z19" t="s">
        <v>3097</v>
      </c>
      <c r="AA19" t="s">
        <v>3135</v>
      </c>
      <c r="AB19">
        <v>11226</v>
      </c>
      <c r="AC19" t="s">
        <v>3137</v>
      </c>
      <c r="AD19" t="s">
        <v>3162</v>
      </c>
      <c r="AE19">
        <v>40</v>
      </c>
      <c r="AG19" t="s">
        <v>4029</v>
      </c>
      <c r="AH19" t="s">
        <v>291</v>
      </c>
      <c r="AI19" t="s">
        <v>291</v>
      </c>
      <c r="AK19" t="s">
        <v>4040</v>
      </c>
      <c r="AM19">
        <v>0</v>
      </c>
      <c r="AN19">
        <v>766.25</v>
      </c>
      <c r="AO19">
        <v>7.3</v>
      </c>
      <c r="AQ19" t="s">
        <v>4074</v>
      </c>
      <c r="AR19" t="s">
        <v>4990</v>
      </c>
      <c r="AS19">
        <v>0</v>
      </c>
      <c r="AU19">
        <v>1</v>
      </c>
      <c r="AV19">
        <v>0</v>
      </c>
      <c r="AW19">
        <v>93</v>
      </c>
      <c r="BB19" t="s">
        <v>1322</v>
      </c>
      <c r="BC19">
        <v>11616</v>
      </c>
      <c r="BG19" t="s">
        <v>5892</v>
      </c>
      <c r="BJ19" t="s">
        <v>5957</v>
      </c>
      <c r="BK19" t="s">
        <v>219</v>
      </c>
      <c r="BL19" t="s">
        <v>6056</v>
      </c>
    </row>
    <row r="20" spans="1:64">
      <c r="A20" s="1">
        <f>HYPERLINK("https://lsnyc.legalserver.org/matter/dynamic-profile/view/1909159","19-1909159")</f>
        <v>0</v>
      </c>
      <c r="B20" t="s">
        <v>64</v>
      </c>
      <c r="C20" t="s">
        <v>72</v>
      </c>
      <c r="D20" t="s">
        <v>200</v>
      </c>
      <c r="E20" t="s">
        <v>201</v>
      </c>
      <c r="G20" t="s">
        <v>202</v>
      </c>
      <c r="H20" t="s">
        <v>271</v>
      </c>
      <c r="I20" t="s">
        <v>288</v>
      </c>
      <c r="J20" t="s">
        <v>290</v>
      </c>
      <c r="K20" t="s">
        <v>202</v>
      </c>
      <c r="L20" t="s">
        <v>297</v>
      </c>
      <c r="M20" t="s">
        <v>290</v>
      </c>
      <c r="N20" t="s">
        <v>202</v>
      </c>
      <c r="O20" t="s">
        <v>421</v>
      </c>
      <c r="P20" t="s">
        <v>427</v>
      </c>
      <c r="S20" t="s">
        <v>481</v>
      </c>
      <c r="T20" t="s">
        <v>1187</v>
      </c>
      <c r="U20" t="s">
        <v>228</v>
      </c>
      <c r="W20" t="s">
        <v>1876</v>
      </c>
      <c r="X20" t="s">
        <v>1896</v>
      </c>
      <c r="Y20" t="s">
        <v>2795</v>
      </c>
      <c r="Z20" t="s">
        <v>3097</v>
      </c>
      <c r="AA20" t="s">
        <v>3135</v>
      </c>
      <c r="AB20">
        <v>11235</v>
      </c>
      <c r="AD20" t="s">
        <v>3163</v>
      </c>
      <c r="AE20">
        <v>0</v>
      </c>
      <c r="AG20" t="s">
        <v>4028</v>
      </c>
      <c r="AH20" t="s">
        <v>291</v>
      </c>
      <c r="AK20" t="s">
        <v>4040</v>
      </c>
      <c r="AM20">
        <v>0</v>
      </c>
      <c r="AN20">
        <v>0</v>
      </c>
      <c r="AO20">
        <v>8.6</v>
      </c>
      <c r="AQ20" t="s">
        <v>4075</v>
      </c>
      <c r="AR20" t="s">
        <v>4991</v>
      </c>
      <c r="AS20">
        <v>0</v>
      </c>
      <c r="AU20">
        <v>1</v>
      </c>
      <c r="AV20">
        <v>0</v>
      </c>
      <c r="AW20">
        <v>123.55</v>
      </c>
      <c r="BB20" t="s">
        <v>1322</v>
      </c>
      <c r="BC20">
        <v>15432</v>
      </c>
      <c r="BG20" t="s">
        <v>5891</v>
      </c>
      <c r="BJ20" t="s">
        <v>5950</v>
      </c>
      <c r="BK20" t="s">
        <v>216</v>
      </c>
    </row>
    <row r="21" spans="1:64">
      <c r="A21" s="1">
        <f>HYPERLINK("https://lsnyc.legalserver.org/matter/dynamic-profile/view/1903855","19-1903855")</f>
        <v>0</v>
      </c>
      <c r="B21" t="s">
        <v>64</v>
      </c>
      <c r="C21" t="s">
        <v>72</v>
      </c>
      <c r="D21" t="s">
        <v>200</v>
      </c>
      <c r="E21" t="s">
        <v>201</v>
      </c>
      <c r="G21" t="s">
        <v>270</v>
      </c>
      <c r="I21" t="s">
        <v>288</v>
      </c>
      <c r="J21" t="s">
        <v>290</v>
      </c>
      <c r="K21" t="s">
        <v>292</v>
      </c>
      <c r="M21" t="s">
        <v>290</v>
      </c>
      <c r="N21" t="s">
        <v>202</v>
      </c>
      <c r="O21" t="s">
        <v>422</v>
      </c>
      <c r="P21" t="s">
        <v>427</v>
      </c>
      <c r="S21" t="s">
        <v>482</v>
      </c>
      <c r="T21" t="s">
        <v>1188</v>
      </c>
      <c r="U21" t="s">
        <v>229</v>
      </c>
      <c r="W21" t="s">
        <v>1876</v>
      </c>
      <c r="X21" t="s">
        <v>1897</v>
      </c>
      <c r="Y21" t="s">
        <v>2796</v>
      </c>
      <c r="Z21" t="s">
        <v>3097</v>
      </c>
      <c r="AA21" t="s">
        <v>3135</v>
      </c>
      <c r="AB21">
        <v>11225</v>
      </c>
      <c r="AD21" t="s">
        <v>3164</v>
      </c>
      <c r="AE21">
        <v>1</v>
      </c>
      <c r="AG21" t="s">
        <v>4029</v>
      </c>
      <c r="AH21" t="s">
        <v>291</v>
      </c>
      <c r="AK21" t="s">
        <v>4040</v>
      </c>
      <c r="AM21">
        <v>0</v>
      </c>
      <c r="AN21">
        <v>176</v>
      </c>
      <c r="AO21">
        <v>17.75</v>
      </c>
      <c r="AQ21" t="s">
        <v>4076</v>
      </c>
      <c r="AR21" t="s">
        <v>4992</v>
      </c>
      <c r="AS21">
        <v>4</v>
      </c>
      <c r="AU21">
        <v>1</v>
      </c>
      <c r="AV21">
        <v>0</v>
      </c>
      <c r="AW21">
        <v>33.63</v>
      </c>
      <c r="BB21" t="s">
        <v>1322</v>
      </c>
      <c r="BC21">
        <v>4200</v>
      </c>
      <c r="BG21" t="s">
        <v>5893</v>
      </c>
      <c r="BJ21" t="s">
        <v>5942</v>
      </c>
      <c r="BK21" t="s">
        <v>206</v>
      </c>
    </row>
    <row r="22" spans="1:64">
      <c r="A22" s="1">
        <f>HYPERLINK("https://lsnyc.legalserver.org/matter/dynamic-profile/view/1906599","19-1906599")</f>
        <v>0</v>
      </c>
      <c r="B22" t="s">
        <v>64</v>
      </c>
      <c r="C22" t="s">
        <v>73</v>
      </c>
      <c r="D22" t="s">
        <v>200</v>
      </c>
      <c r="E22" t="s">
        <v>201</v>
      </c>
      <c r="G22" t="s">
        <v>202</v>
      </c>
      <c r="H22" t="s">
        <v>271</v>
      </c>
      <c r="I22" t="s">
        <v>202</v>
      </c>
      <c r="J22" t="s">
        <v>289</v>
      </c>
      <c r="K22" t="s">
        <v>292</v>
      </c>
      <c r="M22" t="s">
        <v>290</v>
      </c>
      <c r="N22" t="s">
        <v>202</v>
      </c>
      <c r="O22" t="s">
        <v>422</v>
      </c>
      <c r="P22" t="s">
        <v>427</v>
      </c>
      <c r="S22" t="s">
        <v>483</v>
      </c>
      <c r="T22" t="s">
        <v>1189</v>
      </c>
      <c r="U22" t="s">
        <v>241</v>
      </c>
      <c r="W22" t="s">
        <v>1876</v>
      </c>
      <c r="X22" t="s">
        <v>1898</v>
      </c>
      <c r="Y22" t="s">
        <v>2797</v>
      </c>
      <c r="Z22" t="s">
        <v>3097</v>
      </c>
      <c r="AA22" t="s">
        <v>3135</v>
      </c>
      <c r="AB22">
        <v>11233</v>
      </c>
      <c r="AC22" t="s">
        <v>3136</v>
      </c>
      <c r="AD22" t="s">
        <v>3165</v>
      </c>
      <c r="AE22">
        <v>0</v>
      </c>
      <c r="AG22" t="s">
        <v>4028</v>
      </c>
      <c r="AH22" t="s">
        <v>291</v>
      </c>
      <c r="AK22" t="s">
        <v>4040</v>
      </c>
      <c r="AM22">
        <v>0</v>
      </c>
      <c r="AN22">
        <v>0</v>
      </c>
      <c r="AO22">
        <v>0.6</v>
      </c>
      <c r="AQ22" t="s">
        <v>4077</v>
      </c>
      <c r="AR22" t="s">
        <v>4993</v>
      </c>
      <c r="AS22">
        <v>2</v>
      </c>
      <c r="AU22">
        <v>1</v>
      </c>
      <c r="AV22">
        <v>0</v>
      </c>
      <c r="AW22">
        <v>17.58</v>
      </c>
      <c r="BB22" t="s">
        <v>5859</v>
      </c>
      <c r="BC22">
        <v>2196</v>
      </c>
      <c r="BG22" t="s">
        <v>5894</v>
      </c>
      <c r="BJ22" t="s">
        <v>5948</v>
      </c>
      <c r="BK22" t="s">
        <v>241</v>
      </c>
      <c r="BL22" t="s">
        <v>6056</v>
      </c>
    </row>
    <row r="23" spans="1:64">
      <c r="A23" s="1">
        <f>HYPERLINK("https://lsnyc.legalserver.org/matter/dynamic-profile/view/1909587","19-1909587")</f>
        <v>0</v>
      </c>
      <c r="B23" t="s">
        <v>64</v>
      </c>
      <c r="C23" t="s">
        <v>73</v>
      </c>
      <c r="D23" t="s">
        <v>200</v>
      </c>
      <c r="E23" t="s">
        <v>201</v>
      </c>
      <c r="G23" t="s">
        <v>202</v>
      </c>
      <c r="H23" t="s">
        <v>271</v>
      </c>
      <c r="I23" t="s">
        <v>202</v>
      </c>
      <c r="J23" t="s">
        <v>289</v>
      </c>
      <c r="K23" t="s">
        <v>292</v>
      </c>
      <c r="M23" t="s">
        <v>290</v>
      </c>
      <c r="N23" t="s">
        <v>202</v>
      </c>
      <c r="O23" t="s">
        <v>422</v>
      </c>
      <c r="P23" t="s">
        <v>427</v>
      </c>
      <c r="S23" t="s">
        <v>484</v>
      </c>
      <c r="T23" t="s">
        <v>1190</v>
      </c>
      <c r="U23" t="s">
        <v>222</v>
      </c>
      <c r="W23" t="s">
        <v>1876</v>
      </c>
      <c r="X23" t="s">
        <v>1899</v>
      </c>
      <c r="Z23" t="s">
        <v>3097</v>
      </c>
      <c r="AA23" t="s">
        <v>3135</v>
      </c>
      <c r="AB23">
        <v>11215</v>
      </c>
      <c r="AC23" t="s">
        <v>3136</v>
      </c>
      <c r="AD23" t="s">
        <v>3166</v>
      </c>
      <c r="AE23">
        <v>0</v>
      </c>
      <c r="AG23" t="s">
        <v>4028</v>
      </c>
      <c r="AH23" t="s">
        <v>291</v>
      </c>
      <c r="AK23" t="s">
        <v>4040</v>
      </c>
      <c r="AM23">
        <v>0</v>
      </c>
      <c r="AN23">
        <v>0</v>
      </c>
      <c r="AO23">
        <v>0</v>
      </c>
      <c r="AQ23" t="s">
        <v>4078</v>
      </c>
      <c r="AR23" t="s">
        <v>4994</v>
      </c>
      <c r="AS23">
        <v>0</v>
      </c>
      <c r="AU23">
        <v>2</v>
      </c>
      <c r="AV23">
        <v>2</v>
      </c>
      <c r="AW23">
        <v>81.55</v>
      </c>
      <c r="BB23" t="s">
        <v>1322</v>
      </c>
      <c r="BC23">
        <v>21000</v>
      </c>
      <c r="BG23" t="s">
        <v>5890</v>
      </c>
      <c r="BJ23" t="s">
        <v>5946</v>
      </c>
      <c r="BL23" t="s">
        <v>6056</v>
      </c>
    </row>
    <row r="24" spans="1:64">
      <c r="A24" s="1">
        <f>HYPERLINK("https://lsnyc.legalserver.org/matter/dynamic-profile/view/1903742","19-1903742")</f>
        <v>0</v>
      </c>
      <c r="B24" t="s">
        <v>64</v>
      </c>
      <c r="C24" t="s">
        <v>74</v>
      </c>
      <c r="D24" t="s">
        <v>200</v>
      </c>
      <c r="E24" t="s">
        <v>201</v>
      </c>
      <c r="G24" t="s">
        <v>202</v>
      </c>
      <c r="H24" t="s">
        <v>272</v>
      </c>
      <c r="I24" t="s">
        <v>202</v>
      </c>
      <c r="J24" t="s">
        <v>289</v>
      </c>
      <c r="K24" t="s">
        <v>292</v>
      </c>
      <c r="M24" t="s">
        <v>290</v>
      </c>
      <c r="N24" t="s">
        <v>202</v>
      </c>
      <c r="O24" t="s">
        <v>421</v>
      </c>
      <c r="P24" t="s">
        <v>427</v>
      </c>
      <c r="S24" t="s">
        <v>485</v>
      </c>
      <c r="T24" t="s">
        <v>1191</v>
      </c>
      <c r="U24" t="s">
        <v>208</v>
      </c>
      <c r="W24" t="s">
        <v>1876</v>
      </c>
      <c r="X24" t="s">
        <v>1900</v>
      </c>
      <c r="Y24" t="s">
        <v>2798</v>
      </c>
      <c r="Z24" t="s">
        <v>3097</v>
      </c>
      <c r="AA24" t="s">
        <v>3135</v>
      </c>
      <c r="AB24">
        <v>11216</v>
      </c>
      <c r="AC24" t="s">
        <v>3137</v>
      </c>
      <c r="AD24" t="s">
        <v>3167</v>
      </c>
      <c r="AE24">
        <v>30</v>
      </c>
      <c r="AG24" t="s">
        <v>4029</v>
      </c>
      <c r="AH24" t="s">
        <v>291</v>
      </c>
      <c r="AI24" t="s">
        <v>291</v>
      </c>
      <c r="AK24" t="s">
        <v>4040</v>
      </c>
      <c r="AM24">
        <v>0</v>
      </c>
      <c r="AN24">
        <v>256</v>
      </c>
      <c r="AO24">
        <v>5.7</v>
      </c>
      <c r="AQ24" t="s">
        <v>4079</v>
      </c>
      <c r="AR24" t="s">
        <v>4995</v>
      </c>
      <c r="AS24">
        <v>0</v>
      </c>
      <c r="AU24">
        <v>1</v>
      </c>
      <c r="AV24">
        <v>0</v>
      </c>
      <c r="AW24">
        <v>107.03</v>
      </c>
      <c r="BA24" t="s">
        <v>5850</v>
      </c>
      <c r="BB24" t="s">
        <v>1322</v>
      </c>
      <c r="BC24">
        <v>13368</v>
      </c>
      <c r="BG24" t="s">
        <v>5892</v>
      </c>
      <c r="BJ24" t="s">
        <v>5957</v>
      </c>
      <c r="BK24" t="s">
        <v>223</v>
      </c>
      <c r="BL24" t="s">
        <v>6056</v>
      </c>
    </row>
    <row r="25" spans="1:64">
      <c r="A25" s="1">
        <f>HYPERLINK("https://lsnyc.legalserver.org/matter/dynamic-profile/view/1910240","19-1910240")</f>
        <v>0</v>
      </c>
      <c r="B25" t="s">
        <v>64</v>
      </c>
      <c r="C25" t="s">
        <v>74</v>
      </c>
      <c r="D25" t="s">
        <v>200</v>
      </c>
      <c r="E25" t="s">
        <v>201</v>
      </c>
      <c r="G25" t="s">
        <v>202</v>
      </c>
      <c r="H25" t="s">
        <v>271</v>
      </c>
      <c r="I25" t="s">
        <v>202</v>
      </c>
      <c r="J25" t="s">
        <v>289</v>
      </c>
      <c r="K25" t="s">
        <v>292</v>
      </c>
      <c r="M25" t="s">
        <v>290</v>
      </c>
      <c r="N25" t="s">
        <v>202</v>
      </c>
      <c r="O25" t="s">
        <v>421</v>
      </c>
      <c r="P25" t="s">
        <v>427</v>
      </c>
      <c r="S25" t="s">
        <v>476</v>
      </c>
      <c r="T25" t="s">
        <v>1192</v>
      </c>
      <c r="U25" t="s">
        <v>259</v>
      </c>
      <c r="W25" t="s">
        <v>1876</v>
      </c>
      <c r="X25" t="s">
        <v>1901</v>
      </c>
      <c r="Y25" t="s">
        <v>2799</v>
      </c>
      <c r="Z25" t="s">
        <v>3097</v>
      </c>
      <c r="AA25" t="s">
        <v>3135</v>
      </c>
      <c r="AB25">
        <v>11204</v>
      </c>
      <c r="AC25" t="s">
        <v>3136</v>
      </c>
      <c r="AD25" t="s">
        <v>3168</v>
      </c>
      <c r="AE25">
        <v>0</v>
      </c>
      <c r="AG25" t="s">
        <v>4028</v>
      </c>
      <c r="AH25" t="s">
        <v>291</v>
      </c>
      <c r="AK25" t="s">
        <v>4040</v>
      </c>
      <c r="AM25">
        <v>0</v>
      </c>
      <c r="AN25">
        <v>0</v>
      </c>
      <c r="AO25">
        <v>0</v>
      </c>
      <c r="AQ25" t="s">
        <v>4080</v>
      </c>
      <c r="AR25" t="s">
        <v>4996</v>
      </c>
      <c r="AS25">
        <v>0</v>
      </c>
      <c r="AU25">
        <v>1</v>
      </c>
      <c r="AV25">
        <v>0</v>
      </c>
      <c r="AW25">
        <v>161.02</v>
      </c>
      <c r="BB25" t="s">
        <v>1322</v>
      </c>
      <c r="BC25">
        <v>20112</v>
      </c>
      <c r="BG25" t="s">
        <v>5894</v>
      </c>
      <c r="BJ25" t="s">
        <v>5957</v>
      </c>
      <c r="BL25" t="s">
        <v>6056</v>
      </c>
    </row>
    <row r="26" spans="1:64">
      <c r="A26" s="1">
        <f>HYPERLINK("https://lsnyc.legalserver.org/matter/dynamic-profile/view/1905939","19-1905939")</f>
        <v>0</v>
      </c>
      <c r="B26" t="s">
        <v>64</v>
      </c>
      <c r="C26" t="s">
        <v>74</v>
      </c>
      <c r="D26" t="s">
        <v>200</v>
      </c>
      <c r="E26" t="s">
        <v>201</v>
      </c>
      <c r="G26" t="s">
        <v>202</v>
      </c>
      <c r="H26" t="s">
        <v>272</v>
      </c>
      <c r="I26" t="s">
        <v>288</v>
      </c>
      <c r="J26" t="s">
        <v>290</v>
      </c>
      <c r="K26" t="s">
        <v>292</v>
      </c>
      <c r="M26" t="s">
        <v>290</v>
      </c>
      <c r="N26" t="s">
        <v>202</v>
      </c>
      <c r="O26" t="s">
        <v>421</v>
      </c>
      <c r="P26" t="s">
        <v>427</v>
      </c>
      <c r="S26" t="s">
        <v>486</v>
      </c>
      <c r="T26" t="s">
        <v>1193</v>
      </c>
      <c r="U26" t="s">
        <v>250</v>
      </c>
      <c r="W26" t="s">
        <v>1876</v>
      </c>
      <c r="X26" t="s">
        <v>1902</v>
      </c>
      <c r="Y26" t="s">
        <v>2800</v>
      </c>
      <c r="Z26" t="s">
        <v>3097</v>
      </c>
      <c r="AA26" t="s">
        <v>3135</v>
      </c>
      <c r="AB26">
        <v>11221</v>
      </c>
      <c r="AD26" t="s">
        <v>3169</v>
      </c>
      <c r="AE26">
        <v>1</v>
      </c>
      <c r="AG26" t="s">
        <v>4029</v>
      </c>
      <c r="AH26" t="s">
        <v>291</v>
      </c>
      <c r="AI26" t="s">
        <v>291</v>
      </c>
      <c r="AK26" t="s">
        <v>4040</v>
      </c>
      <c r="AL26" t="s">
        <v>4046</v>
      </c>
      <c r="AM26">
        <v>0</v>
      </c>
      <c r="AN26">
        <v>1619</v>
      </c>
      <c r="AO26">
        <v>10.9</v>
      </c>
      <c r="AQ26" t="s">
        <v>4081</v>
      </c>
      <c r="AR26" t="s">
        <v>4997</v>
      </c>
      <c r="AS26">
        <v>0</v>
      </c>
      <c r="AT26" t="s">
        <v>5834</v>
      </c>
      <c r="AU26">
        <v>1</v>
      </c>
      <c r="AV26">
        <v>3</v>
      </c>
      <c r="AW26">
        <v>260.97</v>
      </c>
      <c r="AX26" t="s">
        <v>221</v>
      </c>
      <c r="AY26" t="s">
        <v>5849</v>
      </c>
      <c r="BB26" t="s">
        <v>1322</v>
      </c>
      <c r="BC26">
        <v>67200</v>
      </c>
      <c r="BG26" t="s">
        <v>5891</v>
      </c>
      <c r="BJ26" t="s">
        <v>5949</v>
      </c>
      <c r="BK26" t="s">
        <v>247</v>
      </c>
    </row>
    <row r="27" spans="1:64">
      <c r="A27" s="1">
        <f>HYPERLINK("https://lsnyc.legalserver.org/matter/dynamic-profile/view/1906176","19-1906176")</f>
        <v>0</v>
      </c>
      <c r="B27" t="s">
        <v>64</v>
      </c>
      <c r="C27" t="s">
        <v>75</v>
      </c>
      <c r="D27" t="s">
        <v>200</v>
      </c>
      <c r="E27" t="s">
        <v>201</v>
      </c>
      <c r="G27" t="s">
        <v>202</v>
      </c>
      <c r="H27" t="s">
        <v>272</v>
      </c>
      <c r="I27" t="s">
        <v>202</v>
      </c>
      <c r="J27" t="s">
        <v>289</v>
      </c>
      <c r="K27" t="s">
        <v>202</v>
      </c>
      <c r="L27">
        <v>33807854</v>
      </c>
      <c r="M27" t="s">
        <v>290</v>
      </c>
      <c r="N27" t="s">
        <v>202</v>
      </c>
      <c r="O27" t="s">
        <v>421</v>
      </c>
      <c r="P27" t="s">
        <v>427</v>
      </c>
      <c r="S27" t="s">
        <v>487</v>
      </c>
      <c r="T27" t="s">
        <v>1194</v>
      </c>
      <c r="U27" t="s">
        <v>261</v>
      </c>
      <c r="W27" t="s">
        <v>1876</v>
      </c>
      <c r="X27" t="s">
        <v>1903</v>
      </c>
      <c r="Y27" t="s">
        <v>2801</v>
      </c>
      <c r="Z27" t="s">
        <v>3097</v>
      </c>
      <c r="AA27" t="s">
        <v>3135</v>
      </c>
      <c r="AB27">
        <v>11226</v>
      </c>
      <c r="AC27" t="s">
        <v>3136</v>
      </c>
      <c r="AD27" t="s">
        <v>3170</v>
      </c>
      <c r="AE27">
        <v>26</v>
      </c>
      <c r="AG27" t="s">
        <v>4029</v>
      </c>
      <c r="AH27" t="s">
        <v>291</v>
      </c>
      <c r="AI27" t="s">
        <v>291</v>
      </c>
      <c r="AK27" t="s">
        <v>4040</v>
      </c>
      <c r="AL27" t="s">
        <v>4046</v>
      </c>
      <c r="AM27">
        <v>0</v>
      </c>
      <c r="AN27">
        <v>1431</v>
      </c>
      <c r="AO27">
        <v>2.2</v>
      </c>
      <c r="AQ27" t="s">
        <v>4082</v>
      </c>
      <c r="AR27" t="s">
        <v>4998</v>
      </c>
      <c r="AS27">
        <v>110</v>
      </c>
      <c r="AU27">
        <v>4</v>
      </c>
      <c r="AV27">
        <v>1</v>
      </c>
      <c r="AW27">
        <v>112.36</v>
      </c>
      <c r="BA27" t="s">
        <v>329</v>
      </c>
      <c r="BB27" t="s">
        <v>1322</v>
      </c>
      <c r="BC27">
        <v>33900</v>
      </c>
      <c r="BG27" t="s">
        <v>5892</v>
      </c>
      <c r="BJ27" t="s">
        <v>5958</v>
      </c>
      <c r="BK27" t="s">
        <v>259</v>
      </c>
      <c r="BL27" t="s">
        <v>6056</v>
      </c>
    </row>
    <row r="28" spans="1:64">
      <c r="A28" s="1">
        <f>HYPERLINK("https://lsnyc.legalserver.org/matter/dynamic-profile/view/1906716","19-1906716")</f>
        <v>0</v>
      </c>
      <c r="B28" t="s">
        <v>64</v>
      </c>
      <c r="C28" t="s">
        <v>73</v>
      </c>
      <c r="D28" t="s">
        <v>200</v>
      </c>
      <c r="E28" t="s">
        <v>201</v>
      </c>
      <c r="G28" t="s">
        <v>202</v>
      </c>
      <c r="H28" t="s">
        <v>272</v>
      </c>
      <c r="I28" t="s">
        <v>202</v>
      </c>
      <c r="J28" t="s">
        <v>289</v>
      </c>
      <c r="K28" t="s">
        <v>292</v>
      </c>
      <c r="M28" t="s">
        <v>290</v>
      </c>
      <c r="N28" t="s">
        <v>419</v>
      </c>
      <c r="O28" t="s">
        <v>420</v>
      </c>
      <c r="P28" t="s">
        <v>427</v>
      </c>
      <c r="S28" t="s">
        <v>488</v>
      </c>
      <c r="T28" t="s">
        <v>1195</v>
      </c>
      <c r="U28" t="s">
        <v>209</v>
      </c>
      <c r="W28" t="s">
        <v>1876</v>
      </c>
      <c r="X28" t="s">
        <v>1904</v>
      </c>
      <c r="Y28" t="s">
        <v>2793</v>
      </c>
      <c r="Z28" t="s">
        <v>3097</v>
      </c>
      <c r="AA28" t="s">
        <v>3135</v>
      </c>
      <c r="AB28">
        <v>11206</v>
      </c>
      <c r="AC28" t="s">
        <v>3136</v>
      </c>
      <c r="AD28" t="s">
        <v>3171</v>
      </c>
      <c r="AE28">
        <v>0</v>
      </c>
      <c r="AG28" t="s">
        <v>4028</v>
      </c>
      <c r="AH28" t="s">
        <v>291</v>
      </c>
      <c r="AK28" t="s">
        <v>4041</v>
      </c>
      <c r="AM28">
        <v>0</v>
      </c>
      <c r="AN28">
        <v>0</v>
      </c>
      <c r="AO28">
        <v>0</v>
      </c>
      <c r="AQ28" t="s">
        <v>4083</v>
      </c>
      <c r="AS28">
        <v>0</v>
      </c>
      <c r="AU28">
        <v>1</v>
      </c>
      <c r="AV28">
        <v>0</v>
      </c>
      <c r="AW28">
        <v>66.58</v>
      </c>
      <c r="BB28" t="s">
        <v>1322</v>
      </c>
      <c r="BC28">
        <v>8316</v>
      </c>
      <c r="BG28" t="s">
        <v>5892</v>
      </c>
      <c r="BJ28" t="s">
        <v>5959</v>
      </c>
      <c r="BL28" t="s">
        <v>6056</v>
      </c>
    </row>
    <row r="29" spans="1:64">
      <c r="A29" s="1">
        <f>HYPERLINK("https://lsnyc.legalserver.org/matter/dynamic-profile/view/1906636","19-1906636")</f>
        <v>0</v>
      </c>
      <c r="B29" t="s">
        <v>64</v>
      </c>
      <c r="C29" t="s">
        <v>73</v>
      </c>
      <c r="D29" t="s">
        <v>200</v>
      </c>
      <c r="E29" t="s">
        <v>201</v>
      </c>
      <c r="G29" t="s">
        <v>202</v>
      </c>
      <c r="H29" t="s">
        <v>273</v>
      </c>
      <c r="I29" t="s">
        <v>288</v>
      </c>
      <c r="J29" t="s">
        <v>291</v>
      </c>
      <c r="K29" t="s">
        <v>292</v>
      </c>
      <c r="M29" t="s">
        <v>290</v>
      </c>
      <c r="N29" t="s">
        <v>202</v>
      </c>
      <c r="O29" t="s">
        <v>422</v>
      </c>
      <c r="P29" t="s">
        <v>427</v>
      </c>
      <c r="S29" t="s">
        <v>489</v>
      </c>
      <c r="T29" t="s">
        <v>1196</v>
      </c>
      <c r="U29" t="s">
        <v>241</v>
      </c>
      <c r="W29" t="s">
        <v>1876</v>
      </c>
      <c r="X29" t="s">
        <v>1905</v>
      </c>
      <c r="Y29" t="s">
        <v>2802</v>
      </c>
      <c r="Z29" t="s">
        <v>3097</v>
      </c>
      <c r="AA29" t="s">
        <v>3135</v>
      </c>
      <c r="AB29">
        <v>11201</v>
      </c>
      <c r="AC29" t="s">
        <v>3136</v>
      </c>
      <c r="AD29" t="s">
        <v>3172</v>
      </c>
      <c r="AE29">
        <v>0</v>
      </c>
      <c r="AG29" t="s">
        <v>4028</v>
      </c>
      <c r="AH29" t="s">
        <v>291</v>
      </c>
      <c r="AK29" t="s">
        <v>4041</v>
      </c>
      <c r="AM29">
        <v>0</v>
      </c>
      <c r="AN29">
        <v>449</v>
      </c>
      <c r="AO29">
        <v>0.6</v>
      </c>
      <c r="AQ29" t="s">
        <v>4084</v>
      </c>
      <c r="AR29" t="s">
        <v>4999</v>
      </c>
      <c r="AS29">
        <v>140</v>
      </c>
      <c r="AU29">
        <v>2</v>
      </c>
      <c r="AV29">
        <v>1</v>
      </c>
      <c r="AW29">
        <v>11.09</v>
      </c>
      <c r="BB29" t="s">
        <v>1322</v>
      </c>
      <c r="BC29">
        <v>2366</v>
      </c>
      <c r="BG29" t="s">
        <v>5894</v>
      </c>
      <c r="BJ29" t="s">
        <v>5948</v>
      </c>
      <c r="BK29" t="s">
        <v>241</v>
      </c>
      <c r="BL29" t="s">
        <v>6056</v>
      </c>
    </row>
    <row r="30" spans="1:64">
      <c r="A30" s="1">
        <f>HYPERLINK("https://lsnyc.legalserver.org/matter/dynamic-profile/view/1908819","19-1908819")</f>
        <v>0</v>
      </c>
      <c r="B30" t="s">
        <v>64</v>
      </c>
      <c r="C30" t="s">
        <v>73</v>
      </c>
      <c r="D30" t="s">
        <v>200</v>
      </c>
      <c r="E30" t="s">
        <v>201</v>
      </c>
      <c r="G30" t="s">
        <v>202</v>
      </c>
      <c r="H30" t="s">
        <v>272</v>
      </c>
      <c r="I30" t="s">
        <v>202</v>
      </c>
      <c r="J30" t="s">
        <v>289</v>
      </c>
      <c r="K30" t="s">
        <v>202</v>
      </c>
      <c r="L30" t="s">
        <v>298</v>
      </c>
      <c r="M30" t="s">
        <v>290</v>
      </c>
      <c r="N30" t="s">
        <v>202</v>
      </c>
      <c r="O30" t="s">
        <v>421</v>
      </c>
      <c r="P30" t="s">
        <v>427</v>
      </c>
      <c r="S30" t="s">
        <v>490</v>
      </c>
      <c r="T30" t="s">
        <v>1197</v>
      </c>
      <c r="U30" t="s">
        <v>219</v>
      </c>
      <c r="W30" t="s">
        <v>1876</v>
      </c>
      <c r="X30" t="s">
        <v>1906</v>
      </c>
      <c r="Y30" t="s">
        <v>2803</v>
      </c>
      <c r="Z30" t="s">
        <v>3097</v>
      </c>
      <c r="AA30" t="s">
        <v>3135</v>
      </c>
      <c r="AB30">
        <v>11208</v>
      </c>
      <c r="AC30" t="s">
        <v>3136</v>
      </c>
      <c r="AD30" t="s">
        <v>3173</v>
      </c>
      <c r="AE30">
        <v>0</v>
      </c>
      <c r="AG30" t="s">
        <v>4028</v>
      </c>
      <c r="AH30" t="s">
        <v>291</v>
      </c>
      <c r="AK30" t="s">
        <v>4040</v>
      </c>
      <c r="AM30">
        <v>0</v>
      </c>
      <c r="AN30">
        <v>800</v>
      </c>
      <c r="AO30">
        <v>2.8</v>
      </c>
      <c r="AQ30" t="s">
        <v>4085</v>
      </c>
      <c r="AR30" t="s">
        <v>5000</v>
      </c>
      <c r="AS30">
        <v>0</v>
      </c>
      <c r="AU30">
        <v>1</v>
      </c>
      <c r="AV30">
        <v>0</v>
      </c>
      <c r="AW30">
        <v>20.66</v>
      </c>
      <c r="BB30" t="s">
        <v>1322</v>
      </c>
      <c r="BC30">
        <v>2580</v>
      </c>
      <c r="BG30" t="s">
        <v>5893</v>
      </c>
      <c r="BJ30" t="s">
        <v>5960</v>
      </c>
      <c r="BK30" t="s">
        <v>266</v>
      </c>
      <c r="BL30" t="s">
        <v>6056</v>
      </c>
    </row>
    <row r="31" spans="1:64">
      <c r="A31" s="1">
        <f>HYPERLINK("https://lsnyc.legalserver.org/matter/dynamic-profile/view/1909721","19-1909721")</f>
        <v>0</v>
      </c>
      <c r="B31" t="s">
        <v>64</v>
      </c>
      <c r="C31" t="s">
        <v>73</v>
      </c>
      <c r="D31" t="s">
        <v>200</v>
      </c>
      <c r="E31" t="s">
        <v>201</v>
      </c>
      <c r="G31" t="s">
        <v>202</v>
      </c>
      <c r="H31" t="s">
        <v>272</v>
      </c>
      <c r="I31" t="s">
        <v>288</v>
      </c>
      <c r="J31" t="s">
        <v>290</v>
      </c>
      <c r="K31" t="s">
        <v>292</v>
      </c>
      <c r="M31" t="s">
        <v>290</v>
      </c>
      <c r="N31" t="s">
        <v>419</v>
      </c>
      <c r="O31" t="s">
        <v>420</v>
      </c>
      <c r="P31" t="s">
        <v>427</v>
      </c>
      <c r="S31" t="s">
        <v>491</v>
      </c>
      <c r="T31" t="s">
        <v>1198</v>
      </c>
      <c r="U31" t="s">
        <v>264</v>
      </c>
      <c r="W31" t="s">
        <v>1876</v>
      </c>
      <c r="X31" t="s">
        <v>1907</v>
      </c>
      <c r="Y31" t="s">
        <v>2804</v>
      </c>
      <c r="Z31" t="s">
        <v>3097</v>
      </c>
      <c r="AA31" t="s">
        <v>3135</v>
      </c>
      <c r="AB31">
        <v>11226</v>
      </c>
      <c r="AD31" t="s">
        <v>3174</v>
      </c>
      <c r="AE31">
        <v>0</v>
      </c>
      <c r="AG31" t="s">
        <v>4029</v>
      </c>
      <c r="AH31" t="s">
        <v>291</v>
      </c>
      <c r="AJ31" t="s">
        <v>4029</v>
      </c>
      <c r="AK31" t="s">
        <v>4040</v>
      </c>
      <c r="AM31">
        <v>0</v>
      </c>
      <c r="AN31">
        <v>0</v>
      </c>
      <c r="AO31">
        <v>0</v>
      </c>
      <c r="AQ31" t="s">
        <v>4086</v>
      </c>
      <c r="AR31" t="s">
        <v>5001</v>
      </c>
      <c r="AS31">
        <v>0</v>
      </c>
      <c r="AU31">
        <v>3</v>
      </c>
      <c r="AV31">
        <v>2</v>
      </c>
      <c r="AW31">
        <v>0</v>
      </c>
      <c r="BC31">
        <v>0</v>
      </c>
      <c r="BG31" t="s">
        <v>5891</v>
      </c>
      <c r="BJ31" t="s">
        <v>5945</v>
      </c>
    </row>
    <row r="32" spans="1:64">
      <c r="A32" s="1">
        <f>HYPERLINK("https://lsnyc.legalserver.org/matter/dynamic-profile/view/1909593","19-1909593")</f>
        <v>0</v>
      </c>
      <c r="B32" t="s">
        <v>64</v>
      </c>
      <c r="C32" t="s">
        <v>71</v>
      </c>
      <c r="D32" t="s">
        <v>200</v>
      </c>
      <c r="E32" t="s">
        <v>201</v>
      </c>
      <c r="G32" t="s">
        <v>202</v>
      </c>
      <c r="H32" t="s">
        <v>272</v>
      </c>
      <c r="I32" t="s">
        <v>202</v>
      </c>
      <c r="J32" t="s">
        <v>289</v>
      </c>
      <c r="K32" t="s">
        <v>292</v>
      </c>
      <c r="M32" t="s">
        <v>290</v>
      </c>
      <c r="N32" t="s">
        <v>419</v>
      </c>
      <c r="O32" t="s">
        <v>420</v>
      </c>
      <c r="P32" t="s">
        <v>427</v>
      </c>
      <c r="S32" t="s">
        <v>466</v>
      </c>
      <c r="T32" t="s">
        <v>1199</v>
      </c>
      <c r="U32" t="s">
        <v>222</v>
      </c>
      <c r="W32" t="s">
        <v>1876</v>
      </c>
      <c r="X32" t="s">
        <v>1908</v>
      </c>
      <c r="Z32" t="s">
        <v>3097</v>
      </c>
      <c r="AA32" t="s">
        <v>3135</v>
      </c>
      <c r="AB32">
        <v>11226</v>
      </c>
      <c r="AC32" t="s">
        <v>3136</v>
      </c>
      <c r="AD32" t="s">
        <v>3175</v>
      </c>
      <c r="AE32">
        <v>0</v>
      </c>
      <c r="AG32" t="s">
        <v>4029</v>
      </c>
      <c r="AH32" t="s">
        <v>291</v>
      </c>
      <c r="AK32" t="s">
        <v>4040</v>
      </c>
      <c r="AM32">
        <v>0</v>
      </c>
      <c r="AN32">
        <v>0</v>
      </c>
      <c r="AO32">
        <v>0</v>
      </c>
      <c r="AQ32" t="s">
        <v>4087</v>
      </c>
      <c r="AR32" t="s">
        <v>5002</v>
      </c>
      <c r="AS32">
        <v>0</v>
      </c>
      <c r="AU32">
        <v>2</v>
      </c>
      <c r="AV32">
        <v>2</v>
      </c>
      <c r="AW32">
        <v>113.79</v>
      </c>
      <c r="BB32" t="s">
        <v>1322</v>
      </c>
      <c r="BC32">
        <v>29300.96</v>
      </c>
      <c r="BG32" t="s">
        <v>5894</v>
      </c>
      <c r="BJ32" t="s">
        <v>5951</v>
      </c>
      <c r="BL32" t="s">
        <v>6056</v>
      </c>
    </row>
    <row r="33" spans="1:64">
      <c r="A33" s="1">
        <f>HYPERLINK("https://lsnyc.legalserver.org/matter/dynamic-profile/view/1909682","19-1909682")</f>
        <v>0</v>
      </c>
      <c r="B33" t="s">
        <v>64</v>
      </c>
      <c r="C33" t="s">
        <v>73</v>
      </c>
      <c r="D33" t="s">
        <v>200</v>
      </c>
      <c r="E33" t="s">
        <v>201</v>
      </c>
      <c r="G33" t="s">
        <v>202</v>
      </c>
      <c r="H33" t="s">
        <v>272</v>
      </c>
      <c r="I33" t="s">
        <v>288</v>
      </c>
      <c r="J33" t="s">
        <v>290</v>
      </c>
      <c r="K33" t="s">
        <v>202</v>
      </c>
      <c r="L33" t="s">
        <v>299</v>
      </c>
      <c r="M33" t="s">
        <v>290</v>
      </c>
      <c r="N33" t="s">
        <v>202</v>
      </c>
      <c r="O33" t="s">
        <v>424</v>
      </c>
      <c r="P33" t="s">
        <v>427</v>
      </c>
      <c r="S33" t="s">
        <v>492</v>
      </c>
      <c r="T33" t="s">
        <v>1200</v>
      </c>
      <c r="U33" t="s">
        <v>222</v>
      </c>
      <c r="W33" t="s">
        <v>1876</v>
      </c>
      <c r="X33">
        <v>109</v>
      </c>
      <c r="Y33" t="s">
        <v>2805</v>
      </c>
      <c r="Z33" t="s">
        <v>3097</v>
      </c>
      <c r="AA33" t="s">
        <v>3135</v>
      </c>
      <c r="AB33">
        <v>11206</v>
      </c>
      <c r="AD33" t="s">
        <v>3176</v>
      </c>
      <c r="AE33">
        <v>0</v>
      </c>
      <c r="AG33" t="s">
        <v>4028</v>
      </c>
      <c r="AH33" t="s">
        <v>291</v>
      </c>
      <c r="AK33" t="s">
        <v>4041</v>
      </c>
      <c r="AM33">
        <v>0</v>
      </c>
      <c r="AN33">
        <v>0</v>
      </c>
      <c r="AO33">
        <v>0</v>
      </c>
      <c r="AQ33" t="s">
        <v>4088</v>
      </c>
      <c r="AR33" t="s">
        <v>5003</v>
      </c>
      <c r="AS33">
        <v>0</v>
      </c>
      <c r="AU33">
        <v>2</v>
      </c>
      <c r="AV33">
        <v>2</v>
      </c>
      <c r="AW33">
        <v>20.19</v>
      </c>
      <c r="BB33" t="s">
        <v>1322</v>
      </c>
      <c r="BC33">
        <v>5200</v>
      </c>
      <c r="BG33" t="s">
        <v>5891</v>
      </c>
      <c r="BJ33" t="s">
        <v>5961</v>
      </c>
    </row>
    <row r="34" spans="1:64">
      <c r="A34" s="1">
        <f>HYPERLINK("https://lsnyc.legalserver.org/matter/dynamic-profile/view/1909495","19-1909495")</f>
        <v>0</v>
      </c>
      <c r="B34" t="s">
        <v>64</v>
      </c>
      <c r="C34" t="s">
        <v>73</v>
      </c>
      <c r="D34" t="s">
        <v>200</v>
      </c>
      <c r="E34" t="s">
        <v>201</v>
      </c>
      <c r="G34" t="s">
        <v>270</v>
      </c>
      <c r="I34" t="s">
        <v>202</v>
      </c>
      <c r="J34" t="s">
        <v>289</v>
      </c>
      <c r="K34" t="s">
        <v>292</v>
      </c>
      <c r="M34" t="s">
        <v>290</v>
      </c>
      <c r="N34" t="s">
        <v>202</v>
      </c>
      <c r="O34" t="s">
        <v>422</v>
      </c>
      <c r="P34" t="s">
        <v>427</v>
      </c>
      <c r="S34" t="s">
        <v>493</v>
      </c>
      <c r="T34" t="s">
        <v>1201</v>
      </c>
      <c r="U34" t="s">
        <v>230</v>
      </c>
      <c r="W34" t="s">
        <v>1876</v>
      </c>
      <c r="X34" t="s">
        <v>1909</v>
      </c>
      <c r="Y34">
        <v>207</v>
      </c>
      <c r="Z34" t="s">
        <v>3097</v>
      </c>
      <c r="AA34" t="s">
        <v>3135</v>
      </c>
      <c r="AB34">
        <v>11221</v>
      </c>
      <c r="AC34" t="s">
        <v>3137</v>
      </c>
      <c r="AD34" t="s">
        <v>3177</v>
      </c>
      <c r="AE34">
        <v>0</v>
      </c>
      <c r="AG34" t="s">
        <v>4028</v>
      </c>
      <c r="AH34" t="s">
        <v>291</v>
      </c>
      <c r="AK34" t="s">
        <v>4040</v>
      </c>
      <c r="AM34">
        <v>0</v>
      </c>
      <c r="AN34">
        <v>0</v>
      </c>
      <c r="AO34">
        <v>0</v>
      </c>
      <c r="AQ34" t="s">
        <v>4089</v>
      </c>
      <c r="AR34" t="s">
        <v>5004</v>
      </c>
      <c r="AS34">
        <v>0</v>
      </c>
      <c r="AU34">
        <v>3</v>
      </c>
      <c r="AV34">
        <v>1</v>
      </c>
      <c r="AW34">
        <v>160.54</v>
      </c>
      <c r="BB34" t="s">
        <v>1322</v>
      </c>
      <c r="BC34">
        <v>41340</v>
      </c>
      <c r="BG34" t="s">
        <v>5893</v>
      </c>
      <c r="BJ34" t="s">
        <v>5949</v>
      </c>
      <c r="BL34" t="s">
        <v>6056</v>
      </c>
    </row>
    <row r="35" spans="1:64">
      <c r="A35" s="1">
        <f>HYPERLINK("https://lsnyc.legalserver.org/matter/dynamic-profile/view/1909586","19-1909586")</f>
        <v>0</v>
      </c>
      <c r="B35" t="s">
        <v>64</v>
      </c>
      <c r="C35" t="s">
        <v>73</v>
      </c>
      <c r="D35" t="s">
        <v>200</v>
      </c>
      <c r="E35" t="s">
        <v>201</v>
      </c>
      <c r="G35" t="s">
        <v>202</v>
      </c>
      <c r="H35" t="s">
        <v>272</v>
      </c>
      <c r="I35" t="s">
        <v>202</v>
      </c>
      <c r="J35" t="s">
        <v>289</v>
      </c>
      <c r="K35" t="s">
        <v>292</v>
      </c>
      <c r="M35" t="s">
        <v>290</v>
      </c>
      <c r="N35" t="s">
        <v>202</v>
      </c>
      <c r="O35" t="s">
        <v>422</v>
      </c>
      <c r="P35" t="s">
        <v>427</v>
      </c>
      <c r="S35" t="s">
        <v>494</v>
      </c>
      <c r="T35" t="s">
        <v>1202</v>
      </c>
      <c r="U35" t="s">
        <v>222</v>
      </c>
      <c r="W35" t="s">
        <v>1876</v>
      </c>
      <c r="X35" t="s">
        <v>1910</v>
      </c>
      <c r="Z35" t="s">
        <v>3097</v>
      </c>
      <c r="AA35" t="s">
        <v>3135</v>
      </c>
      <c r="AB35">
        <v>11210</v>
      </c>
      <c r="AC35" t="s">
        <v>3136</v>
      </c>
      <c r="AD35" t="s">
        <v>3178</v>
      </c>
      <c r="AE35">
        <v>0</v>
      </c>
      <c r="AG35" t="s">
        <v>4028</v>
      </c>
      <c r="AH35" t="s">
        <v>291</v>
      </c>
      <c r="AK35" t="s">
        <v>4040</v>
      </c>
      <c r="AM35">
        <v>0</v>
      </c>
      <c r="AN35">
        <v>1378</v>
      </c>
      <c r="AO35">
        <v>0</v>
      </c>
      <c r="AQ35" t="s">
        <v>4090</v>
      </c>
      <c r="AR35" t="s">
        <v>5005</v>
      </c>
      <c r="AS35">
        <v>0</v>
      </c>
      <c r="AU35">
        <v>1</v>
      </c>
      <c r="AV35">
        <v>0</v>
      </c>
      <c r="AW35">
        <v>157.09</v>
      </c>
      <c r="BB35" t="s">
        <v>1322</v>
      </c>
      <c r="BC35">
        <v>19620</v>
      </c>
      <c r="BG35" t="s">
        <v>5890</v>
      </c>
      <c r="BJ35" t="s">
        <v>5959</v>
      </c>
      <c r="BL35" t="s">
        <v>6056</v>
      </c>
    </row>
    <row r="36" spans="1:64">
      <c r="A36" s="1">
        <f>HYPERLINK("https://lsnyc.legalserver.org/matter/dynamic-profile/view/1903910","19-1903910")</f>
        <v>0</v>
      </c>
      <c r="B36" t="s">
        <v>64</v>
      </c>
      <c r="C36" t="s">
        <v>73</v>
      </c>
      <c r="D36" t="s">
        <v>200</v>
      </c>
      <c r="E36" t="s">
        <v>201</v>
      </c>
      <c r="G36" t="s">
        <v>270</v>
      </c>
      <c r="I36" t="s">
        <v>288</v>
      </c>
      <c r="J36" t="s">
        <v>290</v>
      </c>
      <c r="K36" t="s">
        <v>202</v>
      </c>
      <c r="L36" t="s">
        <v>300</v>
      </c>
      <c r="M36" t="s">
        <v>290</v>
      </c>
      <c r="N36" t="s">
        <v>419</v>
      </c>
      <c r="O36" t="s">
        <v>420</v>
      </c>
      <c r="P36" t="s">
        <v>427</v>
      </c>
      <c r="S36" t="s">
        <v>495</v>
      </c>
      <c r="T36" t="s">
        <v>1203</v>
      </c>
      <c r="U36" t="s">
        <v>229</v>
      </c>
      <c r="W36" t="s">
        <v>1876</v>
      </c>
      <c r="X36" t="s">
        <v>1911</v>
      </c>
      <c r="Y36" t="s">
        <v>2806</v>
      </c>
      <c r="Z36" t="s">
        <v>3097</v>
      </c>
      <c r="AA36" t="s">
        <v>3135</v>
      </c>
      <c r="AB36">
        <v>11218</v>
      </c>
      <c r="AC36" t="s">
        <v>3140</v>
      </c>
      <c r="AE36">
        <v>9</v>
      </c>
      <c r="AG36" t="s">
        <v>4028</v>
      </c>
      <c r="AH36" t="s">
        <v>291</v>
      </c>
      <c r="AK36" t="s">
        <v>4040</v>
      </c>
      <c r="AM36">
        <v>0</v>
      </c>
      <c r="AN36">
        <v>1442</v>
      </c>
      <c r="AO36">
        <v>0.7</v>
      </c>
      <c r="AQ36" t="s">
        <v>4091</v>
      </c>
      <c r="AR36" t="s">
        <v>5006</v>
      </c>
      <c r="AS36">
        <v>80</v>
      </c>
      <c r="AU36">
        <v>1</v>
      </c>
      <c r="AV36">
        <v>0</v>
      </c>
      <c r="AW36">
        <v>62.45</v>
      </c>
      <c r="BB36" t="s">
        <v>1322</v>
      </c>
      <c r="BC36">
        <v>7800</v>
      </c>
      <c r="BG36" t="s">
        <v>5893</v>
      </c>
      <c r="BJ36" t="s">
        <v>5951</v>
      </c>
      <c r="BK36" t="s">
        <v>261</v>
      </c>
    </row>
    <row r="37" spans="1:64">
      <c r="A37" s="1">
        <f>HYPERLINK("https://lsnyc.legalserver.org/matter/dynamic-profile/view/1909661","19-1909661")</f>
        <v>0</v>
      </c>
      <c r="B37" t="s">
        <v>64</v>
      </c>
      <c r="C37" t="s">
        <v>73</v>
      </c>
      <c r="D37" t="s">
        <v>200</v>
      </c>
      <c r="E37" t="s">
        <v>201</v>
      </c>
      <c r="G37" t="s">
        <v>202</v>
      </c>
      <c r="H37" t="s">
        <v>272</v>
      </c>
      <c r="I37" t="s">
        <v>288</v>
      </c>
      <c r="J37" t="s">
        <v>290</v>
      </c>
      <c r="K37" t="s">
        <v>292</v>
      </c>
      <c r="M37" t="s">
        <v>290</v>
      </c>
      <c r="N37" t="s">
        <v>202</v>
      </c>
      <c r="O37" t="s">
        <v>422</v>
      </c>
      <c r="P37" t="s">
        <v>427</v>
      </c>
      <c r="S37" t="s">
        <v>496</v>
      </c>
      <c r="T37" t="s">
        <v>1204</v>
      </c>
      <c r="U37" t="s">
        <v>222</v>
      </c>
      <c r="W37" t="s">
        <v>1876</v>
      </c>
      <c r="X37" t="s">
        <v>1912</v>
      </c>
      <c r="Y37" t="s">
        <v>2807</v>
      </c>
      <c r="Z37" t="s">
        <v>3097</v>
      </c>
      <c r="AA37" t="s">
        <v>3135</v>
      </c>
      <c r="AB37">
        <v>11212</v>
      </c>
      <c r="AD37" t="s">
        <v>3179</v>
      </c>
      <c r="AE37">
        <v>4</v>
      </c>
      <c r="AG37" t="s">
        <v>4028</v>
      </c>
      <c r="AH37" t="s">
        <v>291</v>
      </c>
      <c r="AK37" t="s">
        <v>4041</v>
      </c>
      <c r="AM37">
        <v>0</v>
      </c>
      <c r="AN37">
        <v>923</v>
      </c>
      <c r="AO37">
        <v>0</v>
      </c>
      <c r="AQ37" t="s">
        <v>4092</v>
      </c>
      <c r="AR37" t="s">
        <v>5007</v>
      </c>
      <c r="AS37">
        <v>0</v>
      </c>
      <c r="AT37" t="s">
        <v>5837</v>
      </c>
      <c r="AU37">
        <v>2</v>
      </c>
      <c r="AV37">
        <v>2</v>
      </c>
      <c r="AW37">
        <v>90.87</v>
      </c>
      <c r="BB37" t="s">
        <v>1322</v>
      </c>
      <c r="BC37">
        <v>23400</v>
      </c>
      <c r="BG37" t="s">
        <v>5891</v>
      </c>
      <c r="BJ37" t="s">
        <v>5949</v>
      </c>
    </row>
    <row r="38" spans="1:64">
      <c r="A38" s="1">
        <f>HYPERLINK("https://lsnyc.legalserver.org/matter/dynamic-profile/view/1909591","19-1909591")</f>
        <v>0</v>
      </c>
      <c r="B38" t="s">
        <v>64</v>
      </c>
      <c r="C38" t="s">
        <v>73</v>
      </c>
      <c r="D38" t="s">
        <v>200</v>
      </c>
      <c r="E38" t="s">
        <v>201</v>
      </c>
      <c r="G38" t="s">
        <v>202</v>
      </c>
      <c r="H38" t="s">
        <v>272</v>
      </c>
      <c r="I38" t="s">
        <v>202</v>
      </c>
      <c r="J38" t="s">
        <v>289</v>
      </c>
      <c r="K38" t="s">
        <v>292</v>
      </c>
      <c r="M38" t="s">
        <v>290</v>
      </c>
      <c r="N38" t="s">
        <v>202</v>
      </c>
      <c r="O38" t="s">
        <v>422</v>
      </c>
      <c r="P38" t="s">
        <v>427</v>
      </c>
      <c r="S38" t="s">
        <v>497</v>
      </c>
      <c r="T38" t="s">
        <v>1205</v>
      </c>
      <c r="U38" t="s">
        <v>222</v>
      </c>
      <c r="W38" t="s">
        <v>1876</v>
      </c>
      <c r="X38" t="s">
        <v>1913</v>
      </c>
      <c r="Z38" t="s">
        <v>3097</v>
      </c>
      <c r="AA38" t="s">
        <v>3135</v>
      </c>
      <c r="AB38">
        <v>11213</v>
      </c>
      <c r="AC38" t="s">
        <v>3136</v>
      </c>
      <c r="AD38" t="s">
        <v>3180</v>
      </c>
      <c r="AE38">
        <v>0</v>
      </c>
      <c r="AG38" t="s">
        <v>4028</v>
      </c>
      <c r="AH38" t="s">
        <v>291</v>
      </c>
      <c r="AK38" t="s">
        <v>4040</v>
      </c>
      <c r="AM38">
        <v>0</v>
      </c>
      <c r="AN38">
        <v>1347</v>
      </c>
      <c r="AO38">
        <v>0</v>
      </c>
      <c r="AQ38" t="s">
        <v>4093</v>
      </c>
      <c r="AR38" t="s">
        <v>5008</v>
      </c>
      <c r="AS38">
        <v>0</v>
      </c>
      <c r="AU38">
        <v>2</v>
      </c>
      <c r="AV38">
        <v>0</v>
      </c>
      <c r="AW38">
        <v>156.12</v>
      </c>
      <c r="BB38" t="s">
        <v>1322</v>
      </c>
      <c r="BC38">
        <v>26400</v>
      </c>
      <c r="BG38" t="s">
        <v>5890</v>
      </c>
      <c r="BJ38" t="s">
        <v>5962</v>
      </c>
      <c r="BL38" t="s">
        <v>6056</v>
      </c>
    </row>
    <row r="39" spans="1:64">
      <c r="A39" s="1">
        <f>HYPERLINK("https://lsnyc.legalserver.org/matter/dynamic-profile/view/1909083","19-1909083")</f>
        <v>0</v>
      </c>
      <c r="B39" t="s">
        <v>64</v>
      </c>
      <c r="C39" t="s">
        <v>73</v>
      </c>
      <c r="D39" t="s">
        <v>200</v>
      </c>
      <c r="E39" t="s">
        <v>201</v>
      </c>
      <c r="G39" t="s">
        <v>202</v>
      </c>
      <c r="H39" t="s">
        <v>272</v>
      </c>
      <c r="I39" t="s">
        <v>288</v>
      </c>
      <c r="J39" t="s">
        <v>290</v>
      </c>
      <c r="K39" t="s">
        <v>292</v>
      </c>
      <c r="M39" t="s">
        <v>290</v>
      </c>
      <c r="N39" t="s">
        <v>202</v>
      </c>
      <c r="O39" t="s">
        <v>421</v>
      </c>
      <c r="P39" t="s">
        <v>427</v>
      </c>
      <c r="S39" t="s">
        <v>498</v>
      </c>
      <c r="T39" t="s">
        <v>1206</v>
      </c>
      <c r="U39" t="s">
        <v>256</v>
      </c>
      <c r="W39" t="s">
        <v>1876</v>
      </c>
      <c r="X39" t="s">
        <v>1914</v>
      </c>
      <c r="Y39" t="s">
        <v>2808</v>
      </c>
      <c r="Z39" t="s">
        <v>3097</v>
      </c>
      <c r="AA39" t="s">
        <v>3135</v>
      </c>
      <c r="AB39">
        <v>11225</v>
      </c>
      <c r="AC39" t="s">
        <v>3140</v>
      </c>
      <c r="AD39" t="s">
        <v>3181</v>
      </c>
      <c r="AE39">
        <v>21</v>
      </c>
      <c r="AG39" t="s">
        <v>4029</v>
      </c>
      <c r="AH39" t="s">
        <v>291</v>
      </c>
      <c r="AI39" t="s">
        <v>291</v>
      </c>
      <c r="AK39" t="s">
        <v>4040</v>
      </c>
      <c r="AL39" t="s">
        <v>4046</v>
      </c>
      <c r="AM39">
        <v>0</v>
      </c>
      <c r="AN39">
        <v>975.76</v>
      </c>
      <c r="AO39">
        <v>0.2</v>
      </c>
      <c r="AQ39" t="s">
        <v>4094</v>
      </c>
      <c r="AR39" t="s">
        <v>5009</v>
      </c>
      <c r="AS39">
        <v>60</v>
      </c>
      <c r="AT39" t="s">
        <v>5838</v>
      </c>
      <c r="AU39">
        <v>1</v>
      </c>
      <c r="AV39">
        <v>3</v>
      </c>
      <c r="AW39">
        <v>0</v>
      </c>
      <c r="BB39" t="s">
        <v>1322</v>
      </c>
      <c r="BC39">
        <v>0</v>
      </c>
      <c r="BG39" t="s">
        <v>5895</v>
      </c>
      <c r="BJ39" t="s">
        <v>5945</v>
      </c>
      <c r="BK39" t="s">
        <v>243</v>
      </c>
    </row>
    <row r="40" spans="1:64">
      <c r="A40" s="1">
        <f>HYPERLINK("https://lsnyc.legalserver.org/matter/dynamic-profile/view/1905339","19-1905339")</f>
        <v>0</v>
      </c>
      <c r="B40" t="s">
        <v>64</v>
      </c>
      <c r="C40" t="s">
        <v>73</v>
      </c>
      <c r="D40" t="s">
        <v>200</v>
      </c>
      <c r="E40" t="s">
        <v>201</v>
      </c>
      <c r="G40" t="s">
        <v>202</v>
      </c>
      <c r="H40" t="s">
        <v>272</v>
      </c>
      <c r="I40" t="s">
        <v>202</v>
      </c>
      <c r="J40" t="s">
        <v>289</v>
      </c>
      <c r="K40" t="s">
        <v>202</v>
      </c>
      <c r="L40" t="s">
        <v>301</v>
      </c>
      <c r="M40" t="s">
        <v>290</v>
      </c>
      <c r="N40" t="s">
        <v>419</v>
      </c>
      <c r="O40" t="s">
        <v>420</v>
      </c>
      <c r="P40" t="s">
        <v>427</v>
      </c>
      <c r="S40" t="s">
        <v>499</v>
      </c>
      <c r="T40" t="s">
        <v>1207</v>
      </c>
      <c r="U40" t="s">
        <v>214</v>
      </c>
      <c r="W40" t="s">
        <v>1876</v>
      </c>
      <c r="X40" t="s">
        <v>1915</v>
      </c>
      <c r="Y40" t="s">
        <v>2809</v>
      </c>
      <c r="Z40" t="s">
        <v>3097</v>
      </c>
      <c r="AA40" t="s">
        <v>3135</v>
      </c>
      <c r="AB40">
        <v>11230</v>
      </c>
      <c r="AC40" t="s">
        <v>3136</v>
      </c>
      <c r="AD40" t="s">
        <v>3182</v>
      </c>
      <c r="AE40">
        <v>29</v>
      </c>
      <c r="AG40" t="s">
        <v>4028</v>
      </c>
      <c r="AH40" t="s">
        <v>291</v>
      </c>
      <c r="AK40" t="s">
        <v>4040</v>
      </c>
      <c r="AM40">
        <v>0</v>
      </c>
      <c r="AN40">
        <v>1050</v>
      </c>
      <c r="AO40">
        <v>0.2</v>
      </c>
      <c r="AQ40" t="s">
        <v>4095</v>
      </c>
      <c r="AR40" t="s">
        <v>5010</v>
      </c>
      <c r="AS40">
        <v>60</v>
      </c>
      <c r="AU40">
        <v>1</v>
      </c>
      <c r="AV40">
        <v>0</v>
      </c>
      <c r="AW40">
        <v>133.79</v>
      </c>
      <c r="BA40" t="s">
        <v>5851</v>
      </c>
      <c r="BB40" t="s">
        <v>1322</v>
      </c>
      <c r="BC40">
        <v>16709.8</v>
      </c>
      <c r="BG40" t="s">
        <v>5894</v>
      </c>
      <c r="BJ40" t="s">
        <v>5956</v>
      </c>
      <c r="BK40" t="s">
        <v>210</v>
      </c>
      <c r="BL40" t="s">
        <v>6056</v>
      </c>
    </row>
    <row r="41" spans="1:64">
      <c r="A41" s="1">
        <f>HYPERLINK("https://lsnyc.legalserver.org/matter/dynamic-profile/view/1909998","19-1909998")</f>
        <v>0</v>
      </c>
      <c r="B41" t="s">
        <v>64</v>
      </c>
      <c r="C41" t="s">
        <v>73</v>
      </c>
      <c r="D41" t="s">
        <v>200</v>
      </c>
      <c r="E41" t="s">
        <v>201</v>
      </c>
      <c r="G41" t="s">
        <v>202</v>
      </c>
      <c r="H41" t="s">
        <v>271</v>
      </c>
      <c r="I41" t="s">
        <v>288</v>
      </c>
      <c r="J41" t="s">
        <v>290</v>
      </c>
      <c r="K41" t="s">
        <v>292</v>
      </c>
      <c r="M41" t="s">
        <v>290</v>
      </c>
      <c r="N41" t="s">
        <v>202</v>
      </c>
      <c r="O41" t="s">
        <v>422</v>
      </c>
      <c r="P41" t="s">
        <v>427</v>
      </c>
      <c r="S41" t="s">
        <v>500</v>
      </c>
      <c r="T41" t="s">
        <v>1208</v>
      </c>
      <c r="U41" t="s">
        <v>243</v>
      </c>
      <c r="W41" t="s">
        <v>1876</v>
      </c>
      <c r="X41" t="s">
        <v>1916</v>
      </c>
      <c r="Y41" t="s">
        <v>2810</v>
      </c>
      <c r="Z41" t="s">
        <v>3097</v>
      </c>
      <c r="AA41" t="s">
        <v>3135</v>
      </c>
      <c r="AB41">
        <v>11221</v>
      </c>
      <c r="AD41" t="s">
        <v>3183</v>
      </c>
      <c r="AE41">
        <v>0</v>
      </c>
      <c r="AG41" t="s">
        <v>4028</v>
      </c>
      <c r="AH41" t="s">
        <v>291</v>
      </c>
      <c r="AK41" t="s">
        <v>4040</v>
      </c>
      <c r="AM41">
        <v>0</v>
      </c>
      <c r="AN41">
        <v>0</v>
      </c>
      <c r="AO41">
        <v>0</v>
      </c>
      <c r="AQ41" t="s">
        <v>4096</v>
      </c>
      <c r="AS41">
        <v>0</v>
      </c>
      <c r="AU41">
        <v>1</v>
      </c>
      <c r="AV41">
        <v>0</v>
      </c>
      <c r="AW41">
        <v>104.08</v>
      </c>
      <c r="BB41" t="s">
        <v>5859</v>
      </c>
      <c r="BC41">
        <v>13000</v>
      </c>
      <c r="BG41" t="s">
        <v>5891</v>
      </c>
      <c r="BJ41" t="s">
        <v>5949</v>
      </c>
    </row>
    <row r="42" spans="1:64">
      <c r="A42" s="1">
        <f>HYPERLINK("https://lsnyc.legalserver.org/matter/dynamic-profile/view/1910340","19-1910340")</f>
        <v>0</v>
      </c>
      <c r="B42" t="s">
        <v>64</v>
      </c>
      <c r="C42" t="s">
        <v>73</v>
      </c>
      <c r="D42" t="s">
        <v>200</v>
      </c>
      <c r="E42" t="s">
        <v>201</v>
      </c>
      <c r="G42" t="s">
        <v>202</v>
      </c>
      <c r="H42" t="s">
        <v>272</v>
      </c>
      <c r="I42" t="s">
        <v>202</v>
      </c>
      <c r="J42" t="s">
        <v>289</v>
      </c>
      <c r="K42" t="s">
        <v>292</v>
      </c>
      <c r="M42" t="s">
        <v>290</v>
      </c>
      <c r="N42" t="s">
        <v>202</v>
      </c>
      <c r="O42" t="s">
        <v>422</v>
      </c>
      <c r="P42" t="s">
        <v>427</v>
      </c>
      <c r="S42" t="s">
        <v>466</v>
      </c>
      <c r="T42" t="s">
        <v>1209</v>
      </c>
      <c r="U42" t="s">
        <v>216</v>
      </c>
      <c r="W42" t="s">
        <v>1876</v>
      </c>
      <c r="X42" t="s">
        <v>1917</v>
      </c>
      <c r="Y42">
        <v>123</v>
      </c>
      <c r="Z42" t="s">
        <v>3097</v>
      </c>
      <c r="AA42" t="s">
        <v>3135</v>
      </c>
      <c r="AB42">
        <v>11226</v>
      </c>
      <c r="AC42" t="s">
        <v>3136</v>
      </c>
      <c r="AD42" t="s">
        <v>3184</v>
      </c>
      <c r="AE42">
        <v>0</v>
      </c>
      <c r="AG42" t="s">
        <v>4029</v>
      </c>
      <c r="AH42" t="s">
        <v>291</v>
      </c>
      <c r="AK42" t="s">
        <v>4040</v>
      </c>
      <c r="AM42">
        <v>0</v>
      </c>
      <c r="AN42">
        <v>0</v>
      </c>
      <c r="AO42">
        <v>0</v>
      </c>
      <c r="AQ42" t="s">
        <v>4097</v>
      </c>
      <c r="AR42" t="s">
        <v>5011</v>
      </c>
      <c r="AS42">
        <v>0</v>
      </c>
      <c r="AU42">
        <v>2</v>
      </c>
      <c r="AV42">
        <v>0</v>
      </c>
      <c r="AW42">
        <v>295.68</v>
      </c>
      <c r="BB42" t="s">
        <v>5860</v>
      </c>
      <c r="BC42">
        <v>50000</v>
      </c>
      <c r="BG42" t="s">
        <v>5894</v>
      </c>
      <c r="BJ42" t="s">
        <v>5949</v>
      </c>
      <c r="BL42" t="s">
        <v>6056</v>
      </c>
    </row>
    <row r="43" spans="1:64">
      <c r="A43" s="1">
        <f>HYPERLINK("https://lsnyc.legalserver.org/matter/dynamic-profile/view/1910206","19-1910206")</f>
        <v>0</v>
      </c>
      <c r="B43" t="s">
        <v>64</v>
      </c>
      <c r="C43" t="s">
        <v>74</v>
      </c>
      <c r="D43" t="s">
        <v>200</v>
      </c>
      <c r="E43" t="s">
        <v>201</v>
      </c>
      <c r="G43" t="s">
        <v>202</v>
      </c>
      <c r="H43" t="s">
        <v>272</v>
      </c>
      <c r="I43" t="s">
        <v>202</v>
      </c>
      <c r="J43" t="s">
        <v>289</v>
      </c>
      <c r="K43" t="s">
        <v>292</v>
      </c>
      <c r="M43" t="s">
        <v>290</v>
      </c>
      <c r="N43" t="s">
        <v>202</v>
      </c>
      <c r="O43" t="s">
        <v>421</v>
      </c>
      <c r="P43" t="s">
        <v>427</v>
      </c>
      <c r="S43" t="s">
        <v>501</v>
      </c>
      <c r="T43" t="s">
        <v>1210</v>
      </c>
      <c r="U43" t="s">
        <v>259</v>
      </c>
      <c r="W43" t="s">
        <v>1876</v>
      </c>
      <c r="X43" t="s">
        <v>1918</v>
      </c>
      <c r="Y43" t="s">
        <v>2800</v>
      </c>
      <c r="Z43" t="s">
        <v>3097</v>
      </c>
      <c r="AA43" t="s">
        <v>3135</v>
      </c>
      <c r="AB43">
        <v>11226</v>
      </c>
      <c r="AC43" t="s">
        <v>3136</v>
      </c>
      <c r="AD43" t="s">
        <v>3185</v>
      </c>
      <c r="AE43">
        <v>0</v>
      </c>
      <c r="AG43" t="s">
        <v>4029</v>
      </c>
      <c r="AH43" t="s">
        <v>291</v>
      </c>
      <c r="AK43" t="s">
        <v>4040</v>
      </c>
      <c r="AM43">
        <v>0</v>
      </c>
      <c r="AN43">
        <v>0</v>
      </c>
      <c r="AO43">
        <v>0</v>
      </c>
      <c r="AQ43" t="s">
        <v>4098</v>
      </c>
      <c r="AR43" t="s">
        <v>5012</v>
      </c>
      <c r="AS43">
        <v>0</v>
      </c>
      <c r="AU43">
        <v>1</v>
      </c>
      <c r="AV43">
        <v>0</v>
      </c>
      <c r="AW43">
        <v>0</v>
      </c>
      <c r="BB43" t="s">
        <v>1322</v>
      </c>
      <c r="BC43">
        <v>0</v>
      </c>
      <c r="BG43" t="s">
        <v>5894</v>
      </c>
      <c r="BJ43" t="s">
        <v>5945</v>
      </c>
      <c r="BL43" t="s">
        <v>6056</v>
      </c>
    </row>
    <row r="44" spans="1:64">
      <c r="A44" s="1">
        <f>HYPERLINK("https://lsnyc.legalserver.org/matter/dynamic-profile/view/1909636","19-1909636")</f>
        <v>0</v>
      </c>
      <c r="B44" t="s">
        <v>64</v>
      </c>
      <c r="C44" t="s">
        <v>71</v>
      </c>
      <c r="D44" t="s">
        <v>200</v>
      </c>
      <c r="E44" t="s">
        <v>201</v>
      </c>
      <c r="G44" t="s">
        <v>202</v>
      </c>
      <c r="H44" t="s">
        <v>272</v>
      </c>
      <c r="I44" t="s">
        <v>202</v>
      </c>
      <c r="J44" t="s">
        <v>289</v>
      </c>
      <c r="K44" t="s">
        <v>292</v>
      </c>
      <c r="M44" t="s">
        <v>290</v>
      </c>
      <c r="N44" t="s">
        <v>419</v>
      </c>
      <c r="O44" t="s">
        <v>420</v>
      </c>
      <c r="P44" t="s">
        <v>427</v>
      </c>
      <c r="S44" t="s">
        <v>502</v>
      </c>
      <c r="T44" t="s">
        <v>1211</v>
      </c>
      <c r="U44" t="s">
        <v>222</v>
      </c>
      <c r="W44" t="s">
        <v>1876</v>
      </c>
      <c r="X44" t="s">
        <v>1919</v>
      </c>
      <c r="Z44" t="s">
        <v>3097</v>
      </c>
      <c r="AA44" t="s">
        <v>3135</v>
      </c>
      <c r="AB44">
        <v>11226</v>
      </c>
      <c r="AC44" t="s">
        <v>3136</v>
      </c>
      <c r="AD44" t="s">
        <v>3186</v>
      </c>
      <c r="AE44">
        <v>0</v>
      </c>
      <c r="AG44" t="s">
        <v>4029</v>
      </c>
      <c r="AH44" t="s">
        <v>291</v>
      </c>
      <c r="AK44" t="s">
        <v>4040</v>
      </c>
      <c r="AM44">
        <v>0</v>
      </c>
      <c r="AN44">
        <v>0</v>
      </c>
      <c r="AO44">
        <v>0</v>
      </c>
      <c r="AQ44" t="s">
        <v>4099</v>
      </c>
      <c r="AR44" t="s">
        <v>5013</v>
      </c>
      <c r="AS44">
        <v>0</v>
      </c>
      <c r="AU44">
        <v>1</v>
      </c>
      <c r="AV44">
        <v>0</v>
      </c>
      <c r="AW44">
        <v>110.49</v>
      </c>
      <c r="BB44" t="s">
        <v>1322</v>
      </c>
      <c r="BC44">
        <v>13800</v>
      </c>
      <c r="BG44" t="s">
        <v>5894</v>
      </c>
      <c r="BJ44" t="s">
        <v>3143</v>
      </c>
      <c r="BL44" t="s">
        <v>6056</v>
      </c>
    </row>
    <row r="45" spans="1:64">
      <c r="A45" s="1">
        <f>HYPERLINK("https://lsnyc.legalserver.org/matter/dynamic-profile/view/1908017","19-1908017")</f>
        <v>0</v>
      </c>
      <c r="B45" t="s">
        <v>64</v>
      </c>
      <c r="C45" t="s">
        <v>71</v>
      </c>
      <c r="D45" t="s">
        <v>200</v>
      </c>
      <c r="E45" t="s">
        <v>201</v>
      </c>
      <c r="G45" t="s">
        <v>202</v>
      </c>
      <c r="H45" t="s">
        <v>272</v>
      </c>
      <c r="I45" t="s">
        <v>202</v>
      </c>
      <c r="J45" t="s">
        <v>289</v>
      </c>
      <c r="K45" t="s">
        <v>292</v>
      </c>
      <c r="M45" t="s">
        <v>290</v>
      </c>
      <c r="N45" t="s">
        <v>419</v>
      </c>
      <c r="P45" t="s">
        <v>427</v>
      </c>
      <c r="S45" t="s">
        <v>503</v>
      </c>
      <c r="T45" t="s">
        <v>1212</v>
      </c>
      <c r="U45" t="s">
        <v>221</v>
      </c>
      <c r="W45" t="s">
        <v>1876</v>
      </c>
      <c r="X45" t="s">
        <v>1920</v>
      </c>
      <c r="Y45" t="s">
        <v>2811</v>
      </c>
      <c r="Z45" t="s">
        <v>3097</v>
      </c>
      <c r="AA45" t="s">
        <v>3135</v>
      </c>
      <c r="AB45">
        <v>11221</v>
      </c>
      <c r="AC45" t="s">
        <v>3137</v>
      </c>
      <c r="AD45" t="s">
        <v>3187</v>
      </c>
      <c r="AE45">
        <v>0</v>
      </c>
      <c r="AG45" t="s">
        <v>4029</v>
      </c>
      <c r="AH45" t="s">
        <v>291</v>
      </c>
      <c r="AK45" t="s">
        <v>4040</v>
      </c>
      <c r="AM45">
        <v>0</v>
      </c>
      <c r="AN45">
        <v>0</v>
      </c>
      <c r="AO45">
        <v>3.5</v>
      </c>
      <c r="AQ45" t="s">
        <v>4100</v>
      </c>
      <c r="AR45" t="s">
        <v>5014</v>
      </c>
      <c r="AS45">
        <v>0</v>
      </c>
      <c r="AU45">
        <v>3</v>
      </c>
      <c r="AV45">
        <v>0</v>
      </c>
      <c r="AW45">
        <v>93.93000000000001</v>
      </c>
      <c r="BB45" t="s">
        <v>1322</v>
      </c>
      <c r="BC45">
        <v>20036</v>
      </c>
      <c r="BG45" t="s">
        <v>5890</v>
      </c>
      <c r="BJ45" t="s">
        <v>5963</v>
      </c>
      <c r="BK45" t="s">
        <v>219</v>
      </c>
      <c r="BL45" t="s">
        <v>6056</v>
      </c>
    </row>
    <row r="46" spans="1:64">
      <c r="A46" s="1">
        <f>HYPERLINK("https://lsnyc.legalserver.org/matter/dynamic-profile/view/1908782","19-1908782")</f>
        <v>0</v>
      </c>
      <c r="B46" t="s">
        <v>64</v>
      </c>
      <c r="C46" t="s">
        <v>76</v>
      </c>
      <c r="D46" t="s">
        <v>200</v>
      </c>
      <c r="E46" t="s">
        <v>201</v>
      </c>
      <c r="G46" t="s">
        <v>202</v>
      </c>
      <c r="H46" t="s">
        <v>271</v>
      </c>
      <c r="I46" t="s">
        <v>288</v>
      </c>
      <c r="J46" t="s">
        <v>291</v>
      </c>
      <c r="K46" t="s">
        <v>202</v>
      </c>
      <c r="L46">
        <v>110799601</v>
      </c>
      <c r="M46" t="s">
        <v>290</v>
      </c>
      <c r="N46" t="s">
        <v>202</v>
      </c>
      <c r="O46" t="s">
        <v>422</v>
      </c>
      <c r="P46" t="s">
        <v>427</v>
      </c>
      <c r="S46" t="s">
        <v>504</v>
      </c>
      <c r="T46" t="s">
        <v>1213</v>
      </c>
      <c r="U46" t="s">
        <v>219</v>
      </c>
      <c r="W46" t="s">
        <v>1876</v>
      </c>
      <c r="X46" t="s">
        <v>1921</v>
      </c>
      <c r="Y46" t="s">
        <v>2782</v>
      </c>
      <c r="Z46" t="s">
        <v>3097</v>
      </c>
      <c r="AA46" t="s">
        <v>3135</v>
      </c>
      <c r="AB46">
        <v>11230</v>
      </c>
      <c r="AC46" t="s">
        <v>3136</v>
      </c>
      <c r="AD46" t="s">
        <v>3188</v>
      </c>
      <c r="AE46">
        <v>0</v>
      </c>
      <c r="AG46" t="s">
        <v>4028</v>
      </c>
      <c r="AH46" t="s">
        <v>291</v>
      </c>
      <c r="AK46" t="s">
        <v>4040</v>
      </c>
      <c r="AM46">
        <v>0</v>
      </c>
      <c r="AN46">
        <v>950</v>
      </c>
      <c r="AO46">
        <v>0</v>
      </c>
      <c r="AQ46" t="s">
        <v>4101</v>
      </c>
      <c r="AR46" t="s">
        <v>5015</v>
      </c>
      <c r="AS46">
        <v>0</v>
      </c>
      <c r="AU46">
        <v>2</v>
      </c>
      <c r="AV46">
        <v>0</v>
      </c>
      <c r="AW46">
        <v>148.36</v>
      </c>
      <c r="BC46">
        <v>25088</v>
      </c>
      <c r="BG46" t="s">
        <v>5890</v>
      </c>
      <c r="BJ46" t="s">
        <v>5964</v>
      </c>
      <c r="BL46" t="s">
        <v>329</v>
      </c>
    </row>
    <row r="47" spans="1:64">
      <c r="A47" s="1">
        <f>HYPERLINK("https://lsnyc.legalserver.org/matter/dynamic-profile/view/1909028","19-1909028")</f>
        <v>0</v>
      </c>
      <c r="B47" t="s">
        <v>64</v>
      </c>
      <c r="C47" t="s">
        <v>76</v>
      </c>
      <c r="D47" t="s">
        <v>200</v>
      </c>
      <c r="E47" t="s">
        <v>201</v>
      </c>
      <c r="G47" t="s">
        <v>270</v>
      </c>
      <c r="I47" t="s">
        <v>288</v>
      </c>
      <c r="J47" t="s">
        <v>290</v>
      </c>
      <c r="K47" t="s">
        <v>202</v>
      </c>
      <c r="L47" t="s">
        <v>302</v>
      </c>
      <c r="M47" t="s">
        <v>290</v>
      </c>
      <c r="N47" t="s">
        <v>202</v>
      </c>
      <c r="O47" t="s">
        <v>422</v>
      </c>
      <c r="P47" t="s">
        <v>427</v>
      </c>
      <c r="S47" t="s">
        <v>505</v>
      </c>
      <c r="T47" t="s">
        <v>1214</v>
      </c>
      <c r="U47" t="s">
        <v>256</v>
      </c>
      <c r="W47" t="s">
        <v>1876</v>
      </c>
      <c r="X47" t="s">
        <v>1922</v>
      </c>
      <c r="Y47" t="s">
        <v>2784</v>
      </c>
      <c r="Z47" t="s">
        <v>3097</v>
      </c>
      <c r="AA47" t="s">
        <v>3135</v>
      </c>
      <c r="AB47">
        <v>11213</v>
      </c>
      <c r="AD47" t="s">
        <v>3189</v>
      </c>
      <c r="AE47">
        <v>0</v>
      </c>
      <c r="AG47" t="s">
        <v>4028</v>
      </c>
      <c r="AH47" t="s">
        <v>291</v>
      </c>
      <c r="AK47" t="s">
        <v>4040</v>
      </c>
      <c r="AM47">
        <v>0</v>
      </c>
      <c r="AN47">
        <v>0</v>
      </c>
      <c r="AO47">
        <v>0</v>
      </c>
      <c r="AQ47" t="s">
        <v>4102</v>
      </c>
      <c r="AR47" t="s">
        <v>5016</v>
      </c>
      <c r="AS47">
        <v>0</v>
      </c>
      <c r="AU47">
        <v>4</v>
      </c>
      <c r="AV47">
        <v>0</v>
      </c>
      <c r="AW47">
        <v>17.9</v>
      </c>
      <c r="BB47" t="s">
        <v>1322</v>
      </c>
      <c r="BC47">
        <v>4608</v>
      </c>
      <c r="BG47" t="s">
        <v>5891</v>
      </c>
      <c r="BJ47" t="s">
        <v>5965</v>
      </c>
    </row>
    <row r="48" spans="1:64">
      <c r="A48" s="1">
        <f>HYPERLINK("https://lsnyc.legalserver.org/matter/dynamic-profile/view/1909072","19-1909072")</f>
        <v>0</v>
      </c>
      <c r="B48" t="s">
        <v>64</v>
      </c>
      <c r="C48" t="s">
        <v>76</v>
      </c>
      <c r="D48" t="s">
        <v>200</v>
      </c>
      <c r="E48" t="s">
        <v>201</v>
      </c>
      <c r="G48" t="s">
        <v>202</v>
      </c>
      <c r="H48" t="s">
        <v>272</v>
      </c>
      <c r="I48" t="s">
        <v>288</v>
      </c>
      <c r="J48" t="s">
        <v>290</v>
      </c>
      <c r="K48" t="s">
        <v>202</v>
      </c>
      <c r="L48" t="s">
        <v>303</v>
      </c>
      <c r="M48" t="s">
        <v>290</v>
      </c>
      <c r="N48" t="s">
        <v>202</v>
      </c>
      <c r="O48" t="s">
        <v>422</v>
      </c>
      <c r="P48" t="s">
        <v>427</v>
      </c>
      <c r="S48" t="s">
        <v>506</v>
      </c>
      <c r="T48" t="s">
        <v>612</v>
      </c>
      <c r="U48" t="s">
        <v>256</v>
      </c>
      <c r="W48" t="s">
        <v>1876</v>
      </c>
      <c r="X48" t="s">
        <v>1923</v>
      </c>
      <c r="Y48" t="s">
        <v>2812</v>
      </c>
      <c r="Z48" t="s">
        <v>3097</v>
      </c>
      <c r="AA48" t="s">
        <v>3135</v>
      </c>
      <c r="AB48">
        <v>11205</v>
      </c>
      <c r="AD48" t="s">
        <v>3190</v>
      </c>
      <c r="AE48">
        <v>0</v>
      </c>
      <c r="AG48" t="s">
        <v>4028</v>
      </c>
      <c r="AH48" t="s">
        <v>291</v>
      </c>
      <c r="AK48" t="s">
        <v>4041</v>
      </c>
      <c r="AM48">
        <v>0</v>
      </c>
      <c r="AN48">
        <v>879</v>
      </c>
      <c r="AO48">
        <v>0</v>
      </c>
      <c r="AQ48" t="s">
        <v>4103</v>
      </c>
      <c r="AS48">
        <v>0</v>
      </c>
      <c r="AU48">
        <v>1</v>
      </c>
      <c r="AV48">
        <v>0</v>
      </c>
      <c r="AW48">
        <v>6.92</v>
      </c>
      <c r="BB48" t="s">
        <v>1322</v>
      </c>
      <c r="BC48">
        <v>864</v>
      </c>
      <c r="BG48" t="s">
        <v>5891</v>
      </c>
      <c r="BJ48" t="s">
        <v>5965</v>
      </c>
    </row>
    <row r="49" spans="1:64">
      <c r="A49" s="1">
        <f>HYPERLINK("https://lsnyc.legalserver.org/matter/dynamic-profile/view/1906260","19-1906260")</f>
        <v>0</v>
      </c>
      <c r="B49" t="s">
        <v>64</v>
      </c>
      <c r="C49" t="s">
        <v>76</v>
      </c>
      <c r="D49" t="s">
        <v>200</v>
      </c>
      <c r="E49" t="s">
        <v>201</v>
      </c>
      <c r="G49" t="s">
        <v>202</v>
      </c>
      <c r="H49" t="s">
        <v>272</v>
      </c>
      <c r="I49" t="s">
        <v>288</v>
      </c>
      <c r="J49" t="s">
        <v>290</v>
      </c>
      <c r="K49" t="s">
        <v>202</v>
      </c>
      <c r="L49" t="s">
        <v>304</v>
      </c>
      <c r="M49" t="s">
        <v>290</v>
      </c>
      <c r="N49" t="s">
        <v>202</v>
      </c>
      <c r="O49" t="s">
        <v>422</v>
      </c>
      <c r="P49" t="s">
        <v>427</v>
      </c>
      <c r="S49" t="s">
        <v>507</v>
      </c>
      <c r="T49" t="s">
        <v>1215</v>
      </c>
      <c r="U49" t="s">
        <v>249</v>
      </c>
      <c r="W49" t="s">
        <v>1876</v>
      </c>
      <c r="X49" t="s">
        <v>1924</v>
      </c>
      <c r="Y49" t="s">
        <v>2807</v>
      </c>
      <c r="Z49" t="s">
        <v>3097</v>
      </c>
      <c r="AA49" t="s">
        <v>3135</v>
      </c>
      <c r="AB49">
        <v>11208</v>
      </c>
      <c r="AC49" t="s">
        <v>3136</v>
      </c>
      <c r="AD49" t="s">
        <v>3191</v>
      </c>
      <c r="AE49">
        <v>14</v>
      </c>
      <c r="AG49" t="s">
        <v>4028</v>
      </c>
      <c r="AH49" t="s">
        <v>291</v>
      </c>
      <c r="AK49" t="s">
        <v>4040</v>
      </c>
      <c r="AM49">
        <v>0</v>
      </c>
      <c r="AN49">
        <v>305.6</v>
      </c>
      <c r="AO49">
        <v>0</v>
      </c>
      <c r="AQ49" t="s">
        <v>4104</v>
      </c>
      <c r="AR49" t="s">
        <v>5017</v>
      </c>
      <c r="AS49">
        <v>0</v>
      </c>
      <c r="AT49" t="s">
        <v>5837</v>
      </c>
      <c r="AU49">
        <v>1</v>
      </c>
      <c r="AV49">
        <v>0</v>
      </c>
      <c r="AW49">
        <v>134.99</v>
      </c>
      <c r="BA49" t="s">
        <v>329</v>
      </c>
      <c r="BB49" t="s">
        <v>1322</v>
      </c>
      <c r="BC49">
        <v>16860</v>
      </c>
      <c r="BG49" t="s">
        <v>5891</v>
      </c>
      <c r="BJ49" t="s">
        <v>5950</v>
      </c>
    </row>
    <row r="50" spans="1:64">
      <c r="A50" s="1">
        <f>HYPERLINK("https://lsnyc.legalserver.org/matter/dynamic-profile/view/1909052","19-1909052")</f>
        <v>0</v>
      </c>
      <c r="B50" t="s">
        <v>64</v>
      </c>
      <c r="C50" t="s">
        <v>76</v>
      </c>
      <c r="D50" t="s">
        <v>200</v>
      </c>
      <c r="E50" t="s">
        <v>201</v>
      </c>
      <c r="G50" t="s">
        <v>202</v>
      </c>
      <c r="H50" t="s">
        <v>271</v>
      </c>
      <c r="I50" t="s">
        <v>202</v>
      </c>
      <c r="J50" t="s">
        <v>289</v>
      </c>
      <c r="K50" t="s">
        <v>292</v>
      </c>
      <c r="M50" t="s">
        <v>290</v>
      </c>
      <c r="N50" t="s">
        <v>202</v>
      </c>
      <c r="O50" t="s">
        <v>422</v>
      </c>
      <c r="P50" t="s">
        <v>427</v>
      </c>
      <c r="S50" t="s">
        <v>508</v>
      </c>
      <c r="T50" t="s">
        <v>1216</v>
      </c>
      <c r="U50" t="s">
        <v>256</v>
      </c>
      <c r="W50" t="s">
        <v>1876</v>
      </c>
      <c r="X50" t="s">
        <v>1925</v>
      </c>
      <c r="Y50" t="s">
        <v>2813</v>
      </c>
      <c r="Z50" t="s">
        <v>3097</v>
      </c>
      <c r="AA50" t="s">
        <v>3135</v>
      </c>
      <c r="AB50">
        <v>11224</v>
      </c>
      <c r="AC50" t="s">
        <v>3136</v>
      </c>
      <c r="AD50" t="s">
        <v>3192</v>
      </c>
      <c r="AE50">
        <v>0</v>
      </c>
      <c r="AG50" t="s">
        <v>4028</v>
      </c>
      <c r="AH50" t="s">
        <v>291</v>
      </c>
      <c r="AK50" t="s">
        <v>4041</v>
      </c>
      <c r="AM50">
        <v>0</v>
      </c>
      <c r="AN50">
        <v>0</v>
      </c>
      <c r="AO50">
        <v>0</v>
      </c>
      <c r="AQ50" t="s">
        <v>4105</v>
      </c>
      <c r="AR50" t="s">
        <v>5018</v>
      </c>
      <c r="AS50">
        <v>0</v>
      </c>
      <c r="AU50">
        <v>1</v>
      </c>
      <c r="AV50">
        <v>0</v>
      </c>
      <c r="AW50">
        <v>90.55</v>
      </c>
      <c r="BB50" t="s">
        <v>5861</v>
      </c>
      <c r="BC50">
        <v>11310</v>
      </c>
      <c r="BG50" t="s">
        <v>5890</v>
      </c>
      <c r="BJ50" t="s">
        <v>5950</v>
      </c>
      <c r="BL50" t="s">
        <v>6056</v>
      </c>
    </row>
    <row r="51" spans="1:64">
      <c r="A51" s="1">
        <f>HYPERLINK("https://lsnyc.legalserver.org/matter/dynamic-profile/view/1906693","19-1906693")</f>
        <v>0</v>
      </c>
      <c r="B51" t="s">
        <v>64</v>
      </c>
      <c r="C51" t="s">
        <v>76</v>
      </c>
      <c r="D51" t="s">
        <v>200</v>
      </c>
      <c r="E51" t="s">
        <v>201</v>
      </c>
      <c r="G51" t="s">
        <v>202</v>
      </c>
      <c r="H51" t="s">
        <v>273</v>
      </c>
      <c r="I51" t="s">
        <v>288</v>
      </c>
      <c r="J51" t="s">
        <v>290</v>
      </c>
      <c r="K51" t="s">
        <v>292</v>
      </c>
      <c r="M51" t="s">
        <v>290</v>
      </c>
      <c r="N51" t="s">
        <v>419</v>
      </c>
      <c r="O51" t="s">
        <v>420</v>
      </c>
      <c r="P51" t="s">
        <v>427</v>
      </c>
      <c r="S51" t="s">
        <v>466</v>
      </c>
      <c r="T51" t="s">
        <v>1217</v>
      </c>
      <c r="U51" t="s">
        <v>241</v>
      </c>
      <c r="W51" t="s">
        <v>1876</v>
      </c>
      <c r="X51" t="s">
        <v>1926</v>
      </c>
      <c r="Y51" t="s">
        <v>2814</v>
      </c>
      <c r="Z51" t="s">
        <v>3097</v>
      </c>
      <c r="AA51" t="s">
        <v>3135</v>
      </c>
      <c r="AB51">
        <v>11208</v>
      </c>
      <c r="AD51" t="s">
        <v>3193</v>
      </c>
      <c r="AE51">
        <v>4</v>
      </c>
      <c r="AG51" t="s">
        <v>4028</v>
      </c>
      <c r="AH51" t="s">
        <v>291</v>
      </c>
      <c r="AK51" t="s">
        <v>4040</v>
      </c>
      <c r="AM51">
        <v>0</v>
      </c>
      <c r="AN51">
        <v>1850</v>
      </c>
      <c r="AO51">
        <v>0</v>
      </c>
      <c r="AQ51" t="s">
        <v>4106</v>
      </c>
      <c r="AR51" t="s">
        <v>5019</v>
      </c>
      <c r="AS51">
        <v>0</v>
      </c>
      <c r="AT51" t="s">
        <v>5839</v>
      </c>
      <c r="AU51">
        <v>2</v>
      </c>
      <c r="AV51">
        <v>3</v>
      </c>
      <c r="AW51">
        <v>19.89</v>
      </c>
      <c r="BA51" t="s">
        <v>3143</v>
      </c>
      <c r="BB51" t="s">
        <v>1322</v>
      </c>
      <c r="BC51">
        <v>6000</v>
      </c>
      <c r="BG51" t="s">
        <v>5891</v>
      </c>
      <c r="BJ51" t="s">
        <v>5966</v>
      </c>
    </row>
    <row r="52" spans="1:64">
      <c r="A52" s="1">
        <f>HYPERLINK("https://lsnyc.legalserver.org/matter/dynamic-profile/view/1904259","19-1904259")</f>
        <v>0</v>
      </c>
      <c r="B52" t="s">
        <v>64</v>
      </c>
      <c r="C52" t="s">
        <v>77</v>
      </c>
      <c r="D52" t="s">
        <v>200</v>
      </c>
      <c r="E52" t="s">
        <v>201</v>
      </c>
      <c r="G52" t="s">
        <v>202</v>
      </c>
      <c r="H52" t="s">
        <v>272</v>
      </c>
      <c r="I52" t="s">
        <v>202</v>
      </c>
      <c r="J52" t="s">
        <v>289</v>
      </c>
      <c r="K52" t="s">
        <v>292</v>
      </c>
      <c r="M52" t="s">
        <v>290</v>
      </c>
      <c r="N52" t="s">
        <v>202</v>
      </c>
      <c r="O52" t="s">
        <v>422</v>
      </c>
      <c r="P52" t="s">
        <v>427</v>
      </c>
      <c r="S52" t="s">
        <v>497</v>
      </c>
      <c r="T52" t="s">
        <v>1218</v>
      </c>
      <c r="U52" t="s">
        <v>233</v>
      </c>
      <c r="W52" t="s">
        <v>1876</v>
      </c>
      <c r="X52" t="s">
        <v>1927</v>
      </c>
      <c r="Y52" t="s">
        <v>2793</v>
      </c>
      <c r="Z52" t="s">
        <v>3097</v>
      </c>
      <c r="AA52" t="s">
        <v>3135</v>
      </c>
      <c r="AB52">
        <v>11221</v>
      </c>
      <c r="AC52" t="s">
        <v>3140</v>
      </c>
      <c r="AE52">
        <v>16</v>
      </c>
      <c r="AG52" t="s">
        <v>4029</v>
      </c>
      <c r="AH52" t="s">
        <v>291</v>
      </c>
      <c r="AK52" t="s">
        <v>4040</v>
      </c>
      <c r="AM52">
        <v>0</v>
      </c>
      <c r="AN52">
        <v>1124</v>
      </c>
      <c r="AO52">
        <v>0.9</v>
      </c>
      <c r="AQ52" t="s">
        <v>4107</v>
      </c>
      <c r="AR52" t="s">
        <v>5020</v>
      </c>
      <c r="AS52">
        <v>0</v>
      </c>
      <c r="AU52">
        <v>2</v>
      </c>
      <c r="AV52">
        <v>1</v>
      </c>
      <c r="AW52">
        <v>112.14</v>
      </c>
      <c r="BA52" t="s">
        <v>5850</v>
      </c>
      <c r="BB52" t="s">
        <v>1322</v>
      </c>
      <c r="BC52">
        <v>23920</v>
      </c>
      <c r="BG52" t="s">
        <v>5894</v>
      </c>
      <c r="BJ52" t="s">
        <v>5954</v>
      </c>
      <c r="BK52" t="s">
        <v>264</v>
      </c>
      <c r="BL52" t="s">
        <v>6056</v>
      </c>
    </row>
    <row r="53" spans="1:64">
      <c r="A53" s="1">
        <f>HYPERLINK("https://lsnyc.legalserver.org/matter/dynamic-profile/view/1905990","19-1905990")</f>
        <v>0</v>
      </c>
      <c r="B53" t="s">
        <v>64</v>
      </c>
      <c r="C53" t="s">
        <v>77</v>
      </c>
      <c r="D53" t="s">
        <v>200</v>
      </c>
      <c r="E53" t="s">
        <v>201</v>
      </c>
      <c r="G53" t="s">
        <v>202</v>
      </c>
      <c r="H53" t="s">
        <v>271</v>
      </c>
      <c r="I53" t="s">
        <v>202</v>
      </c>
      <c r="J53" t="s">
        <v>289</v>
      </c>
      <c r="K53" t="s">
        <v>202</v>
      </c>
      <c r="L53" t="s">
        <v>305</v>
      </c>
      <c r="M53" t="s">
        <v>290</v>
      </c>
      <c r="N53" t="s">
        <v>202</v>
      </c>
      <c r="O53" t="s">
        <v>421</v>
      </c>
      <c r="P53" t="s">
        <v>427</v>
      </c>
      <c r="S53" t="s">
        <v>509</v>
      </c>
      <c r="T53" t="s">
        <v>1219</v>
      </c>
      <c r="U53" t="s">
        <v>250</v>
      </c>
      <c r="W53" t="s">
        <v>1876</v>
      </c>
      <c r="X53" t="s">
        <v>1928</v>
      </c>
      <c r="Z53" t="s">
        <v>3097</v>
      </c>
      <c r="AA53" t="s">
        <v>3135</v>
      </c>
      <c r="AB53">
        <v>11236</v>
      </c>
      <c r="AC53" t="s">
        <v>3136</v>
      </c>
      <c r="AD53" t="s">
        <v>3194</v>
      </c>
      <c r="AE53">
        <v>7</v>
      </c>
      <c r="AG53" t="s">
        <v>4028</v>
      </c>
      <c r="AH53" t="s">
        <v>291</v>
      </c>
      <c r="AI53" t="s">
        <v>291</v>
      </c>
      <c r="AK53" t="s">
        <v>4040</v>
      </c>
      <c r="AL53" t="s">
        <v>4046</v>
      </c>
      <c r="AM53">
        <v>0</v>
      </c>
      <c r="AN53">
        <v>1303</v>
      </c>
      <c r="AO53">
        <v>9.800000000000001</v>
      </c>
      <c r="AQ53" t="s">
        <v>4108</v>
      </c>
      <c r="AR53" t="s">
        <v>5021</v>
      </c>
      <c r="AS53">
        <v>3</v>
      </c>
      <c r="AT53" t="s">
        <v>5836</v>
      </c>
      <c r="AU53">
        <v>1</v>
      </c>
      <c r="AV53">
        <v>2</v>
      </c>
      <c r="AW53">
        <v>20.14</v>
      </c>
      <c r="BA53" t="s">
        <v>329</v>
      </c>
      <c r="BB53" t="s">
        <v>1322</v>
      </c>
      <c r="BC53">
        <v>4296</v>
      </c>
      <c r="BG53" t="s">
        <v>5894</v>
      </c>
      <c r="BJ53" t="s">
        <v>5959</v>
      </c>
      <c r="BK53" t="s">
        <v>264</v>
      </c>
      <c r="BL53" t="s">
        <v>6056</v>
      </c>
    </row>
    <row r="54" spans="1:64">
      <c r="A54" s="1">
        <f>HYPERLINK("https://lsnyc.legalserver.org/matter/dynamic-profile/view/1910307","19-1910307")</f>
        <v>0</v>
      </c>
      <c r="B54" t="s">
        <v>64</v>
      </c>
      <c r="C54" t="s">
        <v>77</v>
      </c>
      <c r="D54" t="s">
        <v>200</v>
      </c>
      <c r="E54" t="s">
        <v>201</v>
      </c>
      <c r="G54" t="s">
        <v>202</v>
      </c>
      <c r="H54" t="s">
        <v>272</v>
      </c>
      <c r="I54" t="s">
        <v>202</v>
      </c>
      <c r="J54" t="s">
        <v>289</v>
      </c>
      <c r="K54" t="s">
        <v>292</v>
      </c>
      <c r="M54" t="s">
        <v>290</v>
      </c>
      <c r="N54" t="s">
        <v>202</v>
      </c>
      <c r="O54" t="s">
        <v>421</v>
      </c>
      <c r="P54" t="s">
        <v>427</v>
      </c>
      <c r="S54" t="s">
        <v>510</v>
      </c>
      <c r="T54" t="s">
        <v>1220</v>
      </c>
      <c r="U54" t="s">
        <v>216</v>
      </c>
      <c r="W54" t="s">
        <v>1876</v>
      </c>
      <c r="X54" t="s">
        <v>1929</v>
      </c>
      <c r="Y54" t="s">
        <v>2815</v>
      </c>
      <c r="Z54" t="s">
        <v>3097</v>
      </c>
      <c r="AA54" t="s">
        <v>3135</v>
      </c>
      <c r="AB54">
        <v>11225</v>
      </c>
      <c r="AC54" t="s">
        <v>3137</v>
      </c>
      <c r="AD54" t="s">
        <v>3195</v>
      </c>
      <c r="AE54">
        <v>0</v>
      </c>
      <c r="AG54" t="s">
        <v>4029</v>
      </c>
      <c r="AH54" t="s">
        <v>291</v>
      </c>
      <c r="AI54" t="s">
        <v>291</v>
      </c>
      <c r="AK54" t="s">
        <v>4040</v>
      </c>
      <c r="AM54">
        <v>0</v>
      </c>
      <c r="AN54">
        <v>0</v>
      </c>
      <c r="AO54">
        <v>0</v>
      </c>
      <c r="AQ54" t="s">
        <v>4109</v>
      </c>
      <c r="AR54" t="s">
        <v>5022</v>
      </c>
      <c r="AS54">
        <v>0</v>
      </c>
      <c r="AU54">
        <v>1</v>
      </c>
      <c r="AV54">
        <v>0</v>
      </c>
      <c r="AW54">
        <v>166.53</v>
      </c>
      <c r="BB54" t="s">
        <v>1322</v>
      </c>
      <c r="BC54">
        <v>20800</v>
      </c>
      <c r="BG54" t="s">
        <v>5892</v>
      </c>
      <c r="BJ54" t="s">
        <v>5949</v>
      </c>
      <c r="BL54" t="s">
        <v>6056</v>
      </c>
    </row>
    <row r="55" spans="1:64">
      <c r="A55" s="1">
        <f>HYPERLINK("https://lsnyc.legalserver.org/matter/dynamic-profile/view/1905936","19-1905936")</f>
        <v>0</v>
      </c>
      <c r="B55" t="s">
        <v>64</v>
      </c>
      <c r="C55" t="s">
        <v>77</v>
      </c>
      <c r="D55" t="s">
        <v>200</v>
      </c>
      <c r="E55" t="s">
        <v>201</v>
      </c>
      <c r="G55" t="s">
        <v>202</v>
      </c>
      <c r="H55" t="s">
        <v>271</v>
      </c>
      <c r="I55" t="s">
        <v>202</v>
      </c>
      <c r="J55" t="s">
        <v>289</v>
      </c>
      <c r="K55" t="s">
        <v>292</v>
      </c>
      <c r="M55" t="s">
        <v>290</v>
      </c>
      <c r="N55" t="s">
        <v>202</v>
      </c>
      <c r="O55" t="s">
        <v>421</v>
      </c>
      <c r="P55" t="s">
        <v>427</v>
      </c>
      <c r="S55" t="s">
        <v>511</v>
      </c>
      <c r="T55" t="s">
        <v>1221</v>
      </c>
      <c r="U55" t="s">
        <v>250</v>
      </c>
      <c r="W55" t="s">
        <v>1876</v>
      </c>
      <c r="X55" t="s">
        <v>1930</v>
      </c>
      <c r="Y55" t="s">
        <v>2782</v>
      </c>
      <c r="Z55" t="s">
        <v>3097</v>
      </c>
      <c r="AA55" t="s">
        <v>3135</v>
      </c>
      <c r="AB55">
        <v>11225</v>
      </c>
      <c r="AC55" t="s">
        <v>3136</v>
      </c>
      <c r="AD55" t="s">
        <v>3196</v>
      </c>
      <c r="AE55">
        <v>-1</v>
      </c>
      <c r="AG55" t="s">
        <v>4029</v>
      </c>
      <c r="AH55" t="s">
        <v>291</v>
      </c>
      <c r="AK55" t="s">
        <v>4040</v>
      </c>
      <c r="AM55">
        <v>0</v>
      </c>
      <c r="AN55">
        <v>315</v>
      </c>
      <c r="AO55">
        <v>9</v>
      </c>
      <c r="AQ55" t="s">
        <v>4110</v>
      </c>
      <c r="AR55" t="s">
        <v>5023</v>
      </c>
      <c r="AS55">
        <v>0</v>
      </c>
      <c r="AU55">
        <v>1</v>
      </c>
      <c r="AV55">
        <v>0</v>
      </c>
      <c r="AW55">
        <v>23.63</v>
      </c>
      <c r="BB55" t="s">
        <v>1322</v>
      </c>
      <c r="BC55">
        <v>2952</v>
      </c>
      <c r="BG55" t="s">
        <v>5890</v>
      </c>
      <c r="BJ55" t="s">
        <v>5948</v>
      </c>
      <c r="BK55" t="s">
        <v>238</v>
      </c>
      <c r="BL55" t="s">
        <v>6056</v>
      </c>
    </row>
    <row r="56" spans="1:64">
      <c r="A56" s="1">
        <f>HYPERLINK("https://lsnyc.legalserver.org/matter/dynamic-profile/view/1903705","19-1903705")</f>
        <v>0</v>
      </c>
      <c r="B56" t="s">
        <v>64</v>
      </c>
      <c r="C56" t="s">
        <v>77</v>
      </c>
      <c r="D56" t="s">
        <v>200</v>
      </c>
      <c r="E56" t="s">
        <v>201</v>
      </c>
      <c r="G56" t="s">
        <v>202</v>
      </c>
      <c r="H56" t="s">
        <v>272</v>
      </c>
      <c r="I56" t="s">
        <v>202</v>
      </c>
      <c r="J56" t="s">
        <v>289</v>
      </c>
      <c r="K56" t="s">
        <v>202</v>
      </c>
      <c r="L56" t="s">
        <v>306</v>
      </c>
      <c r="M56" t="s">
        <v>290</v>
      </c>
      <c r="N56" t="s">
        <v>202</v>
      </c>
      <c r="O56" t="s">
        <v>421</v>
      </c>
      <c r="P56" t="s">
        <v>427</v>
      </c>
      <c r="S56" t="s">
        <v>512</v>
      </c>
      <c r="T56" t="s">
        <v>1222</v>
      </c>
      <c r="U56" t="s">
        <v>208</v>
      </c>
      <c r="W56" t="s">
        <v>1876</v>
      </c>
      <c r="X56" t="s">
        <v>1931</v>
      </c>
      <c r="Y56" t="s">
        <v>2816</v>
      </c>
      <c r="Z56" t="s">
        <v>3097</v>
      </c>
      <c r="AA56" t="s">
        <v>3135</v>
      </c>
      <c r="AB56">
        <v>11221</v>
      </c>
      <c r="AC56" t="s">
        <v>3137</v>
      </c>
      <c r="AD56" t="s">
        <v>3197</v>
      </c>
      <c r="AE56">
        <v>8</v>
      </c>
      <c r="AG56" t="s">
        <v>4029</v>
      </c>
      <c r="AH56" t="s">
        <v>291</v>
      </c>
      <c r="AI56" t="s">
        <v>291</v>
      </c>
      <c r="AK56" t="s">
        <v>4040</v>
      </c>
      <c r="AM56">
        <v>0</v>
      </c>
      <c r="AN56">
        <v>1700</v>
      </c>
      <c r="AO56">
        <v>3.9</v>
      </c>
      <c r="AQ56" t="s">
        <v>4111</v>
      </c>
      <c r="AR56" t="s">
        <v>5024</v>
      </c>
      <c r="AS56">
        <v>0</v>
      </c>
      <c r="AU56">
        <v>3</v>
      </c>
      <c r="AV56">
        <v>0</v>
      </c>
      <c r="AW56">
        <v>69.93000000000001</v>
      </c>
      <c r="BB56" t="s">
        <v>1322</v>
      </c>
      <c r="BC56">
        <v>14916</v>
      </c>
      <c r="BG56" t="s">
        <v>5892</v>
      </c>
      <c r="BJ56" t="s">
        <v>5957</v>
      </c>
      <c r="BK56" t="s">
        <v>238</v>
      </c>
      <c r="BL56" t="s">
        <v>6056</v>
      </c>
    </row>
    <row r="57" spans="1:64">
      <c r="A57" s="1">
        <f>HYPERLINK("https://lsnyc.legalserver.org/matter/dynamic-profile/view/1903713","19-1903713")</f>
        <v>0</v>
      </c>
      <c r="B57" t="s">
        <v>64</v>
      </c>
      <c r="C57" t="s">
        <v>77</v>
      </c>
      <c r="D57" t="s">
        <v>200</v>
      </c>
      <c r="E57" t="s">
        <v>201</v>
      </c>
      <c r="G57" t="s">
        <v>202</v>
      </c>
      <c r="H57" t="s">
        <v>272</v>
      </c>
      <c r="I57" t="s">
        <v>202</v>
      </c>
      <c r="J57" t="s">
        <v>289</v>
      </c>
      <c r="K57" t="s">
        <v>292</v>
      </c>
      <c r="M57" t="s">
        <v>290</v>
      </c>
      <c r="N57" t="s">
        <v>202</v>
      </c>
      <c r="O57" t="s">
        <v>421</v>
      </c>
      <c r="P57" t="s">
        <v>427</v>
      </c>
      <c r="S57" t="s">
        <v>513</v>
      </c>
      <c r="T57" t="s">
        <v>1223</v>
      </c>
      <c r="U57" t="s">
        <v>208</v>
      </c>
      <c r="W57" t="s">
        <v>1876</v>
      </c>
      <c r="X57" t="s">
        <v>1932</v>
      </c>
      <c r="Y57" t="s">
        <v>2817</v>
      </c>
      <c r="Z57" t="s">
        <v>3097</v>
      </c>
      <c r="AA57" t="s">
        <v>3135</v>
      </c>
      <c r="AB57">
        <v>11226</v>
      </c>
      <c r="AC57" t="s">
        <v>3136</v>
      </c>
      <c r="AD57" t="s">
        <v>3198</v>
      </c>
      <c r="AE57">
        <v>5</v>
      </c>
      <c r="AG57" t="s">
        <v>4029</v>
      </c>
      <c r="AH57" t="s">
        <v>291</v>
      </c>
      <c r="AK57" t="s">
        <v>4040</v>
      </c>
      <c r="AM57">
        <v>0</v>
      </c>
      <c r="AN57">
        <v>0</v>
      </c>
      <c r="AO57">
        <v>11.5</v>
      </c>
      <c r="AQ57" t="s">
        <v>4112</v>
      </c>
      <c r="AR57" t="s">
        <v>5025</v>
      </c>
      <c r="AS57">
        <v>42</v>
      </c>
      <c r="AU57">
        <v>2</v>
      </c>
      <c r="AV57">
        <v>0</v>
      </c>
      <c r="AW57">
        <v>153.76</v>
      </c>
      <c r="BB57" t="s">
        <v>1322</v>
      </c>
      <c r="BC57">
        <v>26000</v>
      </c>
      <c r="BG57" t="s">
        <v>5894</v>
      </c>
      <c r="BJ57" t="s">
        <v>5949</v>
      </c>
      <c r="BK57" t="s">
        <v>267</v>
      </c>
      <c r="BL57" t="s">
        <v>6056</v>
      </c>
    </row>
    <row r="58" spans="1:64">
      <c r="A58" s="1">
        <f>HYPERLINK("https://lsnyc.legalserver.org/matter/dynamic-profile/view/1910274","19-1910274")</f>
        <v>0</v>
      </c>
      <c r="B58" t="s">
        <v>64</v>
      </c>
      <c r="C58" t="s">
        <v>77</v>
      </c>
      <c r="D58" t="s">
        <v>200</v>
      </c>
      <c r="E58" t="s">
        <v>201</v>
      </c>
      <c r="G58" t="s">
        <v>202</v>
      </c>
      <c r="H58" t="s">
        <v>272</v>
      </c>
      <c r="I58" t="s">
        <v>202</v>
      </c>
      <c r="J58" t="s">
        <v>289</v>
      </c>
      <c r="K58" t="s">
        <v>292</v>
      </c>
      <c r="M58" t="s">
        <v>290</v>
      </c>
      <c r="N58" t="s">
        <v>202</v>
      </c>
      <c r="O58" t="s">
        <v>421</v>
      </c>
      <c r="P58" t="s">
        <v>427</v>
      </c>
      <c r="S58" t="s">
        <v>497</v>
      </c>
      <c r="T58" t="s">
        <v>1218</v>
      </c>
      <c r="U58" t="s">
        <v>216</v>
      </c>
      <c r="W58" t="s">
        <v>1876</v>
      </c>
      <c r="X58" t="s">
        <v>1927</v>
      </c>
      <c r="Y58" t="s">
        <v>2793</v>
      </c>
      <c r="Z58" t="s">
        <v>3097</v>
      </c>
      <c r="AA58" t="s">
        <v>3135</v>
      </c>
      <c r="AB58">
        <v>11221</v>
      </c>
      <c r="AC58" t="s">
        <v>3137</v>
      </c>
      <c r="AD58" t="s">
        <v>3199</v>
      </c>
      <c r="AE58">
        <v>0</v>
      </c>
      <c r="AG58" t="s">
        <v>4029</v>
      </c>
      <c r="AH58" t="s">
        <v>291</v>
      </c>
      <c r="AI58" t="s">
        <v>291</v>
      </c>
      <c r="AK58" t="s">
        <v>4040</v>
      </c>
      <c r="AM58">
        <v>0</v>
      </c>
      <c r="AN58">
        <v>0</v>
      </c>
      <c r="AO58">
        <v>0</v>
      </c>
      <c r="AQ58" t="s">
        <v>4107</v>
      </c>
      <c r="AR58" t="s">
        <v>5020</v>
      </c>
      <c r="AS58">
        <v>0</v>
      </c>
      <c r="AU58">
        <v>2</v>
      </c>
      <c r="AV58">
        <v>1</v>
      </c>
      <c r="AW58">
        <v>92.52</v>
      </c>
      <c r="BB58" t="s">
        <v>1322</v>
      </c>
      <c r="BC58">
        <v>19734.78</v>
      </c>
      <c r="BG58" t="s">
        <v>5892</v>
      </c>
      <c r="BJ58" t="s">
        <v>5967</v>
      </c>
      <c r="BL58" t="s">
        <v>6056</v>
      </c>
    </row>
    <row r="59" spans="1:64">
      <c r="A59" s="1">
        <f>HYPERLINK("https://lsnyc.legalserver.org/matter/dynamic-profile/view/1908028","19-1908028")</f>
        <v>0</v>
      </c>
      <c r="B59" t="s">
        <v>64</v>
      </c>
      <c r="C59" t="s">
        <v>77</v>
      </c>
      <c r="D59" t="s">
        <v>200</v>
      </c>
      <c r="E59" t="s">
        <v>201</v>
      </c>
      <c r="G59" t="s">
        <v>202</v>
      </c>
      <c r="H59" t="s">
        <v>272</v>
      </c>
      <c r="I59" t="s">
        <v>202</v>
      </c>
      <c r="J59" t="s">
        <v>289</v>
      </c>
      <c r="K59" t="s">
        <v>292</v>
      </c>
      <c r="M59" t="s">
        <v>290</v>
      </c>
      <c r="N59" t="s">
        <v>202</v>
      </c>
      <c r="O59" t="s">
        <v>421</v>
      </c>
      <c r="P59" t="s">
        <v>427</v>
      </c>
      <c r="S59" t="s">
        <v>514</v>
      </c>
      <c r="T59" t="s">
        <v>1224</v>
      </c>
      <c r="U59" t="s">
        <v>221</v>
      </c>
      <c r="W59" t="s">
        <v>1876</v>
      </c>
      <c r="X59" t="s">
        <v>1933</v>
      </c>
      <c r="Y59" t="s">
        <v>2818</v>
      </c>
      <c r="Z59" t="s">
        <v>3097</v>
      </c>
      <c r="AA59" t="s">
        <v>3135</v>
      </c>
      <c r="AB59">
        <v>11236</v>
      </c>
      <c r="AC59" t="s">
        <v>3136</v>
      </c>
      <c r="AD59" t="s">
        <v>3200</v>
      </c>
      <c r="AE59">
        <v>0</v>
      </c>
      <c r="AG59" t="s">
        <v>4028</v>
      </c>
      <c r="AH59" t="s">
        <v>291</v>
      </c>
      <c r="AI59" t="s">
        <v>291</v>
      </c>
      <c r="AK59" t="s">
        <v>4040</v>
      </c>
      <c r="AM59">
        <v>0</v>
      </c>
      <c r="AN59">
        <v>0</v>
      </c>
      <c r="AO59">
        <v>0.3</v>
      </c>
      <c r="AQ59" t="s">
        <v>4113</v>
      </c>
      <c r="AR59" t="s">
        <v>5026</v>
      </c>
      <c r="AS59">
        <v>0</v>
      </c>
      <c r="AU59">
        <v>1</v>
      </c>
      <c r="AV59">
        <v>0</v>
      </c>
      <c r="AW59">
        <v>152.12</v>
      </c>
      <c r="BB59" t="s">
        <v>1322</v>
      </c>
      <c r="BC59">
        <v>19000</v>
      </c>
      <c r="BG59" t="s">
        <v>5894</v>
      </c>
      <c r="BJ59" t="s">
        <v>5949</v>
      </c>
      <c r="BK59" t="s">
        <v>234</v>
      </c>
      <c r="BL59" t="s">
        <v>6056</v>
      </c>
    </row>
    <row r="60" spans="1:64">
      <c r="A60" s="1">
        <f>HYPERLINK("https://lsnyc.legalserver.org/matter/dynamic-profile/view/1906004","19-1906004")</f>
        <v>0</v>
      </c>
      <c r="B60" t="s">
        <v>64</v>
      </c>
      <c r="C60" t="s">
        <v>77</v>
      </c>
      <c r="D60" t="s">
        <v>200</v>
      </c>
      <c r="E60" t="s">
        <v>201</v>
      </c>
      <c r="G60" t="s">
        <v>202</v>
      </c>
      <c r="H60" t="s">
        <v>272</v>
      </c>
      <c r="I60" t="s">
        <v>288</v>
      </c>
      <c r="J60" t="s">
        <v>290</v>
      </c>
      <c r="K60" t="s">
        <v>292</v>
      </c>
      <c r="M60" t="s">
        <v>290</v>
      </c>
      <c r="N60" t="s">
        <v>202</v>
      </c>
      <c r="O60" t="s">
        <v>421</v>
      </c>
      <c r="P60" t="s">
        <v>427</v>
      </c>
      <c r="S60" t="s">
        <v>515</v>
      </c>
      <c r="T60" t="s">
        <v>1225</v>
      </c>
      <c r="U60" t="s">
        <v>250</v>
      </c>
      <c r="W60" t="s">
        <v>1876</v>
      </c>
      <c r="Z60" t="s">
        <v>3097</v>
      </c>
      <c r="AA60" t="s">
        <v>3135</v>
      </c>
      <c r="AB60">
        <v>11216</v>
      </c>
      <c r="AC60" t="s">
        <v>3141</v>
      </c>
      <c r="AD60" t="s">
        <v>3201</v>
      </c>
      <c r="AE60">
        <v>0</v>
      </c>
      <c r="AG60" t="s">
        <v>4029</v>
      </c>
      <c r="AH60" t="s">
        <v>291</v>
      </c>
      <c r="AK60" t="s">
        <v>4040</v>
      </c>
      <c r="AM60">
        <v>0</v>
      </c>
      <c r="AN60">
        <v>0</v>
      </c>
      <c r="AO60">
        <v>6.1</v>
      </c>
      <c r="AS60">
        <v>0</v>
      </c>
      <c r="AU60">
        <v>1</v>
      </c>
      <c r="AV60">
        <v>0</v>
      </c>
      <c r="AW60">
        <v>115.29</v>
      </c>
      <c r="BB60" t="s">
        <v>1322</v>
      </c>
      <c r="BC60">
        <v>14400</v>
      </c>
      <c r="BG60" t="s">
        <v>5891</v>
      </c>
      <c r="BJ60" t="s">
        <v>5950</v>
      </c>
      <c r="BK60" t="s">
        <v>236</v>
      </c>
    </row>
    <row r="61" spans="1:64">
      <c r="A61" s="1">
        <f>HYPERLINK("https://lsnyc.legalserver.org/matter/dynamic-profile/view/1910285","19-1910285")</f>
        <v>0</v>
      </c>
      <c r="B61" t="s">
        <v>64</v>
      </c>
      <c r="C61" t="s">
        <v>77</v>
      </c>
      <c r="D61" t="s">
        <v>200</v>
      </c>
      <c r="E61" t="s">
        <v>201</v>
      </c>
      <c r="G61" t="s">
        <v>202</v>
      </c>
      <c r="H61" t="s">
        <v>271</v>
      </c>
      <c r="I61" t="s">
        <v>202</v>
      </c>
      <c r="J61" t="s">
        <v>289</v>
      </c>
      <c r="K61" t="s">
        <v>292</v>
      </c>
      <c r="M61" t="s">
        <v>290</v>
      </c>
      <c r="N61" t="s">
        <v>202</v>
      </c>
      <c r="O61" t="s">
        <v>422</v>
      </c>
      <c r="P61" t="s">
        <v>427</v>
      </c>
      <c r="S61" t="s">
        <v>516</v>
      </c>
      <c r="T61" t="s">
        <v>1226</v>
      </c>
      <c r="U61" t="s">
        <v>216</v>
      </c>
      <c r="W61" t="s">
        <v>1876</v>
      </c>
      <c r="X61" t="s">
        <v>1934</v>
      </c>
      <c r="Y61" t="s">
        <v>2819</v>
      </c>
      <c r="Z61" t="s">
        <v>3097</v>
      </c>
      <c r="AA61" t="s">
        <v>3135</v>
      </c>
      <c r="AB61">
        <v>11234</v>
      </c>
      <c r="AC61" t="s">
        <v>3136</v>
      </c>
      <c r="AD61" t="s">
        <v>3202</v>
      </c>
      <c r="AE61">
        <v>0</v>
      </c>
      <c r="AG61" t="s">
        <v>4028</v>
      </c>
      <c r="AH61" t="s">
        <v>291</v>
      </c>
      <c r="AK61" t="s">
        <v>4040</v>
      </c>
      <c r="AM61">
        <v>0</v>
      </c>
      <c r="AN61">
        <v>1350</v>
      </c>
      <c r="AO61">
        <v>0</v>
      </c>
      <c r="AQ61" t="s">
        <v>4114</v>
      </c>
      <c r="AR61" t="s">
        <v>5027</v>
      </c>
      <c r="AS61">
        <v>0</v>
      </c>
      <c r="AU61">
        <v>2</v>
      </c>
      <c r="AV61">
        <v>2</v>
      </c>
      <c r="AW61">
        <v>178.64</v>
      </c>
      <c r="BB61" t="s">
        <v>1322</v>
      </c>
      <c r="BC61">
        <v>46000</v>
      </c>
      <c r="BG61" t="s">
        <v>5894</v>
      </c>
      <c r="BJ61" t="s">
        <v>5949</v>
      </c>
      <c r="BL61" t="s">
        <v>6056</v>
      </c>
    </row>
    <row r="62" spans="1:64">
      <c r="A62" s="1">
        <f>HYPERLINK("https://lsnyc.legalserver.org/matter/dynamic-profile/view/1905944","19-1905944")</f>
        <v>0</v>
      </c>
      <c r="B62" t="s">
        <v>64</v>
      </c>
      <c r="C62" t="s">
        <v>77</v>
      </c>
      <c r="D62" t="s">
        <v>200</v>
      </c>
      <c r="E62" t="s">
        <v>201</v>
      </c>
      <c r="G62" t="s">
        <v>202</v>
      </c>
      <c r="H62" t="s">
        <v>272</v>
      </c>
      <c r="I62" t="s">
        <v>202</v>
      </c>
      <c r="J62" t="s">
        <v>289</v>
      </c>
      <c r="K62" t="s">
        <v>292</v>
      </c>
      <c r="M62" t="s">
        <v>290</v>
      </c>
      <c r="N62" t="s">
        <v>202</v>
      </c>
      <c r="O62" t="s">
        <v>422</v>
      </c>
      <c r="P62" t="s">
        <v>428</v>
      </c>
      <c r="S62" t="s">
        <v>517</v>
      </c>
      <c r="T62" t="s">
        <v>1227</v>
      </c>
      <c r="U62" t="s">
        <v>250</v>
      </c>
      <c r="V62" t="s">
        <v>234</v>
      </c>
      <c r="W62" t="s">
        <v>1877</v>
      </c>
      <c r="X62" t="s">
        <v>1935</v>
      </c>
      <c r="Y62" t="s">
        <v>2820</v>
      </c>
      <c r="Z62" t="s">
        <v>3097</v>
      </c>
      <c r="AA62" t="s">
        <v>3135</v>
      </c>
      <c r="AB62">
        <v>11229</v>
      </c>
      <c r="AC62" t="s">
        <v>3136</v>
      </c>
      <c r="AD62" t="s">
        <v>3203</v>
      </c>
      <c r="AE62">
        <v>1</v>
      </c>
      <c r="AF62" t="s">
        <v>4023</v>
      </c>
      <c r="AG62" t="s">
        <v>4028</v>
      </c>
      <c r="AH62" t="s">
        <v>291</v>
      </c>
      <c r="AK62" t="s">
        <v>4040</v>
      </c>
      <c r="AM62">
        <v>0</v>
      </c>
      <c r="AN62">
        <v>1700</v>
      </c>
      <c r="AO62">
        <v>0.1</v>
      </c>
      <c r="AP62" t="s">
        <v>4052</v>
      </c>
      <c r="AQ62" t="s">
        <v>4115</v>
      </c>
      <c r="AR62" t="s">
        <v>5028</v>
      </c>
      <c r="AS62">
        <v>0</v>
      </c>
      <c r="AU62">
        <v>1</v>
      </c>
      <c r="AV62">
        <v>1</v>
      </c>
      <c r="AW62">
        <v>184.51</v>
      </c>
      <c r="BB62" t="s">
        <v>1322</v>
      </c>
      <c r="BC62">
        <v>31200</v>
      </c>
      <c r="BG62" t="s">
        <v>5890</v>
      </c>
      <c r="BJ62" t="s">
        <v>5949</v>
      </c>
      <c r="BK62" t="s">
        <v>234</v>
      </c>
      <c r="BL62" t="s">
        <v>6056</v>
      </c>
    </row>
    <row r="63" spans="1:64">
      <c r="A63" s="1">
        <f>HYPERLINK("https://lsnyc.legalserver.org/matter/dynamic-profile/view/1906572","19-1906572")</f>
        <v>0</v>
      </c>
      <c r="B63" t="s">
        <v>64</v>
      </c>
      <c r="C63" t="s">
        <v>76</v>
      </c>
      <c r="D63" t="s">
        <v>200</v>
      </c>
      <c r="E63" t="s">
        <v>201</v>
      </c>
      <c r="G63" t="s">
        <v>202</v>
      </c>
      <c r="H63" t="s">
        <v>271</v>
      </c>
      <c r="I63" t="s">
        <v>288</v>
      </c>
      <c r="J63" t="s">
        <v>290</v>
      </c>
      <c r="K63" t="s">
        <v>292</v>
      </c>
      <c r="M63" t="s">
        <v>290</v>
      </c>
      <c r="N63" t="s">
        <v>202</v>
      </c>
      <c r="O63" t="s">
        <v>422</v>
      </c>
      <c r="P63" t="s">
        <v>427</v>
      </c>
      <c r="S63" t="s">
        <v>478</v>
      </c>
      <c r="T63" t="s">
        <v>1047</v>
      </c>
      <c r="U63" t="s">
        <v>241</v>
      </c>
      <c r="W63" t="s">
        <v>1876</v>
      </c>
      <c r="X63" t="s">
        <v>1936</v>
      </c>
      <c r="Y63" t="s">
        <v>2821</v>
      </c>
      <c r="Z63" t="s">
        <v>3097</v>
      </c>
      <c r="AA63" t="s">
        <v>3135</v>
      </c>
      <c r="AB63">
        <v>11208</v>
      </c>
      <c r="AD63" t="s">
        <v>3204</v>
      </c>
      <c r="AE63">
        <v>13</v>
      </c>
      <c r="AG63" t="s">
        <v>4028</v>
      </c>
      <c r="AH63" t="s">
        <v>291</v>
      </c>
      <c r="AK63" t="s">
        <v>4040</v>
      </c>
      <c r="AM63">
        <v>0</v>
      </c>
      <c r="AN63">
        <v>1500</v>
      </c>
      <c r="AO63">
        <v>0</v>
      </c>
      <c r="AQ63" t="s">
        <v>4116</v>
      </c>
      <c r="AR63" t="s">
        <v>5029</v>
      </c>
      <c r="AS63">
        <v>0</v>
      </c>
      <c r="AU63">
        <v>3</v>
      </c>
      <c r="AV63">
        <v>1</v>
      </c>
      <c r="AW63">
        <v>155.34</v>
      </c>
      <c r="BA63" t="s">
        <v>329</v>
      </c>
      <c r="BB63" t="s">
        <v>1322</v>
      </c>
      <c r="BC63">
        <v>40000</v>
      </c>
      <c r="BG63" t="s">
        <v>5891</v>
      </c>
      <c r="BJ63" t="s">
        <v>5949</v>
      </c>
    </row>
    <row r="64" spans="1:64">
      <c r="A64" s="1">
        <f>HYPERLINK("https://lsnyc.legalserver.org/matter/dynamic-profile/view/1906484","19-1906484")</f>
        <v>0</v>
      </c>
      <c r="B64" t="s">
        <v>64</v>
      </c>
      <c r="C64" t="s">
        <v>76</v>
      </c>
      <c r="D64" t="s">
        <v>200</v>
      </c>
      <c r="E64" t="s">
        <v>201</v>
      </c>
      <c r="G64" t="s">
        <v>202</v>
      </c>
      <c r="H64" t="s">
        <v>271</v>
      </c>
      <c r="I64" t="s">
        <v>288</v>
      </c>
      <c r="J64" t="s">
        <v>290</v>
      </c>
      <c r="K64" t="s">
        <v>292</v>
      </c>
      <c r="M64" t="s">
        <v>290</v>
      </c>
      <c r="N64" t="s">
        <v>419</v>
      </c>
      <c r="O64" t="s">
        <v>420</v>
      </c>
      <c r="P64" t="s">
        <v>427</v>
      </c>
      <c r="S64" t="s">
        <v>518</v>
      </c>
      <c r="T64" t="s">
        <v>1228</v>
      </c>
      <c r="U64" t="s">
        <v>253</v>
      </c>
      <c r="W64" t="s">
        <v>1876</v>
      </c>
      <c r="X64" t="s">
        <v>1937</v>
      </c>
      <c r="Y64" t="s">
        <v>2783</v>
      </c>
      <c r="Z64" t="s">
        <v>3097</v>
      </c>
      <c r="AA64" t="s">
        <v>3135</v>
      </c>
      <c r="AB64">
        <v>11208</v>
      </c>
      <c r="AC64" t="s">
        <v>3136</v>
      </c>
      <c r="AD64" t="s">
        <v>3205</v>
      </c>
      <c r="AE64">
        <v>11</v>
      </c>
      <c r="AG64" t="s">
        <v>4028</v>
      </c>
      <c r="AH64" t="s">
        <v>291</v>
      </c>
      <c r="AK64" t="s">
        <v>4040</v>
      </c>
      <c r="AM64">
        <v>0</v>
      </c>
      <c r="AN64">
        <v>1800</v>
      </c>
      <c r="AO64">
        <v>0</v>
      </c>
      <c r="AQ64" t="s">
        <v>4117</v>
      </c>
      <c r="AR64" t="s">
        <v>5030</v>
      </c>
      <c r="AS64">
        <v>0</v>
      </c>
      <c r="AT64" t="s">
        <v>5838</v>
      </c>
      <c r="AU64">
        <v>1</v>
      </c>
      <c r="AV64">
        <v>1</v>
      </c>
      <c r="AW64">
        <v>18.45</v>
      </c>
      <c r="BA64" t="s">
        <v>5850</v>
      </c>
      <c r="BB64" t="s">
        <v>1322</v>
      </c>
      <c r="BC64">
        <v>3120</v>
      </c>
      <c r="BG64" t="s">
        <v>5891</v>
      </c>
      <c r="BJ64" t="s">
        <v>5968</v>
      </c>
    </row>
    <row r="65" spans="1:64">
      <c r="A65" s="1">
        <f>HYPERLINK("https://lsnyc.legalserver.org/matter/dynamic-profile/view/1908255","19-1908255")</f>
        <v>0</v>
      </c>
      <c r="B65" t="s">
        <v>64</v>
      </c>
      <c r="C65" t="s">
        <v>76</v>
      </c>
      <c r="D65" t="s">
        <v>200</v>
      </c>
      <c r="E65" t="s">
        <v>201</v>
      </c>
      <c r="G65" t="s">
        <v>202</v>
      </c>
      <c r="H65" t="s">
        <v>271</v>
      </c>
      <c r="I65" t="s">
        <v>288</v>
      </c>
      <c r="J65" t="s">
        <v>290</v>
      </c>
      <c r="K65" t="s">
        <v>292</v>
      </c>
      <c r="M65" t="s">
        <v>290</v>
      </c>
      <c r="N65" t="s">
        <v>202</v>
      </c>
      <c r="O65" t="s">
        <v>422</v>
      </c>
      <c r="P65" t="s">
        <v>427</v>
      </c>
      <c r="S65" t="s">
        <v>519</v>
      </c>
      <c r="T65" t="s">
        <v>1229</v>
      </c>
      <c r="U65" t="s">
        <v>225</v>
      </c>
      <c r="W65" t="s">
        <v>1876</v>
      </c>
      <c r="X65" t="s">
        <v>1938</v>
      </c>
      <c r="Y65" t="s">
        <v>2822</v>
      </c>
      <c r="Z65" t="s">
        <v>3097</v>
      </c>
      <c r="AA65" t="s">
        <v>3135</v>
      </c>
      <c r="AB65">
        <v>11213</v>
      </c>
      <c r="AC65" t="s">
        <v>3136</v>
      </c>
      <c r="AD65" t="s">
        <v>3206</v>
      </c>
      <c r="AE65">
        <v>0</v>
      </c>
      <c r="AG65" t="s">
        <v>4028</v>
      </c>
      <c r="AH65" t="s">
        <v>291</v>
      </c>
      <c r="AK65" t="s">
        <v>4040</v>
      </c>
      <c r="AM65">
        <v>0</v>
      </c>
      <c r="AN65">
        <v>0</v>
      </c>
      <c r="AO65">
        <v>0</v>
      </c>
      <c r="AQ65" t="s">
        <v>4118</v>
      </c>
      <c r="AR65" t="s">
        <v>5031</v>
      </c>
      <c r="AS65">
        <v>0</v>
      </c>
      <c r="AU65">
        <v>2</v>
      </c>
      <c r="AV65">
        <v>0</v>
      </c>
      <c r="AW65">
        <v>106.45</v>
      </c>
      <c r="BB65" t="s">
        <v>1322</v>
      </c>
      <c r="BC65">
        <v>18000</v>
      </c>
      <c r="BG65" t="s">
        <v>5891</v>
      </c>
      <c r="BJ65" t="s">
        <v>5969</v>
      </c>
    </row>
    <row r="66" spans="1:64">
      <c r="A66" s="1">
        <f>HYPERLINK("https://lsnyc.legalserver.org/matter/dynamic-profile/view/1908691","19-1908691")</f>
        <v>0</v>
      </c>
      <c r="B66" t="s">
        <v>64</v>
      </c>
      <c r="C66" t="s">
        <v>76</v>
      </c>
      <c r="D66" t="s">
        <v>200</v>
      </c>
      <c r="E66" t="s">
        <v>201</v>
      </c>
      <c r="G66" t="s">
        <v>202</v>
      </c>
      <c r="H66" t="s">
        <v>272</v>
      </c>
      <c r="I66" t="s">
        <v>288</v>
      </c>
      <c r="J66" t="s">
        <v>290</v>
      </c>
      <c r="K66" t="s">
        <v>202</v>
      </c>
      <c r="L66" t="s">
        <v>307</v>
      </c>
      <c r="M66" t="s">
        <v>290</v>
      </c>
      <c r="N66" t="s">
        <v>419</v>
      </c>
      <c r="O66" t="s">
        <v>420</v>
      </c>
      <c r="P66" t="s">
        <v>427</v>
      </c>
      <c r="S66" t="s">
        <v>520</v>
      </c>
      <c r="T66" t="s">
        <v>1230</v>
      </c>
      <c r="U66" t="s">
        <v>252</v>
      </c>
      <c r="W66" t="s">
        <v>1876</v>
      </c>
      <c r="X66" t="s">
        <v>1939</v>
      </c>
      <c r="Y66" t="s">
        <v>2820</v>
      </c>
      <c r="Z66" t="s">
        <v>3097</v>
      </c>
      <c r="AA66" t="s">
        <v>3135</v>
      </c>
      <c r="AB66">
        <v>11223</v>
      </c>
      <c r="AD66" t="s">
        <v>3190</v>
      </c>
      <c r="AE66">
        <v>12</v>
      </c>
      <c r="AG66" t="s">
        <v>4028</v>
      </c>
      <c r="AH66" t="s">
        <v>291</v>
      </c>
      <c r="AK66" t="s">
        <v>4040</v>
      </c>
      <c r="AM66">
        <v>0</v>
      </c>
      <c r="AN66">
        <v>1252</v>
      </c>
      <c r="AO66">
        <v>0.1</v>
      </c>
      <c r="AQ66" t="s">
        <v>4119</v>
      </c>
      <c r="AR66" t="s">
        <v>5032</v>
      </c>
      <c r="AS66">
        <v>0</v>
      </c>
      <c r="AU66">
        <v>1</v>
      </c>
      <c r="AV66">
        <v>1</v>
      </c>
      <c r="AW66">
        <v>83.45</v>
      </c>
      <c r="BB66" t="s">
        <v>1322</v>
      </c>
      <c r="BC66">
        <v>14112</v>
      </c>
      <c r="BG66" t="s">
        <v>5891</v>
      </c>
      <c r="BJ66" t="s">
        <v>5970</v>
      </c>
      <c r="BK66" t="s">
        <v>256</v>
      </c>
    </row>
    <row r="67" spans="1:64">
      <c r="A67" s="1">
        <f>HYPERLINK("https://lsnyc.legalserver.org/matter/dynamic-profile/view/1910120","19-1910120")</f>
        <v>0</v>
      </c>
      <c r="B67" t="s">
        <v>64</v>
      </c>
      <c r="C67" t="s">
        <v>78</v>
      </c>
      <c r="D67" t="s">
        <v>200</v>
      </c>
      <c r="E67" t="s">
        <v>202</v>
      </c>
      <c r="F67" t="s">
        <v>206</v>
      </c>
      <c r="G67" t="s">
        <v>270</v>
      </c>
      <c r="I67" t="s">
        <v>288</v>
      </c>
      <c r="J67" t="s">
        <v>291</v>
      </c>
      <c r="K67" t="s">
        <v>292</v>
      </c>
      <c r="M67" t="s">
        <v>290</v>
      </c>
      <c r="N67" t="s">
        <v>202</v>
      </c>
      <c r="O67" t="s">
        <v>423</v>
      </c>
      <c r="P67" t="s">
        <v>427</v>
      </c>
      <c r="S67" t="s">
        <v>521</v>
      </c>
      <c r="T67" t="s">
        <v>1231</v>
      </c>
      <c r="U67" t="s">
        <v>206</v>
      </c>
      <c r="W67" t="s">
        <v>1876</v>
      </c>
      <c r="X67" t="s">
        <v>1940</v>
      </c>
      <c r="Z67" t="s">
        <v>3097</v>
      </c>
      <c r="AA67" t="s">
        <v>3135</v>
      </c>
      <c r="AB67">
        <v>11226</v>
      </c>
      <c r="AC67" t="s">
        <v>3140</v>
      </c>
      <c r="AE67">
        <v>14</v>
      </c>
      <c r="AG67" t="s">
        <v>4028</v>
      </c>
      <c r="AH67" t="s">
        <v>291</v>
      </c>
      <c r="AK67" t="s">
        <v>4040</v>
      </c>
      <c r="AM67">
        <v>0</v>
      </c>
      <c r="AN67">
        <v>153</v>
      </c>
      <c r="AO67">
        <v>0.1</v>
      </c>
      <c r="AQ67" t="s">
        <v>4120</v>
      </c>
      <c r="AR67" t="s">
        <v>5033</v>
      </c>
      <c r="AS67">
        <v>50</v>
      </c>
      <c r="AT67" t="s">
        <v>5838</v>
      </c>
      <c r="AU67">
        <v>2</v>
      </c>
      <c r="AV67">
        <v>0</v>
      </c>
      <c r="AW67">
        <v>58.05</v>
      </c>
      <c r="BA67" t="s">
        <v>5850</v>
      </c>
      <c r="BB67" t="s">
        <v>1322</v>
      </c>
      <c r="BC67">
        <v>9816</v>
      </c>
      <c r="BG67" t="s">
        <v>5893</v>
      </c>
      <c r="BJ67" t="s">
        <v>5971</v>
      </c>
      <c r="BK67" t="s">
        <v>206</v>
      </c>
    </row>
    <row r="68" spans="1:64">
      <c r="A68" s="1">
        <f>HYPERLINK("https://lsnyc.legalserver.org/matter/dynamic-profile/view/1908165","19-1908165")</f>
        <v>0</v>
      </c>
      <c r="B68" t="s">
        <v>64</v>
      </c>
      <c r="C68" t="s">
        <v>79</v>
      </c>
      <c r="D68" t="s">
        <v>200</v>
      </c>
      <c r="E68" t="s">
        <v>201</v>
      </c>
      <c r="G68" t="s">
        <v>202</v>
      </c>
      <c r="H68" t="s">
        <v>272</v>
      </c>
      <c r="I68" t="s">
        <v>202</v>
      </c>
      <c r="J68" t="s">
        <v>289</v>
      </c>
      <c r="K68" t="s">
        <v>292</v>
      </c>
      <c r="M68" t="s">
        <v>290</v>
      </c>
      <c r="N68" t="s">
        <v>202</v>
      </c>
      <c r="O68" t="s">
        <v>421</v>
      </c>
      <c r="P68" t="s">
        <v>427</v>
      </c>
      <c r="S68" t="s">
        <v>521</v>
      </c>
      <c r="T68" t="s">
        <v>1232</v>
      </c>
      <c r="U68" t="s">
        <v>1874</v>
      </c>
      <c r="W68" t="s">
        <v>1876</v>
      </c>
      <c r="X68" t="s">
        <v>1941</v>
      </c>
      <c r="Y68">
        <v>3</v>
      </c>
      <c r="Z68" t="s">
        <v>3097</v>
      </c>
      <c r="AA68" t="s">
        <v>3135</v>
      </c>
      <c r="AB68">
        <v>11225</v>
      </c>
      <c r="AC68" t="s">
        <v>3137</v>
      </c>
      <c r="AD68" t="s">
        <v>3207</v>
      </c>
      <c r="AE68">
        <v>0</v>
      </c>
      <c r="AG68" t="s">
        <v>4029</v>
      </c>
      <c r="AH68" t="s">
        <v>291</v>
      </c>
      <c r="AI68" t="s">
        <v>291</v>
      </c>
      <c r="AK68" t="s">
        <v>4040</v>
      </c>
      <c r="AM68">
        <v>0</v>
      </c>
      <c r="AN68">
        <v>0</v>
      </c>
      <c r="AO68">
        <v>0.25</v>
      </c>
      <c r="AQ68" t="s">
        <v>4121</v>
      </c>
      <c r="AR68" t="s">
        <v>5034</v>
      </c>
      <c r="AS68">
        <v>0</v>
      </c>
      <c r="AU68">
        <v>1</v>
      </c>
      <c r="AV68">
        <v>0</v>
      </c>
      <c r="AW68">
        <v>149.88</v>
      </c>
      <c r="BB68" t="s">
        <v>1322</v>
      </c>
      <c r="BC68">
        <v>18720</v>
      </c>
      <c r="BG68" t="s">
        <v>5892</v>
      </c>
      <c r="BJ68" t="s">
        <v>5949</v>
      </c>
      <c r="BK68" t="s">
        <v>267</v>
      </c>
      <c r="BL68" t="s">
        <v>6056</v>
      </c>
    </row>
    <row r="69" spans="1:64">
      <c r="A69" s="1">
        <f>HYPERLINK("https://lsnyc.legalserver.org/matter/dynamic-profile/view/1908749","19-1908749")</f>
        <v>0</v>
      </c>
      <c r="B69" t="s">
        <v>64</v>
      </c>
      <c r="C69" t="s">
        <v>79</v>
      </c>
      <c r="D69" t="s">
        <v>200</v>
      </c>
      <c r="E69" t="s">
        <v>202</v>
      </c>
      <c r="F69" t="s">
        <v>207</v>
      </c>
      <c r="G69" t="s">
        <v>202</v>
      </c>
      <c r="H69" t="s">
        <v>272</v>
      </c>
      <c r="I69" t="s">
        <v>288</v>
      </c>
      <c r="J69" t="s">
        <v>291</v>
      </c>
      <c r="K69" t="s">
        <v>202</v>
      </c>
      <c r="L69" t="s">
        <v>308</v>
      </c>
      <c r="M69" t="s">
        <v>290</v>
      </c>
      <c r="N69" t="s">
        <v>202</v>
      </c>
      <c r="O69" t="s">
        <v>421</v>
      </c>
      <c r="P69" t="s">
        <v>202</v>
      </c>
      <c r="Q69" t="s">
        <v>430</v>
      </c>
      <c r="R69" t="s">
        <v>432</v>
      </c>
      <c r="S69" t="s">
        <v>522</v>
      </c>
      <c r="T69" t="s">
        <v>1233</v>
      </c>
      <c r="U69" t="s">
        <v>219</v>
      </c>
      <c r="W69" t="s">
        <v>1876</v>
      </c>
      <c r="X69" t="s">
        <v>1942</v>
      </c>
      <c r="Y69" t="s">
        <v>2800</v>
      </c>
      <c r="Z69" t="s">
        <v>3097</v>
      </c>
      <c r="AA69" t="s">
        <v>3135</v>
      </c>
      <c r="AB69">
        <v>11216</v>
      </c>
      <c r="AC69" t="s">
        <v>3137</v>
      </c>
      <c r="AD69" t="s">
        <v>3208</v>
      </c>
      <c r="AE69">
        <v>9</v>
      </c>
      <c r="AG69" t="s">
        <v>4029</v>
      </c>
      <c r="AH69" t="s">
        <v>291</v>
      </c>
      <c r="AI69" t="s">
        <v>291</v>
      </c>
      <c r="AK69" t="s">
        <v>4040</v>
      </c>
      <c r="AL69" t="s">
        <v>4046</v>
      </c>
      <c r="AM69">
        <v>0</v>
      </c>
      <c r="AN69">
        <v>1432.68</v>
      </c>
      <c r="AO69">
        <v>2.3</v>
      </c>
      <c r="AQ69" t="s">
        <v>4122</v>
      </c>
      <c r="AS69">
        <v>16</v>
      </c>
      <c r="AT69" t="s">
        <v>5838</v>
      </c>
      <c r="AU69">
        <v>1</v>
      </c>
      <c r="AV69">
        <v>0</v>
      </c>
      <c r="AW69">
        <v>160.13</v>
      </c>
      <c r="BA69" t="s">
        <v>329</v>
      </c>
      <c r="BB69" t="s">
        <v>1322</v>
      </c>
      <c r="BC69">
        <v>20000</v>
      </c>
      <c r="BG69" t="s">
        <v>5892</v>
      </c>
      <c r="BI69" t="s">
        <v>5932</v>
      </c>
      <c r="BJ69" t="s">
        <v>5949</v>
      </c>
      <c r="BK69" t="s">
        <v>263</v>
      </c>
      <c r="BL69" t="s">
        <v>6056</v>
      </c>
    </row>
    <row r="70" spans="1:64">
      <c r="A70" s="1">
        <f>HYPERLINK("https://lsnyc.legalserver.org/matter/dynamic-profile/view/1904359","19-1904359")</f>
        <v>0</v>
      </c>
      <c r="B70" t="s">
        <v>64</v>
      </c>
      <c r="C70" t="s">
        <v>79</v>
      </c>
      <c r="D70" t="s">
        <v>200</v>
      </c>
      <c r="E70" t="s">
        <v>202</v>
      </c>
      <c r="F70" t="s">
        <v>208</v>
      </c>
      <c r="G70" t="s">
        <v>202</v>
      </c>
      <c r="H70" t="s">
        <v>272</v>
      </c>
      <c r="I70" t="s">
        <v>202</v>
      </c>
      <c r="J70" t="s">
        <v>289</v>
      </c>
      <c r="K70" t="s">
        <v>292</v>
      </c>
      <c r="M70" t="s">
        <v>290</v>
      </c>
      <c r="N70" t="s">
        <v>202</v>
      </c>
      <c r="O70" t="s">
        <v>421</v>
      </c>
      <c r="P70" t="s">
        <v>427</v>
      </c>
      <c r="S70" t="s">
        <v>523</v>
      </c>
      <c r="T70" t="s">
        <v>1234</v>
      </c>
      <c r="U70" t="s">
        <v>233</v>
      </c>
      <c r="W70" t="s">
        <v>1876</v>
      </c>
      <c r="X70" t="s">
        <v>1943</v>
      </c>
      <c r="Y70" t="s">
        <v>2812</v>
      </c>
      <c r="Z70" t="s">
        <v>3097</v>
      </c>
      <c r="AA70" t="s">
        <v>3135</v>
      </c>
      <c r="AB70">
        <v>11216</v>
      </c>
      <c r="AC70" t="s">
        <v>3140</v>
      </c>
      <c r="AD70" t="s">
        <v>3209</v>
      </c>
      <c r="AE70">
        <v>8</v>
      </c>
      <c r="AG70" t="s">
        <v>4029</v>
      </c>
      <c r="AH70" t="s">
        <v>291</v>
      </c>
      <c r="AI70" t="s">
        <v>291</v>
      </c>
      <c r="AK70" t="s">
        <v>4040</v>
      </c>
      <c r="AL70" t="s">
        <v>4046</v>
      </c>
      <c r="AM70">
        <v>0</v>
      </c>
      <c r="AN70">
        <v>849.38</v>
      </c>
      <c r="AO70">
        <v>4.45</v>
      </c>
      <c r="AQ70" t="s">
        <v>4123</v>
      </c>
      <c r="AR70" t="s">
        <v>5035</v>
      </c>
      <c r="AS70">
        <v>6</v>
      </c>
      <c r="AT70" t="s">
        <v>5838</v>
      </c>
      <c r="AU70">
        <v>1</v>
      </c>
      <c r="AV70">
        <v>0</v>
      </c>
      <c r="AW70">
        <v>249.8</v>
      </c>
      <c r="AX70" t="s">
        <v>221</v>
      </c>
      <c r="AY70" t="s">
        <v>5849</v>
      </c>
      <c r="BA70" t="s">
        <v>329</v>
      </c>
      <c r="BB70" t="s">
        <v>1322</v>
      </c>
      <c r="BC70">
        <v>31200</v>
      </c>
      <c r="BG70" t="s">
        <v>79</v>
      </c>
      <c r="BJ70" t="s">
        <v>5949</v>
      </c>
      <c r="BK70" t="s">
        <v>256</v>
      </c>
      <c r="BL70" t="s">
        <v>6056</v>
      </c>
    </row>
    <row r="71" spans="1:64">
      <c r="A71" s="1">
        <f>HYPERLINK("https://lsnyc.legalserver.org/matter/dynamic-profile/view/1906751","19-1906751")</f>
        <v>0</v>
      </c>
      <c r="B71" t="s">
        <v>64</v>
      </c>
      <c r="C71" t="s">
        <v>80</v>
      </c>
      <c r="D71" t="s">
        <v>200</v>
      </c>
      <c r="E71" t="s">
        <v>202</v>
      </c>
      <c r="F71" t="s">
        <v>209</v>
      </c>
      <c r="G71" t="s">
        <v>202</v>
      </c>
      <c r="H71" t="s">
        <v>272</v>
      </c>
      <c r="I71" t="s">
        <v>202</v>
      </c>
      <c r="J71" t="s">
        <v>289</v>
      </c>
      <c r="K71" t="s">
        <v>292</v>
      </c>
      <c r="M71" t="s">
        <v>290</v>
      </c>
      <c r="N71" t="s">
        <v>202</v>
      </c>
      <c r="O71" t="s">
        <v>421</v>
      </c>
      <c r="P71" t="s">
        <v>427</v>
      </c>
      <c r="S71" t="s">
        <v>524</v>
      </c>
      <c r="T71" t="s">
        <v>1235</v>
      </c>
      <c r="U71" t="s">
        <v>209</v>
      </c>
      <c r="W71" t="s">
        <v>1876</v>
      </c>
      <c r="X71" t="s">
        <v>1917</v>
      </c>
      <c r="Y71">
        <v>305</v>
      </c>
      <c r="Z71" t="s">
        <v>3097</v>
      </c>
      <c r="AA71" t="s">
        <v>3135</v>
      </c>
      <c r="AB71">
        <v>11226</v>
      </c>
      <c r="AC71" t="s">
        <v>3140</v>
      </c>
      <c r="AD71" t="s">
        <v>3210</v>
      </c>
      <c r="AE71">
        <v>15</v>
      </c>
      <c r="AG71" t="s">
        <v>4029</v>
      </c>
      <c r="AH71" t="s">
        <v>291</v>
      </c>
      <c r="AI71" t="s">
        <v>291</v>
      </c>
      <c r="AK71" t="s">
        <v>4040</v>
      </c>
      <c r="AM71">
        <v>0</v>
      </c>
      <c r="AN71">
        <v>1297.18</v>
      </c>
      <c r="AO71">
        <v>10.8</v>
      </c>
      <c r="AQ71" t="s">
        <v>4124</v>
      </c>
      <c r="AR71" t="s">
        <v>5036</v>
      </c>
      <c r="AS71">
        <v>0</v>
      </c>
      <c r="AU71">
        <v>2</v>
      </c>
      <c r="AV71">
        <v>0</v>
      </c>
      <c r="AW71">
        <v>215.26</v>
      </c>
      <c r="BA71" t="s">
        <v>329</v>
      </c>
      <c r="BB71" t="s">
        <v>1322</v>
      </c>
      <c r="BC71">
        <v>36400</v>
      </c>
      <c r="BG71" t="s">
        <v>5892</v>
      </c>
      <c r="BJ71" t="s">
        <v>5949</v>
      </c>
      <c r="BK71" t="s">
        <v>217</v>
      </c>
      <c r="BL71" t="s">
        <v>6056</v>
      </c>
    </row>
    <row r="72" spans="1:64">
      <c r="A72" s="1">
        <f>HYPERLINK("https://lsnyc.legalserver.org/matter/dynamic-profile/view/1907079","19-1907079")</f>
        <v>0</v>
      </c>
      <c r="B72" t="s">
        <v>64</v>
      </c>
      <c r="C72" t="s">
        <v>80</v>
      </c>
      <c r="D72" t="s">
        <v>200</v>
      </c>
      <c r="E72" t="s">
        <v>201</v>
      </c>
      <c r="G72" t="s">
        <v>202</v>
      </c>
      <c r="H72" t="s">
        <v>272</v>
      </c>
      <c r="I72" t="s">
        <v>288</v>
      </c>
      <c r="J72" t="s">
        <v>290</v>
      </c>
      <c r="K72" t="s">
        <v>292</v>
      </c>
      <c r="M72" t="s">
        <v>290</v>
      </c>
      <c r="N72" t="s">
        <v>202</v>
      </c>
      <c r="O72" t="s">
        <v>421</v>
      </c>
      <c r="P72" t="s">
        <v>427</v>
      </c>
      <c r="S72" t="s">
        <v>525</v>
      </c>
      <c r="T72" t="s">
        <v>891</v>
      </c>
      <c r="U72" t="s">
        <v>226</v>
      </c>
      <c r="W72" t="s">
        <v>1876</v>
      </c>
      <c r="X72" t="s">
        <v>1944</v>
      </c>
      <c r="Y72" t="s">
        <v>2823</v>
      </c>
      <c r="Z72" t="s">
        <v>3097</v>
      </c>
      <c r="AA72" t="s">
        <v>3135</v>
      </c>
      <c r="AB72">
        <v>11225</v>
      </c>
      <c r="AD72" t="s">
        <v>3211</v>
      </c>
      <c r="AE72">
        <v>25</v>
      </c>
      <c r="AG72" t="s">
        <v>4029</v>
      </c>
      <c r="AH72" t="s">
        <v>291</v>
      </c>
      <c r="AK72" t="s">
        <v>4040</v>
      </c>
      <c r="AM72">
        <v>0</v>
      </c>
      <c r="AN72">
        <v>976</v>
      </c>
      <c r="AO72">
        <v>23.1</v>
      </c>
      <c r="AQ72" t="s">
        <v>4125</v>
      </c>
      <c r="AR72" t="s">
        <v>5037</v>
      </c>
      <c r="AS72">
        <v>0</v>
      </c>
      <c r="AU72">
        <v>1</v>
      </c>
      <c r="AV72">
        <v>1</v>
      </c>
      <c r="AW72">
        <v>90.76000000000001</v>
      </c>
      <c r="BB72" t="s">
        <v>1322</v>
      </c>
      <c r="BC72">
        <v>15348</v>
      </c>
      <c r="BG72" t="s">
        <v>5891</v>
      </c>
      <c r="BJ72" t="s">
        <v>5943</v>
      </c>
      <c r="BK72" t="s">
        <v>264</v>
      </c>
    </row>
    <row r="73" spans="1:64">
      <c r="A73" s="1">
        <f>HYPERLINK("https://lsnyc.legalserver.org/matter/dynamic-profile/view/1906272","19-1906272")</f>
        <v>0</v>
      </c>
      <c r="B73" t="s">
        <v>64</v>
      </c>
      <c r="C73" t="s">
        <v>80</v>
      </c>
      <c r="D73" t="s">
        <v>200</v>
      </c>
      <c r="E73" t="s">
        <v>201</v>
      </c>
      <c r="G73" t="s">
        <v>202</v>
      </c>
      <c r="H73" t="s">
        <v>272</v>
      </c>
      <c r="I73" t="s">
        <v>288</v>
      </c>
      <c r="J73" t="s">
        <v>291</v>
      </c>
      <c r="K73" t="s">
        <v>292</v>
      </c>
      <c r="M73" t="s">
        <v>290</v>
      </c>
      <c r="N73" t="s">
        <v>202</v>
      </c>
      <c r="O73" t="s">
        <v>421</v>
      </c>
      <c r="P73" t="s">
        <v>427</v>
      </c>
      <c r="S73" t="s">
        <v>526</v>
      </c>
      <c r="T73" t="s">
        <v>1236</v>
      </c>
      <c r="U73" t="s">
        <v>249</v>
      </c>
      <c r="W73" t="s">
        <v>1876</v>
      </c>
      <c r="X73" t="s">
        <v>1945</v>
      </c>
      <c r="Y73">
        <v>69</v>
      </c>
      <c r="Z73" t="s">
        <v>3097</v>
      </c>
      <c r="AA73" t="s">
        <v>3135</v>
      </c>
      <c r="AB73">
        <v>11226</v>
      </c>
      <c r="AD73" t="s">
        <v>3212</v>
      </c>
      <c r="AE73">
        <v>49</v>
      </c>
      <c r="AG73" t="s">
        <v>4029</v>
      </c>
      <c r="AH73" t="s">
        <v>291</v>
      </c>
      <c r="AK73" t="s">
        <v>4040</v>
      </c>
      <c r="AM73">
        <v>0</v>
      </c>
      <c r="AN73">
        <v>869.96</v>
      </c>
      <c r="AO73">
        <v>7.8</v>
      </c>
      <c r="AQ73" t="s">
        <v>4126</v>
      </c>
      <c r="AR73" t="s">
        <v>5038</v>
      </c>
      <c r="AS73">
        <v>0</v>
      </c>
      <c r="AT73" t="s">
        <v>5838</v>
      </c>
      <c r="AU73">
        <v>1</v>
      </c>
      <c r="AV73">
        <v>0</v>
      </c>
      <c r="AW73">
        <v>200.13</v>
      </c>
      <c r="AX73" t="s">
        <v>221</v>
      </c>
      <c r="AY73" t="s">
        <v>5849</v>
      </c>
      <c r="BB73" t="s">
        <v>1322</v>
      </c>
      <c r="BC73">
        <v>24996</v>
      </c>
      <c r="BG73" t="s">
        <v>5893</v>
      </c>
      <c r="BJ73" t="s">
        <v>5958</v>
      </c>
      <c r="BK73" t="s">
        <v>243</v>
      </c>
    </row>
    <row r="74" spans="1:64">
      <c r="A74" s="1">
        <f>HYPERLINK("https://lsnyc.legalserver.org/matter/dynamic-profile/view/1906555","19-1906555")</f>
        <v>0</v>
      </c>
      <c r="B74" t="s">
        <v>64</v>
      </c>
      <c r="C74" t="s">
        <v>80</v>
      </c>
      <c r="D74" t="s">
        <v>200</v>
      </c>
      <c r="E74" t="s">
        <v>201</v>
      </c>
      <c r="G74" t="s">
        <v>202</v>
      </c>
      <c r="H74" t="s">
        <v>272</v>
      </c>
      <c r="I74" t="s">
        <v>202</v>
      </c>
      <c r="J74" t="s">
        <v>289</v>
      </c>
      <c r="K74" t="s">
        <v>292</v>
      </c>
      <c r="M74" t="s">
        <v>290</v>
      </c>
      <c r="N74" t="s">
        <v>419</v>
      </c>
      <c r="O74" t="s">
        <v>420</v>
      </c>
      <c r="P74" t="s">
        <v>427</v>
      </c>
      <c r="S74" t="s">
        <v>527</v>
      </c>
      <c r="T74" t="s">
        <v>1237</v>
      </c>
      <c r="U74" t="s">
        <v>253</v>
      </c>
      <c r="W74" t="s">
        <v>1876</v>
      </c>
      <c r="X74" t="s">
        <v>1946</v>
      </c>
      <c r="Y74" t="s">
        <v>2824</v>
      </c>
      <c r="Z74" t="s">
        <v>3097</v>
      </c>
      <c r="AA74" t="s">
        <v>3135</v>
      </c>
      <c r="AB74">
        <v>11236</v>
      </c>
      <c r="AC74" t="s">
        <v>3136</v>
      </c>
      <c r="AD74" t="s">
        <v>3213</v>
      </c>
      <c r="AE74">
        <v>27</v>
      </c>
      <c r="AG74" t="s">
        <v>4028</v>
      </c>
      <c r="AH74" t="s">
        <v>291</v>
      </c>
      <c r="AK74" t="s">
        <v>4041</v>
      </c>
      <c r="AM74">
        <v>0</v>
      </c>
      <c r="AN74">
        <v>880</v>
      </c>
      <c r="AO74">
        <v>0</v>
      </c>
      <c r="AQ74" t="s">
        <v>4127</v>
      </c>
      <c r="AR74" t="s">
        <v>5039</v>
      </c>
      <c r="AS74">
        <v>0</v>
      </c>
      <c r="AT74" t="s">
        <v>5837</v>
      </c>
      <c r="AU74">
        <v>4</v>
      </c>
      <c r="AV74">
        <v>0</v>
      </c>
      <c r="AW74">
        <v>135.92</v>
      </c>
      <c r="BA74" t="s">
        <v>329</v>
      </c>
      <c r="BB74" t="s">
        <v>1322</v>
      </c>
      <c r="BC74">
        <v>35000</v>
      </c>
      <c r="BG74" t="s">
        <v>5894</v>
      </c>
      <c r="BJ74" t="s">
        <v>5949</v>
      </c>
      <c r="BL74" t="s">
        <v>6056</v>
      </c>
    </row>
    <row r="75" spans="1:64">
      <c r="A75" s="1">
        <f>HYPERLINK("https://lsnyc.legalserver.org/matter/dynamic-profile/view/1908019","19-1908019")</f>
        <v>0</v>
      </c>
      <c r="B75" t="s">
        <v>64</v>
      </c>
      <c r="C75" t="s">
        <v>71</v>
      </c>
      <c r="D75" t="s">
        <v>200</v>
      </c>
      <c r="E75" t="s">
        <v>201</v>
      </c>
      <c r="G75" t="s">
        <v>202</v>
      </c>
      <c r="H75" t="s">
        <v>272</v>
      </c>
      <c r="I75" t="s">
        <v>202</v>
      </c>
      <c r="J75" t="s">
        <v>289</v>
      </c>
      <c r="K75" t="s">
        <v>292</v>
      </c>
      <c r="M75" t="s">
        <v>290</v>
      </c>
      <c r="N75" t="s">
        <v>419</v>
      </c>
      <c r="P75" t="s">
        <v>427</v>
      </c>
      <c r="S75" t="s">
        <v>528</v>
      </c>
      <c r="T75" t="s">
        <v>1217</v>
      </c>
      <c r="U75" t="s">
        <v>221</v>
      </c>
      <c r="W75" t="s">
        <v>1876</v>
      </c>
      <c r="X75" t="s">
        <v>1947</v>
      </c>
      <c r="Y75" t="s">
        <v>2825</v>
      </c>
      <c r="Z75" t="s">
        <v>3097</v>
      </c>
      <c r="AA75" t="s">
        <v>3135</v>
      </c>
      <c r="AB75">
        <v>11221</v>
      </c>
      <c r="AC75" t="s">
        <v>3137</v>
      </c>
      <c r="AD75" t="s">
        <v>3214</v>
      </c>
      <c r="AE75">
        <v>0</v>
      </c>
      <c r="AG75" t="s">
        <v>4029</v>
      </c>
      <c r="AH75" t="s">
        <v>291</v>
      </c>
      <c r="AK75" t="s">
        <v>4040</v>
      </c>
      <c r="AM75">
        <v>0</v>
      </c>
      <c r="AN75">
        <v>0</v>
      </c>
      <c r="AO75">
        <v>8.4</v>
      </c>
      <c r="AQ75" t="s">
        <v>4128</v>
      </c>
      <c r="AR75" t="s">
        <v>5040</v>
      </c>
      <c r="AS75">
        <v>0</v>
      </c>
      <c r="AU75">
        <v>1</v>
      </c>
      <c r="AV75">
        <v>0</v>
      </c>
      <c r="AW75">
        <v>80.22</v>
      </c>
      <c r="BB75" t="s">
        <v>1322</v>
      </c>
      <c r="BC75">
        <v>10020</v>
      </c>
      <c r="BG75" t="s">
        <v>5890</v>
      </c>
      <c r="BJ75" t="s">
        <v>5957</v>
      </c>
      <c r="BK75" t="s">
        <v>219</v>
      </c>
      <c r="BL75" t="s">
        <v>6056</v>
      </c>
    </row>
    <row r="76" spans="1:64">
      <c r="A76" s="1">
        <f>HYPERLINK("https://lsnyc.legalserver.org/matter/dynamic-profile/view/1906184","19-1906184")</f>
        <v>0</v>
      </c>
      <c r="B76" t="s">
        <v>64</v>
      </c>
      <c r="C76" t="s">
        <v>80</v>
      </c>
      <c r="D76" t="s">
        <v>200</v>
      </c>
      <c r="E76" t="s">
        <v>201</v>
      </c>
      <c r="G76" t="s">
        <v>202</v>
      </c>
      <c r="H76" t="s">
        <v>271</v>
      </c>
      <c r="I76" t="s">
        <v>202</v>
      </c>
      <c r="J76" t="s">
        <v>289</v>
      </c>
      <c r="K76" t="s">
        <v>292</v>
      </c>
      <c r="M76" t="s">
        <v>290</v>
      </c>
      <c r="N76" t="s">
        <v>202</v>
      </c>
      <c r="O76" t="s">
        <v>421</v>
      </c>
      <c r="P76" t="s">
        <v>427</v>
      </c>
      <c r="S76" t="s">
        <v>529</v>
      </c>
      <c r="T76" t="s">
        <v>522</v>
      </c>
      <c r="U76" t="s">
        <v>261</v>
      </c>
      <c r="W76" t="s">
        <v>1876</v>
      </c>
      <c r="X76" t="s">
        <v>1948</v>
      </c>
      <c r="Y76" t="s">
        <v>2826</v>
      </c>
      <c r="Z76" t="s">
        <v>3097</v>
      </c>
      <c r="AA76" t="s">
        <v>3135</v>
      </c>
      <c r="AB76">
        <v>11221</v>
      </c>
      <c r="AC76" t="s">
        <v>3136</v>
      </c>
      <c r="AD76" t="s">
        <v>3215</v>
      </c>
      <c r="AE76">
        <v>23</v>
      </c>
      <c r="AG76" t="s">
        <v>4029</v>
      </c>
      <c r="AH76" t="s">
        <v>291</v>
      </c>
      <c r="AK76" t="s">
        <v>4040</v>
      </c>
      <c r="AM76">
        <v>0</v>
      </c>
      <c r="AN76">
        <v>110</v>
      </c>
      <c r="AO76">
        <v>18.1</v>
      </c>
      <c r="AQ76" t="s">
        <v>4129</v>
      </c>
      <c r="AS76">
        <v>3</v>
      </c>
      <c r="AU76">
        <v>1</v>
      </c>
      <c r="AV76">
        <v>0</v>
      </c>
      <c r="AW76">
        <v>0</v>
      </c>
      <c r="BA76" t="s">
        <v>329</v>
      </c>
      <c r="BB76" t="s">
        <v>1322</v>
      </c>
      <c r="BC76">
        <v>0</v>
      </c>
      <c r="BG76" t="s">
        <v>5894</v>
      </c>
      <c r="BJ76" t="s">
        <v>5945</v>
      </c>
      <c r="BK76" t="s">
        <v>230</v>
      </c>
      <c r="BL76" t="s">
        <v>6056</v>
      </c>
    </row>
    <row r="77" spans="1:64">
      <c r="A77" s="1">
        <f>HYPERLINK("https://lsnyc.legalserver.org/matter/dynamic-profile/view/1906296","19-1906296")</f>
        <v>0</v>
      </c>
      <c r="B77" t="s">
        <v>64</v>
      </c>
      <c r="C77" t="s">
        <v>80</v>
      </c>
      <c r="D77" t="s">
        <v>200</v>
      </c>
      <c r="E77" t="s">
        <v>201</v>
      </c>
      <c r="G77" t="s">
        <v>202</v>
      </c>
      <c r="H77" t="s">
        <v>271</v>
      </c>
      <c r="I77" t="s">
        <v>202</v>
      </c>
      <c r="J77" t="s">
        <v>289</v>
      </c>
      <c r="K77" t="s">
        <v>292</v>
      </c>
      <c r="M77" t="s">
        <v>290</v>
      </c>
      <c r="N77" t="s">
        <v>202</v>
      </c>
      <c r="O77" t="s">
        <v>421</v>
      </c>
      <c r="P77" t="s">
        <v>427</v>
      </c>
      <c r="S77" t="s">
        <v>514</v>
      </c>
      <c r="T77" t="s">
        <v>1238</v>
      </c>
      <c r="U77" t="s">
        <v>249</v>
      </c>
      <c r="W77" t="s">
        <v>1876</v>
      </c>
      <c r="X77" t="s">
        <v>1949</v>
      </c>
      <c r="Y77" t="s">
        <v>2827</v>
      </c>
      <c r="Z77" t="s">
        <v>3097</v>
      </c>
      <c r="AA77" t="s">
        <v>3135</v>
      </c>
      <c r="AB77">
        <v>11226</v>
      </c>
      <c r="AC77" t="s">
        <v>3136</v>
      </c>
      <c r="AD77" t="s">
        <v>3216</v>
      </c>
      <c r="AE77">
        <v>-2</v>
      </c>
      <c r="AG77" t="s">
        <v>4029</v>
      </c>
      <c r="AH77" t="s">
        <v>291</v>
      </c>
      <c r="AK77" t="s">
        <v>4040</v>
      </c>
      <c r="AM77">
        <v>0</v>
      </c>
      <c r="AN77">
        <v>800</v>
      </c>
      <c r="AO77">
        <v>31.9</v>
      </c>
      <c r="AQ77" t="s">
        <v>4130</v>
      </c>
      <c r="AR77" t="s">
        <v>5041</v>
      </c>
      <c r="AS77">
        <v>2</v>
      </c>
      <c r="AU77">
        <v>1</v>
      </c>
      <c r="AV77">
        <v>0</v>
      </c>
      <c r="AW77">
        <v>120.32</v>
      </c>
      <c r="BB77" t="s">
        <v>1322</v>
      </c>
      <c r="BC77">
        <v>15028</v>
      </c>
      <c r="BG77" t="s">
        <v>5894</v>
      </c>
      <c r="BJ77" t="s">
        <v>5949</v>
      </c>
      <c r="BK77" t="s">
        <v>259</v>
      </c>
      <c r="BL77" t="s">
        <v>6056</v>
      </c>
    </row>
    <row r="78" spans="1:64">
      <c r="A78" s="1">
        <f>HYPERLINK("https://lsnyc.legalserver.org/matter/dynamic-profile/view/1909247","19-1909247")</f>
        <v>0</v>
      </c>
      <c r="B78" t="s">
        <v>64</v>
      </c>
      <c r="C78" t="s">
        <v>80</v>
      </c>
      <c r="D78" t="s">
        <v>200</v>
      </c>
      <c r="E78" t="s">
        <v>201</v>
      </c>
      <c r="G78" t="s">
        <v>202</v>
      </c>
      <c r="H78" t="s">
        <v>272</v>
      </c>
      <c r="I78" t="s">
        <v>202</v>
      </c>
      <c r="J78" t="s">
        <v>289</v>
      </c>
      <c r="K78" t="s">
        <v>292</v>
      </c>
      <c r="M78" t="s">
        <v>290</v>
      </c>
      <c r="N78" t="s">
        <v>202</v>
      </c>
      <c r="O78" t="s">
        <v>421</v>
      </c>
      <c r="P78" t="s">
        <v>427</v>
      </c>
      <c r="S78" t="s">
        <v>530</v>
      </c>
      <c r="T78" t="s">
        <v>1234</v>
      </c>
      <c r="U78" t="s">
        <v>263</v>
      </c>
      <c r="W78" t="s">
        <v>1876</v>
      </c>
      <c r="X78" t="s">
        <v>1950</v>
      </c>
      <c r="Y78" t="s">
        <v>2828</v>
      </c>
      <c r="Z78" t="s">
        <v>3097</v>
      </c>
      <c r="AA78" t="s">
        <v>3135</v>
      </c>
      <c r="AB78">
        <v>11221</v>
      </c>
      <c r="AC78" t="s">
        <v>3137</v>
      </c>
      <c r="AD78" t="s">
        <v>3217</v>
      </c>
      <c r="AE78">
        <v>0</v>
      </c>
      <c r="AG78" t="s">
        <v>4029</v>
      </c>
      <c r="AH78" t="s">
        <v>291</v>
      </c>
      <c r="AI78" t="s">
        <v>291</v>
      </c>
      <c r="AK78" t="s">
        <v>4040</v>
      </c>
      <c r="AM78">
        <v>0</v>
      </c>
      <c r="AN78">
        <v>0</v>
      </c>
      <c r="AO78">
        <v>1.4</v>
      </c>
      <c r="AQ78" t="s">
        <v>4131</v>
      </c>
      <c r="AR78" t="s">
        <v>5042</v>
      </c>
      <c r="AS78">
        <v>0</v>
      </c>
      <c r="AU78">
        <v>2</v>
      </c>
      <c r="AV78">
        <v>0</v>
      </c>
      <c r="AW78">
        <v>0</v>
      </c>
      <c r="BB78" t="s">
        <v>1322</v>
      </c>
      <c r="BC78">
        <v>0</v>
      </c>
      <c r="BG78" t="s">
        <v>5892</v>
      </c>
      <c r="BJ78" t="s">
        <v>5945</v>
      </c>
      <c r="BK78" t="s">
        <v>267</v>
      </c>
      <c r="BL78" t="s">
        <v>6056</v>
      </c>
    </row>
    <row r="79" spans="1:64">
      <c r="A79" s="1">
        <f>HYPERLINK("https://lsnyc.legalserver.org/matter/dynamic-profile/view/1905083","19-1905083")</f>
        <v>0</v>
      </c>
      <c r="B79" t="s">
        <v>64</v>
      </c>
      <c r="C79" t="s">
        <v>80</v>
      </c>
      <c r="D79" t="s">
        <v>200</v>
      </c>
      <c r="E79" t="s">
        <v>201</v>
      </c>
      <c r="G79" t="s">
        <v>202</v>
      </c>
      <c r="H79" t="s">
        <v>272</v>
      </c>
      <c r="I79" t="s">
        <v>288</v>
      </c>
      <c r="J79" t="s">
        <v>291</v>
      </c>
      <c r="K79" t="s">
        <v>292</v>
      </c>
      <c r="M79" t="s">
        <v>290</v>
      </c>
      <c r="N79" t="s">
        <v>202</v>
      </c>
      <c r="O79" t="s">
        <v>421</v>
      </c>
      <c r="P79" t="s">
        <v>427</v>
      </c>
      <c r="S79" t="s">
        <v>531</v>
      </c>
      <c r="T79" t="s">
        <v>1239</v>
      </c>
      <c r="U79" t="s">
        <v>258</v>
      </c>
      <c r="W79" t="s">
        <v>1876</v>
      </c>
      <c r="X79" t="s">
        <v>1951</v>
      </c>
      <c r="Y79" t="s">
        <v>2784</v>
      </c>
      <c r="Z79" t="s">
        <v>3097</v>
      </c>
      <c r="AA79" t="s">
        <v>3135</v>
      </c>
      <c r="AB79">
        <v>11225</v>
      </c>
      <c r="AC79" t="s">
        <v>3137</v>
      </c>
      <c r="AD79" t="s">
        <v>3218</v>
      </c>
      <c r="AE79">
        <v>0</v>
      </c>
      <c r="AG79" t="s">
        <v>4029</v>
      </c>
      <c r="AH79" t="s">
        <v>291</v>
      </c>
      <c r="AK79" t="s">
        <v>4040</v>
      </c>
      <c r="AM79">
        <v>0</v>
      </c>
      <c r="AN79">
        <v>0</v>
      </c>
      <c r="AO79">
        <v>16.4</v>
      </c>
      <c r="AQ79" t="s">
        <v>4132</v>
      </c>
      <c r="AS79">
        <v>0</v>
      </c>
      <c r="AU79">
        <v>2</v>
      </c>
      <c r="AV79">
        <v>0</v>
      </c>
      <c r="AW79">
        <v>68.62</v>
      </c>
      <c r="BB79" t="s">
        <v>1322</v>
      </c>
      <c r="BC79">
        <v>11604</v>
      </c>
      <c r="BG79" t="s">
        <v>5892</v>
      </c>
      <c r="BJ79" t="s">
        <v>5972</v>
      </c>
      <c r="BK79" t="s">
        <v>267</v>
      </c>
      <c r="BL79" t="s">
        <v>329</v>
      </c>
    </row>
    <row r="80" spans="1:64">
      <c r="A80" s="1">
        <f>HYPERLINK("https://lsnyc.legalserver.org/matter/dynamic-profile/view/1906061","19-1906061")</f>
        <v>0</v>
      </c>
      <c r="B80" t="s">
        <v>64</v>
      </c>
      <c r="C80" t="s">
        <v>81</v>
      </c>
      <c r="D80" t="s">
        <v>200</v>
      </c>
      <c r="E80" t="s">
        <v>202</v>
      </c>
      <c r="F80" t="s">
        <v>210</v>
      </c>
      <c r="G80" t="s">
        <v>202</v>
      </c>
      <c r="H80" t="s">
        <v>272</v>
      </c>
      <c r="I80" t="s">
        <v>288</v>
      </c>
      <c r="J80" t="s">
        <v>290</v>
      </c>
      <c r="K80" t="s">
        <v>292</v>
      </c>
      <c r="M80" t="s">
        <v>290</v>
      </c>
      <c r="N80" t="s">
        <v>202</v>
      </c>
      <c r="O80" t="s">
        <v>421</v>
      </c>
      <c r="P80" t="s">
        <v>202</v>
      </c>
      <c r="Q80" t="s">
        <v>430</v>
      </c>
      <c r="R80" t="s">
        <v>433</v>
      </c>
      <c r="S80" t="s">
        <v>532</v>
      </c>
      <c r="T80" t="s">
        <v>1240</v>
      </c>
      <c r="U80" t="s">
        <v>210</v>
      </c>
      <c r="W80" t="s">
        <v>1876</v>
      </c>
      <c r="X80" t="s">
        <v>1952</v>
      </c>
      <c r="Y80" t="s">
        <v>2829</v>
      </c>
      <c r="Z80" t="s">
        <v>3097</v>
      </c>
      <c r="AA80" t="s">
        <v>3135</v>
      </c>
      <c r="AB80">
        <v>11226</v>
      </c>
      <c r="AC80" t="s">
        <v>3140</v>
      </c>
      <c r="AD80" t="s">
        <v>3219</v>
      </c>
      <c r="AE80">
        <v>30</v>
      </c>
      <c r="AG80" t="s">
        <v>4029</v>
      </c>
      <c r="AH80" t="s">
        <v>291</v>
      </c>
      <c r="AK80" t="s">
        <v>4040</v>
      </c>
      <c r="AM80">
        <v>0</v>
      </c>
      <c r="AN80">
        <v>1141.8</v>
      </c>
      <c r="AO80">
        <v>0.5</v>
      </c>
      <c r="AQ80" t="s">
        <v>4133</v>
      </c>
      <c r="AR80" t="s">
        <v>5043</v>
      </c>
      <c r="AS80">
        <v>4</v>
      </c>
      <c r="AT80" t="s">
        <v>5838</v>
      </c>
      <c r="AU80">
        <v>3</v>
      </c>
      <c r="AV80">
        <v>0</v>
      </c>
      <c r="AW80">
        <v>56.26</v>
      </c>
      <c r="BB80" t="s">
        <v>5860</v>
      </c>
      <c r="BC80">
        <v>12000</v>
      </c>
      <c r="BG80" t="s">
        <v>5893</v>
      </c>
      <c r="BJ80" t="s">
        <v>5944</v>
      </c>
      <c r="BK80" t="s">
        <v>253</v>
      </c>
    </row>
    <row r="81" spans="1:64">
      <c r="A81" s="1">
        <f>HYPERLINK("https://lsnyc.legalserver.org/matter/dynamic-profile/view/1904888","19-1904888")</f>
        <v>0</v>
      </c>
      <c r="B81" t="s">
        <v>64</v>
      </c>
      <c r="C81" t="s">
        <v>82</v>
      </c>
      <c r="D81" t="s">
        <v>200</v>
      </c>
      <c r="E81" t="s">
        <v>201</v>
      </c>
      <c r="G81" t="s">
        <v>202</v>
      </c>
      <c r="H81" t="s">
        <v>272</v>
      </c>
      <c r="I81" t="s">
        <v>288</v>
      </c>
      <c r="J81" t="s">
        <v>290</v>
      </c>
      <c r="K81" t="s">
        <v>292</v>
      </c>
      <c r="M81" t="s">
        <v>290</v>
      </c>
      <c r="N81" t="s">
        <v>419</v>
      </c>
      <c r="P81" t="s">
        <v>427</v>
      </c>
      <c r="S81" t="s">
        <v>533</v>
      </c>
      <c r="T81" t="s">
        <v>1233</v>
      </c>
      <c r="U81" t="s">
        <v>211</v>
      </c>
      <c r="W81" t="s">
        <v>1876</v>
      </c>
      <c r="X81" t="s">
        <v>1953</v>
      </c>
      <c r="Y81" t="s">
        <v>2830</v>
      </c>
      <c r="Z81" t="s">
        <v>3097</v>
      </c>
      <c r="AA81" t="s">
        <v>3135</v>
      </c>
      <c r="AB81">
        <v>11213</v>
      </c>
      <c r="AC81" t="s">
        <v>3136</v>
      </c>
      <c r="AD81" t="s">
        <v>3220</v>
      </c>
      <c r="AE81">
        <v>16</v>
      </c>
      <c r="AG81" t="s">
        <v>4028</v>
      </c>
      <c r="AH81" t="s">
        <v>291</v>
      </c>
      <c r="AI81" t="s">
        <v>291</v>
      </c>
      <c r="AK81" t="s">
        <v>4040</v>
      </c>
      <c r="AM81">
        <v>0</v>
      </c>
      <c r="AN81">
        <v>135</v>
      </c>
      <c r="AO81">
        <v>8</v>
      </c>
      <c r="AQ81" t="s">
        <v>4134</v>
      </c>
      <c r="AR81" t="s">
        <v>5044</v>
      </c>
      <c r="AS81">
        <v>11</v>
      </c>
      <c r="AU81">
        <v>1</v>
      </c>
      <c r="AV81">
        <v>0</v>
      </c>
      <c r="AW81">
        <v>33.31</v>
      </c>
      <c r="BC81">
        <v>4160</v>
      </c>
      <c r="BG81" t="s">
        <v>5896</v>
      </c>
      <c r="BJ81" t="s">
        <v>5948</v>
      </c>
      <c r="BK81" t="s">
        <v>264</v>
      </c>
    </row>
    <row r="82" spans="1:64">
      <c r="A82" s="1">
        <f>HYPERLINK("https://lsnyc.legalserver.org/matter/dynamic-profile/view/1906294","19-1906294")</f>
        <v>0</v>
      </c>
      <c r="B82" t="s">
        <v>64</v>
      </c>
      <c r="C82" t="s">
        <v>76</v>
      </c>
      <c r="D82" t="s">
        <v>200</v>
      </c>
      <c r="E82" t="s">
        <v>201</v>
      </c>
      <c r="G82" t="s">
        <v>202</v>
      </c>
      <c r="H82" t="s">
        <v>271</v>
      </c>
      <c r="I82" t="s">
        <v>288</v>
      </c>
      <c r="J82" t="s">
        <v>290</v>
      </c>
      <c r="K82" t="s">
        <v>202</v>
      </c>
      <c r="L82" t="s">
        <v>309</v>
      </c>
      <c r="M82" t="s">
        <v>290</v>
      </c>
      <c r="N82" t="s">
        <v>419</v>
      </c>
      <c r="P82" t="s">
        <v>427</v>
      </c>
      <c r="S82" t="s">
        <v>466</v>
      </c>
      <c r="T82" t="s">
        <v>1222</v>
      </c>
      <c r="U82" t="s">
        <v>249</v>
      </c>
      <c r="W82" t="s">
        <v>1876</v>
      </c>
      <c r="X82" t="s">
        <v>1954</v>
      </c>
      <c r="Y82" t="s">
        <v>2797</v>
      </c>
      <c r="Z82" t="s">
        <v>3097</v>
      </c>
      <c r="AA82" t="s">
        <v>3135</v>
      </c>
      <c r="AB82">
        <v>11219</v>
      </c>
      <c r="AD82" t="s">
        <v>3221</v>
      </c>
      <c r="AE82">
        <v>2</v>
      </c>
      <c r="AG82" t="s">
        <v>4028</v>
      </c>
      <c r="AH82" t="s">
        <v>291</v>
      </c>
      <c r="AK82" t="s">
        <v>4040</v>
      </c>
      <c r="AM82">
        <v>0</v>
      </c>
      <c r="AN82">
        <v>1200</v>
      </c>
      <c r="AO82">
        <v>0</v>
      </c>
      <c r="AQ82" t="s">
        <v>4135</v>
      </c>
      <c r="AR82" t="s">
        <v>5045</v>
      </c>
      <c r="AS82">
        <v>0</v>
      </c>
      <c r="AU82">
        <v>1</v>
      </c>
      <c r="AV82">
        <v>0</v>
      </c>
      <c r="AW82">
        <v>0</v>
      </c>
      <c r="BA82" t="s">
        <v>329</v>
      </c>
      <c r="BB82" t="s">
        <v>1322</v>
      </c>
      <c r="BC82">
        <v>0</v>
      </c>
      <c r="BG82" t="s">
        <v>5891</v>
      </c>
      <c r="BJ82" t="s">
        <v>5965</v>
      </c>
      <c r="BL82" t="s">
        <v>6056</v>
      </c>
    </row>
    <row r="83" spans="1:64">
      <c r="A83" s="1">
        <f>HYPERLINK("https://lsnyc.legalserver.org/matter/dynamic-profile/view/1906325","19-1906325")</f>
        <v>0</v>
      </c>
      <c r="B83" t="s">
        <v>64</v>
      </c>
      <c r="C83" t="s">
        <v>76</v>
      </c>
      <c r="D83" t="s">
        <v>200</v>
      </c>
      <c r="E83" t="s">
        <v>201</v>
      </c>
      <c r="G83" t="s">
        <v>202</v>
      </c>
      <c r="H83" t="s">
        <v>271</v>
      </c>
      <c r="I83" t="s">
        <v>288</v>
      </c>
      <c r="J83" t="s">
        <v>290</v>
      </c>
      <c r="K83" t="s">
        <v>292</v>
      </c>
      <c r="M83" t="s">
        <v>290</v>
      </c>
      <c r="N83" t="s">
        <v>419</v>
      </c>
      <c r="O83" t="s">
        <v>420</v>
      </c>
      <c r="P83" t="s">
        <v>427</v>
      </c>
      <c r="S83" t="s">
        <v>534</v>
      </c>
      <c r="T83" t="s">
        <v>1241</v>
      </c>
      <c r="U83" t="s">
        <v>249</v>
      </c>
      <c r="W83" t="s">
        <v>1876</v>
      </c>
      <c r="X83" t="s">
        <v>1955</v>
      </c>
      <c r="Y83" t="s">
        <v>2831</v>
      </c>
      <c r="Z83" t="s">
        <v>3097</v>
      </c>
      <c r="AA83" t="s">
        <v>3135</v>
      </c>
      <c r="AB83">
        <v>11234</v>
      </c>
      <c r="AC83" t="s">
        <v>3136</v>
      </c>
      <c r="AD83" t="s">
        <v>3222</v>
      </c>
      <c r="AE83">
        <v>0</v>
      </c>
      <c r="AG83" t="s">
        <v>4028</v>
      </c>
      <c r="AH83" t="s">
        <v>291</v>
      </c>
      <c r="AK83" t="s">
        <v>4040</v>
      </c>
      <c r="AM83">
        <v>0</v>
      </c>
      <c r="AN83">
        <v>0</v>
      </c>
      <c r="AO83">
        <v>0</v>
      </c>
      <c r="AQ83" t="s">
        <v>4136</v>
      </c>
      <c r="AR83" t="s">
        <v>5046</v>
      </c>
      <c r="AS83">
        <v>0</v>
      </c>
      <c r="AU83">
        <v>2</v>
      </c>
      <c r="AV83">
        <v>3</v>
      </c>
      <c r="AW83">
        <v>0</v>
      </c>
      <c r="BB83" t="s">
        <v>1322</v>
      </c>
      <c r="BC83">
        <v>0</v>
      </c>
      <c r="BG83" t="s">
        <v>5891</v>
      </c>
      <c r="BJ83" t="s">
        <v>5965</v>
      </c>
    </row>
    <row r="84" spans="1:64">
      <c r="A84" s="1">
        <f>HYPERLINK("https://lsnyc.legalserver.org/matter/dynamic-profile/view/1909007","19-1909007")</f>
        <v>0</v>
      </c>
      <c r="B84" t="s">
        <v>64</v>
      </c>
      <c r="C84" t="s">
        <v>76</v>
      </c>
      <c r="D84" t="s">
        <v>200</v>
      </c>
      <c r="E84" t="s">
        <v>201</v>
      </c>
      <c r="G84" t="s">
        <v>202</v>
      </c>
      <c r="H84" t="s">
        <v>271</v>
      </c>
      <c r="I84" t="s">
        <v>202</v>
      </c>
      <c r="J84" t="s">
        <v>289</v>
      </c>
      <c r="K84" t="s">
        <v>292</v>
      </c>
      <c r="M84" t="s">
        <v>290</v>
      </c>
      <c r="N84" t="s">
        <v>202</v>
      </c>
      <c r="O84" t="s">
        <v>422</v>
      </c>
      <c r="P84" t="s">
        <v>427</v>
      </c>
      <c r="S84" t="s">
        <v>535</v>
      </c>
      <c r="T84" t="s">
        <v>1242</v>
      </c>
      <c r="U84" t="s">
        <v>256</v>
      </c>
      <c r="W84" t="s">
        <v>1876</v>
      </c>
      <c r="X84" t="s">
        <v>1956</v>
      </c>
      <c r="Y84" t="s">
        <v>2832</v>
      </c>
      <c r="Z84" t="s">
        <v>3097</v>
      </c>
      <c r="AA84" t="s">
        <v>3135</v>
      </c>
      <c r="AB84">
        <v>11234</v>
      </c>
      <c r="AC84" t="s">
        <v>3136</v>
      </c>
      <c r="AD84" t="s">
        <v>3223</v>
      </c>
      <c r="AE84">
        <v>0</v>
      </c>
      <c r="AG84" t="s">
        <v>4028</v>
      </c>
      <c r="AH84" t="s">
        <v>291</v>
      </c>
      <c r="AK84" t="s">
        <v>4040</v>
      </c>
      <c r="AM84">
        <v>0</v>
      </c>
      <c r="AN84">
        <v>0</v>
      </c>
      <c r="AO84">
        <v>0</v>
      </c>
      <c r="AQ84" t="s">
        <v>4137</v>
      </c>
      <c r="AR84" t="s">
        <v>5047</v>
      </c>
      <c r="AS84">
        <v>0</v>
      </c>
      <c r="AU84">
        <v>1</v>
      </c>
      <c r="AV84">
        <v>1</v>
      </c>
      <c r="AW84">
        <v>195.15</v>
      </c>
      <c r="BB84" t="s">
        <v>1322</v>
      </c>
      <c r="BC84">
        <v>33000</v>
      </c>
      <c r="BG84" t="s">
        <v>5890</v>
      </c>
      <c r="BJ84" t="s">
        <v>5949</v>
      </c>
      <c r="BL84" t="s">
        <v>6056</v>
      </c>
    </row>
    <row r="85" spans="1:64">
      <c r="A85" s="1">
        <f>HYPERLINK("https://lsnyc.legalserver.org/matter/dynamic-profile/view/1909000","19-1909000")</f>
        <v>0</v>
      </c>
      <c r="B85" t="s">
        <v>64</v>
      </c>
      <c r="C85" t="s">
        <v>80</v>
      </c>
      <c r="D85" t="s">
        <v>200</v>
      </c>
      <c r="E85" t="s">
        <v>201</v>
      </c>
      <c r="G85" t="s">
        <v>202</v>
      </c>
      <c r="H85" t="s">
        <v>272</v>
      </c>
      <c r="I85" t="s">
        <v>202</v>
      </c>
      <c r="J85" t="s">
        <v>289</v>
      </c>
      <c r="K85" t="s">
        <v>292</v>
      </c>
      <c r="M85" t="s">
        <v>290</v>
      </c>
      <c r="N85" t="s">
        <v>202</v>
      </c>
      <c r="O85" t="s">
        <v>421</v>
      </c>
      <c r="P85" t="s">
        <v>427</v>
      </c>
      <c r="S85" t="s">
        <v>536</v>
      </c>
      <c r="T85" t="s">
        <v>1243</v>
      </c>
      <c r="U85" t="s">
        <v>256</v>
      </c>
      <c r="W85" t="s">
        <v>1876</v>
      </c>
      <c r="X85" t="s">
        <v>1957</v>
      </c>
      <c r="Y85">
        <v>125</v>
      </c>
      <c r="Z85" t="s">
        <v>3097</v>
      </c>
      <c r="AA85" t="s">
        <v>3135</v>
      </c>
      <c r="AB85">
        <v>11221</v>
      </c>
      <c r="AC85" t="s">
        <v>3137</v>
      </c>
      <c r="AD85" t="s">
        <v>3224</v>
      </c>
      <c r="AE85">
        <v>0</v>
      </c>
      <c r="AG85" t="s">
        <v>4029</v>
      </c>
      <c r="AH85" t="s">
        <v>291</v>
      </c>
      <c r="AI85" t="s">
        <v>291</v>
      </c>
      <c r="AK85" t="s">
        <v>4040</v>
      </c>
      <c r="AM85">
        <v>0</v>
      </c>
      <c r="AN85">
        <v>0</v>
      </c>
      <c r="AO85">
        <v>5.2</v>
      </c>
      <c r="AQ85" t="s">
        <v>4138</v>
      </c>
      <c r="AR85" t="s">
        <v>5048</v>
      </c>
      <c r="AS85">
        <v>0</v>
      </c>
      <c r="AU85">
        <v>1</v>
      </c>
      <c r="AV85">
        <v>0</v>
      </c>
      <c r="AW85">
        <v>119.23</v>
      </c>
      <c r="BB85" t="s">
        <v>1322</v>
      </c>
      <c r="BC85">
        <v>14892</v>
      </c>
      <c r="BG85" t="s">
        <v>5892</v>
      </c>
      <c r="BJ85" t="s">
        <v>5973</v>
      </c>
      <c r="BK85" t="s">
        <v>206</v>
      </c>
      <c r="BL85" t="s">
        <v>6056</v>
      </c>
    </row>
    <row r="86" spans="1:64">
      <c r="A86" s="1">
        <f>HYPERLINK("https://lsnyc.legalserver.org/matter/dynamic-profile/view/1907296","19-1907296")</f>
        <v>0</v>
      </c>
      <c r="B86" t="s">
        <v>64</v>
      </c>
      <c r="C86" t="s">
        <v>77</v>
      </c>
      <c r="D86" t="s">
        <v>200</v>
      </c>
      <c r="E86" t="s">
        <v>201</v>
      </c>
      <c r="G86" t="s">
        <v>202</v>
      </c>
      <c r="H86" t="s">
        <v>271</v>
      </c>
      <c r="I86" t="s">
        <v>202</v>
      </c>
      <c r="J86" t="s">
        <v>289</v>
      </c>
      <c r="K86" t="s">
        <v>292</v>
      </c>
      <c r="M86" t="s">
        <v>290</v>
      </c>
      <c r="N86" t="s">
        <v>202</v>
      </c>
      <c r="O86" t="s">
        <v>421</v>
      </c>
      <c r="P86" t="s">
        <v>427</v>
      </c>
      <c r="S86" t="s">
        <v>537</v>
      </c>
      <c r="T86" t="s">
        <v>1244</v>
      </c>
      <c r="U86" t="s">
        <v>235</v>
      </c>
      <c r="W86" t="s">
        <v>1876</v>
      </c>
      <c r="X86" t="s">
        <v>1958</v>
      </c>
      <c r="Y86" t="s">
        <v>2833</v>
      </c>
      <c r="Z86" t="s">
        <v>3097</v>
      </c>
      <c r="AA86" t="s">
        <v>3135</v>
      </c>
      <c r="AB86">
        <v>11226</v>
      </c>
      <c r="AC86" t="s">
        <v>3140</v>
      </c>
      <c r="AD86" t="s">
        <v>3225</v>
      </c>
      <c r="AE86">
        <v>-2</v>
      </c>
      <c r="AG86" t="s">
        <v>4029</v>
      </c>
      <c r="AH86" t="s">
        <v>291</v>
      </c>
      <c r="AK86" t="s">
        <v>4040</v>
      </c>
      <c r="AM86">
        <v>0</v>
      </c>
      <c r="AN86">
        <v>2360</v>
      </c>
      <c r="AO86">
        <v>1</v>
      </c>
      <c r="AQ86" t="s">
        <v>4139</v>
      </c>
      <c r="AR86" t="s">
        <v>5049</v>
      </c>
      <c r="AS86">
        <v>64</v>
      </c>
      <c r="AU86">
        <v>2</v>
      </c>
      <c r="AV86">
        <v>0</v>
      </c>
      <c r="AW86">
        <v>141.93</v>
      </c>
      <c r="BB86" t="s">
        <v>1322</v>
      </c>
      <c r="BC86">
        <v>24000</v>
      </c>
      <c r="BG86" t="s">
        <v>5894</v>
      </c>
      <c r="BJ86" t="s">
        <v>5974</v>
      </c>
      <c r="BK86" t="s">
        <v>248</v>
      </c>
      <c r="BL86" t="s">
        <v>6056</v>
      </c>
    </row>
    <row r="87" spans="1:64">
      <c r="A87" s="1">
        <f>HYPERLINK("https://lsnyc.legalserver.org/matter/dynamic-profile/view/1903720","19-1903720")</f>
        <v>0</v>
      </c>
      <c r="B87" t="s">
        <v>64</v>
      </c>
      <c r="C87" t="s">
        <v>74</v>
      </c>
      <c r="D87" t="s">
        <v>200</v>
      </c>
      <c r="E87" t="s">
        <v>201</v>
      </c>
      <c r="G87" t="s">
        <v>202</v>
      </c>
      <c r="H87" t="s">
        <v>272</v>
      </c>
      <c r="I87" t="s">
        <v>202</v>
      </c>
      <c r="J87" t="s">
        <v>289</v>
      </c>
      <c r="K87" t="s">
        <v>292</v>
      </c>
      <c r="M87" t="s">
        <v>290</v>
      </c>
      <c r="N87" t="s">
        <v>202</v>
      </c>
      <c r="O87" t="s">
        <v>421</v>
      </c>
      <c r="P87" t="s">
        <v>427</v>
      </c>
      <c r="S87" t="s">
        <v>538</v>
      </c>
      <c r="T87" t="s">
        <v>1245</v>
      </c>
      <c r="U87" t="s">
        <v>208</v>
      </c>
      <c r="W87" t="s">
        <v>1876</v>
      </c>
      <c r="X87" t="s">
        <v>1959</v>
      </c>
      <c r="Y87" t="s">
        <v>2834</v>
      </c>
      <c r="Z87" t="s">
        <v>3097</v>
      </c>
      <c r="AA87" t="s">
        <v>3135</v>
      </c>
      <c r="AB87">
        <v>11216</v>
      </c>
      <c r="AC87" t="s">
        <v>3137</v>
      </c>
      <c r="AD87" t="s">
        <v>3226</v>
      </c>
      <c r="AE87">
        <v>2</v>
      </c>
      <c r="AG87" t="s">
        <v>4029</v>
      </c>
      <c r="AH87" t="s">
        <v>291</v>
      </c>
      <c r="AI87" t="s">
        <v>291</v>
      </c>
      <c r="AK87" t="s">
        <v>4040</v>
      </c>
      <c r="AM87">
        <v>0</v>
      </c>
      <c r="AN87">
        <v>2350</v>
      </c>
      <c r="AO87">
        <v>7</v>
      </c>
      <c r="AQ87" t="s">
        <v>4140</v>
      </c>
      <c r="AR87" t="s">
        <v>5050</v>
      </c>
      <c r="AS87">
        <v>0</v>
      </c>
      <c r="AU87">
        <v>1</v>
      </c>
      <c r="AV87">
        <v>0</v>
      </c>
      <c r="AW87">
        <v>192.15</v>
      </c>
      <c r="BB87" t="s">
        <v>1322</v>
      </c>
      <c r="BC87">
        <v>24000</v>
      </c>
      <c r="BG87" t="s">
        <v>5892</v>
      </c>
      <c r="BJ87" t="s">
        <v>5949</v>
      </c>
      <c r="BK87" t="s">
        <v>257</v>
      </c>
      <c r="BL87" t="s">
        <v>6056</v>
      </c>
    </row>
    <row r="88" spans="1:64">
      <c r="A88" s="1">
        <f>HYPERLINK("https://lsnyc.legalserver.org/matter/dynamic-profile/view/1908615","19-1908615")</f>
        <v>0</v>
      </c>
      <c r="B88" t="s">
        <v>64</v>
      </c>
      <c r="C88" t="s">
        <v>74</v>
      </c>
      <c r="D88" t="s">
        <v>200</v>
      </c>
      <c r="E88" t="s">
        <v>201</v>
      </c>
      <c r="G88" t="s">
        <v>202</v>
      </c>
      <c r="H88" t="s">
        <v>272</v>
      </c>
      <c r="I88" t="s">
        <v>202</v>
      </c>
      <c r="J88" t="s">
        <v>289</v>
      </c>
      <c r="K88" t="s">
        <v>292</v>
      </c>
      <c r="M88" t="s">
        <v>290</v>
      </c>
      <c r="N88" t="s">
        <v>202</v>
      </c>
      <c r="O88" t="s">
        <v>421</v>
      </c>
      <c r="P88" t="s">
        <v>427</v>
      </c>
      <c r="S88" t="s">
        <v>539</v>
      </c>
      <c r="T88" t="s">
        <v>1246</v>
      </c>
      <c r="U88" t="s">
        <v>236</v>
      </c>
      <c r="W88" t="s">
        <v>1876</v>
      </c>
      <c r="X88" t="s">
        <v>1960</v>
      </c>
      <c r="Y88" t="s">
        <v>2835</v>
      </c>
      <c r="Z88" t="s">
        <v>3097</v>
      </c>
      <c r="AA88" t="s">
        <v>3135</v>
      </c>
      <c r="AB88">
        <v>11221</v>
      </c>
      <c r="AC88" t="s">
        <v>3137</v>
      </c>
      <c r="AD88" t="s">
        <v>3227</v>
      </c>
      <c r="AE88">
        <v>0</v>
      </c>
      <c r="AG88" t="s">
        <v>4029</v>
      </c>
      <c r="AH88" t="s">
        <v>291</v>
      </c>
      <c r="AI88" t="s">
        <v>291</v>
      </c>
      <c r="AK88" t="s">
        <v>4040</v>
      </c>
      <c r="AM88">
        <v>0</v>
      </c>
      <c r="AN88">
        <v>0</v>
      </c>
      <c r="AO88">
        <v>4</v>
      </c>
      <c r="AQ88" t="s">
        <v>4141</v>
      </c>
      <c r="AR88" t="s">
        <v>5051</v>
      </c>
      <c r="AS88">
        <v>0</v>
      </c>
      <c r="AU88">
        <v>2</v>
      </c>
      <c r="AV88">
        <v>2</v>
      </c>
      <c r="AW88">
        <v>40.08</v>
      </c>
      <c r="BB88" t="s">
        <v>1322</v>
      </c>
      <c r="BC88">
        <v>10320</v>
      </c>
      <c r="BG88" t="s">
        <v>5892</v>
      </c>
      <c r="BJ88" t="s">
        <v>5975</v>
      </c>
      <c r="BK88" t="s">
        <v>236</v>
      </c>
      <c r="BL88" t="s">
        <v>6056</v>
      </c>
    </row>
    <row r="89" spans="1:64">
      <c r="A89" s="1">
        <f>HYPERLINK("https://lsnyc.legalserver.org/matter/dynamic-profile/view/1904783","19-1904783")</f>
        <v>0</v>
      </c>
      <c r="B89" t="s">
        <v>64</v>
      </c>
      <c r="C89" t="s">
        <v>83</v>
      </c>
      <c r="D89" t="s">
        <v>200</v>
      </c>
      <c r="E89" t="s">
        <v>202</v>
      </c>
      <c r="F89" t="s">
        <v>211</v>
      </c>
      <c r="G89" t="s">
        <v>202</v>
      </c>
      <c r="H89" t="s">
        <v>271</v>
      </c>
      <c r="I89" t="s">
        <v>288</v>
      </c>
      <c r="J89" t="s">
        <v>291</v>
      </c>
      <c r="K89" t="s">
        <v>292</v>
      </c>
      <c r="M89" t="s">
        <v>290</v>
      </c>
      <c r="N89" t="s">
        <v>419</v>
      </c>
      <c r="O89" t="s">
        <v>420</v>
      </c>
      <c r="P89" t="s">
        <v>427</v>
      </c>
      <c r="S89" t="s">
        <v>534</v>
      </c>
      <c r="T89" t="s">
        <v>1247</v>
      </c>
      <c r="U89" t="s">
        <v>211</v>
      </c>
      <c r="W89" t="s">
        <v>1876</v>
      </c>
      <c r="X89" t="s">
        <v>1961</v>
      </c>
      <c r="Z89" t="s">
        <v>3097</v>
      </c>
      <c r="AA89" t="s">
        <v>3135</v>
      </c>
      <c r="AB89">
        <v>11209</v>
      </c>
      <c r="AC89" t="s">
        <v>3138</v>
      </c>
      <c r="AE89">
        <v>5</v>
      </c>
      <c r="AG89" t="s">
        <v>4028</v>
      </c>
      <c r="AH89" t="s">
        <v>291</v>
      </c>
      <c r="AK89" t="s">
        <v>4040</v>
      </c>
      <c r="AM89">
        <v>0</v>
      </c>
      <c r="AN89">
        <v>0</v>
      </c>
      <c r="AO89">
        <v>0.7</v>
      </c>
      <c r="AQ89" t="s">
        <v>4142</v>
      </c>
      <c r="AR89" t="s">
        <v>5052</v>
      </c>
      <c r="AS89">
        <v>3</v>
      </c>
      <c r="AT89" t="s">
        <v>5836</v>
      </c>
      <c r="AU89">
        <v>1</v>
      </c>
      <c r="AV89">
        <v>1</v>
      </c>
      <c r="AW89">
        <v>47.31</v>
      </c>
      <c r="BA89" t="s">
        <v>329</v>
      </c>
      <c r="BB89" t="s">
        <v>1322</v>
      </c>
      <c r="BC89">
        <v>8000</v>
      </c>
      <c r="BG89" t="s">
        <v>5893</v>
      </c>
      <c r="BJ89" t="s">
        <v>5949</v>
      </c>
      <c r="BK89" t="s">
        <v>231</v>
      </c>
    </row>
    <row r="90" spans="1:64">
      <c r="A90" s="1">
        <f>HYPERLINK("https://lsnyc.legalserver.org/matter/dynamic-profile/view/1906756","19-1906756")</f>
        <v>0</v>
      </c>
      <c r="B90" t="s">
        <v>64</v>
      </c>
      <c r="C90" t="s">
        <v>83</v>
      </c>
      <c r="D90" t="s">
        <v>200</v>
      </c>
      <c r="E90" t="s">
        <v>201</v>
      </c>
      <c r="G90" t="s">
        <v>270</v>
      </c>
      <c r="I90" t="s">
        <v>288</v>
      </c>
      <c r="J90" t="s">
        <v>290</v>
      </c>
      <c r="K90" t="s">
        <v>292</v>
      </c>
      <c r="M90" t="s">
        <v>290</v>
      </c>
      <c r="N90" t="s">
        <v>202</v>
      </c>
      <c r="O90" t="s">
        <v>423</v>
      </c>
      <c r="P90" t="s">
        <v>427</v>
      </c>
      <c r="S90" t="s">
        <v>469</v>
      </c>
      <c r="T90" t="s">
        <v>1248</v>
      </c>
      <c r="U90" t="s">
        <v>209</v>
      </c>
      <c r="W90" t="s">
        <v>1876</v>
      </c>
      <c r="X90" t="s">
        <v>1962</v>
      </c>
      <c r="Y90" t="s">
        <v>2824</v>
      </c>
      <c r="Z90" t="s">
        <v>3097</v>
      </c>
      <c r="AA90" t="s">
        <v>3135</v>
      </c>
      <c r="AB90">
        <v>11210</v>
      </c>
      <c r="AC90" t="s">
        <v>3137</v>
      </c>
      <c r="AE90">
        <v>17</v>
      </c>
      <c r="AG90" t="s">
        <v>4029</v>
      </c>
      <c r="AH90" t="s">
        <v>291</v>
      </c>
      <c r="AK90" t="s">
        <v>4040</v>
      </c>
      <c r="AM90">
        <v>0</v>
      </c>
      <c r="AN90">
        <v>900</v>
      </c>
      <c r="AO90">
        <v>1</v>
      </c>
      <c r="AQ90" t="s">
        <v>4143</v>
      </c>
      <c r="AR90" t="s">
        <v>5053</v>
      </c>
      <c r="AS90">
        <v>0</v>
      </c>
      <c r="AU90">
        <v>1</v>
      </c>
      <c r="AV90">
        <v>1</v>
      </c>
      <c r="AW90">
        <v>142.14</v>
      </c>
      <c r="BB90" t="s">
        <v>1322</v>
      </c>
      <c r="BC90">
        <v>24036</v>
      </c>
      <c r="BG90" t="s">
        <v>5893</v>
      </c>
      <c r="BJ90" t="s">
        <v>5976</v>
      </c>
      <c r="BK90" t="s">
        <v>263</v>
      </c>
    </row>
    <row r="91" spans="1:64">
      <c r="A91" s="1">
        <f>HYPERLINK("https://lsnyc.legalserver.org/matter/dynamic-profile/view/1904872","19-1904872")</f>
        <v>0</v>
      </c>
      <c r="B91" t="s">
        <v>64</v>
      </c>
      <c r="C91" t="s">
        <v>83</v>
      </c>
      <c r="D91" t="s">
        <v>200</v>
      </c>
      <c r="E91" t="s">
        <v>201</v>
      </c>
      <c r="G91" t="s">
        <v>202</v>
      </c>
      <c r="H91" t="s">
        <v>271</v>
      </c>
      <c r="I91" t="s">
        <v>288</v>
      </c>
      <c r="J91" t="s">
        <v>290</v>
      </c>
      <c r="K91" t="s">
        <v>202</v>
      </c>
      <c r="L91" t="s">
        <v>310</v>
      </c>
      <c r="M91" t="s">
        <v>290</v>
      </c>
      <c r="N91" t="s">
        <v>202</v>
      </c>
      <c r="O91" t="s">
        <v>422</v>
      </c>
      <c r="P91" t="s">
        <v>427</v>
      </c>
      <c r="S91" t="s">
        <v>540</v>
      </c>
      <c r="T91" t="s">
        <v>1249</v>
      </c>
      <c r="U91" t="s">
        <v>211</v>
      </c>
      <c r="W91" t="s">
        <v>1876</v>
      </c>
      <c r="X91" t="s">
        <v>1963</v>
      </c>
      <c r="Y91" t="s">
        <v>2836</v>
      </c>
      <c r="Z91" t="s">
        <v>3097</v>
      </c>
      <c r="AA91" t="s">
        <v>3135</v>
      </c>
      <c r="AB91">
        <v>11216</v>
      </c>
      <c r="AC91" t="s">
        <v>3140</v>
      </c>
      <c r="AD91" t="s">
        <v>3228</v>
      </c>
      <c r="AE91">
        <v>6</v>
      </c>
      <c r="AG91" t="s">
        <v>4029</v>
      </c>
      <c r="AH91" t="s">
        <v>291</v>
      </c>
      <c r="AK91" t="s">
        <v>4040</v>
      </c>
      <c r="AM91">
        <v>0</v>
      </c>
      <c r="AN91">
        <v>654</v>
      </c>
      <c r="AO91">
        <v>0.7</v>
      </c>
      <c r="AQ91" t="s">
        <v>4144</v>
      </c>
      <c r="AR91" t="s">
        <v>5054</v>
      </c>
      <c r="AS91">
        <v>40</v>
      </c>
      <c r="AT91" t="s">
        <v>5838</v>
      </c>
      <c r="AU91">
        <v>1</v>
      </c>
      <c r="AV91">
        <v>0</v>
      </c>
      <c r="AW91">
        <v>208.17</v>
      </c>
      <c r="AX91" t="s">
        <v>221</v>
      </c>
      <c r="AY91" t="s">
        <v>5849</v>
      </c>
      <c r="BB91" t="s">
        <v>1322</v>
      </c>
      <c r="BC91">
        <v>26000</v>
      </c>
      <c r="BG91" t="s">
        <v>5893</v>
      </c>
      <c r="BJ91" t="s">
        <v>5951</v>
      </c>
      <c r="BK91" t="s">
        <v>249</v>
      </c>
    </row>
    <row r="92" spans="1:64">
      <c r="A92" s="1">
        <f>HYPERLINK("https://lsnyc.legalserver.org/matter/dynamic-profile/view/1904137","19-1904137")</f>
        <v>0</v>
      </c>
      <c r="B92" t="s">
        <v>64</v>
      </c>
      <c r="C92" t="s">
        <v>83</v>
      </c>
      <c r="D92" t="s">
        <v>200</v>
      </c>
      <c r="E92" t="s">
        <v>203</v>
      </c>
      <c r="F92" t="s">
        <v>212</v>
      </c>
      <c r="G92" t="s">
        <v>202</v>
      </c>
      <c r="H92" t="s">
        <v>272</v>
      </c>
      <c r="I92" t="s">
        <v>202</v>
      </c>
      <c r="J92" t="s">
        <v>289</v>
      </c>
      <c r="K92" t="s">
        <v>292</v>
      </c>
      <c r="M92" t="s">
        <v>290</v>
      </c>
      <c r="N92" t="s">
        <v>202</v>
      </c>
      <c r="O92" t="s">
        <v>421</v>
      </c>
      <c r="P92" t="s">
        <v>202</v>
      </c>
      <c r="Q92" t="s">
        <v>430</v>
      </c>
      <c r="R92" t="s">
        <v>434</v>
      </c>
      <c r="S92" t="s">
        <v>469</v>
      </c>
      <c r="T92" t="s">
        <v>1250</v>
      </c>
      <c r="U92" t="s">
        <v>227</v>
      </c>
      <c r="V92" t="s">
        <v>211</v>
      </c>
      <c r="W92" t="s">
        <v>1877</v>
      </c>
      <c r="X92" t="s">
        <v>1964</v>
      </c>
      <c r="Y92" t="s">
        <v>2837</v>
      </c>
      <c r="Z92" t="s">
        <v>3097</v>
      </c>
      <c r="AA92" t="s">
        <v>3135</v>
      </c>
      <c r="AB92">
        <v>11221</v>
      </c>
      <c r="AC92" t="s">
        <v>3136</v>
      </c>
      <c r="AD92" t="s">
        <v>3229</v>
      </c>
      <c r="AE92">
        <v>5</v>
      </c>
      <c r="AF92" t="s">
        <v>4024</v>
      </c>
      <c r="AG92" t="s">
        <v>4029</v>
      </c>
      <c r="AH92" t="s">
        <v>291</v>
      </c>
      <c r="AI92" t="s">
        <v>291</v>
      </c>
      <c r="AK92" t="s">
        <v>4041</v>
      </c>
      <c r="AL92" t="s">
        <v>4046</v>
      </c>
      <c r="AM92">
        <v>0</v>
      </c>
      <c r="AN92">
        <v>1594</v>
      </c>
      <c r="AO92">
        <v>2</v>
      </c>
      <c r="AP92" t="s">
        <v>4053</v>
      </c>
      <c r="AQ92" t="s">
        <v>4145</v>
      </c>
      <c r="AR92" t="s">
        <v>5055</v>
      </c>
      <c r="AS92">
        <v>40</v>
      </c>
      <c r="AT92" t="s">
        <v>5837</v>
      </c>
      <c r="AU92">
        <v>1</v>
      </c>
      <c r="AV92">
        <v>0</v>
      </c>
      <c r="AW92">
        <v>82.43000000000001</v>
      </c>
      <c r="BA92" t="s">
        <v>329</v>
      </c>
      <c r="BB92" t="s">
        <v>1322</v>
      </c>
      <c r="BC92">
        <v>10296</v>
      </c>
      <c r="BG92" t="s">
        <v>5893</v>
      </c>
      <c r="BH92" t="s">
        <v>5927</v>
      </c>
      <c r="BI92" t="s">
        <v>5932</v>
      </c>
      <c r="BJ92" t="s">
        <v>5959</v>
      </c>
      <c r="BK92" t="s">
        <v>211</v>
      </c>
      <c r="BL92" t="s">
        <v>6056</v>
      </c>
    </row>
    <row r="93" spans="1:64">
      <c r="A93" s="1">
        <f>HYPERLINK("https://lsnyc.legalserver.org/matter/dynamic-profile/view/1904130","19-1904130")</f>
        <v>0</v>
      </c>
      <c r="B93" t="s">
        <v>64</v>
      </c>
      <c r="C93" t="s">
        <v>83</v>
      </c>
      <c r="D93" t="s">
        <v>200</v>
      </c>
      <c r="E93" t="s">
        <v>201</v>
      </c>
      <c r="G93" t="s">
        <v>202</v>
      </c>
      <c r="H93" t="s">
        <v>272</v>
      </c>
      <c r="I93" t="s">
        <v>202</v>
      </c>
      <c r="J93" t="s">
        <v>289</v>
      </c>
      <c r="K93" t="s">
        <v>292</v>
      </c>
      <c r="M93" t="s">
        <v>290</v>
      </c>
      <c r="N93" t="s">
        <v>202</v>
      </c>
      <c r="O93" t="s">
        <v>421</v>
      </c>
      <c r="P93" t="s">
        <v>427</v>
      </c>
      <c r="S93" t="s">
        <v>541</v>
      </c>
      <c r="T93" t="s">
        <v>1251</v>
      </c>
      <c r="U93" t="s">
        <v>227</v>
      </c>
      <c r="W93" t="s">
        <v>1876</v>
      </c>
      <c r="X93" t="s">
        <v>1900</v>
      </c>
      <c r="Y93" t="s">
        <v>2838</v>
      </c>
      <c r="Z93" t="s">
        <v>3097</v>
      </c>
      <c r="AA93" t="s">
        <v>3135</v>
      </c>
      <c r="AB93">
        <v>11216</v>
      </c>
      <c r="AC93" t="s">
        <v>3137</v>
      </c>
      <c r="AD93" t="s">
        <v>3230</v>
      </c>
      <c r="AE93">
        <v>11</v>
      </c>
      <c r="AG93" t="s">
        <v>4029</v>
      </c>
      <c r="AH93" t="s">
        <v>291</v>
      </c>
      <c r="AI93" t="s">
        <v>291</v>
      </c>
      <c r="AK93" t="s">
        <v>4040</v>
      </c>
      <c r="AM93">
        <v>0</v>
      </c>
      <c r="AN93">
        <v>202</v>
      </c>
      <c r="AO93">
        <v>1.2</v>
      </c>
      <c r="AQ93" t="s">
        <v>4146</v>
      </c>
      <c r="AR93" t="s">
        <v>5056</v>
      </c>
      <c r="AS93">
        <v>0</v>
      </c>
      <c r="AU93">
        <v>1</v>
      </c>
      <c r="AV93">
        <v>0</v>
      </c>
      <c r="AW93">
        <v>81.67</v>
      </c>
      <c r="BB93" t="s">
        <v>1322</v>
      </c>
      <c r="BC93">
        <v>10200</v>
      </c>
      <c r="BG93" t="s">
        <v>5892</v>
      </c>
      <c r="BJ93" t="s">
        <v>5942</v>
      </c>
      <c r="BK93" t="s">
        <v>217</v>
      </c>
      <c r="BL93" t="s">
        <v>6056</v>
      </c>
    </row>
    <row r="94" spans="1:64">
      <c r="A94" s="1">
        <f>HYPERLINK("https://lsnyc.legalserver.org/matter/dynamic-profile/view/1906339","19-1906339")</f>
        <v>0</v>
      </c>
      <c r="B94" t="s">
        <v>64</v>
      </c>
      <c r="C94" t="s">
        <v>83</v>
      </c>
      <c r="D94" t="s">
        <v>200</v>
      </c>
      <c r="E94" t="s">
        <v>201</v>
      </c>
      <c r="G94" t="s">
        <v>270</v>
      </c>
      <c r="I94" t="s">
        <v>288</v>
      </c>
      <c r="J94" t="s">
        <v>291</v>
      </c>
      <c r="K94" t="s">
        <v>292</v>
      </c>
      <c r="M94" t="s">
        <v>290</v>
      </c>
      <c r="N94" t="s">
        <v>419</v>
      </c>
      <c r="O94" t="s">
        <v>420</v>
      </c>
      <c r="P94" t="s">
        <v>427</v>
      </c>
      <c r="S94" t="s">
        <v>542</v>
      </c>
      <c r="T94" t="s">
        <v>1252</v>
      </c>
      <c r="U94" t="s">
        <v>249</v>
      </c>
      <c r="W94" t="s">
        <v>1876</v>
      </c>
      <c r="X94" t="s">
        <v>1965</v>
      </c>
      <c r="Y94" t="s">
        <v>2839</v>
      </c>
      <c r="Z94" t="s">
        <v>3097</v>
      </c>
      <c r="AA94" t="s">
        <v>3135</v>
      </c>
      <c r="AB94">
        <v>11225</v>
      </c>
      <c r="AC94" t="s">
        <v>3136</v>
      </c>
      <c r="AE94">
        <v>15</v>
      </c>
      <c r="AG94" t="s">
        <v>4029</v>
      </c>
      <c r="AH94" t="s">
        <v>291</v>
      </c>
      <c r="AK94" t="s">
        <v>4040</v>
      </c>
      <c r="AM94">
        <v>0</v>
      </c>
      <c r="AN94">
        <v>1254.73</v>
      </c>
      <c r="AO94">
        <v>0.5</v>
      </c>
      <c r="AQ94" t="s">
        <v>4147</v>
      </c>
      <c r="AR94" t="s">
        <v>5057</v>
      </c>
      <c r="AS94">
        <v>60</v>
      </c>
      <c r="AT94" t="s">
        <v>5838</v>
      </c>
      <c r="AU94">
        <v>1</v>
      </c>
      <c r="AV94">
        <v>0</v>
      </c>
      <c r="AW94">
        <v>187.35</v>
      </c>
      <c r="BB94" t="s">
        <v>1322</v>
      </c>
      <c r="BC94">
        <v>23400</v>
      </c>
      <c r="BG94" t="s">
        <v>5893</v>
      </c>
      <c r="BJ94" t="s">
        <v>5946</v>
      </c>
      <c r="BK94" t="s">
        <v>241</v>
      </c>
    </row>
    <row r="95" spans="1:64">
      <c r="A95" s="1">
        <f>HYPERLINK("https://lsnyc.legalserver.org/matter/dynamic-profile/view/1905525","19-1905525")</f>
        <v>0</v>
      </c>
      <c r="B95" t="s">
        <v>64</v>
      </c>
      <c r="C95" t="s">
        <v>84</v>
      </c>
      <c r="D95" t="s">
        <v>200</v>
      </c>
      <c r="E95" t="s">
        <v>201</v>
      </c>
      <c r="G95" t="s">
        <v>202</v>
      </c>
      <c r="H95" t="s">
        <v>272</v>
      </c>
      <c r="I95" t="s">
        <v>288</v>
      </c>
      <c r="J95" t="s">
        <v>290</v>
      </c>
      <c r="K95" t="s">
        <v>292</v>
      </c>
      <c r="M95" t="s">
        <v>290</v>
      </c>
      <c r="N95" t="s">
        <v>419</v>
      </c>
      <c r="O95" t="s">
        <v>420</v>
      </c>
      <c r="P95" t="s">
        <v>202</v>
      </c>
      <c r="Q95" t="s">
        <v>430</v>
      </c>
      <c r="R95" t="s">
        <v>435</v>
      </c>
      <c r="S95" t="s">
        <v>543</v>
      </c>
      <c r="T95" t="s">
        <v>1253</v>
      </c>
      <c r="U95" t="s">
        <v>232</v>
      </c>
      <c r="V95" t="s">
        <v>267</v>
      </c>
      <c r="W95" t="s">
        <v>1877</v>
      </c>
      <c r="X95" t="s">
        <v>1966</v>
      </c>
      <c r="Y95">
        <v>412</v>
      </c>
      <c r="Z95" t="s">
        <v>3097</v>
      </c>
      <c r="AA95" t="s">
        <v>3135</v>
      </c>
      <c r="AB95">
        <v>11216</v>
      </c>
      <c r="AC95" t="s">
        <v>3140</v>
      </c>
      <c r="AD95" t="s">
        <v>3231</v>
      </c>
      <c r="AE95">
        <v>6</v>
      </c>
      <c r="AF95" t="s">
        <v>4024</v>
      </c>
      <c r="AG95" t="s">
        <v>4029</v>
      </c>
      <c r="AH95" t="s">
        <v>291</v>
      </c>
      <c r="AI95" t="s">
        <v>291</v>
      </c>
      <c r="AK95" t="s">
        <v>4040</v>
      </c>
      <c r="AM95">
        <v>0</v>
      </c>
      <c r="AN95">
        <v>1400</v>
      </c>
      <c r="AO95">
        <v>3.7</v>
      </c>
      <c r="AP95" t="s">
        <v>4054</v>
      </c>
      <c r="AQ95" t="s">
        <v>4148</v>
      </c>
      <c r="AR95" t="s">
        <v>5058</v>
      </c>
      <c r="AS95">
        <v>71</v>
      </c>
      <c r="AT95" t="s">
        <v>5838</v>
      </c>
      <c r="AU95">
        <v>1</v>
      </c>
      <c r="AV95">
        <v>0</v>
      </c>
      <c r="AW95">
        <v>39.14</v>
      </c>
      <c r="BC95">
        <v>4888</v>
      </c>
      <c r="BG95" t="s">
        <v>5896</v>
      </c>
      <c r="BI95" t="s">
        <v>5933</v>
      </c>
      <c r="BJ95" t="s">
        <v>5948</v>
      </c>
      <c r="BK95" t="s">
        <v>267</v>
      </c>
    </row>
    <row r="96" spans="1:64">
      <c r="A96" s="1">
        <f>HYPERLINK("https://lsnyc.legalserver.org/matter/dynamic-profile/view/1906195","19-1906195")</f>
        <v>0</v>
      </c>
      <c r="B96" t="s">
        <v>64</v>
      </c>
      <c r="C96" t="s">
        <v>85</v>
      </c>
      <c r="D96" t="s">
        <v>200</v>
      </c>
      <c r="E96" t="s">
        <v>201</v>
      </c>
      <c r="G96" t="s">
        <v>270</v>
      </c>
      <c r="I96" t="s">
        <v>202</v>
      </c>
      <c r="J96" t="s">
        <v>289</v>
      </c>
      <c r="K96" t="s">
        <v>292</v>
      </c>
      <c r="M96" t="s">
        <v>290</v>
      </c>
      <c r="N96" t="s">
        <v>419</v>
      </c>
      <c r="O96" t="s">
        <v>420</v>
      </c>
      <c r="P96" t="s">
        <v>427</v>
      </c>
      <c r="S96" t="s">
        <v>544</v>
      </c>
      <c r="T96" t="s">
        <v>1254</v>
      </c>
      <c r="U96" t="s">
        <v>261</v>
      </c>
      <c r="W96" t="s">
        <v>1876</v>
      </c>
      <c r="X96" t="s">
        <v>1967</v>
      </c>
      <c r="Y96" t="s">
        <v>2840</v>
      </c>
      <c r="Z96" t="s">
        <v>3097</v>
      </c>
      <c r="AA96" t="s">
        <v>3135</v>
      </c>
      <c r="AB96">
        <v>11221</v>
      </c>
      <c r="AC96" t="s">
        <v>3137</v>
      </c>
      <c r="AD96" t="s">
        <v>3232</v>
      </c>
      <c r="AE96">
        <v>1</v>
      </c>
      <c r="AG96" t="s">
        <v>4029</v>
      </c>
      <c r="AH96" t="s">
        <v>291</v>
      </c>
      <c r="AK96" t="s">
        <v>4040</v>
      </c>
      <c r="AM96">
        <v>0</v>
      </c>
      <c r="AN96">
        <v>1081</v>
      </c>
      <c r="AO96">
        <v>0</v>
      </c>
      <c r="AQ96" t="s">
        <v>4149</v>
      </c>
      <c r="AR96" t="s">
        <v>5059</v>
      </c>
      <c r="AS96">
        <v>3</v>
      </c>
      <c r="AU96">
        <v>1</v>
      </c>
      <c r="AV96">
        <v>0</v>
      </c>
      <c r="AW96">
        <v>38.43</v>
      </c>
      <c r="BA96" t="s">
        <v>329</v>
      </c>
      <c r="BB96" t="s">
        <v>1322</v>
      </c>
      <c r="BC96">
        <v>4800</v>
      </c>
      <c r="BG96" t="s">
        <v>5894</v>
      </c>
      <c r="BJ96" t="s">
        <v>5955</v>
      </c>
      <c r="BL96" t="s">
        <v>6056</v>
      </c>
    </row>
    <row r="97" spans="1:64">
      <c r="A97" s="1">
        <f>HYPERLINK("https://lsnyc.legalserver.org/matter/dynamic-profile/view/1904618","19-1904618")</f>
        <v>0</v>
      </c>
      <c r="B97" t="s">
        <v>64</v>
      </c>
      <c r="C97" t="s">
        <v>85</v>
      </c>
      <c r="D97" t="s">
        <v>200</v>
      </c>
      <c r="E97" t="s">
        <v>201</v>
      </c>
      <c r="G97" t="s">
        <v>202</v>
      </c>
      <c r="H97" t="s">
        <v>271</v>
      </c>
      <c r="I97" t="s">
        <v>202</v>
      </c>
      <c r="J97" t="s">
        <v>289</v>
      </c>
      <c r="K97" t="s">
        <v>292</v>
      </c>
      <c r="M97" t="s">
        <v>290</v>
      </c>
      <c r="N97" t="s">
        <v>202</v>
      </c>
      <c r="O97" t="s">
        <v>421</v>
      </c>
      <c r="P97" t="s">
        <v>427</v>
      </c>
      <c r="S97" t="s">
        <v>545</v>
      </c>
      <c r="T97" t="s">
        <v>1255</v>
      </c>
      <c r="U97" t="s">
        <v>246</v>
      </c>
      <c r="W97" t="s">
        <v>1876</v>
      </c>
      <c r="X97" t="s">
        <v>1968</v>
      </c>
      <c r="Y97">
        <v>1</v>
      </c>
      <c r="Z97" t="s">
        <v>3097</v>
      </c>
      <c r="AA97" t="s">
        <v>3135</v>
      </c>
      <c r="AB97">
        <v>11216</v>
      </c>
      <c r="AC97" t="s">
        <v>3137</v>
      </c>
      <c r="AD97" t="s">
        <v>3233</v>
      </c>
      <c r="AE97">
        <v>2</v>
      </c>
      <c r="AG97" t="s">
        <v>4029</v>
      </c>
      <c r="AH97" t="s">
        <v>291</v>
      </c>
      <c r="AK97" t="s">
        <v>4040</v>
      </c>
      <c r="AM97">
        <v>0</v>
      </c>
      <c r="AN97">
        <v>1200</v>
      </c>
      <c r="AO97">
        <v>1.8</v>
      </c>
      <c r="AQ97" t="s">
        <v>4150</v>
      </c>
      <c r="AR97" t="s">
        <v>5060</v>
      </c>
      <c r="AS97">
        <v>0</v>
      </c>
      <c r="AU97">
        <v>1</v>
      </c>
      <c r="AV97">
        <v>0</v>
      </c>
      <c r="AW97">
        <v>184.15</v>
      </c>
      <c r="BB97" t="s">
        <v>1322</v>
      </c>
      <c r="BC97">
        <v>23000</v>
      </c>
      <c r="BG97" t="s">
        <v>5892</v>
      </c>
      <c r="BJ97" t="s">
        <v>5949</v>
      </c>
      <c r="BK97" t="s">
        <v>225</v>
      </c>
      <c r="BL97" t="s">
        <v>6056</v>
      </c>
    </row>
    <row r="98" spans="1:64">
      <c r="A98" s="1">
        <f>HYPERLINK("https://lsnyc.legalserver.org/matter/dynamic-profile/view/1906189","19-1906189")</f>
        <v>0</v>
      </c>
      <c r="B98" t="s">
        <v>64</v>
      </c>
      <c r="C98" t="s">
        <v>86</v>
      </c>
      <c r="D98" t="s">
        <v>200</v>
      </c>
      <c r="E98" t="s">
        <v>201</v>
      </c>
      <c r="G98" t="s">
        <v>202</v>
      </c>
      <c r="H98" t="s">
        <v>271</v>
      </c>
      <c r="I98" t="s">
        <v>202</v>
      </c>
      <c r="J98" t="s">
        <v>289</v>
      </c>
      <c r="K98" t="s">
        <v>292</v>
      </c>
      <c r="M98" t="s">
        <v>290</v>
      </c>
      <c r="N98" t="s">
        <v>419</v>
      </c>
      <c r="O98" t="s">
        <v>420</v>
      </c>
      <c r="P98" t="s">
        <v>427</v>
      </c>
      <c r="S98" t="s">
        <v>546</v>
      </c>
      <c r="T98" t="s">
        <v>1256</v>
      </c>
      <c r="U98" t="s">
        <v>249</v>
      </c>
      <c r="W98" t="s">
        <v>1876</v>
      </c>
      <c r="X98" t="s">
        <v>1969</v>
      </c>
      <c r="Y98" t="s">
        <v>2841</v>
      </c>
      <c r="Z98" t="s">
        <v>3097</v>
      </c>
      <c r="AA98" t="s">
        <v>3135</v>
      </c>
      <c r="AB98">
        <v>11203</v>
      </c>
      <c r="AC98" t="s">
        <v>3136</v>
      </c>
      <c r="AD98" t="s">
        <v>3234</v>
      </c>
      <c r="AE98">
        <v>31</v>
      </c>
      <c r="AG98" t="s">
        <v>4028</v>
      </c>
      <c r="AH98" t="s">
        <v>291</v>
      </c>
      <c r="AK98" t="s">
        <v>4040</v>
      </c>
      <c r="AM98">
        <v>0</v>
      </c>
      <c r="AN98">
        <v>514</v>
      </c>
      <c r="AO98">
        <v>1.3</v>
      </c>
      <c r="AQ98" t="s">
        <v>4151</v>
      </c>
      <c r="AR98" t="s">
        <v>5061</v>
      </c>
      <c r="AS98">
        <v>127</v>
      </c>
      <c r="AU98">
        <v>1</v>
      </c>
      <c r="AV98">
        <v>0</v>
      </c>
      <c r="AW98">
        <v>83.47</v>
      </c>
      <c r="BA98" t="s">
        <v>329</v>
      </c>
      <c r="BB98" t="s">
        <v>1322</v>
      </c>
      <c r="BC98">
        <v>10426</v>
      </c>
      <c r="BG98" t="s">
        <v>5894</v>
      </c>
      <c r="BJ98" t="s">
        <v>5944</v>
      </c>
      <c r="BK98" t="s">
        <v>247</v>
      </c>
      <c r="BL98" t="s">
        <v>6056</v>
      </c>
    </row>
    <row r="99" spans="1:64">
      <c r="A99" s="1">
        <f>HYPERLINK("https://lsnyc.legalserver.org/matter/dynamic-profile/view/1904626","19-1904626")</f>
        <v>0</v>
      </c>
      <c r="B99" t="s">
        <v>64</v>
      </c>
      <c r="C99" t="s">
        <v>86</v>
      </c>
      <c r="D99" t="s">
        <v>200</v>
      </c>
      <c r="E99" t="s">
        <v>201</v>
      </c>
      <c r="G99" t="s">
        <v>202</v>
      </c>
      <c r="H99" t="s">
        <v>272</v>
      </c>
      <c r="I99" t="s">
        <v>202</v>
      </c>
      <c r="J99" t="s">
        <v>289</v>
      </c>
      <c r="K99" t="s">
        <v>292</v>
      </c>
      <c r="M99" t="s">
        <v>290</v>
      </c>
      <c r="N99" t="s">
        <v>419</v>
      </c>
      <c r="O99" t="s">
        <v>420</v>
      </c>
      <c r="P99" t="s">
        <v>427</v>
      </c>
      <c r="S99" t="s">
        <v>547</v>
      </c>
      <c r="T99" t="s">
        <v>1257</v>
      </c>
      <c r="U99" t="s">
        <v>246</v>
      </c>
      <c r="W99" t="s">
        <v>1876</v>
      </c>
      <c r="X99" t="s">
        <v>1970</v>
      </c>
      <c r="Y99" t="s">
        <v>2842</v>
      </c>
      <c r="Z99" t="s">
        <v>3097</v>
      </c>
      <c r="AA99" t="s">
        <v>3135</v>
      </c>
      <c r="AB99">
        <v>11226</v>
      </c>
      <c r="AC99" t="s">
        <v>3136</v>
      </c>
      <c r="AD99" t="s">
        <v>3235</v>
      </c>
      <c r="AE99">
        <v>4</v>
      </c>
      <c r="AG99" t="s">
        <v>4029</v>
      </c>
      <c r="AH99" t="s">
        <v>291</v>
      </c>
      <c r="AK99" t="s">
        <v>4040</v>
      </c>
      <c r="AM99">
        <v>0</v>
      </c>
      <c r="AN99">
        <v>1497.5</v>
      </c>
      <c r="AO99">
        <v>4.8</v>
      </c>
      <c r="AQ99" t="s">
        <v>4152</v>
      </c>
      <c r="AR99" t="s">
        <v>5062</v>
      </c>
      <c r="AS99">
        <v>61</v>
      </c>
      <c r="AU99">
        <v>1</v>
      </c>
      <c r="AV99">
        <v>0</v>
      </c>
      <c r="AW99">
        <v>0</v>
      </c>
      <c r="BB99" t="s">
        <v>1322</v>
      </c>
      <c r="BC99">
        <v>0</v>
      </c>
      <c r="BG99" t="s">
        <v>5894</v>
      </c>
      <c r="BJ99" t="s">
        <v>5945</v>
      </c>
      <c r="BK99" t="s">
        <v>264</v>
      </c>
      <c r="BL99" t="s">
        <v>6056</v>
      </c>
    </row>
    <row r="100" spans="1:64">
      <c r="A100" s="1">
        <f>HYPERLINK("https://lsnyc.legalserver.org/matter/dynamic-profile/view/1909044","19-1909044")</f>
        <v>0</v>
      </c>
      <c r="B100" t="s">
        <v>64</v>
      </c>
      <c r="C100" t="s">
        <v>86</v>
      </c>
      <c r="D100" t="s">
        <v>200</v>
      </c>
      <c r="E100" t="s">
        <v>201</v>
      </c>
      <c r="G100" t="s">
        <v>202</v>
      </c>
      <c r="H100" t="s">
        <v>272</v>
      </c>
      <c r="I100" t="s">
        <v>202</v>
      </c>
      <c r="J100" t="s">
        <v>289</v>
      </c>
      <c r="K100" t="s">
        <v>292</v>
      </c>
      <c r="M100" t="s">
        <v>290</v>
      </c>
      <c r="N100" t="s">
        <v>202</v>
      </c>
      <c r="O100" t="s">
        <v>421</v>
      </c>
      <c r="P100" t="s">
        <v>427</v>
      </c>
      <c r="S100" t="s">
        <v>548</v>
      </c>
      <c r="T100" t="s">
        <v>1258</v>
      </c>
      <c r="U100" t="s">
        <v>256</v>
      </c>
      <c r="W100" t="s">
        <v>1876</v>
      </c>
      <c r="X100" t="s">
        <v>1971</v>
      </c>
      <c r="Y100" t="s">
        <v>2843</v>
      </c>
      <c r="Z100" t="s">
        <v>3097</v>
      </c>
      <c r="AA100" t="s">
        <v>3135</v>
      </c>
      <c r="AB100">
        <v>11221</v>
      </c>
      <c r="AC100" t="s">
        <v>3137</v>
      </c>
      <c r="AD100" t="s">
        <v>3236</v>
      </c>
      <c r="AE100">
        <v>0</v>
      </c>
      <c r="AG100" t="s">
        <v>4029</v>
      </c>
      <c r="AH100" t="s">
        <v>291</v>
      </c>
      <c r="AI100" t="s">
        <v>291</v>
      </c>
      <c r="AK100" t="s">
        <v>4040</v>
      </c>
      <c r="AM100">
        <v>0</v>
      </c>
      <c r="AN100">
        <v>0</v>
      </c>
      <c r="AO100">
        <v>1.5</v>
      </c>
      <c r="AQ100" t="s">
        <v>4153</v>
      </c>
      <c r="AR100" t="s">
        <v>5063</v>
      </c>
      <c r="AS100">
        <v>0</v>
      </c>
      <c r="AU100">
        <v>1</v>
      </c>
      <c r="AV100">
        <v>0</v>
      </c>
      <c r="AW100">
        <v>18.94</v>
      </c>
      <c r="BB100" t="s">
        <v>1322</v>
      </c>
      <c r="BC100">
        <v>2366</v>
      </c>
      <c r="BG100" t="s">
        <v>5892</v>
      </c>
      <c r="BJ100" t="s">
        <v>5948</v>
      </c>
      <c r="BK100" t="s">
        <v>238</v>
      </c>
      <c r="BL100" t="s">
        <v>6056</v>
      </c>
    </row>
    <row r="101" spans="1:64">
      <c r="A101" s="1">
        <f>HYPERLINK("https://lsnyc.legalserver.org/matter/dynamic-profile/view/1904790","19-1904790")</f>
        <v>0</v>
      </c>
      <c r="B101" t="s">
        <v>64</v>
      </c>
      <c r="C101" t="s">
        <v>86</v>
      </c>
      <c r="D101" t="s">
        <v>200</v>
      </c>
      <c r="E101" t="s">
        <v>201</v>
      </c>
      <c r="G101" t="s">
        <v>202</v>
      </c>
      <c r="H101" t="s">
        <v>272</v>
      </c>
      <c r="I101" t="s">
        <v>202</v>
      </c>
      <c r="J101" t="s">
        <v>289</v>
      </c>
      <c r="K101" t="s">
        <v>292</v>
      </c>
      <c r="M101" t="s">
        <v>290</v>
      </c>
      <c r="N101" t="s">
        <v>202</v>
      </c>
      <c r="O101" t="s">
        <v>421</v>
      </c>
      <c r="P101" t="s">
        <v>427</v>
      </c>
      <c r="S101" t="s">
        <v>549</v>
      </c>
      <c r="T101" t="s">
        <v>1259</v>
      </c>
      <c r="U101" t="s">
        <v>211</v>
      </c>
      <c r="W101" t="s">
        <v>1876</v>
      </c>
      <c r="X101" t="s">
        <v>1972</v>
      </c>
      <c r="Y101" t="s">
        <v>2822</v>
      </c>
      <c r="Z101" t="s">
        <v>3097</v>
      </c>
      <c r="AA101" t="s">
        <v>3135</v>
      </c>
      <c r="AB101">
        <v>11218</v>
      </c>
      <c r="AC101" t="s">
        <v>3136</v>
      </c>
      <c r="AD101" t="s">
        <v>3237</v>
      </c>
      <c r="AE101">
        <v>13</v>
      </c>
      <c r="AG101" t="s">
        <v>4028</v>
      </c>
      <c r="AH101" t="s">
        <v>291</v>
      </c>
      <c r="AK101" t="s">
        <v>4040</v>
      </c>
      <c r="AM101">
        <v>0</v>
      </c>
      <c r="AN101">
        <v>1500</v>
      </c>
      <c r="AO101">
        <v>32</v>
      </c>
      <c r="AQ101" t="s">
        <v>4154</v>
      </c>
      <c r="AR101" t="s">
        <v>5064</v>
      </c>
      <c r="AS101">
        <v>57</v>
      </c>
      <c r="AU101">
        <v>1</v>
      </c>
      <c r="AV101">
        <v>0</v>
      </c>
      <c r="AW101">
        <v>0</v>
      </c>
      <c r="BC101">
        <v>0</v>
      </c>
      <c r="BG101" t="s">
        <v>5894</v>
      </c>
      <c r="BJ101" t="s">
        <v>5945</v>
      </c>
      <c r="BK101" t="s">
        <v>266</v>
      </c>
      <c r="BL101" t="s">
        <v>6056</v>
      </c>
    </row>
    <row r="102" spans="1:64">
      <c r="A102" s="1">
        <f>HYPERLINK("https://lsnyc.legalserver.org/matter/dynamic-profile/view/1909257","19-1909257")</f>
        <v>0</v>
      </c>
      <c r="B102" t="s">
        <v>64</v>
      </c>
      <c r="C102" t="s">
        <v>86</v>
      </c>
      <c r="D102" t="s">
        <v>200</v>
      </c>
      <c r="E102" t="s">
        <v>201</v>
      </c>
      <c r="G102" t="s">
        <v>202</v>
      </c>
      <c r="H102" t="s">
        <v>271</v>
      </c>
      <c r="I102" t="s">
        <v>202</v>
      </c>
      <c r="J102" t="s">
        <v>289</v>
      </c>
      <c r="K102" t="s">
        <v>292</v>
      </c>
      <c r="M102" t="s">
        <v>290</v>
      </c>
      <c r="N102" t="s">
        <v>202</v>
      </c>
      <c r="O102" t="s">
        <v>421</v>
      </c>
      <c r="P102" t="s">
        <v>427</v>
      </c>
      <c r="S102" t="s">
        <v>550</v>
      </c>
      <c r="T102" t="s">
        <v>1260</v>
      </c>
      <c r="U102" t="s">
        <v>263</v>
      </c>
      <c r="W102" t="s">
        <v>1876</v>
      </c>
      <c r="X102" t="s">
        <v>1973</v>
      </c>
      <c r="Y102" t="s">
        <v>2844</v>
      </c>
      <c r="Z102" t="s">
        <v>3097</v>
      </c>
      <c r="AA102" t="s">
        <v>3135</v>
      </c>
      <c r="AB102">
        <v>11221</v>
      </c>
      <c r="AC102" t="s">
        <v>3137</v>
      </c>
      <c r="AD102" t="s">
        <v>3238</v>
      </c>
      <c r="AE102">
        <v>0</v>
      </c>
      <c r="AG102" t="s">
        <v>4029</v>
      </c>
      <c r="AH102" t="s">
        <v>291</v>
      </c>
      <c r="AI102" t="s">
        <v>291</v>
      </c>
      <c r="AK102" t="s">
        <v>4040</v>
      </c>
      <c r="AM102">
        <v>0</v>
      </c>
      <c r="AN102">
        <v>0</v>
      </c>
      <c r="AO102">
        <v>1.6</v>
      </c>
      <c r="AQ102" t="s">
        <v>4155</v>
      </c>
      <c r="AR102" t="s">
        <v>5065</v>
      </c>
      <c r="AS102">
        <v>0</v>
      </c>
      <c r="AU102">
        <v>1</v>
      </c>
      <c r="AV102">
        <v>0</v>
      </c>
      <c r="AW102">
        <v>0</v>
      </c>
      <c r="BB102" t="s">
        <v>1322</v>
      </c>
      <c r="BC102">
        <v>0</v>
      </c>
      <c r="BG102" t="s">
        <v>5892</v>
      </c>
      <c r="BJ102" t="s">
        <v>5945</v>
      </c>
      <c r="BK102" t="s">
        <v>230</v>
      </c>
      <c r="BL102" t="s">
        <v>6056</v>
      </c>
    </row>
    <row r="103" spans="1:64">
      <c r="A103" s="1">
        <f>HYPERLINK("https://lsnyc.legalserver.org/matter/dynamic-profile/view/1907030","19-1907030")</f>
        <v>0</v>
      </c>
      <c r="B103" t="s">
        <v>64</v>
      </c>
      <c r="C103" t="s">
        <v>86</v>
      </c>
      <c r="D103" t="s">
        <v>200</v>
      </c>
      <c r="E103" t="s">
        <v>201</v>
      </c>
      <c r="G103" t="s">
        <v>202</v>
      </c>
      <c r="H103" t="s">
        <v>272</v>
      </c>
      <c r="I103" t="s">
        <v>202</v>
      </c>
      <c r="J103" t="s">
        <v>289</v>
      </c>
      <c r="K103" t="s">
        <v>292</v>
      </c>
      <c r="M103" t="s">
        <v>290</v>
      </c>
      <c r="N103" t="s">
        <v>202</v>
      </c>
      <c r="O103" t="s">
        <v>421</v>
      </c>
      <c r="P103" t="s">
        <v>427</v>
      </c>
      <c r="S103" t="s">
        <v>551</v>
      </c>
      <c r="T103" t="s">
        <v>1261</v>
      </c>
      <c r="U103" t="s">
        <v>226</v>
      </c>
      <c r="W103" t="s">
        <v>1876</v>
      </c>
      <c r="X103" t="s">
        <v>1974</v>
      </c>
      <c r="Y103">
        <v>7</v>
      </c>
      <c r="Z103" t="s">
        <v>3097</v>
      </c>
      <c r="AA103" t="s">
        <v>3135</v>
      </c>
      <c r="AB103">
        <v>11216</v>
      </c>
      <c r="AC103" t="s">
        <v>3137</v>
      </c>
      <c r="AD103" t="s">
        <v>3239</v>
      </c>
      <c r="AE103">
        <v>30</v>
      </c>
      <c r="AG103" t="s">
        <v>4029</v>
      </c>
      <c r="AH103" t="s">
        <v>291</v>
      </c>
      <c r="AI103" t="s">
        <v>291</v>
      </c>
      <c r="AK103" t="s">
        <v>4040</v>
      </c>
      <c r="AM103">
        <v>0</v>
      </c>
      <c r="AN103">
        <v>600</v>
      </c>
      <c r="AO103">
        <v>3.8</v>
      </c>
      <c r="AQ103" t="s">
        <v>4156</v>
      </c>
      <c r="AR103" t="s">
        <v>5066</v>
      </c>
      <c r="AS103">
        <v>0</v>
      </c>
      <c r="AU103">
        <v>1</v>
      </c>
      <c r="AV103">
        <v>0</v>
      </c>
      <c r="AW103">
        <v>74.36</v>
      </c>
      <c r="BB103" t="s">
        <v>1322</v>
      </c>
      <c r="BC103">
        <v>9288</v>
      </c>
      <c r="BG103" t="s">
        <v>5892</v>
      </c>
      <c r="BJ103" t="s">
        <v>5942</v>
      </c>
      <c r="BK103" t="s">
        <v>264</v>
      </c>
      <c r="BL103" t="s">
        <v>6056</v>
      </c>
    </row>
    <row r="104" spans="1:64">
      <c r="A104" s="1">
        <f>HYPERLINK("https://lsnyc.legalserver.org/matter/dynamic-profile/view/1908961","19-1908961")</f>
        <v>0</v>
      </c>
      <c r="B104" t="s">
        <v>64</v>
      </c>
      <c r="C104" t="s">
        <v>86</v>
      </c>
      <c r="D104" t="s">
        <v>200</v>
      </c>
      <c r="E104" t="s">
        <v>201</v>
      </c>
      <c r="G104" t="s">
        <v>270</v>
      </c>
      <c r="I104" t="s">
        <v>288</v>
      </c>
      <c r="J104" t="s">
        <v>290</v>
      </c>
      <c r="K104" t="s">
        <v>292</v>
      </c>
      <c r="M104" t="s">
        <v>290</v>
      </c>
      <c r="N104" t="s">
        <v>419</v>
      </c>
      <c r="P104" t="s">
        <v>427</v>
      </c>
      <c r="S104" t="s">
        <v>552</v>
      </c>
      <c r="T104" t="s">
        <v>1262</v>
      </c>
      <c r="U104" t="s">
        <v>238</v>
      </c>
      <c r="W104" t="s">
        <v>1876</v>
      </c>
      <c r="X104" t="s">
        <v>1975</v>
      </c>
      <c r="Y104" t="s">
        <v>2845</v>
      </c>
      <c r="Z104" t="s">
        <v>3097</v>
      </c>
      <c r="AA104" t="s">
        <v>3135</v>
      </c>
      <c r="AB104">
        <v>11225</v>
      </c>
      <c r="AE104">
        <v>0</v>
      </c>
      <c r="AG104" t="s">
        <v>4029</v>
      </c>
      <c r="AH104" t="s">
        <v>291</v>
      </c>
      <c r="AK104" t="s">
        <v>4040</v>
      </c>
      <c r="AM104">
        <v>0</v>
      </c>
      <c r="AN104">
        <v>0</v>
      </c>
      <c r="AO104">
        <v>9.6</v>
      </c>
      <c r="AQ104" t="s">
        <v>4157</v>
      </c>
      <c r="AR104" t="s">
        <v>5067</v>
      </c>
      <c r="AS104">
        <v>0</v>
      </c>
      <c r="AU104">
        <v>2</v>
      </c>
      <c r="AV104">
        <v>0</v>
      </c>
      <c r="AW104">
        <v>43.22</v>
      </c>
      <c r="BB104" t="s">
        <v>1322</v>
      </c>
      <c r="BC104">
        <v>7308</v>
      </c>
      <c r="BG104" t="s">
        <v>5890</v>
      </c>
      <c r="BJ104" t="s">
        <v>5957</v>
      </c>
      <c r="BK104" t="s">
        <v>259</v>
      </c>
    </row>
    <row r="105" spans="1:64">
      <c r="A105" s="1">
        <f>HYPERLINK("https://lsnyc.legalserver.org/matter/dynamic-profile/view/1907048","19-1907048")</f>
        <v>0</v>
      </c>
      <c r="B105" t="s">
        <v>64</v>
      </c>
      <c r="C105" t="s">
        <v>86</v>
      </c>
      <c r="D105" t="s">
        <v>200</v>
      </c>
      <c r="E105" t="s">
        <v>201</v>
      </c>
      <c r="G105" t="s">
        <v>202</v>
      </c>
      <c r="H105" t="s">
        <v>271</v>
      </c>
      <c r="I105" t="s">
        <v>202</v>
      </c>
      <c r="J105" t="s">
        <v>289</v>
      </c>
      <c r="K105" t="s">
        <v>292</v>
      </c>
      <c r="M105" t="s">
        <v>290</v>
      </c>
      <c r="N105" t="s">
        <v>202</v>
      </c>
      <c r="O105" t="s">
        <v>421</v>
      </c>
      <c r="P105" t="s">
        <v>427</v>
      </c>
      <c r="S105" t="s">
        <v>553</v>
      </c>
      <c r="T105" t="s">
        <v>1263</v>
      </c>
      <c r="U105" t="s">
        <v>226</v>
      </c>
      <c r="W105" t="s">
        <v>1876</v>
      </c>
      <c r="X105" t="s">
        <v>1976</v>
      </c>
      <c r="Y105" t="s">
        <v>2846</v>
      </c>
      <c r="Z105" t="s">
        <v>3097</v>
      </c>
      <c r="AA105" t="s">
        <v>3135</v>
      </c>
      <c r="AB105">
        <v>11216</v>
      </c>
      <c r="AC105" t="s">
        <v>3137</v>
      </c>
      <c r="AD105" t="s">
        <v>3240</v>
      </c>
      <c r="AE105">
        <v>10</v>
      </c>
      <c r="AG105" t="s">
        <v>4029</v>
      </c>
      <c r="AH105" t="s">
        <v>291</v>
      </c>
      <c r="AI105" t="s">
        <v>291</v>
      </c>
      <c r="AK105" t="s">
        <v>4040</v>
      </c>
      <c r="AM105">
        <v>0</v>
      </c>
      <c r="AN105">
        <v>962</v>
      </c>
      <c r="AO105">
        <v>8.1</v>
      </c>
      <c r="AQ105" t="s">
        <v>4158</v>
      </c>
      <c r="AR105" t="s">
        <v>5068</v>
      </c>
      <c r="AS105">
        <v>0</v>
      </c>
      <c r="AU105">
        <v>1</v>
      </c>
      <c r="AV105">
        <v>0</v>
      </c>
      <c r="AW105">
        <v>37.05</v>
      </c>
      <c r="BB105" t="s">
        <v>1322</v>
      </c>
      <c r="BC105">
        <v>4628</v>
      </c>
      <c r="BG105" t="s">
        <v>5892</v>
      </c>
      <c r="BJ105" t="s">
        <v>5948</v>
      </c>
      <c r="BK105" t="s">
        <v>216</v>
      </c>
      <c r="BL105" t="s">
        <v>6056</v>
      </c>
    </row>
    <row r="106" spans="1:64">
      <c r="A106" s="1">
        <f>HYPERLINK("https://lsnyc.legalserver.org/matter/dynamic-profile/view/1906146","19-1906146")</f>
        <v>0</v>
      </c>
      <c r="B106" t="s">
        <v>64</v>
      </c>
      <c r="C106" t="s">
        <v>83</v>
      </c>
      <c r="D106" t="s">
        <v>200</v>
      </c>
      <c r="E106" t="s">
        <v>202</v>
      </c>
      <c r="F106" t="s">
        <v>210</v>
      </c>
      <c r="G106" t="s">
        <v>202</v>
      </c>
      <c r="H106" t="s">
        <v>272</v>
      </c>
      <c r="I106" t="s">
        <v>202</v>
      </c>
      <c r="J106" t="s">
        <v>289</v>
      </c>
      <c r="K106" t="s">
        <v>292</v>
      </c>
      <c r="M106" t="s">
        <v>290</v>
      </c>
      <c r="N106" t="s">
        <v>202</v>
      </c>
      <c r="O106" t="s">
        <v>422</v>
      </c>
      <c r="P106" t="s">
        <v>428</v>
      </c>
      <c r="S106" t="s">
        <v>554</v>
      </c>
      <c r="T106" t="s">
        <v>1264</v>
      </c>
      <c r="U106" t="s">
        <v>261</v>
      </c>
      <c r="V106" t="s">
        <v>207</v>
      </c>
      <c r="W106" t="s">
        <v>1877</v>
      </c>
      <c r="X106" t="s">
        <v>1977</v>
      </c>
      <c r="Y106">
        <v>3</v>
      </c>
      <c r="Z106" t="s">
        <v>3097</v>
      </c>
      <c r="AA106" t="s">
        <v>3135</v>
      </c>
      <c r="AB106">
        <v>11210</v>
      </c>
      <c r="AC106" t="s">
        <v>3136</v>
      </c>
      <c r="AD106" t="s">
        <v>3241</v>
      </c>
      <c r="AE106">
        <v>16</v>
      </c>
      <c r="AF106" t="s">
        <v>4023</v>
      </c>
      <c r="AG106" t="s">
        <v>4028</v>
      </c>
      <c r="AH106" t="s">
        <v>291</v>
      </c>
      <c r="AI106" t="s">
        <v>291</v>
      </c>
      <c r="AK106" t="s">
        <v>4040</v>
      </c>
      <c r="AL106" t="s">
        <v>4047</v>
      </c>
      <c r="AM106">
        <v>0</v>
      </c>
      <c r="AN106">
        <v>1000</v>
      </c>
      <c r="AO106">
        <v>0.5</v>
      </c>
      <c r="AP106" t="s">
        <v>4052</v>
      </c>
      <c r="AQ106" t="s">
        <v>4159</v>
      </c>
      <c r="AR106" t="s">
        <v>5069</v>
      </c>
      <c r="AS106">
        <v>60</v>
      </c>
      <c r="AT106" t="s">
        <v>5838</v>
      </c>
      <c r="AU106">
        <v>2</v>
      </c>
      <c r="AV106">
        <v>1</v>
      </c>
      <c r="AW106">
        <v>97.52</v>
      </c>
      <c r="BB106" t="s">
        <v>1322</v>
      </c>
      <c r="BC106">
        <v>20800</v>
      </c>
      <c r="BG106" t="s">
        <v>5892</v>
      </c>
      <c r="BJ106" t="s">
        <v>5949</v>
      </c>
      <c r="BK106" t="s">
        <v>207</v>
      </c>
      <c r="BL106" t="s">
        <v>6056</v>
      </c>
    </row>
    <row r="107" spans="1:64">
      <c r="A107" s="1">
        <f>HYPERLINK("https://lsnyc.legalserver.org/matter/dynamic-profile/view/1906654","19-1906654")</f>
        <v>0</v>
      </c>
      <c r="B107" t="s">
        <v>64</v>
      </c>
      <c r="C107" t="s">
        <v>83</v>
      </c>
      <c r="D107" t="s">
        <v>200</v>
      </c>
      <c r="E107" t="s">
        <v>202</v>
      </c>
      <c r="F107" t="s">
        <v>207</v>
      </c>
      <c r="G107" t="s">
        <v>202</v>
      </c>
      <c r="H107" t="s">
        <v>271</v>
      </c>
      <c r="I107" t="s">
        <v>202</v>
      </c>
      <c r="J107" t="s">
        <v>289</v>
      </c>
      <c r="K107" t="s">
        <v>292</v>
      </c>
      <c r="M107" t="s">
        <v>290</v>
      </c>
      <c r="N107" t="s">
        <v>202</v>
      </c>
      <c r="O107" t="s">
        <v>422</v>
      </c>
      <c r="P107" t="s">
        <v>428</v>
      </c>
      <c r="S107" t="s">
        <v>555</v>
      </c>
      <c r="T107" t="s">
        <v>1265</v>
      </c>
      <c r="U107" t="s">
        <v>241</v>
      </c>
      <c r="V107" t="s">
        <v>241</v>
      </c>
      <c r="W107" t="s">
        <v>1877</v>
      </c>
      <c r="X107" t="s">
        <v>1978</v>
      </c>
      <c r="Y107">
        <v>1</v>
      </c>
      <c r="Z107" t="s">
        <v>3097</v>
      </c>
      <c r="AA107" t="s">
        <v>3135</v>
      </c>
      <c r="AB107">
        <v>11212</v>
      </c>
      <c r="AC107" t="s">
        <v>3136</v>
      </c>
      <c r="AD107" t="s">
        <v>3242</v>
      </c>
      <c r="AE107">
        <v>20</v>
      </c>
      <c r="AF107" t="s">
        <v>4023</v>
      </c>
      <c r="AG107" t="s">
        <v>4028</v>
      </c>
      <c r="AH107" t="s">
        <v>291</v>
      </c>
      <c r="AI107" t="s">
        <v>291</v>
      </c>
      <c r="AK107" t="s">
        <v>4040</v>
      </c>
      <c r="AL107" t="s">
        <v>4046</v>
      </c>
      <c r="AM107">
        <v>0</v>
      </c>
      <c r="AN107">
        <v>1000</v>
      </c>
      <c r="AO107">
        <v>1.1</v>
      </c>
      <c r="AP107" t="s">
        <v>4052</v>
      </c>
      <c r="AQ107" t="s">
        <v>4160</v>
      </c>
      <c r="AR107" t="s">
        <v>5070</v>
      </c>
      <c r="AS107">
        <v>2</v>
      </c>
      <c r="AT107" t="s">
        <v>5835</v>
      </c>
      <c r="AU107">
        <v>3</v>
      </c>
      <c r="AV107">
        <v>1</v>
      </c>
      <c r="AW107">
        <v>81.55</v>
      </c>
      <c r="BA107" t="s">
        <v>329</v>
      </c>
      <c r="BB107" t="s">
        <v>1322</v>
      </c>
      <c r="BC107">
        <v>21000</v>
      </c>
      <c r="BG107" t="s">
        <v>5894</v>
      </c>
      <c r="BJ107" t="s">
        <v>5949</v>
      </c>
      <c r="BK107" t="s">
        <v>241</v>
      </c>
      <c r="BL107" t="s">
        <v>6056</v>
      </c>
    </row>
    <row r="108" spans="1:64">
      <c r="A108" s="1">
        <f>HYPERLINK("https://lsnyc.legalserver.org/matter/dynamic-profile/view/1909965","19-1909965")</f>
        <v>0</v>
      </c>
      <c r="B108" t="s">
        <v>64</v>
      </c>
      <c r="C108" t="s">
        <v>83</v>
      </c>
      <c r="D108" t="s">
        <v>200</v>
      </c>
      <c r="E108" t="s">
        <v>201</v>
      </c>
      <c r="G108" t="s">
        <v>270</v>
      </c>
      <c r="I108" t="s">
        <v>288</v>
      </c>
      <c r="J108" t="s">
        <v>291</v>
      </c>
      <c r="K108" t="s">
        <v>292</v>
      </c>
      <c r="M108" t="s">
        <v>290</v>
      </c>
      <c r="N108" t="s">
        <v>202</v>
      </c>
      <c r="O108" t="s">
        <v>423</v>
      </c>
      <c r="P108" t="s">
        <v>427</v>
      </c>
      <c r="S108" t="s">
        <v>556</v>
      </c>
      <c r="T108" t="s">
        <v>1227</v>
      </c>
      <c r="U108" t="s">
        <v>243</v>
      </c>
      <c r="W108" t="s">
        <v>1876</v>
      </c>
      <c r="X108" t="s">
        <v>1979</v>
      </c>
      <c r="Y108">
        <v>4</v>
      </c>
      <c r="Z108" t="s">
        <v>3097</v>
      </c>
      <c r="AA108" t="s">
        <v>3135</v>
      </c>
      <c r="AB108">
        <v>11231</v>
      </c>
      <c r="AC108" t="s">
        <v>3138</v>
      </c>
      <c r="AE108">
        <v>13</v>
      </c>
      <c r="AG108" t="s">
        <v>4028</v>
      </c>
      <c r="AH108" t="s">
        <v>291</v>
      </c>
      <c r="AK108" t="s">
        <v>4040</v>
      </c>
      <c r="AM108">
        <v>0</v>
      </c>
      <c r="AN108">
        <v>670</v>
      </c>
      <c r="AO108">
        <v>0.1</v>
      </c>
      <c r="AS108">
        <v>12</v>
      </c>
      <c r="AT108" t="s">
        <v>5838</v>
      </c>
      <c r="AU108">
        <v>1</v>
      </c>
      <c r="AV108">
        <v>1</v>
      </c>
      <c r="AW108">
        <v>56.77</v>
      </c>
      <c r="BB108" t="s">
        <v>1322</v>
      </c>
      <c r="BC108">
        <v>9600</v>
      </c>
      <c r="BG108" t="s">
        <v>5893</v>
      </c>
      <c r="BJ108" t="s">
        <v>5977</v>
      </c>
      <c r="BK108" t="s">
        <v>259</v>
      </c>
    </row>
    <row r="109" spans="1:64">
      <c r="A109" s="1">
        <f>HYPERLINK("https://lsnyc.legalserver.org/matter/dynamic-profile/view/1907795","19-1907795")</f>
        <v>0</v>
      </c>
      <c r="B109" t="s">
        <v>64</v>
      </c>
      <c r="C109" t="s">
        <v>83</v>
      </c>
      <c r="D109" t="s">
        <v>200</v>
      </c>
      <c r="E109" t="s">
        <v>202</v>
      </c>
      <c r="F109" t="s">
        <v>213</v>
      </c>
      <c r="G109" t="s">
        <v>202</v>
      </c>
      <c r="H109" t="s">
        <v>274</v>
      </c>
      <c r="I109" t="s">
        <v>288</v>
      </c>
      <c r="J109" t="s">
        <v>291</v>
      </c>
      <c r="K109" t="s">
        <v>202</v>
      </c>
      <c r="L109">
        <v>16326393</v>
      </c>
      <c r="M109" t="s">
        <v>290</v>
      </c>
      <c r="N109" t="s">
        <v>202</v>
      </c>
      <c r="O109" t="s">
        <v>425</v>
      </c>
      <c r="P109" t="s">
        <v>427</v>
      </c>
      <c r="S109" t="s">
        <v>492</v>
      </c>
      <c r="T109" t="s">
        <v>1266</v>
      </c>
      <c r="U109" t="s">
        <v>213</v>
      </c>
      <c r="W109" t="s">
        <v>1876</v>
      </c>
      <c r="X109" t="s">
        <v>1980</v>
      </c>
      <c r="Y109" t="s">
        <v>2847</v>
      </c>
      <c r="Z109" t="s">
        <v>3097</v>
      </c>
      <c r="AA109" t="s">
        <v>3135</v>
      </c>
      <c r="AB109">
        <v>11221</v>
      </c>
      <c r="AC109" t="s">
        <v>3136</v>
      </c>
      <c r="AE109">
        <v>11</v>
      </c>
      <c r="AG109" t="s">
        <v>4029</v>
      </c>
      <c r="AH109" t="s">
        <v>291</v>
      </c>
      <c r="AK109" t="s">
        <v>4041</v>
      </c>
      <c r="AM109">
        <v>0</v>
      </c>
      <c r="AN109">
        <v>0</v>
      </c>
      <c r="AO109">
        <v>1.4</v>
      </c>
      <c r="AQ109" t="s">
        <v>4161</v>
      </c>
      <c r="AR109" t="s">
        <v>5071</v>
      </c>
      <c r="AS109">
        <v>0</v>
      </c>
      <c r="AT109" t="s">
        <v>5836</v>
      </c>
      <c r="AU109">
        <v>2</v>
      </c>
      <c r="AV109">
        <v>0</v>
      </c>
      <c r="AW109">
        <v>248.37</v>
      </c>
      <c r="BB109" t="s">
        <v>1322</v>
      </c>
      <c r="BC109">
        <v>42000</v>
      </c>
      <c r="BG109" t="s">
        <v>5893</v>
      </c>
      <c r="BJ109" t="s">
        <v>5949</v>
      </c>
      <c r="BK109" t="s">
        <v>256</v>
      </c>
    </row>
    <row r="110" spans="1:64">
      <c r="A110" s="1">
        <f>HYPERLINK("https://lsnyc.legalserver.org/matter/dynamic-profile/view/1904574","19-1904574")</f>
        <v>0</v>
      </c>
      <c r="B110" t="s">
        <v>64</v>
      </c>
      <c r="C110" t="s">
        <v>75</v>
      </c>
      <c r="D110" t="s">
        <v>200</v>
      </c>
      <c r="E110" t="s">
        <v>201</v>
      </c>
      <c r="G110" t="s">
        <v>202</v>
      </c>
      <c r="H110" t="s">
        <v>271</v>
      </c>
      <c r="I110" t="s">
        <v>202</v>
      </c>
      <c r="J110" t="s">
        <v>289</v>
      </c>
      <c r="K110" t="s">
        <v>292</v>
      </c>
      <c r="M110" t="s">
        <v>290</v>
      </c>
      <c r="N110" t="s">
        <v>202</v>
      </c>
      <c r="O110" t="s">
        <v>421</v>
      </c>
      <c r="P110" t="s">
        <v>427</v>
      </c>
      <c r="S110" t="s">
        <v>557</v>
      </c>
      <c r="T110" t="s">
        <v>1267</v>
      </c>
      <c r="U110" t="s">
        <v>205</v>
      </c>
      <c r="W110" t="s">
        <v>1876</v>
      </c>
      <c r="X110" t="s">
        <v>1981</v>
      </c>
      <c r="Y110" t="s">
        <v>2797</v>
      </c>
      <c r="Z110" t="s">
        <v>3097</v>
      </c>
      <c r="AA110" t="s">
        <v>3135</v>
      </c>
      <c r="AB110">
        <v>11216</v>
      </c>
      <c r="AC110" t="s">
        <v>3137</v>
      </c>
      <c r="AD110" t="s">
        <v>3243</v>
      </c>
      <c r="AE110">
        <v>3</v>
      </c>
      <c r="AG110" t="s">
        <v>4029</v>
      </c>
      <c r="AH110" t="s">
        <v>291</v>
      </c>
      <c r="AK110" t="s">
        <v>4040</v>
      </c>
      <c r="AM110">
        <v>0</v>
      </c>
      <c r="AN110">
        <v>950</v>
      </c>
      <c r="AO110">
        <v>6.4</v>
      </c>
      <c r="AQ110" t="s">
        <v>4162</v>
      </c>
      <c r="AR110" t="s">
        <v>5072</v>
      </c>
      <c r="AS110">
        <v>1</v>
      </c>
      <c r="AU110">
        <v>1</v>
      </c>
      <c r="AV110">
        <v>0</v>
      </c>
      <c r="AW110">
        <v>0</v>
      </c>
      <c r="BB110" t="s">
        <v>1322</v>
      </c>
      <c r="BC110">
        <v>0</v>
      </c>
      <c r="BG110" t="s">
        <v>5890</v>
      </c>
      <c r="BJ110" t="s">
        <v>5945</v>
      </c>
      <c r="BK110" t="s">
        <v>262</v>
      </c>
      <c r="BL110" t="s">
        <v>6056</v>
      </c>
    </row>
    <row r="111" spans="1:64">
      <c r="A111" s="1">
        <f>HYPERLINK("https://lsnyc.legalserver.org/matter/dynamic-profile/view/1907588","19-1907588")</f>
        <v>0</v>
      </c>
      <c r="B111" t="s">
        <v>64</v>
      </c>
      <c r="C111" t="s">
        <v>75</v>
      </c>
      <c r="D111" t="s">
        <v>200</v>
      </c>
      <c r="E111" t="s">
        <v>201</v>
      </c>
      <c r="G111" t="s">
        <v>202</v>
      </c>
      <c r="H111" t="s">
        <v>272</v>
      </c>
      <c r="I111" t="s">
        <v>288</v>
      </c>
      <c r="J111" t="s">
        <v>290</v>
      </c>
      <c r="K111" t="s">
        <v>202</v>
      </c>
      <c r="L111" t="s">
        <v>311</v>
      </c>
      <c r="M111" t="s">
        <v>290</v>
      </c>
      <c r="N111" t="s">
        <v>202</v>
      </c>
      <c r="O111" t="s">
        <v>421</v>
      </c>
      <c r="P111" t="s">
        <v>427</v>
      </c>
      <c r="S111" t="s">
        <v>558</v>
      </c>
      <c r="T111" t="s">
        <v>1268</v>
      </c>
      <c r="U111" t="s">
        <v>254</v>
      </c>
      <c r="W111" t="s">
        <v>1876</v>
      </c>
      <c r="X111" t="s">
        <v>1982</v>
      </c>
      <c r="Y111" t="s">
        <v>2848</v>
      </c>
      <c r="Z111" t="s">
        <v>3097</v>
      </c>
      <c r="AA111" t="s">
        <v>3135</v>
      </c>
      <c r="AB111">
        <v>11204</v>
      </c>
      <c r="AD111" t="s">
        <v>3244</v>
      </c>
      <c r="AE111">
        <v>0</v>
      </c>
      <c r="AG111" t="s">
        <v>4028</v>
      </c>
      <c r="AH111" t="s">
        <v>291</v>
      </c>
      <c r="AK111" t="s">
        <v>4040</v>
      </c>
      <c r="AM111">
        <v>0</v>
      </c>
      <c r="AN111">
        <v>0</v>
      </c>
      <c r="AO111">
        <v>1.9</v>
      </c>
      <c r="AQ111" t="s">
        <v>4163</v>
      </c>
      <c r="AR111" t="s">
        <v>5073</v>
      </c>
      <c r="AS111">
        <v>0</v>
      </c>
      <c r="AU111">
        <v>1</v>
      </c>
      <c r="AV111">
        <v>2</v>
      </c>
      <c r="AW111">
        <v>84.31999999999999</v>
      </c>
      <c r="BB111" t="s">
        <v>1322</v>
      </c>
      <c r="BC111">
        <v>17986.2</v>
      </c>
      <c r="BG111" t="s">
        <v>5891</v>
      </c>
      <c r="BJ111" t="s">
        <v>5949</v>
      </c>
      <c r="BK111" t="s">
        <v>237</v>
      </c>
    </row>
    <row r="112" spans="1:64">
      <c r="A112" s="1">
        <f>HYPERLINK("https://lsnyc.legalserver.org/matter/dynamic-profile/view/1909643","19-1909643")</f>
        <v>0</v>
      </c>
      <c r="B112" t="s">
        <v>64</v>
      </c>
      <c r="C112" t="s">
        <v>75</v>
      </c>
      <c r="D112" t="s">
        <v>200</v>
      </c>
      <c r="E112" t="s">
        <v>201</v>
      </c>
      <c r="G112" t="s">
        <v>202</v>
      </c>
      <c r="H112" t="s">
        <v>272</v>
      </c>
      <c r="I112" t="s">
        <v>202</v>
      </c>
      <c r="J112" t="s">
        <v>289</v>
      </c>
      <c r="K112" t="s">
        <v>292</v>
      </c>
      <c r="M112" t="s">
        <v>290</v>
      </c>
      <c r="N112" t="s">
        <v>419</v>
      </c>
      <c r="O112" t="s">
        <v>420</v>
      </c>
      <c r="P112" t="s">
        <v>427</v>
      </c>
      <c r="S112" t="s">
        <v>559</v>
      </c>
      <c r="T112" t="s">
        <v>1269</v>
      </c>
      <c r="U112" t="s">
        <v>238</v>
      </c>
      <c r="W112" t="s">
        <v>1876</v>
      </c>
      <c r="X112" t="s">
        <v>1983</v>
      </c>
      <c r="Z112" t="s">
        <v>3097</v>
      </c>
      <c r="AA112" t="s">
        <v>3135</v>
      </c>
      <c r="AB112">
        <v>11239</v>
      </c>
      <c r="AC112" t="s">
        <v>3136</v>
      </c>
      <c r="AD112" t="s">
        <v>3245</v>
      </c>
      <c r="AE112">
        <v>0</v>
      </c>
      <c r="AG112" t="s">
        <v>4028</v>
      </c>
      <c r="AH112" t="s">
        <v>291</v>
      </c>
      <c r="AK112" t="s">
        <v>4040</v>
      </c>
      <c r="AM112">
        <v>0</v>
      </c>
      <c r="AN112">
        <v>0</v>
      </c>
      <c r="AO112">
        <v>2.4</v>
      </c>
      <c r="AQ112" t="s">
        <v>4164</v>
      </c>
      <c r="AR112" t="s">
        <v>5074</v>
      </c>
      <c r="AS112">
        <v>0</v>
      </c>
      <c r="AU112">
        <v>2</v>
      </c>
      <c r="AV112">
        <v>1</v>
      </c>
      <c r="AW112">
        <v>187.53</v>
      </c>
      <c r="BB112" t="s">
        <v>1322</v>
      </c>
      <c r="BC112">
        <v>40000</v>
      </c>
      <c r="BG112" t="s">
        <v>5894</v>
      </c>
      <c r="BJ112" t="s">
        <v>5949</v>
      </c>
      <c r="BK112" t="s">
        <v>267</v>
      </c>
      <c r="BL112" t="s">
        <v>6056</v>
      </c>
    </row>
    <row r="113" spans="1:64">
      <c r="A113" s="1">
        <f>HYPERLINK("https://lsnyc.legalserver.org/matter/dynamic-profile/view/1904697","19-1904697")</f>
        <v>0</v>
      </c>
      <c r="B113" t="s">
        <v>64</v>
      </c>
      <c r="C113" t="s">
        <v>75</v>
      </c>
      <c r="D113" t="s">
        <v>200</v>
      </c>
      <c r="E113" t="s">
        <v>201</v>
      </c>
      <c r="G113" t="s">
        <v>202</v>
      </c>
      <c r="H113" t="s">
        <v>271</v>
      </c>
      <c r="I113" t="s">
        <v>202</v>
      </c>
      <c r="J113" t="s">
        <v>289</v>
      </c>
      <c r="K113" t="s">
        <v>292</v>
      </c>
      <c r="M113" t="s">
        <v>290</v>
      </c>
      <c r="N113" t="s">
        <v>202</v>
      </c>
      <c r="O113" t="s">
        <v>421</v>
      </c>
      <c r="P113" t="s">
        <v>427</v>
      </c>
      <c r="S113" t="s">
        <v>560</v>
      </c>
      <c r="T113" t="s">
        <v>1270</v>
      </c>
      <c r="U113" t="s">
        <v>205</v>
      </c>
      <c r="W113" t="s">
        <v>1876</v>
      </c>
      <c r="X113" t="s">
        <v>1984</v>
      </c>
      <c r="Y113" t="s">
        <v>2849</v>
      </c>
      <c r="Z113" t="s">
        <v>3097</v>
      </c>
      <c r="AA113" t="s">
        <v>3135</v>
      </c>
      <c r="AB113">
        <v>11221</v>
      </c>
      <c r="AC113" t="s">
        <v>3136</v>
      </c>
      <c r="AD113" t="s">
        <v>3246</v>
      </c>
      <c r="AE113">
        <v>11</v>
      </c>
      <c r="AG113" t="s">
        <v>4029</v>
      </c>
      <c r="AH113" t="s">
        <v>291</v>
      </c>
      <c r="AK113" t="s">
        <v>4040</v>
      </c>
      <c r="AM113">
        <v>0</v>
      </c>
      <c r="AN113">
        <v>650</v>
      </c>
      <c r="AO113">
        <v>11.5</v>
      </c>
      <c r="AQ113" t="s">
        <v>4165</v>
      </c>
      <c r="AR113" t="s">
        <v>5075</v>
      </c>
      <c r="AS113">
        <v>0</v>
      </c>
      <c r="AU113">
        <v>1</v>
      </c>
      <c r="AV113">
        <v>0</v>
      </c>
      <c r="AW113">
        <v>0</v>
      </c>
      <c r="BB113" t="s">
        <v>1322</v>
      </c>
      <c r="BC113">
        <v>0</v>
      </c>
      <c r="BG113" t="s">
        <v>5891</v>
      </c>
      <c r="BJ113" t="s">
        <v>5945</v>
      </c>
      <c r="BK113" t="s">
        <v>222</v>
      </c>
      <c r="BL113" t="s">
        <v>6056</v>
      </c>
    </row>
    <row r="114" spans="1:64">
      <c r="A114" s="1">
        <f>HYPERLINK("https://lsnyc.legalserver.org/matter/dynamic-profile/view/1907106","19-1907106")</f>
        <v>0</v>
      </c>
      <c r="B114" t="s">
        <v>64</v>
      </c>
      <c r="C114" t="s">
        <v>75</v>
      </c>
      <c r="D114" t="s">
        <v>200</v>
      </c>
      <c r="E114" t="s">
        <v>201</v>
      </c>
      <c r="G114" t="s">
        <v>270</v>
      </c>
      <c r="I114" t="s">
        <v>288</v>
      </c>
      <c r="J114" t="s">
        <v>290</v>
      </c>
      <c r="K114" t="s">
        <v>292</v>
      </c>
      <c r="M114" t="s">
        <v>290</v>
      </c>
      <c r="N114" t="s">
        <v>419</v>
      </c>
      <c r="O114" t="s">
        <v>420</v>
      </c>
      <c r="P114" t="s">
        <v>427</v>
      </c>
      <c r="S114" t="s">
        <v>561</v>
      </c>
      <c r="T114" t="s">
        <v>1271</v>
      </c>
      <c r="U114" t="s">
        <v>226</v>
      </c>
      <c r="W114" t="s">
        <v>1876</v>
      </c>
      <c r="X114" t="s">
        <v>1915</v>
      </c>
      <c r="Y114" t="s">
        <v>2850</v>
      </c>
      <c r="Z114" t="s">
        <v>3097</v>
      </c>
      <c r="AA114" t="s">
        <v>3135</v>
      </c>
      <c r="AB114">
        <v>11230</v>
      </c>
      <c r="AC114" t="s">
        <v>3140</v>
      </c>
      <c r="AD114" t="s">
        <v>3247</v>
      </c>
      <c r="AE114">
        <v>29</v>
      </c>
      <c r="AG114" t="s">
        <v>4028</v>
      </c>
      <c r="AH114" t="s">
        <v>291</v>
      </c>
      <c r="AK114" t="s">
        <v>4040</v>
      </c>
      <c r="AM114">
        <v>0</v>
      </c>
      <c r="AN114">
        <v>852.52</v>
      </c>
      <c r="AO114">
        <v>2.9</v>
      </c>
      <c r="AQ114" t="s">
        <v>4166</v>
      </c>
      <c r="AR114" t="s">
        <v>5076</v>
      </c>
      <c r="AS114">
        <v>60</v>
      </c>
      <c r="AT114" t="s">
        <v>5838</v>
      </c>
      <c r="AU114">
        <v>3</v>
      </c>
      <c r="AV114">
        <v>0</v>
      </c>
      <c r="AW114">
        <v>80.23</v>
      </c>
      <c r="BA114" t="s">
        <v>329</v>
      </c>
      <c r="BB114" t="s">
        <v>1322</v>
      </c>
      <c r="BC114">
        <v>17113.94</v>
      </c>
      <c r="BG114" t="s">
        <v>5894</v>
      </c>
      <c r="BJ114" t="s">
        <v>5949</v>
      </c>
      <c r="BK114" t="s">
        <v>234</v>
      </c>
    </row>
    <row r="115" spans="1:64">
      <c r="A115" s="1">
        <f>HYPERLINK("https://lsnyc.legalserver.org/matter/dynamic-profile/view/1904127","19-1904127")</f>
        <v>0</v>
      </c>
      <c r="B115" t="s">
        <v>64</v>
      </c>
      <c r="C115" t="s">
        <v>75</v>
      </c>
      <c r="D115" t="s">
        <v>200</v>
      </c>
      <c r="E115" t="s">
        <v>201</v>
      </c>
      <c r="G115" t="s">
        <v>202</v>
      </c>
      <c r="H115" t="s">
        <v>271</v>
      </c>
      <c r="I115" t="s">
        <v>202</v>
      </c>
      <c r="J115" t="s">
        <v>289</v>
      </c>
      <c r="K115" t="s">
        <v>292</v>
      </c>
      <c r="M115" t="s">
        <v>290</v>
      </c>
      <c r="N115" t="s">
        <v>202</v>
      </c>
      <c r="O115" t="s">
        <v>421</v>
      </c>
      <c r="P115" t="s">
        <v>427</v>
      </c>
      <c r="S115" t="s">
        <v>562</v>
      </c>
      <c r="T115" t="s">
        <v>1272</v>
      </c>
      <c r="U115" t="s">
        <v>227</v>
      </c>
      <c r="W115" t="s">
        <v>1876</v>
      </c>
      <c r="X115" t="s">
        <v>1985</v>
      </c>
      <c r="Z115" t="s">
        <v>3097</v>
      </c>
      <c r="AA115" t="s">
        <v>3135</v>
      </c>
      <c r="AB115">
        <v>11216</v>
      </c>
      <c r="AC115" t="s">
        <v>3137</v>
      </c>
      <c r="AD115" t="s">
        <v>3248</v>
      </c>
      <c r="AE115">
        <v>4</v>
      </c>
      <c r="AG115" t="s">
        <v>4029</v>
      </c>
      <c r="AH115" t="s">
        <v>291</v>
      </c>
      <c r="AI115" t="s">
        <v>291</v>
      </c>
      <c r="AK115" t="s">
        <v>4040</v>
      </c>
      <c r="AM115">
        <v>0</v>
      </c>
      <c r="AN115">
        <v>1800</v>
      </c>
      <c r="AO115">
        <v>8.300000000000001</v>
      </c>
      <c r="AQ115" t="s">
        <v>4167</v>
      </c>
      <c r="AR115" t="s">
        <v>5077</v>
      </c>
      <c r="AS115">
        <v>0</v>
      </c>
      <c r="AU115">
        <v>1</v>
      </c>
      <c r="AV115">
        <v>0</v>
      </c>
      <c r="AW115">
        <v>83.27</v>
      </c>
      <c r="BB115" t="s">
        <v>1322</v>
      </c>
      <c r="BC115">
        <v>10400</v>
      </c>
      <c r="BG115" t="s">
        <v>5892</v>
      </c>
      <c r="BJ115" t="s">
        <v>5949</v>
      </c>
      <c r="BK115" t="s">
        <v>263</v>
      </c>
      <c r="BL115" t="s">
        <v>6056</v>
      </c>
    </row>
    <row r="116" spans="1:64">
      <c r="A116" s="1">
        <f>HYPERLINK("https://lsnyc.legalserver.org/matter/dynamic-profile/view/1906642","19-1906642")</f>
        <v>0</v>
      </c>
      <c r="B116" t="s">
        <v>64</v>
      </c>
      <c r="C116" t="s">
        <v>87</v>
      </c>
      <c r="D116" t="s">
        <v>200</v>
      </c>
      <c r="E116" t="s">
        <v>201</v>
      </c>
      <c r="G116" t="s">
        <v>202</v>
      </c>
      <c r="H116" t="s">
        <v>272</v>
      </c>
      <c r="I116" t="s">
        <v>288</v>
      </c>
      <c r="J116" t="s">
        <v>290</v>
      </c>
      <c r="K116" t="s">
        <v>292</v>
      </c>
      <c r="M116" t="s">
        <v>290</v>
      </c>
      <c r="N116" t="s">
        <v>419</v>
      </c>
      <c r="O116" t="s">
        <v>420</v>
      </c>
      <c r="P116" t="s">
        <v>427</v>
      </c>
      <c r="S116" t="s">
        <v>563</v>
      </c>
      <c r="T116" t="s">
        <v>1273</v>
      </c>
      <c r="U116" t="s">
        <v>241</v>
      </c>
      <c r="W116" t="s">
        <v>1876</v>
      </c>
      <c r="X116" t="s">
        <v>1986</v>
      </c>
      <c r="Y116" t="s">
        <v>2794</v>
      </c>
      <c r="Z116" t="s">
        <v>3097</v>
      </c>
      <c r="AA116" t="s">
        <v>3135</v>
      </c>
      <c r="AB116">
        <v>11207</v>
      </c>
      <c r="AD116" t="s">
        <v>3249</v>
      </c>
      <c r="AE116">
        <v>13</v>
      </c>
      <c r="AG116" t="s">
        <v>4028</v>
      </c>
      <c r="AH116" t="s">
        <v>291</v>
      </c>
      <c r="AK116" t="s">
        <v>4040</v>
      </c>
      <c r="AM116">
        <v>0</v>
      </c>
      <c r="AN116">
        <v>614</v>
      </c>
      <c r="AO116">
        <v>2</v>
      </c>
      <c r="AQ116" t="s">
        <v>4168</v>
      </c>
      <c r="AR116" t="s">
        <v>5078</v>
      </c>
      <c r="AS116">
        <v>0</v>
      </c>
      <c r="AU116">
        <v>1</v>
      </c>
      <c r="AV116">
        <v>3</v>
      </c>
      <c r="AW116">
        <v>27.96</v>
      </c>
      <c r="BA116" t="s">
        <v>329</v>
      </c>
      <c r="BB116" t="s">
        <v>1322</v>
      </c>
      <c r="BC116">
        <v>7200</v>
      </c>
      <c r="BG116" t="s">
        <v>5891</v>
      </c>
      <c r="BJ116" t="s">
        <v>5950</v>
      </c>
      <c r="BK116" t="s">
        <v>247</v>
      </c>
    </row>
    <row r="117" spans="1:64">
      <c r="A117" s="1">
        <f>HYPERLINK("https://lsnyc.legalserver.org/matter/dynamic-profile/view/1907828","19-1907828")</f>
        <v>0</v>
      </c>
      <c r="B117" t="s">
        <v>64</v>
      </c>
      <c r="C117" t="s">
        <v>87</v>
      </c>
      <c r="D117" t="s">
        <v>200</v>
      </c>
      <c r="E117" t="s">
        <v>201</v>
      </c>
      <c r="G117" t="s">
        <v>202</v>
      </c>
      <c r="H117" t="s">
        <v>272</v>
      </c>
      <c r="I117" t="s">
        <v>288</v>
      </c>
      <c r="J117" t="s">
        <v>290</v>
      </c>
      <c r="K117" t="s">
        <v>202</v>
      </c>
      <c r="L117" t="s">
        <v>312</v>
      </c>
      <c r="M117" t="s">
        <v>290</v>
      </c>
      <c r="N117" t="s">
        <v>202</v>
      </c>
      <c r="O117" t="s">
        <v>422</v>
      </c>
      <c r="P117" t="s">
        <v>427</v>
      </c>
      <c r="S117" t="s">
        <v>564</v>
      </c>
      <c r="T117" t="s">
        <v>1274</v>
      </c>
      <c r="U117" t="s">
        <v>223</v>
      </c>
      <c r="W117" t="s">
        <v>1876</v>
      </c>
      <c r="X117" t="s">
        <v>1987</v>
      </c>
      <c r="Y117" t="s">
        <v>2851</v>
      </c>
      <c r="Z117" t="s">
        <v>3097</v>
      </c>
      <c r="AA117" t="s">
        <v>3135</v>
      </c>
      <c r="AB117">
        <v>11249</v>
      </c>
      <c r="AD117" t="s">
        <v>3250</v>
      </c>
      <c r="AE117">
        <v>1</v>
      </c>
      <c r="AG117" t="s">
        <v>4028</v>
      </c>
      <c r="AH117" t="s">
        <v>291</v>
      </c>
      <c r="AK117" t="s">
        <v>4040</v>
      </c>
      <c r="AM117">
        <v>0</v>
      </c>
      <c r="AN117">
        <v>803</v>
      </c>
      <c r="AO117">
        <v>0</v>
      </c>
      <c r="AQ117" t="s">
        <v>4169</v>
      </c>
      <c r="AR117" t="s">
        <v>5079</v>
      </c>
      <c r="AS117">
        <v>0</v>
      </c>
      <c r="AU117">
        <v>1</v>
      </c>
      <c r="AV117">
        <v>0</v>
      </c>
      <c r="AW117">
        <v>0</v>
      </c>
      <c r="BB117" t="s">
        <v>1322</v>
      </c>
      <c r="BC117">
        <v>0</v>
      </c>
      <c r="BG117" t="s">
        <v>5891</v>
      </c>
      <c r="BJ117" t="s">
        <v>5945</v>
      </c>
    </row>
    <row r="118" spans="1:64">
      <c r="A118" s="1">
        <f>HYPERLINK("https://lsnyc.legalserver.org/matter/dynamic-profile/view/1909081","19-1909081")</f>
        <v>0</v>
      </c>
      <c r="B118" t="s">
        <v>64</v>
      </c>
      <c r="C118" t="s">
        <v>86</v>
      </c>
      <c r="D118" t="s">
        <v>200</v>
      </c>
      <c r="E118" t="s">
        <v>201</v>
      </c>
      <c r="G118" t="s">
        <v>202</v>
      </c>
      <c r="H118" t="s">
        <v>272</v>
      </c>
      <c r="I118" t="s">
        <v>288</v>
      </c>
      <c r="J118" t="s">
        <v>290</v>
      </c>
      <c r="K118" t="s">
        <v>202</v>
      </c>
      <c r="L118" t="s">
        <v>313</v>
      </c>
      <c r="M118" t="s">
        <v>290</v>
      </c>
      <c r="N118" t="s">
        <v>419</v>
      </c>
      <c r="O118" t="s">
        <v>420</v>
      </c>
      <c r="P118" t="s">
        <v>427</v>
      </c>
      <c r="S118" t="s">
        <v>565</v>
      </c>
      <c r="T118" t="s">
        <v>570</v>
      </c>
      <c r="U118" t="s">
        <v>256</v>
      </c>
      <c r="W118" t="s">
        <v>1876</v>
      </c>
      <c r="X118" t="s">
        <v>1988</v>
      </c>
      <c r="Y118" t="s">
        <v>2852</v>
      </c>
      <c r="Z118" t="s">
        <v>3097</v>
      </c>
      <c r="AA118" t="s">
        <v>3135</v>
      </c>
      <c r="AB118">
        <v>11220</v>
      </c>
      <c r="AD118" t="s">
        <v>3251</v>
      </c>
      <c r="AE118">
        <v>0</v>
      </c>
      <c r="AG118" t="s">
        <v>4028</v>
      </c>
      <c r="AH118" t="s">
        <v>291</v>
      </c>
      <c r="AK118" t="s">
        <v>4040</v>
      </c>
      <c r="AM118">
        <v>0</v>
      </c>
      <c r="AN118">
        <v>1770</v>
      </c>
      <c r="AO118">
        <v>2.6</v>
      </c>
      <c r="AQ118" t="s">
        <v>4170</v>
      </c>
      <c r="AR118" t="s">
        <v>5080</v>
      </c>
      <c r="AS118">
        <v>0</v>
      </c>
      <c r="AU118">
        <v>3</v>
      </c>
      <c r="AV118">
        <v>2</v>
      </c>
      <c r="AW118">
        <v>20.56</v>
      </c>
      <c r="BB118" t="s">
        <v>1322</v>
      </c>
      <c r="BC118">
        <v>6204</v>
      </c>
      <c r="BG118" t="s">
        <v>5891</v>
      </c>
      <c r="BJ118" t="s">
        <v>5950</v>
      </c>
      <c r="BK118" t="s">
        <v>266</v>
      </c>
    </row>
    <row r="119" spans="1:64">
      <c r="A119" s="1">
        <f>HYPERLINK("https://lsnyc.legalserver.org/matter/dynamic-profile/view/1909765","19-1909765")</f>
        <v>0</v>
      </c>
      <c r="B119" t="s">
        <v>64</v>
      </c>
      <c r="C119" t="s">
        <v>87</v>
      </c>
      <c r="D119" t="s">
        <v>200</v>
      </c>
      <c r="E119" t="s">
        <v>201</v>
      </c>
      <c r="G119" t="s">
        <v>202</v>
      </c>
      <c r="H119" t="s">
        <v>272</v>
      </c>
      <c r="I119" t="s">
        <v>202</v>
      </c>
      <c r="J119" t="s">
        <v>289</v>
      </c>
      <c r="K119" t="s">
        <v>292</v>
      </c>
      <c r="M119" t="s">
        <v>290</v>
      </c>
      <c r="N119" t="s">
        <v>419</v>
      </c>
      <c r="O119" t="s">
        <v>420</v>
      </c>
      <c r="P119" t="s">
        <v>427</v>
      </c>
      <c r="S119" t="s">
        <v>566</v>
      </c>
      <c r="T119" t="s">
        <v>1275</v>
      </c>
      <c r="U119" t="s">
        <v>264</v>
      </c>
      <c r="W119" t="s">
        <v>1876</v>
      </c>
      <c r="X119" t="s">
        <v>1989</v>
      </c>
      <c r="Z119" t="s">
        <v>3097</v>
      </c>
      <c r="AA119" t="s">
        <v>3135</v>
      </c>
      <c r="AB119">
        <v>11236</v>
      </c>
      <c r="AC119" t="s">
        <v>3136</v>
      </c>
      <c r="AD119" t="s">
        <v>3252</v>
      </c>
      <c r="AE119">
        <v>0</v>
      </c>
      <c r="AG119" t="s">
        <v>4028</v>
      </c>
      <c r="AH119" t="s">
        <v>291</v>
      </c>
      <c r="AK119" t="s">
        <v>4040</v>
      </c>
      <c r="AM119">
        <v>0</v>
      </c>
      <c r="AN119">
        <v>0</v>
      </c>
      <c r="AO119">
        <v>0</v>
      </c>
      <c r="AQ119" t="s">
        <v>4171</v>
      </c>
      <c r="AR119" t="s">
        <v>5081</v>
      </c>
      <c r="AS119">
        <v>0</v>
      </c>
      <c r="AU119">
        <v>1</v>
      </c>
      <c r="AV119">
        <v>1</v>
      </c>
      <c r="AW119">
        <v>72.51000000000001</v>
      </c>
      <c r="BB119" t="s">
        <v>1322</v>
      </c>
      <c r="BC119">
        <v>12262</v>
      </c>
      <c r="BG119" t="s">
        <v>5894</v>
      </c>
      <c r="BJ119" t="s">
        <v>5951</v>
      </c>
      <c r="BL119" t="s">
        <v>6056</v>
      </c>
    </row>
    <row r="120" spans="1:64">
      <c r="A120" s="1">
        <f>HYPERLINK("https://lsnyc.legalserver.org/matter/dynamic-profile/view/1906719","19-1906719")</f>
        <v>0</v>
      </c>
      <c r="B120" t="s">
        <v>64</v>
      </c>
      <c r="C120" t="s">
        <v>87</v>
      </c>
      <c r="D120" t="s">
        <v>200</v>
      </c>
      <c r="E120" t="s">
        <v>201</v>
      </c>
      <c r="G120" t="s">
        <v>202</v>
      </c>
      <c r="H120" t="s">
        <v>272</v>
      </c>
      <c r="I120" t="s">
        <v>202</v>
      </c>
      <c r="J120" t="s">
        <v>289</v>
      </c>
      <c r="K120" t="s">
        <v>292</v>
      </c>
      <c r="M120" t="s">
        <v>290</v>
      </c>
      <c r="N120" t="s">
        <v>202</v>
      </c>
      <c r="O120" t="s">
        <v>422</v>
      </c>
      <c r="P120" t="s">
        <v>428</v>
      </c>
      <c r="S120" t="s">
        <v>518</v>
      </c>
      <c r="T120" t="s">
        <v>1276</v>
      </c>
      <c r="U120" t="s">
        <v>209</v>
      </c>
      <c r="V120" t="s">
        <v>223</v>
      </c>
      <c r="W120" t="s">
        <v>1877</v>
      </c>
      <c r="X120" t="s">
        <v>1990</v>
      </c>
      <c r="Y120" t="s">
        <v>2852</v>
      </c>
      <c r="Z120" t="s">
        <v>3097</v>
      </c>
      <c r="AA120" t="s">
        <v>3135</v>
      </c>
      <c r="AB120">
        <v>11220</v>
      </c>
      <c r="AC120" t="s">
        <v>3136</v>
      </c>
      <c r="AD120" t="s">
        <v>3253</v>
      </c>
      <c r="AE120">
        <v>6</v>
      </c>
      <c r="AF120" t="s">
        <v>4023</v>
      </c>
      <c r="AG120" t="s">
        <v>4028</v>
      </c>
      <c r="AH120" t="s">
        <v>291</v>
      </c>
      <c r="AK120" t="s">
        <v>4040</v>
      </c>
      <c r="AM120">
        <v>0</v>
      </c>
      <c r="AN120">
        <v>1710</v>
      </c>
      <c r="AO120">
        <v>1.1</v>
      </c>
      <c r="AP120" t="s">
        <v>4052</v>
      </c>
      <c r="AQ120" t="s">
        <v>4172</v>
      </c>
      <c r="AR120" t="s">
        <v>5082</v>
      </c>
      <c r="AS120">
        <v>6</v>
      </c>
      <c r="AT120" t="s">
        <v>5838</v>
      </c>
      <c r="AU120">
        <v>2</v>
      </c>
      <c r="AV120">
        <v>0</v>
      </c>
      <c r="AW120">
        <v>61.01</v>
      </c>
      <c r="BA120" t="s">
        <v>329</v>
      </c>
      <c r="BB120" t="s">
        <v>1322</v>
      </c>
      <c r="BC120">
        <v>10316.4</v>
      </c>
      <c r="BG120" t="s">
        <v>5894</v>
      </c>
      <c r="BJ120" t="s">
        <v>5943</v>
      </c>
      <c r="BK120" t="s">
        <v>223</v>
      </c>
      <c r="BL120" t="s">
        <v>6056</v>
      </c>
    </row>
    <row r="121" spans="1:64">
      <c r="A121" s="1">
        <f>HYPERLINK("https://lsnyc.legalserver.org/matter/dynamic-profile/view/1907782","19-1907782")</f>
        <v>0</v>
      </c>
      <c r="B121" t="s">
        <v>64</v>
      </c>
      <c r="C121" t="s">
        <v>87</v>
      </c>
      <c r="D121" t="s">
        <v>200</v>
      </c>
      <c r="E121" t="s">
        <v>201</v>
      </c>
      <c r="G121" t="s">
        <v>202</v>
      </c>
      <c r="H121" t="s">
        <v>272</v>
      </c>
      <c r="I121" t="s">
        <v>288</v>
      </c>
      <c r="J121" t="s">
        <v>290</v>
      </c>
      <c r="K121" t="s">
        <v>292</v>
      </c>
      <c r="M121" t="s">
        <v>290</v>
      </c>
      <c r="N121" t="s">
        <v>202</v>
      </c>
      <c r="O121" t="s">
        <v>422</v>
      </c>
      <c r="P121" t="s">
        <v>427</v>
      </c>
      <c r="S121" t="s">
        <v>567</v>
      </c>
      <c r="T121" t="s">
        <v>1277</v>
      </c>
      <c r="U121" t="s">
        <v>213</v>
      </c>
      <c r="W121" t="s">
        <v>1876</v>
      </c>
      <c r="X121" t="s">
        <v>1991</v>
      </c>
      <c r="Y121" t="s">
        <v>2853</v>
      </c>
      <c r="Z121" t="s">
        <v>3097</v>
      </c>
      <c r="AA121" t="s">
        <v>3135</v>
      </c>
      <c r="AB121">
        <v>11201</v>
      </c>
      <c r="AD121" t="s">
        <v>3254</v>
      </c>
      <c r="AE121">
        <v>0</v>
      </c>
      <c r="AG121" t="s">
        <v>4028</v>
      </c>
      <c r="AH121" t="s">
        <v>291</v>
      </c>
      <c r="AK121" t="s">
        <v>4040</v>
      </c>
      <c r="AM121">
        <v>0</v>
      </c>
      <c r="AN121">
        <v>3600</v>
      </c>
      <c r="AO121">
        <v>1</v>
      </c>
      <c r="AQ121" t="s">
        <v>4173</v>
      </c>
      <c r="AR121" t="s">
        <v>5083</v>
      </c>
      <c r="AS121">
        <v>0</v>
      </c>
      <c r="AU121">
        <v>1</v>
      </c>
      <c r="AV121">
        <v>0</v>
      </c>
      <c r="AW121">
        <v>0</v>
      </c>
      <c r="BB121" t="s">
        <v>1322</v>
      </c>
      <c r="BC121">
        <v>0</v>
      </c>
      <c r="BG121" t="s">
        <v>5891</v>
      </c>
      <c r="BJ121" t="s">
        <v>5945</v>
      </c>
      <c r="BK121" t="s">
        <v>220</v>
      </c>
    </row>
    <row r="122" spans="1:64">
      <c r="A122" s="1">
        <f>HYPERLINK("https://lsnyc.legalserver.org/matter/dynamic-profile/view/1905360","19-1905360")</f>
        <v>0</v>
      </c>
      <c r="B122" t="s">
        <v>64</v>
      </c>
      <c r="C122" t="s">
        <v>87</v>
      </c>
      <c r="D122" t="s">
        <v>200</v>
      </c>
      <c r="E122" t="s">
        <v>202</v>
      </c>
      <c r="F122" t="s">
        <v>214</v>
      </c>
      <c r="G122" t="s">
        <v>202</v>
      </c>
      <c r="H122" t="s">
        <v>271</v>
      </c>
      <c r="I122" t="s">
        <v>202</v>
      </c>
      <c r="J122" t="s">
        <v>289</v>
      </c>
      <c r="K122" t="s">
        <v>202</v>
      </c>
      <c r="L122" t="s">
        <v>314</v>
      </c>
      <c r="M122" t="s">
        <v>290</v>
      </c>
      <c r="N122" t="s">
        <v>202</v>
      </c>
      <c r="O122" t="s">
        <v>422</v>
      </c>
      <c r="P122" t="s">
        <v>428</v>
      </c>
      <c r="S122" t="s">
        <v>568</v>
      </c>
      <c r="T122" t="s">
        <v>1278</v>
      </c>
      <c r="U122" t="s">
        <v>214</v>
      </c>
      <c r="V122" t="s">
        <v>214</v>
      </c>
      <c r="W122" t="s">
        <v>1877</v>
      </c>
      <c r="X122" t="s">
        <v>1992</v>
      </c>
      <c r="Y122" t="s">
        <v>2854</v>
      </c>
      <c r="Z122" t="s">
        <v>3097</v>
      </c>
      <c r="AA122" t="s">
        <v>3135</v>
      </c>
      <c r="AB122">
        <v>11203</v>
      </c>
      <c r="AC122" t="s">
        <v>3136</v>
      </c>
      <c r="AD122" t="s">
        <v>3255</v>
      </c>
      <c r="AE122">
        <v>23</v>
      </c>
      <c r="AF122" t="s">
        <v>4023</v>
      </c>
      <c r="AG122" t="s">
        <v>4028</v>
      </c>
      <c r="AH122" t="s">
        <v>291</v>
      </c>
      <c r="AI122" t="s">
        <v>291</v>
      </c>
      <c r="AK122" t="s">
        <v>4040</v>
      </c>
      <c r="AL122" t="s">
        <v>4046</v>
      </c>
      <c r="AM122">
        <v>0</v>
      </c>
      <c r="AN122">
        <v>1000</v>
      </c>
      <c r="AO122">
        <v>1.4</v>
      </c>
      <c r="AP122" t="s">
        <v>4052</v>
      </c>
      <c r="AQ122" t="s">
        <v>4174</v>
      </c>
      <c r="AR122" t="s">
        <v>5084</v>
      </c>
      <c r="AS122">
        <v>2</v>
      </c>
      <c r="AT122" t="s">
        <v>5836</v>
      </c>
      <c r="AU122">
        <v>3</v>
      </c>
      <c r="AV122">
        <v>0</v>
      </c>
      <c r="AW122">
        <v>168.78</v>
      </c>
      <c r="BA122" t="s">
        <v>329</v>
      </c>
      <c r="BB122" t="s">
        <v>1322</v>
      </c>
      <c r="BC122">
        <v>36000</v>
      </c>
      <c r="BG122" t="s">
        <v>5894</v>
      </c>
      <c r="BJ122" t="s">
        <v>5949</v>
      </c>
      <c r="BK122" t="s">
        <v>214</v>
      </c>
      <c r="BL122" t="s">
        <v>6056</v>
      </c>
    </row>
    <row r="123" spans="1:64">
      <c r="A123" s="1">
        <f>HYPERLINK("https://lsnyc.legalserver.org/matter/dynamic-profile/view/1909967","19-1909967")</f>
        <v>0</v>
      </c>
      <c r="B123" t="s">
        <v>64</v>
      </c>
      <c r="C123" t="s">
        <v>88</v>
      </c>
      <c r="D123" t="s">
        <v>200</v>
      </c>
      <c r="E123" t="s">
        <v>201</v>
      </c>
      <c r="G123" t="s">
        <v>270</v>
      </c>
      <c r="I123" t="s">
        <v>288</v>
      </c>
      <c r="J123" t="s">
        <v>290</v>
      </c>
      <c r="K123" t="s">
        <v>292</v>
      </c>
      <c r="M123" t="s">
        <v>290</v>
      </c>
      <c r="N123" t="s">
        <v>202</v>
      </c>
      <c r="O123" t="s">
        <v>422</v>
      </c>
      <c r="P123" t="s">
        <v>427</v>
      </c>
      <c r="S123" t="s">
        <v>569</v>
      </c>
      <c r="T123" t="s">
        <v>1279</v>
      </c>
      <c r="U123" t="s">
        <v>243</v>
      </c>
      <c r="W123" t="s">
        <v>1876</v>
      </c>
      <c r="X123" t="s">
        <v>1993</v>
      </c>
      <c r="Y123" t="s">
        <v>2855</v>
      </c>
      <c r="Z123" t="s">
        <v>3097</v>
      </c>
      <c r="AA123" t="s">
        <v>3135</v>
      </c>
      <c r="AB123">
        <v>11229</v>
      </c>
      <c r="AD123" t="s">
        <v>3256</v>
      </c>
      <c r="AE123">
        <v>0</v>
      </c>
      <c r="AG123" t="s">
        <v>4028</v>
      </c>
      <c r="AH123" t="s">
        <v>291</v>
      </c>
      <c r="AK123" t="s">
        <v>4040</v>
      </c>
      <c r="AM123">
        <v>0</v>
      </c>
      <c r="AN123">
        <v>0</v>
      </c>
      <c r="AO123">
        <v>0</v>
      </c>
      <c r="AQ123" t="s">
        <v>4175</v>
      </c>
      <c r="AR123" t="s">
        <v>5085</v>
      </c>
      <c r="AS123">
        <v>0</v>
      </c>
      <c r="AU123">
        <v>1</v>
      </c>
      <c r="AV123">
        <v>0</v>
      </c>
      <c r="AW123">
        <v>82.43000000000001</v>
      </c>
      <c r="BB123" t="s">
        <v>5861</v>
      </c>
      <c r="BC123">
        <v>10296</v>
      </c>
      <c r="BG123" t="s">
        <v>5891</v>
      </c>
      <c r="BJ123" t="s">
        <v>5959</v>
      </c>
    </row>
    <row r="124" spans="1:64">
      <c r="A124" s="1">
        <f>HYPERLINK("https://lsnyc.legalserver.org/matter/dynamic-profile/view/1909806","19-1909806")</f>
        <v>0</v>
      </c>
      <c r="B124" t="s">
        <v>64</v>
      </c>
      <c r="C124" t="s">
        <v>75</v>
      </c>
      <c r="D124" t="s">
        <v>200</v>
      </c>
      <c r="E124" t="s">
        <v>201</v>
      </c>
      <c r="G124" t="s">
        <v>202</v>
      </c>
      <c r="H124" t="s">
        <v>272</v>
      </c>
      <c r="I124" t="s">
        <v>288</v>
      </c>
      <c r="J124" t="s">
        <v>290</v>
      </c>
      <c r="K124" t="s">
        <v>202</v>
      </c>
      <c r="L124" t="s">
        <v>315</v>
      </c>
      <c r="M124" t="s">
        <v>290</v>
      </c>
      <c r="N124" t="s">
        <v>202</v>
      </c>
      <c r="O124" t="s">
        <v>422</v>
      </c>
      <c r="P124" t="s">
        <v>427</v>
      </c>
      <c r="S124" t="s">
        <v>570</v>
      </c>
      <c r="T124" t="s">
        <v>1185</v>
      </c>
      <c r="U124" t="s">
        <v>238</v>
      </c>
      <c r="W124" t="s">
        <v>1876</v>
      </c>
      <c r="X124" t="s">
        <v>1994</v>
      </c>
      <c r="Y124" t="s">
        <v>2796</v>
      </c>
      <c r="Z124" t="s">
        <v>3097</v>
      </c>
      <c r="AA124" t="s">
        <v>3135</v>
      </c>
      <c r="AB124">
        <v>11218</v>
      </c>
      <c r="AC124" t="s">
        <v>3136</v>
      </c>
      <c r="AD124" t="s">
        <v>3257</v>
      </c>
      <c r="AE124">
        <v>0</v>
      </c>
      <c r="AG124" t="s">
        <v>4028</v>
      </c>
      <c r="AH124" t="s">
        <v>291</v>
      </c>
      <c r="AK124" t="s">
        <v>4040</v>
      </c>
      <c r="AM124">
        <v>0</v>
      </c>
      <c r="AN124">
        <v>1600</v>
      </c>
      <c r="AO124">
        <v>1.5</v>
      </c>
      <c r="AQ124" t="s">
        <v>4176</v>
      </c>
      <c r="AR124" t="s">
        <v>5086</v>
      </c>
      <c r="AS124">
        <v>0</v>
      </c>
      <c r="AU124">
        <v>1</v>
      </c>
      <c r="AV124">
        <v>1</v>
      </c>
      <c r="AW124">
        <v>0</v>
      </c>
      <c r="BB124" t="s">
        <v>1322</v>
      </c>
      <c r="BC124">
        <v>0</v>
      </c>
      <c r="BG124" t="s">
        <v>5891</v>
      </c>
      <c r="BJ124" t="s">
        <v>5965</v>
      </c>
      <c r="BK124" t="s">
        <v>230</v>
      </c>
    </row>
    <row r="125" spans="1:64">
      <c r="A125" s="1">
        <f>HYPERLINK("https://lsnyc.legalserver.org/matter/dynamic-profile/view/1907561","19-1907561")</f>
        <v>0</v>
      </c>
      <c r="B125" t="s">
        <v>64</v>
      </c>
      <c r="C125" t="s">
        <v>75</v>
      </c>
      <c r="D125" t="s">
        <v>200</v>
      </c>
      <c r="E125" t="s">
        <v>201</v>
      </c>
      <c r="G125" t="s">
        <v>202</v>
      </c>
      <c r="H125" t="s">
        <v>272</v>
      </c>
      <c r="I125" t="s">
        <v>202</v>
      </c>
      <c r="J125" t="s">
        <v>289</v>
      </c>
      <c r="K125" t="s">
        <v>292</v>
      </c>
      <c r="M125" t="s">
        <v>290</v>
      </c>
      <c r="N125" t="s">
        <v>202</v>
      </c>
      <c r="O125" t="s">
        <v>421</v>
      </c>
      <c r="P125" t="s">
        <v>427</v>
      </c>
      <c r="S125" t="s">
        <v>571</v>
      </c>
      <c r="T125" t="s">
        <v>1280</v>
      </c>
      <c r="U125" t="s">
        <v>220</v>
      </c>
      <c r="W125" t="s">
        <v>1876</v>
      </c>
      <c r="X125" t="s">
        <v>1995</v>
      </c>
      <c r="Y125" t="s">
        <v>2793</v>
      </c>
      <c r="Z125" t="s">
        <v>3097</v>
      </c>
      <c r="AA125" t="s">
        <v>3135</v>
      </c>
      <c r="AB125">
        <v>11226</v>
      </c>
      <c r="AC125" t="s">
        <v>3136</v>
      </c>
      <c r="AD125" t="s">
        <v>3258</v>
      </c>
      <c r="AE125">
        <v>21</v>
      </c>
      <c r="AG125" t="s">
        <v>4029</v>
      </c>
      <c r="AH125" t="s">
        <v>291</v>
      </c>
      <c r="AK125" t="s">
        <v>4040</v>
      </c>
      <c r="AM125">
        <v>0</v>
      </c>
      <c r="AN125">
        <v>1022.86</v>
      </c>
      <c r="AO125">
        <v>2.1</v>
      </c>
      <c r="AQ125" t="s">
        <v>4177</v>
      </c>
      <c r="AR125" t="s">
        <v>5087</v>
      </c>
      <c r="AS125">
        <v>83</v>
      </c>
      <c r="AU125">
        <v>1</v>
      </c>
      <c r="AV125">
        <v>2</v>
      </c>
      <c r="AW125">
        <v>112.52</v>
      </c>
      <c r="BA125" t="s">
        <v>329</v>
      </c>
      <c r="BB125" t="s">
        <v>1322</v>
      </c>
      <c r="BC125">
        <v>24000</v>
      </c>
      <c r="BG125" t="s">
        <v>5894</v>
      </c>
      <c r="BJ125" t="s">
        <v>5949</v>
      </c>
      <c r="BK125" t="s">
        <v>237</v>
      </c>
      <c r="BL125" t="s">
        <v>6056</v>
      </c>
    </row>
    <row r="126" spans="1:64">
      <c r="A126" s="1">
        <f>HYPERLINK("https://lsnyc.legalserver.org/matter/dynamic-profile/view/1908162","19-1908162")</f>
        <v>0</v>
      </c>
      <c r="B126" t="s">
        <v>64</v>
      </c>
      <c r="C126" t="s">
        <v>89</v>
      </c>
      <c r="D126" t="s">
        <v>200</v>
      </c>
      <c r="E126" t="s">
        <v>201</v>
      </c>
      <c r="G126" t="s">
        <v>270</v>
      </c>
      <c r="I126" t="s">
        <v>202</v>
      </c>
      <c r="J126" t="s">
        <v>289</v>
      </c>
      <c r="K126" t="s">
        <v>292</v>
      </c>
      <c r="M126" t="s">
        <v>290</v>
      </c>
      <c r="N126" t="s">
        <v>202</v>
      </c>
      <c r="O126" t="s">
        <v>424</v>
      </c>
      <c r="P126" t="s">
        <v>427</v>
      </c>
      <c r="S126" t="s">
        <v>572</v>
      </c>
      <c r="T126" t="s">
        <v>1281</v>
      </c>
      <c r="U126" t="s">
        <v>1874</v>
      </c>
      <c r="W126" t="s">
        <v>1876</v>
      </c>
      <c r="X126" t="s">
        <v>1996</v>
      </c>
      <c r="Y126" t="s">
        <v>2800</v>
      </c>
      <c r="Z126" t="s">
        <v>3097</v>
      </c>
      <c r="AA126" t="s">
        <v>3135</v>
      </c>
      <c r="AB126">
        <v>11221</v>
      </c>
      <c r="AC126" t="s">
        <v>3140</v>
      </c>
      <c r="AE126">
        <v>46</v>
      </c>
      <c r="AG126" t="s">
        <v>4029</v>
      </c>
      <c r="AH126" t="s">
        <v>291</v>
      </c>
      <c r="AJ126" t="s">
        <v>4038</v>
      </c>
      <c r="AK126" t="s">
        <v>4041</v>
      </c>
      <c r="AM126">
        <v>0</v>
      </c>
      <c r="AN126">
        <v>428</v>
      </c>
      <c r="AO126">
        <v>0.5</v>
      </c>
      <c r="AQ126" t="s">
        <v>4178</v>
      </c>
      <c r="AR126" t="s">
        <v>5088</v>
      </c>
      <c r="AS126">
        <v>0</v>
      </c>
      <c r="AT126" t="s">
        <v>5837</v>
      </c>
      <c r="AU126">
        <v>2</v>
      </c>
      <c r="AV126">
        <v>1</v>
      </c>
      <c r="AW126">
        <v>87.43000000000001</v>
      </c>
      <c r="BB126" t="s">
        <v>1322</v>
      </c>
      <c r="BC126">
        <v>18648</v>
      </c>
      <c r="BG126" t="s">
        <v>5894</v>
      </c>
      <c r="BJ126" t="s">
        <v>5944</v>
      </c>
      <c r="BK126" t="s">
        <v>222</v>
      </c>
      <c r="BL126" t="s">
        <v>6056</v>
      </c>
    </row>
    <row r="127" spans="1:64">
      <c r="A127" s="1">
        <f>HYPERLINK("https://lsnyc.legalserver.org/matter/dynamic-profile/view/1909544","19-1909544")</f>
        <v>0</v>
      </c>
      <c r="B127" t="s">
        <v>64</v>
      </c>
      <c r="C127" t="s">
        <v>90</v>
      </c>
      <c r="D127" t="s">
        <v>200</v>
      </c>
      <c r="E127" t="s">
        <v>201</v>
      </c>
      <c r="G127" t="s">
        <v>270</v>
      </c>
      <c r="I127" t="s">
        <v>288</v>
      </c>
      <c r="J127" t="s">
        <v>290</v>
      </c>
      <c r="K127" t="s">
        <v>292</v>
      </c>
      <c r="M127" t="s">
        <v>290</v>
      </c>
      <c r="N127" t="s">
        <v>419</v>
      </c>
      <c r="P127" t="s">
        <v>427</v>
      </c>
      <c r="S127" t="s">
        <v>573</v>
      </c>
      <c r="T127" t="s">
        <v>1282</v>
      </c>
      <c r="U127" t="s">
        <v>222</v>
      </c>
      <c r="W127" t="s">
        <v>1876</v>
      </c>
      <c r="X127" t="s">
        <v>1997</v>
      </c>
      <c r="Z127" t="s">
        <v>3097</v>
      </c>
      <c r="AA127" t="s">
        <v>3135</v>
      </c>
      <c r="AB127">
        <v>11208</v>
      </c>
      <c r="AE127">
        <v>0</v>
      </c>
      <c r="AG127" t="s">
        <v>4029</v>
      </c>
      <c r="AH127" t="s">
        <v>291</v>
      </c>
      <c r="AK127" t="s">
        <v>4041</v>
      </c>
      <c r="AM127">
        <v>0</v>
      </c>
      <c r="AN127">
        <v>0</v>
      </c>
      <c r="AO127">
        <v>6.8</v>
      </c>
      <c r="AQ127" t="s">
        <v>4179</v>
      </c>
      <c r="AR127" t="s">
        <v>5089</v>
      </c>
      <c r="AS127">
        <v>0</v>
      </c>
      <c r="AU127">
        <v>1</v>
      </c>
      <c r="AV127">
        <v>0</v>
      </c>
      <c r="AW127">
        <v>51.88</v>
      </c>
      <c r="BB127" t="s">
        <v>5859</v>
      </c>
      <c r="BC127">
        <v>6480</v>
      </c>
      <c r="BG127" t="s">
        <v>5897</v>
      </c>
      <c r="BJ127" t="s">
        <v>5957</v>
      </c>
      <c r="BK127" t="s">
        <v>216</v>
      </c>
    </row>
    <row r="128" spans="1:64">
      <c r="A128" s="1">
        <f>HYPERLINK("https://lsnyc.legalserver.org/matter/dynamic-profile/view/1910370","19-1910370")</f>
        <v>0</v>
      </c>
      <c r="B128" t="s">
        <v>64</v>
      </c>
      <c r="C128" t="s">
        <v>87</v>
      </c>
      <c r="D128" t="s">
        <v>200</v>
      </c>
      <c r="E128" t="s">
        <v>201</v>
      </c>
      <c r="G128" t="s">
        <v>202</v>
      </c>
      <c r="H128" t="s">
        <v>271</v>
      </c>
      <c r="I128" t="s">
        <v>288</v>
      </c>
      <c r="J128" t="s">
        <v>290</v>
      </c>
      <c r="K128" t="s">
        <v>292</v>
      </c>
      <c r="M128" t="s">
        <v>290</v>
      </c>
      <c r="N128" t="s">
        <v>419</v>
      </c>
      <c r="P128" t="s">
        <v>427</v>
      </c>
      <c r="S128" t="s">
        <v>574</v>
      </c>
      <c r="T128" t="s">
        <v>1283</v>
      </c>
      <c r="U128" t="s">
        <v>216</v>
      </c>
      <c r="W128" t="s">
        <v>1876</v>
      </c>
      <c r="X128" t="s">
        <v>1998</v>
      </c>
      <c r="Y128" t="s">
        <v>2856</v>
      </c>
      <c r="Z128" t="s">
        <v>3097</v>
      </c>
      <c r="AA128" t="s">
        <v>3135</v>
      </c>
      <c r="AB128">
        <v>11230</v>
      </c>
      <c r="AC128" t="s">
        <v>3136</v>
      </c>
      <c r="AD128" t="s">
        <v>3259</v>
      </c>
      <c r="AE128">
        <v>0</v>
      </c>
      <c r="AG128" t="s">
        <v>4028</v>
      </c>
      <c r="AH128" t="s">
        <v>291</v>
      </c>
      <c r="AK128" t="s">
        <v>4040</v>
      </c>
      <c r="AM128">
        <v>0</v>
      </c>
      <c r="AN128">
        <v>867</v>
      </c>
      <c r="AO128">
        <v>0</v>
      </c>
      <c r="AQ128" t="s">
        <v>4180</v>
      </c>
      <c r="AR128" t="s">
        <v>5090</v>
      </c>
      <c r="AS128">
        <v>0</v>
      </c>
      <c r="AU128">
        <v>1</v>
      </c>
      <c r="AV128">
        <v>0</v>
      </c>
      <c r="AW128">
        <v>136.11</v>
      </c>
      <c r="BC128">
        <v>17000</v>
      </c>
      <c r="BG128" t="s">
        <v>5891</v>
      </c>
      <c r="BJ128" t="s">
        <v>5949</v>
      </c>
    </row>
    <row r="129" spans="1:64">
      <c r="A129" s="1">
        <f>HYPERLINK("https://lsnyc.legalserver.org/matter/dynamic-profile/view/1908398","19-1908398")</f>
        <v>0</v>
      </c>
      <c r="B129" t="s">
        <v>64</v>
      </c>
      <c r="C129" t="s">
        <v>74</v>
      </c>
      <c r="D129" t="s">
        <v>200</v>
      </c>
      <c r="E129" t="s">
        <v>201</v>
      </c>
      <c r="G129" t="s">
        <v>202</v>
      </c>
      <c r="H129" t="s">
        <v>275</v>
      </c>
      <c r="I129" t="s">
        <v>288</v>
      </c>
      <c r="J129" t="s">
        <v>290</v>
      </c>
      <c r="K129" t="s">
        <v>292</v>
      </c>
      <c r="M129" t="s">
        <v>290</v>
      </c>
      <c r="N129" t="s">
        <v>202</v>
      </c>
      <c r="O129" t="s">
        <v>424</v>
      </c>
      <c r="P129" t="s">
        <v>427</v>
      </c>
      <c r="S129" t="s">
        <v>548</v>
      </c>
      <c r="T129" t="s">
        <v>511</v>
      </c>
      <c r="U129" t="s">
        <v>253</v>
      </c>
      <c r="W129" t="s">
        <v>1876</v>
      </c>
      <c r="X129" t="s">
        <v>1999</v>
      </c>
      <c r="Y129" t="s">
        <v>2828</v>
      </c>
      <c r="Z129" t="s">
        <v>3097</v>
      </c>
      <c r="AA129" t="s">
        <v>3135</v>
      </c>
      <c r="AB129">
        <v>11226</v>
      </c>
      <c r="AC129" t="s">
        <v>3140</v>
      </c>
      <c r="AE129">
        <v>35</v>
      </c>
      <c r="AG129" t="s">
        <v>4028</v>
      </c>
      <c r="AH129" t="s">
        <v>291</v>
      </c>
      <c r="AI129" t="s">
        <v>291</v>
      </c>
      <c r="AK129" t="s">
        <v>4042</v>
      </c>
      <c r="AM129">
        <v>0</v>
      </c>
      <c r="AN129">
        <v>1378.1</v>
      </c>
      <c r="AO129">
        <v>8.4</v>
      </c>
      <c r="AQ129" t="s">
        <v>4181</v>
      </c>
      <c r="AR129" t="s">
        <v>5091</v>
      </c>
      <c r="AS129">
        <v>0</v>
      </c>
      <c r="AT129" t="s">
        <v>5838</v>
      </c>
      <c r="AU129">
        <v>2</v>
      </c>
      <c r="AV129">
        <v>2</v>
      </c>
      <c r="AW129">
        <v>34.02</v>
      </c>
      <c r="BA129" t="s">
        <v>5850</v>
      </c>
      <c r="BB129" t="s">
        <v>1322</v>
      </c>
      <c r="BC129">
        <v>8759.4</v>
      </c>
      <c r="BG129" t="s">
        <v>74</v>
      </c>
      <c r="BJ129" t="s">
        <v>5978</v>
      </c>
      <c r="BK129" t="s">
        <v>237</v>
      </c>
    </row>
    <row r="130" spans="1:64">
      <c r="A130" s="1">
        <f>HYPERLINK("https://lsnyc.legalserver.org/matter/dynamic-profile/view/1904579","19-1904579")</f>
        <v>0</v>
      </c>
      <c r="B130" t="s">
        <v>64</v>
      </c>
      <c r="C130" t="s">
        <v>86</v>
      </c>
      <c r="D130" t="s">
        <v>200</v>
      </c>
      <c r="E130" t="s">
        <v>201</v>
      </c>
      <c r="G130" t="s">
        <v>202</v>
      </c>
      <c r="H130" t="s">
        <v>272</v>
      </c>
      <c r="I130" t="s">
        <v>202</v>
      </c>
      <c r="J130" t="s">
        <v>289</v>
      </c>
      <c r="K130" t="s">
        <v>292</v>
      </c>
      <c r="M130" t="s">
        <v>290</v>
      </c>
      <c r="N130" t="s">
        <v>419</v>
      </c>
      <c r="O130" t="s">
        <v>420</v>
      </c>
      <c r="P130" t="s">
        <v>427</v>
      </c>
      <c r="S130" t="s">
        <v>575</v>
      </c>
      <c r="T130" t="s">
        <v>1284</v>
      </c>
      <c r="U130" t="s">
        <v>205</v>
      </c>
      <c r="W130" t="s">
        <v>1876</v>
      </c>
      <c r="X130" t="s">
        <v>1900</v>
      </c>
      <c r="Y130" t="s">
        <v>2857</v>
      </c>
      <c r="Z130" t="s">
        <v>3097</v>
      </c>
      <c r="AA130" t="s">
        <v>3135</v>
      </c>
      <c r="AB130">
        <v>11216</v>
      </c>
      <c r="AD130" t="s">
        <v>3260</v>
      </c>
      <c r="AE130">
        <v>6</v>
      </c>
      <c r="AG130" t="s">
        <v>4029</v>
      </c>
      <c r="AH130" t="s">
        <v>291</v>
      </c>
      <c r="AK130" t="s">
        <v>4040</v>
      </c>
      <c r="AM130">
        <v>0</v>
      </c>
      <c r="AN130">
        <v>298</v>
      </c>
      <c r="AO130">
        <v>6.5</v>
      </c>
      <c r="AQ130" t="s">
        <v>4182</v>
      </c>
      <c r="AR130" t="s">
        <v>5092</v>
      </c>
      <c r="AS130">
        <v>0</v>
      </c>
      <c r="AU130">
        <v>1</v>
      </c>
      <c r="AV130">
        <v>2</v>
      </c>
      <c r="AW130">
        <v>97.52</v>
      </c>
      <c r="BA130" t="s">
        <v>5850</v>
      </c>
      <c r="BC130">
        <v>20800</v>
      </c>
      <c r="BG130" t="s">
        <v>5894</v>
      </c>
      <c r="BJ130" t="s">
        <v>5949</v>
      </c>
      <c r="BK130" t="s">
        <v>210</v>
      </c>
      <c r="BL130" t="s">
        <v>6056</v>
      </c>
    </row>
    <row r="131" spans="1:64">
      <c r="A131" s="1">
        <f>HYPERLINK("https://lsnyc.legalserver.org/matter/dynamic-profile/view/1907014","19-1907014")</f>
        <v>0</v>
      </c>
      <c r="B131" t="s">
        <v>64</v>
      </c>
      <c r="C131" t="s">
        <v>86</v>
      </c>
      <c r="D131" t="s">
        <v>200</v>
      </c>
      <c r="E131" t="s">
        <v>201</v>
      </c>
      <c r="G131" t="s">
        <v>202</v>
      </c>
      <c r="H131" t="s">
        <v>272</v>
      </c>
      <c r="I131" t="s">
        <v>202</v>
      </c>
      <c r="J131" t="s">
        <v>289</v>
      </c>
      <c r="K131" t="s">
        <v>292</v>
      </c>
      <c r="M131" t="s">
        <v>290</v>
      </c>
      <c r="N131" t="s">
        <v>202</v>
      </c>
      <c r="O131" t="s">
        <v>421</v>
      </c>
      <c r="P131" t="s">
        <v>427</v>
      </c>
      <c r="S131" t="s">
        <v>553</v>
      </c>
      <c r="T131" t="s">
        <v>1257</v>
      </c>
      <c r="U131" t="s">
        <v>226</v>
      </c>
      <c r="W131" t="s">
        <v>1876</v>
      </c>
      <c r="X131" t="s">
        <v>2000</v>
      </c>
      <c r="Y131" t="s">
        <v>2807</v>
      </c>
      <c r="Z131" t="s">
        <v>3097</v>
      </c>
      <c r="AA131" t="s">
        <v>3135</v>
      </c>
      <c r="AB131">
        <v>11216</v>
      </c>
      <c r="AC131" t="s">
        <v>3137</v>
      </c>
      <c r="AD131" t="s">
        <v>3261</v>
      </c>
      <c r="AE131">
        <v>27</v>
      </c>
      <c r="AG131" t="s">
        <v>4029</v>
      </c>
      <c r="AH131" t="s">
        <v>291</v>
      </c>
      <c r="AI131" t="s">
        <v>291</v>
      </c>
      <c r="AK131" t="s">
        <v>4040</v>
      </c>
      <c r="AM131">
        <v>0</v>
      </c>
      <c r="AN131">
        <v>947.23</v>
      </c>
      <c r="AO131">
        <v>4</v>
      </c>
      <c r="AQ131" t="s">
        <v>4183</v>
      </c>
      <c r="AR131" t="s">
        <v>5093</v>
      </c>
      <c r="AS131">
        <v>0</v>
      </c>
      <c r="AT131" t="s">
        <v>5838</v>
      </c>
      <c r="AU131">
        <v>1</v>
      </c>
      <c r="AV131">
        <v>0</v>
      </c>
      <c r="AW131">
        <v>312.25</v>
      </c>
      <c r="BB131" t="s">
        <v>1322</v>
      </c>
      <c r="BC131">
        <v>39000</v>
      </c>
      <c r="BG131" t="s">
        <v>5892</v>
      </c>
      <c r="BJ131" t="s">
        <v>5949</v>
      </c>
      <c r="BK131" t="s">
        <v>264</v>
      </c>
      <c r="BL131" t="s">
        <v>6056</v>
      </c>
    </row>
    <row r="132" spans="1:64">
      <c r="A132" s="1">
        <f>HYPERLINK("https://lsnyc.legalserver.org/matter/dynamic-profile/view/1909258","19-1909258")</f>
        <v>0</v>
      </c>
      <c r="B132" t="s">
        <v>64</v>
      </c>
      <c r="C132" t="s">
        <v>91</v>
      </c>
      <c r="D132" t="s">
        <v>200</v>
      </c>
      <c r="E132" t="s">
        <v>201</v>
      </c>
      <c r="G132" t="s">
        <v>202</v>
      </c>
      <c r="H132" t="s">
        <v>272</v>
      </c>
      <c r="I132" t="s">
        <v>202</v>
      </c>
      <c r="J132" t="s">
        <v>289</v>
      </c>
      <c r="K132" t="s">
        <v>292</v>
      </c>
      <c r="M132" t="s">
        <v>290</v>
      </c>
      <c r="N132" t="s">
        <v>202</v>
      </c>
      <c r="O132" t="s">
        <v>422</v>
      </c>
      <c r="P132" t="s">
        <v>428</v>
      </c>
      <c r="S132" t="s">
        <v>576</v>
      </c>
      <c r="T132" t="s">
        <v>1285</v>
      </c>
      <c r="U132" t="s">
        <v>263</v>
      </c>
      <c r="V132" t="s">
        <v>263</v>
      </c>
      <c r="W132" t="s">
        <v>1877</v>
      </c>
      <c r="X132" t="s">
        <v>2001</v>
      </c>
      <c r="Y132" t="s">
        <v>2858</v>
      </c>
      <c r="Z132" t="s">
        <v>3097</v>
      </c>
      <c r="AA132" t="s">
        <v>3135</v>
      </c>
      <c r="AB132">
        <v>11218</v>
      </c>
      <c r="AC132" t="s">
        <v>3136</v>
      </c>
      <c r="AD132" t="s">
        <v>3262</v>
      </c>
      <c r="AE132">
        <v>0</v>
      </c>
      <c r="AF132" t="s">
        <v>4023</v>
      </c>
      <c r="AG132" t="s">
        <v>4028</v>
      </c>
      <c r="AH132" t="s">
        <v>291</v>
      </c>
      <c r="AK132" t="s">
        <v>4040</v>
      </c>
      <c r="AM132">
        <v>0</v>
      </c>
      <c r="AN132">
        <v>0</v>
      </c>
      <c r="AO132">
        <v>0.3</v>
      </c>
      <c r="AP132" t="s">
        <v>4052</v>
      </c>
      <c r="AQ132" t="s">
        <v>4184</v>
      </c>
      <c r="AR132" t="s">
        <v>5094</v>
      </c>
      <c r="AS132">
        <v>0</v>
      </c>
      <c r="AU132">
        <v>1</v>
      </c>
      <c r="AV132">
        <v>0</v>
      </c>
      <c r="AW132">
        <v>49.86</v>
      </c>
      <c r="BB132" t="s">
        <v>5861</v>
      </c>
      <c r="BC132">
        <v>6228</v>
      </c>
      <c r="BG132" t="s">
        <v>5894</v>
      </c>
      <c r="BJ132" t="s">
        <v>5957</v>
      </c>
      <c r="BK132" t="s">
        <v>228</v>
      </c>
      <c r="BL132" t="s">
        <v>6056</v>
      </c>
    </row>
    <row r="133" spans="1:64">
      <c r="A133" s="1">
        <f>HYPERLINK("https://lsnyc.legalserver.org/matter/dynamic-profile/view/1908108","19-1908108")</f>
        <v>0</v>
      </c>
      <c r="B133" t="s">
        <v>64</v>
      </c>
      <c r="C133" t="s">
        <v>91</v>
      </c>
      <c r="D133" t="s">
        <v>200</v>
      </c>
      <c r="E133" t="s">
        <v>201</v>
      </c>
      <c r="G133" t="s">
        <v>202</v>
      </c>
      <c r="H133" t="s">
        <v>272</v>
      </c>
      <c r="I133" t="s">
        <v>202</v>
      </c>
      <c r="J133" t="s">
        <v>289</v>
      </c>
      <c r="K133" t="s">
        <v>292</v>
      </c>
      <c r="M133" t="s">
        <v>290</v>
      </c>
      <c r="N133" t="s">
        <v>419</v>
      </c>
      <c r="O133" t="s">
        <v>420</v>
      </c>
      <c r="P133" t="s">
        <v>427</v>
      </c>
      <c r="S133" t="s">
        <v>577</v>
      </c>
      <c r="T133" t="s">
        <v>1286</v>
      </c>
      <c r="U133" t="s">
        <v>1874</v>
      </c>
      <c r="W133" t="s">
        <v>1876</v>
      </c>
      <c r="X133" t="s">
        <v>2002</v>
      </c>
      <c r="Y133" t="s">
        <v>2859</v>
      </c>
      <c r="Z133" t="s">
        <v>3097</v>
      </c>
      <c r="AA133" t="s">
        <v>3135</v>
      </c>
      <c r="AB133">
        <v>11221</v>
      </c>
      <c r="AC133" t="s">
        <v>3137</v>
      </c>
      <c r="AD133" t="s">
        <v>3263</v>
      </c>
      <c r="AE133">
        <v>0</v>
      </c>
      <c r="AG133" t="s">
        <v>4029</v>
      </c>
      <c r="AH133" t="s">
        <v>291</v>
      </c>
      <c r="AK133" t="s">
        <v>4040</v>
      </c>
      <c r="AM133">
        <v>0</v>
      </c>
      <c r="AN133">
        <v>0</v>
      </c>
      <c r="AO133">
        <v>0.8</v>
      </c>
      <c r="AQ133" t="s">
        <v>4185</v>
      </c>
      <c r="AR133" t="s">
        <v>5095</v>
      </c>
      <c r="AS133">
        <v>0</v>
      </c>
      <c r="AU133">
        <v>1</v>
      </c>
      <c r="AV133">
        <v>0</v>
      </c>
      <c r="AW133">
        <v>0</v>
      </c>
      <c r="BB133" t="s">
        <v>1322</v>
      </c>
      <c r="BC133">
        <v>0</v>
      </c>
      <c r="BG133" t="s">
        <v>5894</v>
      </c>
      <c r="BJ133" t="s">
        <v>5965</v>
      </c>
      <c r="BK133" t="s">
        <v>256</v>
      </c>
      <c r="BL133" t="s">
        <v>6056</v>
      </c>
    </row>
    <row r="134" spans="1:64">
      <c r="A134" s="1">
        <f>HYPERLINK("https://lsnyc.legalserver.org/matter/dynamic-profile/view/1906577","19-1906577")</f>
        <v>0</v>
      </c>
      <c r="B134" t="s">
        <v>64</v>
      </c>
      <c r="C134" t="s">
        <v>91</v>
      </c>
      <c r="D134" t="s">
        <v>200</v>
      </c>
      <c r="E134" t="s">
        <v>201</v>
      </c>
      <c r="G134" t="s">
        <v>202</v>
      </c>
      <c r="H134" t="s">
        <v>271</v>
      </c>
      <c r="I134" t="s">
        <v>202</v>
      </c>
      <c r="J134" t="s">
        <v>289</v>
      </c>
      <c r="K134" t="s">
        <v>202</v>
      </c>
      <c r="L134" t="s">
        <v>316</v>
      </c>
      <c r="M134" t="s">
        <v>290</v>
      </c>
      <c r="N134" t="s">
        <v>202</v>
      </c>
      <c r="O134" t="s">
        <v>422</v>
      </c>
      <c r="P134" t="s">
        <v>429</v>
      </c>
      <c r="R134" t="s">
        <v>436</v>
      </c>
      <c r="S134" t="s">
        <v>578</v>
      </c>
      <c r="T134" t="s">
        <v>1287</v>
      </c>
      <c r="U134" t="s">
        <v>241</v>
      </c>
      <c r="V134" t="s">
        <v>241</v>
      </c>
      <c r="W134" t="s">
        <v>1877</v>
      </c>
      <c r="X134" t="s">
        <v>2003</v>
      </c>
      <c r="Y134">
        <v>3</v>
      </c>
      <c r="Z134" t="s">
        <v>3097</v>
      </c>
      <c r="AA134" t="s">
        <v>3135</v>
      </c>
      <c r="AB134">
        <v>11203</v>
      </c>
      <c r="AC134" t="s">
        <v>3136</v>
      </c>
      <c r="AD134" t="s">
        <v>3264</v>
      </c>
      <c r="AE134">
        <v>2</v>
      </c>
      <c r="AF134" t="s">
        <v>4023</v>
      </c>
      <c r="AG134" t="s">
        <v>4028</v>
      </c>
      <c r="AH134" t="s">
        <v>291</v>
      </c>
      <c r="AK134" t="s">
        <v>4040</v>
      </c>
      <c r="AM134">
        <v>0</v>
      </c>
      <c r="AN134">
        <v>420</v>
      </c>
      <c r="AO134">
        <v>0.4</v>
      </c>
      <c r="AP134" t="s">
        <v>4052</v>
      </c>
      <c r="AQ134" t="s">
        <v>4186</v>
      </c>
      <c r="AR134" t="s">
        <v>5096</v>
      </c>
      <c r="AS134">
        <v>3</v>
      </c>
      <c r="AT134" t="s">
        <v>5835</v>
      </c>
      <c r="AU134">
        <v>3</v>
      </c>
      <c r="AV134">
        <v>2</v>
      </c>
      <c r="AW134">
        <v>73.25</v>
      </c>
      <c r="BA134" t="s">
        <v>329</v>
      </c>
      <c r="BB134" t="s">
        <v>1322</v>
      </c>
      <c r="BC134">
        <v>22100</v>
      </c>
      <c r="BG134" t="s">
        <v>5894</v>
      </c>
      <c r="BI134" t="s">
        <v>3143</v>
      </c>
      <c r="BJ134" t="s">
        <v>5951</v>
      </c>
      <c r="BK134" t="s">
        <v>241</v>
      </c>
      <c r="BL134" t="s">
        <v>6056</v>
      </c>
    </row>
    <row r="135" spans="1:64">
      <c r="A135" s="1">
        <f>HYPERLINK("https://lsnyc.legalserver.org/matter/dynamic-profile/view/1906524","19-1906524")</f>
        <v>0</v>
      </c>
      <c r="B135" t="s">
        <v>64</v>
      </c>
      <c r="C135" t="s">
        <v>91</v>
      </c>
      <c r="D135" t="s">
        <v>200</v>
      </c>
      <c r="E135" t="s">
        <v>201</v>
      </c>
      <c r="G135" t="s">
        <v>202</v>
      </c>
      <c r="H135" t="s">
        <v>272</v>
      </c>
      <c r="I135" t="s">
        <v>288</v>
      </c>
      <c r="J135" t="s">
        <v>290</v>
      </c>
      <c r="K135" t="s">
        <v>202</v>
      </c>
      <c r="L135" t="s">
        <v>317</v>
      </c>
      <c r="M135" t="s">
        <v>290</v>
      </c>
      <c r="N135" t="s">
        <v>202</v>
      </c>
      <c r="O135" t="s">
        <v>422</v>
      </c>
      <c r="P135" t="s">
        <v>429</v>
      </c>
      <c r="R135" t="s">
        <v>436</v>
      </c>
      <c r="S135" t="s">
        <v>579</v>
      </c>
      <c r="T135" t="s">
        <v>1217</v>
      </c>
      <c r="U135" t="s">
        <v>253</v>
      </c>
      <c r="V135" t="s">
        <v>241</v>
      </c>
      <c r="W135" t="s">
        <v>1877</v>
      </c>
      <c r="X135" t="s">
        <v>2004</v>
      </c>
      <c r="Y135" t="s">
        <v>2860</v>
      </c>
      <c r="Z135" t="s">
        <v>3097</v>
      </c>
      <c r="AA135" t="s">
        <v>3135</v>
      </c>
      <c r="AB135">
        <v>11206</v>
      </c>
      <c r="AC135" t="s">
        <v>3136</v>
      </c>
      <c r="AD135" t="s">
        <v>3265</v>
      </c>
      <c r="AE135">
        <v>35</v>
      </c>
      <c r="AF135" t="s">
        <v>4023</v>
      </c>
      <c r="AG135" t="s">
        <v>4028</v>
      </c>
      <c r="AH135" t="s">
        <v>291</v>
      </c>
      <c r="AK135" t="s">
        <v>4040</v>
      </c>
      <c r="AM135">
        <v>0</v>
      </c>
      <c r="AN135">
        <v>1456.75</v>
      </c>
      <c r="AO135">
        <v>0.7</v>
      </c>
      <c r="AP135" t="s">
        <v>4052</v>
      </c>
      <c r="AQ135" t="s">
        <v>4187</v>
      </c>
      <c r="AR135" t="s">
        <v>5097</v>
      </c>
      <c r="AS135">
        <v>194</v>
      </c>
      <c r="AT135" t="s">
        <v>5837</v>
      </c>
      <c r="AU135">
        <v>2</v>
      </c>
      <c r="AV135">
        <v>0</v>
      </c>
      <c r="AW135">
        <v>52.16</v>
      </c>
      <c r="BA135" t="s">
        <v>329</v>
      </c>
      <c r="BB135" t="s">
        <v>1322</v>
      </c>
      <c r="BC135">
        <v>8820</v>
      </c>
      <c r="BG135" t="s">
        <v>5891</v>
      </c>
      <c r="BI135" t="s">
        <v>3143</v>
      </c>
      <c r="BJ135" t="s">
        <v>5944</v>
      </c>
      <c r="BK135" t="s">
        <v>240</v>
      </c>
    </row>
    <row r="136" spans="1:64">
      <c r="A136" s="1">
        <f>HYPERLINK("https://lsnyc.legalserver.org/matter/dynamic-profile/view/1909351","19-1909351")</f>
        <v>0</v>
      </c>
      <c r="B136" t="s">
        <v>64</v>
      </c>
      <c r="C136" t="s">
        <v>91</v>
      </c>
      <c r="D136" t="s">
        <v>200</v>
      </c>
      <c r="E136" t="s">
        <v>201</v>
      </c>
      <c r="G136" t="s">
        <v>202</v>
      </c>
      <c r="H136" t="s">
        <v>271</v>
      </c>
      <c r="I136" t="s">
        <v>288</v>
      </c>
      <c r="J136" t="s">
        <v>290</v>
      </c>
      <c r="K136" t="s">
        <v>292</v>
      </c>
      <c r="M136" t="s">
        <v>290</v>
      </c>
      <c r="N136" t="s">
        <v>202</v>
      </c>
      <c r="O136" t="s">
        <v>422</v>
      </c>
      <c r="P136" t="s">
        <v>428</v>
      </c>
      <c r="S136" t="s">
        <v>580</v>
      </c>
      <c r="T136" t="s">
        <v>1288</v>
      </c>
      <c r="U136" t="s">
        <v>263</v>
      </c>
      <c r="V136" t="s">
        <v>264</v>
      </c>
      <c r="W136" t="s">
        <v>1877</v>
      </c>
      <c r="X136" t="s">
        <v>2005</v>
      </c>
      <c r="Y136" t="s">
        <v>2861</v>
      </c>
      <c r="Z136" t="s">
        <v>3097</v>
      </c>
      <c r="AA136" t="s">
        <v>3135</v>
      </c>
      <c r="AB136">
        <v>11237</v>
      </c>
      <c r="AD136" t="s">
        <v>3266</v>
      </c>
      <c r="AE136">
        <v>0</v>
      </c>
      <c r="AF136" t="s">
        <v>4023</v>
      </c>
      <c r="AG136" t="s">
        <v>4028</v>
      </c>
      <c r="AH136" t="s">
        <v>291</v>
      </c>
      <c r="AK136" t="s">
        <v>4040</v>
      </c>
      <c r="AM136">
        <v>0</v>
      </c>
      <c r="AN136">
        <v>0</v>
      </c>
      <c r="AO136">
        <v>0.3</v>
      </c>
      <c r="AP136" t="s">
        <v>4052</v>
      </c>
      <c r="AQ136" t="s">
        <v>4188</v>
      </c>
      <c r="AR136" t="s">
        <v>5098</v>
      </c>
      <c r="AS136">
        <v>0</v>
      </c>
      <c r="AU136">
        <v>2</v>
      </c>
      <c r="AV136">
        <v>2</v>
      </c>
      <c r="AW136">
        <v>0</v>
      </c>
      <c r="BB136" t="s">
        <v>5859</v>
      </c>
      <c r="BC136">
        <v>0</v>
      </c>
      <c r="BG136" t="s">
        <v>5891</v>
      </c>
      <c r="BJ136" t="s">
        <v>5945</v>
      </c>
      <c r="BK136" t="s">
        <v>264</v>
      </c>
    </row>
    <row r="137" spans="1:64">
      <c r="A137" s="1">
        <f>HYPERLINK("https://lsnyc.legalserver.org/matter/dynamic-profile/view/1909655","19-1909655")</f>
        <v>0</v>
      </c>
      <c r="B137" t="s">
        <v>64</v>
      </c>
      <c r="C137" t="s">
        <v>92</v>
      </c>
      <c r="D137" t="s">
        <v>200</v>
      </c>
      <c r="E137" t="s">
        <v>201</v>
      </c>
      <c r="G137" t="s">
        <v>202</v>
      </c>
      <c r="H137" t="s">
        <v>272</v>
      </c>
      <c r="I137" t="s">
        <v>202</v>
      </c>
      <c r="J137" t="s">
        <v>289</v>
      </c>
      <c r="K137" t="s">
        <v>292</v>
      </c>
      <c r="M137" t="s">
        <v>290</v>
      </c>
      <c r="N137" t="s">
        <v>419</v>
      </c>
      <c r="O137" t="s">
        <v>420</v>
      </c>
      <c r="P137" t="s">
        <v>427</v>
      </c>
      <c r="S137" t="s">
        <v>469</v>
      </c>
      <c r="T137" t="s">
        <v>1289</v>
      </c>
      <c r="U137" t="s">
        <v>222</v>
      </c>
      <c r="W137" t="s">
        <v>1876</v>
      </c>
      <c r="X137" t="s">
        <v>2006</v>
      </c>
      <c r="Z137" t="s">
        <v>3097</v>
      </c>
      <c r="AA137" t="s">
        <v>3135</v>
      </c>
      <c r="AB137">
        <v>11226</v>
      </c>
      <c r="AC137" t="s">
        <v>3136</v>
      </c>
      <c r="AD137" t="s">
        <v>3267</v>
      </c>
      <c r="AE137">
        <v>0</v>
      </c>
      <c r="AG137" t="s">
        <v>4029</v>
      </c>
      <c r="AH137" t="s">
        <v>291</v>
      </c>
      <c r="AK137" t="s">
        <v>4040</v>
      </c>
      <c r="AM137">
        <v>0</v>
      </c>
      <c r="AN137">
        <v>0</v>
      </c>
      <c r="AO137">
        <v>0</v>
      </c>
      <c r="AQ137" t="s">
        <v>4189</v>
      </c>
      <c r="AR137" t="s">
        <v>5099</v>
      </c>
      <c r="AS137">
        <v>0</v>
      </c>
      <c r="AU137">
        <v>1</v>
      </c>
      <c r="AV137">
        <v>1</v>
      </c>
      <c r="AW137">
        <v>38.75</v>
      </c>
      <c r="BB137" t="s">
        <v>1322</v>
      </c>
      <c r="BC137">
        <v>6552</v>
      </c>
      <c r="BG137" t="s">
        <v>5894</v>
      </c>
      <c r="BJ137" t="s">
        <v>5961</v>
      </c>
      <c r="BL137" t="s">
        <v>6056</v>
      </c>
    </row>
    <row r="138" spans="1:64">
      <c r="A138" s="1">
        <f>HYPERLINK("https://lsnyc.legalserver.org/matter/dynamic-profile/view/1906301","19-1906301")</f>
        <v>0</v>
      </c>
      <c r="B138" t="s">
        <v>64</v>
      </c>
      <c r="C138" t="s">
        <v>92</v>
      </c>
      <c r="D138" t="s">
        <v>200</v>
      </c>
      <c r="E138" t="s">
        <v>201</v>
      </c>
      <c r="G138" t="s">
        <v>202</v>
      </c>
      <c r="H138" t="s">
        <v>271</v>
      </c>
      <c r="I138" t="s">
        <v>202</v>
      </c>
      <c r="J138" t="s">
        <v>289</v>
      </c>
      <c r="K138" t="s">
        <v>292</v>
      </c>
      <c r="M138" t="s">
        <v>290</v>
      </c>
      <c r="N138" t="s">
        <v>202</v>
      </c>
      <c r="O138" t="s">
        <v>421</v>
      </c>
      <c r="P138" t="s">
        <v>427</v>
      </c>
      <c r="S138" t="s">
        <v>581</v>
      </c>
      <c r="T138" t="s">
        <v>1290</v>
      </c>
      <c r="U138" t="s">
        <v>249</v>
      </c>
      <c r="W138" t="s">
        <v>1876</v>
      </c>
      <c r="X138" t="s">
        <v>2007</v>
      </c>
      <c r="Y138" t="s">
        <v>2862</v>
      </c>
      <c r="Z138" t="s">
        <v>3097</v>
      </c>
      <c r="AA138" t="s">
        <v>3135</v>
      </c>
      <c r="AB138">
        <v>11226</v>
      </c>
      <c r="AC138" t="s">
        <v>3136</v>
      </c>
      <c r="AD138" t="s">
        <v>3268</v>
      </c>
      <c r="AE138">
        <v>9</v>
      </c>
      <c r="AG138" t="s">
        <v>4029</v>
      </c>
      <c r="AH138" t="s">
        <v>291</v>
      </c>
      <c r="AI138" t="s">
        <v>291</v>
      </c>
      <c r="AK138" t="s">
        <v>4040</v>
      </c>
      <c r="AM138">
        <v>0</v>
      </c>
      <c r="AN138">
        <v>1380.12</v>
      </c>
      <c r="AO138">
        <v>0</v>
      </c>
      <c r="AQ138" t="s">
        <v>4190</v>
      </c>
      <c r="AR138" t="s">
        <v>5100</v>
      </c>
      <c r="AS138">
        <v>0</v>
      </c>
      <c r="AU138">
        <v>1</v>
      </c>
      <c r="AV138">
        <v>2</v>
      </c>
      <c r="AW138">
        <v>146.27</v>
      </c>
      <c r="BB138" t="s">
        <v>1322</v>
      </c>
      <c r="BC138">
        <v>31200</v>
      </c>
      <c r="BG138" t="s">
        <v>5892</v>
      </c>
      <c r="BJ138" t="s">
        <v>5979</v>
      </c>
      <c r="BL138" t="s">
        <v>6056</v>
      </c>
    </row>
    <row r="139" spans="1:64">
      <c r="A139" s="1">
        <f>HYPERLINK("https://lsnyc.legalserver.org/matter/dynamic-profile/view/1903836","19-1903836")</f>
        <v>0</v>
      </c>
      <c r="B139" t="s">
        <v>64</v>
      </c>
      <c r="C139" t="s">
        <v>92</v>
      </c>
      <c r="D139" t="s">
        <v>200</v>
      </c>
      <c r="E139" t="s">
        <v>201</v>
      </c>
      <c r="G139" t="s">
        <v>202</v>
      </c>
      <c r="H139" t="s">
        <v>272</v>
      </c>
      <c r="I139" t="s">
        <v>202</v>
      </c>
      <c r="J139" t="s">
        <v>289</v>
      </c>
      <c r="K139" t="s">
        <v>292</v>
      </c>
      <c r="M139" t="s">
        <v>290</v>
      </c>
      <c r="N139" t="s">
        <v>202</v>
      </c>
      <c r="O139" t="s">
        <v>421</v>
      </c>
      <c r="P139" t="s">
        <v>427</v>
      </c>
      <c r="S139" t="s">
        <v>582</v>
      </c>
      <c r="T139" t="s">
        <v>1291</v>
      </c>
      <c r="U139" t="s">
        <v>229</v>
      </c>
      <c r="W139" t="s">
        <v>1876</v>
      </c>
      <c r="X139" t="s">
        <v>2008</v>
      </c>
      <c r="Y139" t="s">
        <v>2782</v>
      </c>
      <c r="Z139" t="s">
        <v>3097</v>
      </c>
      <c r="AA139" t="s">
        <v>3135</v>
      </c>
      <c r="AB139">
        <v>11221</v>
      </c>
      <c r="AC139" t="s">
        <v>3137</v>
      </c>
      <c r="AD139" t="s">
        <v>3269</v>
      </c>
      <c r="AE139">
        <v>11</v>
      </c>
      <c r="AG139" t="s">
        <v>4029</v>
      </c>
      <c r="AH139" t="s">
        <v>291</v>
      </c>
      <c r="AK139" t="s">
        <v>4040</v>
      </c>
      <c r="AM139">
        <v>0</v>
      </c>
      <c r="AN139">
        <v>1575</v>
      </c>
      <c r="AO139">
        <v>9.25</v>
      </c>
      <c r="AQ139" t="s">
        <v>4191</v>
      </c>
      <c r="AR139" t="s">
        <v>5101</v>
      </c>
      <c r="AS139">
        <v>2</v>
      </c>
      <c r="AU139">
        <v>2</v>
      </c>
      <c r="AV139">
        <v>0</v>
      </c>
      <c r="AW139">
        <v>171.5</v>
      </c>
      <c r="BB139" t="s">
        <v>1322</v>
      </c>
      <c r="BC139">
        <v>29000</v>
      </c>
      <c r="BG139" t="s">
        <v>5894</v>
      </c>
      <c r="BJ139" t="s">
        <v>5949</v>
      </c>
      <c r="BK139" t="s">
        <v>239</v>
      </c>
      <c r="BL139" t="s">
        <v>6056</v>
      </c>
    </row>
    <row r="140" spans="1:64">
      <c r="A140" s="1">
        <f>HYPERLINK("https://lsnyc.legalserver.org/matter/dynamic-profile/view/1908070","19-1908070")</f>
        <v>0</v>
      </c>
      <c r="B140" t="s">
        <v>64</v>
      </c>
      <c r="C140" t="s">
        <v>92</v>
      </c>
      <c r="D140" t="s">
        <v>200</v>
      </c>
      <c r="E140" t="s">
        <v>201</v>
      </c>
      <c r="G140" t="s">
        <v>202</v>
      </c>
      <c r="H140" t="s">
        <v>272</v>
      </c>
      <c r="I140" t="s">
        <v>202</v>
      </c>
      <c r="J140" t="s">
        <v>289</v>
      </c>
      <c r="K140" t="s">
        <v>292</v>
      </c>
      <c r="M140" t="s">
        <v>290</v>
      </c>
      <c r="N140" t="s">
        <v>202</v>
      </c>
      <c r="O140" t="s">
        <v>421</v>
      </c>
      <c r="P140" t="s">
        <v>427</v>
      </c>
      <c r="S140" t="s">
        <v>583</v>
      </c>
      <c r="T140" t="s">
        <v>1292</v>
      </c>
      <c r="U140" t="s">
        <v>221</v>
      </c>
      <c r="W140" t="s">
        <v>1876</v>
      </c>
      <c r="X140" t="s">
        <v>2009</v>
      </c>
      <c r="Y140" t="s">
        <v>2863</v>
      </c>
      <c r="Z140" t="s">
        <v>3097</v>
      </c>
      <c r="AA140" t="s">
        <v>3135</v>
      </c>
      <c r="AB140">
        <v>11225</v>
      </c>
      <c r="AC140" t="s">
        <v>3137</v>
      </c>
      <c r="AD140" t="s">
        <v>3270</v>
      </c>
      <c r="AE140">
        <v>0</v>
      </c>
      <c r="AG140" t="s">
        <v>4029</v>
      </c>
      <c r="AH140" t="s">
        <v>291</v>
      </c>
      <c r="AI140" t="s">
        <v>291</v>
      </c>
      <c r="AK140" t="s">
        <v>4040</v>
      </c>
      <c r="AM140">
        <v>0</v>
      </c>
      <c r="AN140">
        <v>0</v>
      </c>
      <c r="AO140">
        <v>0.75</v>
      </c>
      <c r="AQ140" t="s">
        <v>4192</v>
      </c>
      <c r="AR140" t="s">
        <v>5102</v>
      </c>
      <c r="AS140">
        <v>0</v>
      </c>
      <c r="AU140">
        <v>1</v>
      </c>
      <c r="AV140">
        <v>0</v>
      </c>
      <c r="AW140">
        <v>184.15</v>
      </c>
      <c r="BB140" t="s">
        <v>1322</v>
      </c>
      <c r="BC140">
        <v>23000</v>
      </c>
      <c r="BG140" t="s">
        <v>5892</v>
      </c>
      <c r="BJ140" t="s">
        <v>5949</v>
      </c>
      <c r="BK140" t="s">
        <v>221</v>
      </c>
      <c r="BL140" t="s">
        <v>6056</v>
      </c>
    </row>
    <row r="141" spans="1:64">
      <c r="A141" s="1">
        <f>HYPERLINK("https://lsnyc.legalserver.org/matter/dynamic-profile/view/1909617","19-1909617")</f>
        <v>0</v>
      </c>
      <c r="B141" t="s">
        <v>64</v>
      </c>
      <c r="C141" t="s">
        <v>92</v>
      </c>
      <c r="D141" t="s">
        <v>200</v>
      </c>
      <c r="E141" t="s">
        <v>201</v>
      </c>
      <c r="G141" t="s">
        <v>202</v>
      </c>
      <c r="H141" t="s">
        <v>272</v>
      </c>
      <c r="I141" t="s">
        <v>288</v>
      </c>
      <c r="J141" t="s">
        <v>290</v>
      </c>
      <c r="K141" t="s">
        <v>292</v>
      </c>
      <c r="M141" t="s">
        <v>290</v>
      </c>
      <c r="N141" t="s">
        <v>419</v>
      </c>
      <c r="O141" t="s">
        <v>420</v>
      </c>
      <c r="P141" t="s">
        <v>427</v>
      </c>
      <c r="S141" t="s">
        <v>584</v>
      </c>
      <c r="T141" t="s">
        <v>1293</v>
      </c>
      <c r="U141" t="s">
        <v>222</v>
      </c>
      <c r="W141" t="s">
        <v>1876</v>
      </c>
      <c r="X141" t="s">
        <v>2010</v>
      </c>
      <c r="Y141" t="s">
        <v>2864</v>
      </c>
      <c r="Z141" t="s">
        <v>3097</v>
      </c>
      <c r="AA141" t="s">
        <v>3135</v>
      </c>
      <c r="AB141">
        <v>11229</v>
      </c>
      <c r="AD141" t="s">
        <v>3271</v>
      </c>
      <c r="AE141">
        <v>0</v>
      </c>
      <c r="AG141" t="s">
        <v>4028</v>
      </c>
      <c r="AH141" t="s">
        <v>291</v>
      </c>
      <c r="AK141" t="s">
        <v>4040</v>
      </c>
      <c r="AM141">
        <v>0</v>
      </c>
      <c r="AN141">
        <v>0</v>
      </c>
      <c r="AO141">
        <v>0</v>
      </c>
      <c r="AQ141" t="s">
        <v>4193</v>
      </c>
      <c r="AR141" t="s">
        <v>5103</v>
      </c>
      <c r="AS141">
        <v>0</v>
      </c>
      <c r="AU141">
        <v>1</v>
      </c>
      <c r="AV141">
        <v>2</v>
      </c>
      <c r="AW141">
        <v>0</v>
      </c>
      <c r="BB141" t="s">
        <v>5862</v>
      </c>
      <c r="BC141">
        <v>0</v>
      </c>
      <c r="BG141" t="s">
        <v>5891</v>
      </c>
      <c r="BJ141" t="s">
        <v>5965</v>
      </c>
    </row>
    <row r="142" spans="1:64">
      <c r="A142" s="1">
        <f>HYPERLINK("https://lsnyc.legalserver.org/matter/dynamic-profile/view/1903794","19-1903794")</f>
        <v>0</v>
      </c>
      <c r="B142" t="s">
        <v>64</v>
      </c>
      <c r="C142" t="s">
        <v>92</v>
      </c>
      <c r="D142" t="s">
        <v>200</v>
      </c>
      <c r="E142" t="s">
        <v>201</v>
      </c>
      <c r="G142" t="s">
        <v>202</v>
      </c>
      <c r="H142" t="s">
        <v>271</v>
      </c>
      <c r="I142" t="s">
        <v>202</v>
      </c>
      <c r="J142" t="s">
        <v>289</v>
      </c>
      <c r="K142" t="s">
        <v>292</v>
      </c>
      <c r="M142" t="s">
        <v>290</v>
      </c>
      <c r="N142" t="s">
        <v>202</v>
      </c>
      <c r="O142" t="s">
        <v>421</v>
      </c>
      <c r="P142" t="s">
        <v>427</v>
      </c>
      <c r="S142" t="s">
        <v>556</v>
      </c>
      <c r="T142" t="s">
        <v>1294</v>
      </c>
      <c r="U142" t="s">
        <v>229</v>
      </c>
      <c r="W142" t="s">
        <v>1876</v>
      </c>
      <c r="X142" t="s">
        <v>2011</v>
      </c>
      <c r="Y142" t="s">
        <v>2807</v>
      </c>
      <c r="Z142" t="s">
        <v>3097</v>
      </c>
      <c r="AA142" t="s">
        <v>3135</v>
      </c>
      <c r="AB142">
        <v>11225</v>
      </c>
      <c r="AC142" t="s">
        <v>3137</v>
      </c>
      <c r="AD142" t="s">
        <v>3272</v>
      </c>
      <c r="AE142">
        <v>4</v>
      </c>
      <c r="AG142" t="s">
        <v>4029</v>
      </c>
      <c r="AH142" t="s">
        <v>291</v>
      </c>
      <c r="AI142" t="s">
        <v>291</v>
      </c>
      <c r="AK142" t="s">
        <v>4040</v>
      </c>
      <c r="AM142">
        <v>0</v>
      </c>
      <c r="AN142">
        <v>1036.29</v>
      </c>
      <c r="AO142">
        <v>0.75</v>
      </c>
      <c r="AQ142" t="s">
        <v>4194</v>
      </c>
      <c r="AS142">
        <v>0</v>
      </c>
      <c r="AU142">
        <v>1</v>
      </c>
      <c r="AV142">
        <v>0</v>
      </c>
      <c r="AW142">
        <v>96.08</v>
      </c>
      <c r="BB142" t="s">
        <v>1322</v>
      </c>
      <c r="BC142">
        <v>12000</v>
      </c>
      <c r="BG142" t="s">
        <v>5892</v>
      </c>
      <c r="BJ142" t="s">
        <v>5949</v>
      </c>
      <c r="BK142" t="s">
        <v>209</v>
      </c>
      <c r="BL142" t="s">
        <v>6056</v>
      </c>
    </row>
    <row r="143" spans="1:64">
      <c r="A143" s="1">
        <f>HYPERLINK("https://lsnyc.legalserver.org/matter/dynamic-profile/view/1906182","19-1906182")</f>
        <v>0</v>
      </c>
      <c r="B143" t="s">
        <v>64</v>
      </c>
      <c r="C143" t="s">
        <v>92</v>
      </c>
      <c r="D143" t="s">
        <v>200</v>
      </c>
      <c r="E143" t="s">
        <v>201</v>
      </c>
      <c r="G143" t="s">
        <v>202</v>
      </c>
      <c r="H143" t="s">
        <v>272</v>
      </c>
      <c r="I143" t="s">
        <v>202</v>
      </c>
      <c r="J143" t="s">
        <v>289</v>
      </c>
      <c r="K143" t="s">
        <v>292</v>
      </c>
      <c r="M143" t="s">
        <v>290</v>
      </c>
      <c r="N143" t="s">
        <v>202</v>
      </c>
      <c r="O143" t="s">
        <v>421</v>
      </c>
      <c r="P143" t="s">
        <v>427</v>
      </c>
      <c r="S143" t="s">
        <v>585</v>
      </c>
      <c r="T143" t="s">
        <v>1295</v>
      </c>
      <c r="U143" t="s">
        <v>261</v>
      </c>
      <c r="W143" t="s">
        <v>1876</v>
      </c>
      <c r="X143" t="s">
        <v>2012</v>
      </c>
      <c r="Y143" t="s">
        <v>2865</v>
      </c>
      <c r="Z143" t="s">
        <v>3097</v>
      </c>
      <c r="AA143" t="s">
        <v>3135</v>
      </c>
      <c r="AB143">
        <v>11226</v>
      </c>
      <c r="AC143" t="s">
        <v>3136</v>
      </c>
      <c r="AD143" t="s">
        <v>3273</v>
      </c>
      <c r="AE143">
        <v>32</v>
      </c>
      <c r="AG143" t="s">
        <v>4029</v>
      </c>
      <c r="AH143" t="s">
        <v>291</v>
      </c>
      <c r="AI143" t="s">
        <v>291</v>
      </c>
      <c r="AK143" t="s">
        <v>4040</v>
      </c>
      <c r="AM143">
        <v>0</v>
      </c>
      <c r="AN143">
        <v>1848</v>
      </c>
      <c r="AO143">
        <v>1</v>
      </c>
      <c r="AQ143" t="s">
        <v>4195</v>
      </c>
      <c r="AR143" t="s">
        <v>5104</v>
      </c>
      <c r="AS143">
        <v>0</v>
      </c>
      <c r="AU143">
        <v>2</v>
      </c>
      <c r="AV143">
        <v>3</v>
      </c>
      <c r="AW143">
        <v>165.73</v>
      </c>
      <c r="BA143" t="s">
        <v>5850</v>
      </c>
      <c r="BB143" t="s">
        <v>1322</v>
      </c>
      <c r="BC143">
        <v>50000</v>
      </c>
      <c r="BG143" t="s">
        <v>5892</v>
      </c>
      <c r="BJ143" t="s">
        <v>5949</v>
      </c>
      <c r="BK143" t="s">
        <v>248</v>
      </c>
      <c r="BL143" t="s">
        <v>6056</v>
      </c>
    </row>
    <row r="144" spans="1:64">
      <c r="A144" s="1">
        <f>HYPERLINK("https://lsnyc.legalserver.org/matter/dynamic-profile/view/1906264","19-1906264")</f>
        <v>0</v>
      </c>
      <c r="B144" t="s">
        <v>64</v>
      </c>
      <c r="C144" t="s">
        <v>92</v>
      </c>
      <c r="D144" t="s">
        <v>200</v>
      </c>
      <c r="E144" t="s">
        <v>201</v>
      </c>
      <c r="G144" t="s">
        <v>202</v>
      </c>
      <c r="H144" t="s">
        <v>272</v>
      </c>
      <c r="I144" t="s">
        <v>202</v>
      </c>
      <c r="J144" t="s">
        <v>289</v>
      </c>
      <c r="K144" t="s">
        <v>292</v>
      </c>
      <c r="M144" t="s">
        <v>290</v>
      </c>
      <c r="N144" t="s">
        <v>202</v>
      </c>
      <c r="O144" t="s">
        <v>421</v>
      </c>
      <c r="P144" t="s">
        <v>427</v>
      </c>
      <c r="S144" t="s">
        <v>586</v>
      </c>
      <c r="T144" t="s">
        <v>1184</v>
      </c>
      <c r="U144" t="s">
        <v>249</v>
      </c>
      <c r="W144" t="s">
        <v>1876</v>
      </c>
      <c r="X144" t="s">
        <v>2012</v>
      </c>
      <c r="Y144" t="s">
        <v>2824</v>
      </c>
      <c r="Z144" t="s">
        <v>3097</v>
      </c>
      <c r="AA144" t="s">
        <v>3135</v>
      </c>
      <c r="AB144">
        <v>11226</v>
      </c>
      <c r="AC144" t="s">
        <v>3136</v>
      </c>
      <c r="AD144" t="s">
        <v>3274</v>
      </c>
      <c r="AE144">
        <v>7</v>
      </c>
      <c r="AG144" t="s">
        <v>4029</v>
      </c>
      <c r="AH144" t="s">
        <v>291</v>
      </c>
      <c r="AI144" t="s">
        <v>291</v>
      </c>
      <c r="AK144" t="s">
        <v>4040</v>
      </c>
      <c r="AL144" t="s">
        <v>4046</v>
      </c>
      <c r="AM144">
        <v>0</v>
      </c>
      <c r="AN144">
        <v>1250</v>
      </c>
      <c r="AO144">
        <v>3.5</v>
      </c>
      <c r="AQ144" t="s">
        <v>4196</v>
      </c>
      <c r="AR144" t="s">
        <v>5105</v>
      </c>
      <c r="AS144">
        <v>85</v>
      </c>
      <c r="AT144" t="s">
        <v>5838</v>
      </c>
      <c r="AU144">
        <v>2</v>
      </c>
      <c r="AV144">
        <v>1</v>
      </c>
      <c r="AW144">
        <v>160.9</v>
      </c>
      <c r="BA144" t="s">
        <v>5851</v>
      </c>
      <c r="BB144" t="s">
        <v>1322</v>
      </c>
      <c r="BC144">
        <v>34320</v>
      </c>
      <c r="BG144" t="s">
        <v>5892</v>
      </c>
      <c r="BJ144" t="s">
        <v>5958</v>
      </c>
      <c r="BK144" t="s">
        <v>254</v>
      </c>
      <c r="BL144" t="s">
        <v>6056</v>
      </c>
    </row>
    <row r="145" spans="1:64">
      <c r="A145" s="1">
        <f>HYPERLINK("https://lsnyc.legalserver.org/matter/dynamic-profile/view/1907243","19-1907243")</f>
        <v>0</v>
      </c>
      <c r="B145" t="s">
        <v>64</v>
      </c>
      <c r="C145" t="s">
        <v>92</v>
      </c>
      <c r="D145" t="s">
        <v>200</v>
      </c>
      <c r="E145" t="s">
        <v>201</v>
      </c>
      <c r="G145" t="s">
        <v>202</v>
      </c>
      <c r="H145" t="s">
        <v>271</v>
      </c>
      <c r="I145" t="s">
        <v>202</v>
      </c>
      <c r="J145" t="s">
        <v>289</v>
      </c>
      <c r="K145" t="s">
        <v>292</v>
      </c>
      <c r="M145" t="s">
        <v>290</v>
      </c>
      <c r="N145" t="s">
        <v>419</v>
      </c>
      <c r="O145" t="s">
        <v>420</v>
      </c>
      <c r="P145" t="s">
        <v>427</v>
      </c>
      <c r="S145" t="s">
        <v>587</v>
      </c>
      <c r="T145" t="s">
        <v>1296</v>
      </c>
      <c r="U145" t="s">
        <v>235</v>
      </c>
      <c r="W145" t="s">
        <v>1876</v>
      </c>
      <c r="X145" t="s">
        <v>2013</v>
      </c>
      <c r="Y145" t="s">
        <v>2828</v>
      </c>
      <c r="Z145" t="s">
        <v>3097</v>
      </c>
      <c r="AA145" t="s">
        <v>3135</v>
      </c>
      <c r="AB145">
        <v>11221</v>
      </c>
      <c r="AC145" t="s">
        <v>3140</v>
      </c>
      <c r="AE145">
        <v>5</v>
      </c>
      <c r="AG145" t="s">
        <v>4029</v>
      </c>
      <c r="AH145" t="s">
        <v>291</v>
      </c>
      <c r="AK145" t="s">
        <v>4040</v>
      </c>
      <c r="AM145">
        <v>0</v>
      </c>
      <c r="AN145">
        <v>1119</v>
      </c>
      <c r="AO145">
        <v>1.5</v>
      </c>
      <c r="AQ145" t="s">
        <v>4197</v>
      </c>
      <c r="AR145" t="s">
        <v>5106</v>
      </c>
      <c r="AS145">
        <v>6</v>
      </c>
      <c r="AT145" t="s">
        <v>5838</v>
      </c>
      <c r="AU145">
        <v>2</v>
      </c>
      <c r="AV145">
        <v>0</v>
      </c>
      <c r="AW145">
        <v>184.51</v>
      </c>
      <c r="BA145" t="s">
        <v>329</v>
      </c>
      <c r="BB145" t="s">
        <v>1322</v>
      </c>
      <c r="BC145">
        <v>31200</v>
      </c>
      <c r="BG145" t="s">
        <v>5894</v>
      </c>
      <c r="BJ145" t="s">
        <v>5949</v>
      </c>
      <c r="BK145" t="s">
        <v>226</v>
      </c>
      <c r="BL145" t="s">
        <v>6056</v>
      </c>
    </row>
    <row r="146" spans="1:64">
      <c r="A146" s="1">
        <f>HYPERLINK("https://lsnyc.legalserver.org/matter/dynamic-profile/view/1909689","19-1909689")</f>
        <v>0</v>
      </c>
      <c r="B146" t="s">
        <v>64</v>
      </c>
      <c r="C146" t="s">
        <v>92</v>
      </c>
      <c r="D146" t="s">
        <v>200</v>
      </c>
      <c r="E146" t="s">
        <v>201</v>
      </c>
      <c r="G146" t="s">
        <v>202</v>
      </c>
      <c r="H146" t="s">
        <v>276</v>
      </c>
      <c r="I146" t="s">
        <v>288</v>
      </c>
      <c r="J146" t="s">
        <v>290</v>
      </c>
      <c r="K146" t="s">
        <v>292</v>
      </c>
      <c r="M146" t="s">
        <v>290</v>
      </c>
      <c r="N146" t="s">
        <v>202</v>
      </c>
      <c r="O146" t="s">
        <v>421</v>
      </c>
      <c r="P146" t="s">
        <v>427</v>
      </c>
      <c r="S146" t="s">
        <v>588</v>
      </c>
      <c r="T146" t="s">
        <v>1297</v>
      </c>
      <c r="U146" t="s">
        <v>222</v>
      </c>
      <c r="W146" t="s">
        <v>1876</v>
      </c>
      <c r="X146" t="s">
        <v>2014</v>
      </c>
      <c r="Y146" t="s">
        <v>2828</v>
      </c>
      <c r="Z146" t="s">
        <v>3097</v>
      </c>
      <c r="AA146" t="s">
        <v>3135</v>
      </c>
      <c r="AB146">
        <v>11238</v>
      </c>
      <c r="AE146">
        <v>0</v>
      </c>
      <c r="AG146" t="s">
        <v>4028</v>
      </c>
      <c r="AH146" t="s">
        <v>291</v>
      </c>
      <c r="AI146" t="s">
        <v>291</v>
      </c>
      <c r="AK146" t="s">
        <v>4040</v>
      </c>
      <c r="AL146" t="s">
        <v>4046</v>
      </c>
      <c r="AM146">
        <v>0</v>
      </c>
      <c r="AN146">
        <v>0</v>
      </c>
      <c r="AO146">
        <v>5</v>
      </c>
      <c r="AQ146" t="s">
        <v>4198</v>
      </c>
      <c r="AR146" t="s">
        <v>5107</v>
      </c>
      <c r="AS146">
        <v>0</v>
      </c>
      <c r="AU146">
        <v>2</v>
      </c>
      <c r="AV146">
        <v>0</v>
      </c>
      <c r="AW146">
        <v>396.22</v>
      </c>
      <c r="BB146" t="s">
        <v>1322</v>
      </c>
      <c r="BC146">
        <v>67000</v>
      </c>
      <c r="BG146" t="s">
        <v>92</v>
      </c>
      <c r="BJ146" t="s">
        <v>5949</v>
      </c>
      <c r="BK146" t="s">
        <v>235</v>
      </c>
    </row>
    <row r="147" spans="1:64">
      <c r="A147" s="1">
        <f>HYPERLINK("https://lsnyc.legalserver.org/matter/dynamic-profile/view/1906293","19-1906293")</f>
        <v>0</v>
      </c>
      <c r="B147" t="s">
        <v>64</v>
      </c>
      <c r="C147" t="s">
        <v>92</v>
      </c>
      <c r="D147" t="s">
        <v>200</v>
      </c>
      <c r="E147" t="s">
        <v>201</v>
      </c>
      <c r="G147" t="s">
        <v>202</v>
      </c>
      <c r="H147" t="s">
        <v>271</v>
      </c>
      <c r="I147" t="s">
        <v>202</v>
      </c>
      <c r="J147" t="s">
        <v>289</v>
      </c>
      <c r="K147" t="s">
        <v>202</v>
      </c>
      <c r="L147" t="s">
        <v>318</v>
      </c>
      <c r="M147" t="s">
        <v>290</v>
      </c>
      <c r="N147" t="s">
        <v>202</v>
      </c>
      <c r="O147" t="s">
        <v>421</v>
      </c>
      <c r="P147" t="s">
        <v>427</v>
      </c>
      <c r="S147" t="s">
        <v>589</v>
      </c>
      <c r="T147" t="s">
        <v>1298</v>
      </c>
      <c r="U147" t="s">
        <v>249</v>
      </c>
      <c r="W147" t="s">
        <v>1876</v>
      </c>
      <c r="X147" t="s">
        <v>2015</v>
      </c>
      <c r="Y147" t="s">
        <v>2822</v>
      </c>
      <c r="Z147" t="s">
        <v>3097</v>
      </c>
      <c r="AA147" t="s">
        <v>3135</v>
      </c>
      <c r="AB147">
        <v>11226</v>
      </c>
      <c r="AC147" t="s">
        <v>3136</v>
      </c>
      <c r="AD147" t="s">
        <v>3275</v>
      </c>
      <c r="AE147">
        <v>9</v>
      </c>
      <c r="AG147" t="s">
        <v>4029</v>
      </c>
      <c r="AH147" t="s">
        <v>291</v>
      </c>
      <c r="AI147" t="s">
        <v>291</v>
      </c>
      <c r="AK147" t="s">
        <v>4040</v>
      </c>
      <c r="AM147">
        <v>0</v>
      </c>
      <c r="AN147">
        <v>860</v>
      </c>
      <c r="AO147">
        <v>7</v>
      </c>
      <c r="AQ147" t="s">
        <v>4199</v>
      </c>
      <c r="AR147" t="s">
        <v>5108</v>
      </c>
      <c r="AS147">
        <v>0</v>
      </c>
      <c r="AU147">
        <v>1</v>
      </c>
      <c r="AV147">
        <v>2</v>
      </c>
      <c r="AW147">
        <v>195.97</v>
      </c>
      <c r="BB147" t="s">
        <v>1322</v>
      </c>
      <c r="BC147">
        <v>41800</v>
      </c>
      <c r="BG147" t="s">
        <v>5892</v>
      </c>
      <c r="BJ147" t="s">
        <v>5962</v>
      </c>
      <c r="BK147" t="s">
        <v>243</v>
      </c>
      <c r="BL147" t="s">
        <v>6056</v>
      </c>
    </row>
    <row r="148" spans="1:64">
      <c r="A148" s="1">
        <f>HYPERLINK("https://lsnyc.legalserver.org/matter/dynamic-profile/view/1908621","19-1908621")</f>
        <v>0</v>
      </c>
      <c r="B148" t="s">
        <v>64</v>
      </c>
      <c r="C148" t="s">
        <v>74</v>
      </c>
      <c r="D148" t="s">
        <v>200</v>
      </c>
      <c r="E148" t="s">
        <v>201</v>
      </c>
      <c r="G148" t="s">
        <v>202</v>
      </c>
      <c r="H148" t="s">
        <v>272</v>
      </c>
      <c r="I148" t="s">
        <v>202</v>
      </c>
      <c r="J148" t="s">
        <v>289</v>
      </c>
      <c r="K148" t="s">
        <v>292</v>
      </c>
      <c r="M148" t="s">
        <v>290</v>
      </c>
      <c r="N148" t="s">
        <v>202</v>
      </c>
      <c r="O148" t="s">
        <v>421</v>
      </c>
      <c r="P148" t="s">
        <v>427</v>
      </c>
      <c r="S148" t="s">
        <v>497</v>
      </c>
      <c r="T148" t="s">
        <v>1299</v>
      </c>
      <c r="U148" t="s">
        <v>219</v>
      </c>
      <c r="W148" t="s">
        <v>1876</v>
      </c>
      <c r="X148" t="s">
        <v>2016</v>
      </c>
      <c r="Y148" t="s">
        <v>2783</v>
      </c>
      <c r="Z148" t="s">
        <v>3097</v>
      </c>
      <c r="AA148" t="s">
        <v>3135</v>
      </c>
      <c r="AB148">
        <v>11221</v>
      </c>
      <c r="AC148" t="s">
        <v>3137</v>
      </c>
      <c r="AD148" t="s">
        <v>3276</v>
      </c>
      <c r="AE148">
        <v>0</v>
      </c>
      <c r="AG148" t="s">
        <v>4029</v>
      </c>
      <c r="AH148" t="s">
        <v>291</v>
      </c>
      <c r="AK148" t="s">
        <v>4040</v>
      </c>
      <c r="AM148">
        <v>0</v>
      </c>
      <c r="AN148">
        <v>0</v>
      </c>
      <c r="AO148">
        <v>2.5</v>
      </c>
      <c r="AQ148" t="s">
        <v>4200</v>
      </c>
      <c r="AR148" t="s">
        <v>5109</v>
      </c>
      <c r="AS148">
        <v>0</v>
      </c>
      <c r="AU148">
        <v>1</v>
      </c>
      <c r="AV148">
        <v>3</v>
      </c>
      <c r="AW148">
        <v>143.69</v>
      </c>
      <c r="BB148" t="s">
        <v>1322</v>
      </c>
      <c r="BC148">
        <v>37000</v>
      </c>
      <c r="BG148" t="s">
        <v>5892</v>
      </c>
      <c r="BJ148" t="s">
        <v>5949</v>
      </c>
      <c r="BK148" t="s">
        <v>236</v>
      </c>
      <c r="BL148" t="s">
        <v>6056</v>
      </c>
    </row>
    <row r="149" spans="1:64">
      <c r="A149" s="1">
        <f>HYPERLINK("https://lsnyc.legalserver.org/matter/dynamic-profile/view/1906155","19-1906155")</f>
        <v>0</v>
      </c>
      <c r="B149" t="s">
        <v>64</v>
      </c>
      <c r="C149" t="s">
        <v>91</v>
      </c>
      <c r="D149" t="s">
        <v>200</v>
      </c>
      <c r="E149" t="s">
        <v>201</v>
      </c>
      <c r="G149" t="s">
        <v>202</v>
      </c>
      <c r="H149" t="s">
        <v>271</v>
      </c>
      <c r="I149" t="s">
        <v>202</v>
      </c>
      <c r="J149" t="s">
        <v>289</v>
      </c>
      <c r="K149" t="s">
        <v>292</v>
      </c>
      <c r="M149" t="s">
        <v>290</v>
      </c>
      <c r="N149" t="s">
        <v>202</v>
      </c>
      <c r="O149" t="s">
        <v>421</v>
      </c>
      <c r="P149" t="s">
        <v>427</v>
      </c>
      <c r="S149" t="s">
        <v>590</v>
      </c>
      <c r="T149" t="s">
        <v>1300</v>
      </c>
      <c r="U149" t="s">
        <v>261</v>
      </c>
      <c r="W149" t="s">
        <v>1876</v>
      </c>
      <c r="X149" t="s">
        <v>2017</v>
      </c>
      <c r="Y149" t="s">
        <v>2826</v>
      </c>
      <c r="Z149" t="s">
        <v>3097</v>
      </c>
      <c r="AA149" t="s">
        <v>3135</v>
      </c>
      <c r="AB149">
        <v>11221</v>
      </c>
      <c r="AD149" t="s">
        <v>3277</v>
      </c>
      <c r="AE149">
        <v>9</v>
      </c>
      <c r="AG149" t="s">
        <v>4029</v>
      </c>
      <c r="AH149" t="s">
        <v>291</v>
      </c>
      <c r="AK149" t="s">
        <v>4040</v>
      </c>
      <c r="AM149">
        <v>0</v>
      </c>
      <c r="AN149">
        <v>1500</v>
      </c>
      <c r="AO149">
        <v>5.9</v>
      </c>
      <c r="AQ149" t="s">
        <v>4201</v>
      </c>
      <c r="AR149" t="s">
        <v>5110</v>
      </c>
      <c r="AS149">
        <v>4</v>
      </c>
      <c r="AU149">
        <v>1</v>
      </c>
      <c r="AV149">
        <v>1</v>
      </c>
      <c r="AW149">
        <v>153.76</v>
      </c>
      <c r="BB149" t="s">
        <v>1322</v>
      </c>
      <c r="BC149">
        <v>26000</v>
      </c>
      <c r="BG149" t="s">
        <v>5890</v>
      </c>
      <c r="BJ149" t="s">
        <v>5951</v>
      </c>
      <c r="BK149" t="s">
        <v>267</v>
      </c>
      <c r="BL149" t="s">
        <v>6056</v>
      </c>
    </row>
    <row r="150" spans="1:64">
      <c r="A150" s="1">
        <f>HYPERLINK("https://lsnyc.legalserver.org/matter/dynamic-profile/view/1909215","19-1909215")</f>
        <v>0</v>
      </c>
      <c r="B150" t="s">
        <v>64</v>
      </c>
      <c r="C150" t="s">
        <v>91</v>
      </c>
      <c r="D150" t="s">
        <v>200</v>
      </c>
      <c r="E150" t="s">
        <v>201</v>
      </c>
      <c r="G150" t="s">
        <v>202</v>
      </c>
      <c r="H150" t="s">
        <v>272</v>
      </c>
      <c r="I150" t="s">
        <v>288</v>
      </c>
      <c r="J150" t="s">
        <v>290</v>
      </c>
      <c r="K150" t="s">
        <v>202</v>
      </c>
      <c r="L150" t="s">
        <v>319</v>
      </c>
      <c r="M150" t="s">
        <v>290</v>
      </c>
      <c r="N150" t="s">
        <v>202</v>
      </c>
      <c r="O150" t="s">
        <v>421</v>
      </c>
      <c r="P150" t="s">
        <v>427</v>
      </c>
      <c r="S150" t="s">
        <v>591</v>
      </c>
      <c r="T150" t="s">
        <v>1301</v>
      </c>
      <c r="U150" t="s">
        <v>228</v>
      </c>
      <c r="W150" t="s">
        <v>1876</v>
      </c>
      <c r="X150" t="s">
        <v>2018</v>
      </c>
      <c r="Y150" t="s">
        <v>2800</v>
      </c>
      <c r="Z150" t="s">
        <v>3097</v>
      </c>
      <c r="AA150" t="s">
        <v>3135</v>
      </c>
      <c r="AB150">
        <v>11213</v>
      </c>
      <c r="AD150" t="s">
        <v>3278</v>
      </c>
      <c r="AE150">
        <v>0</v>
      </c>
      <c r="AG150" t="s">
        <v>4028</v>
      </c>
      <c r="AH150" t="s">
        <v>291</v>
      </c>
      <c r="AK150" t="s">
        <v>4040</v>
      </c>
      <c r="AM150">
        <v>0</v>
      </c>
      <c r="AN150">
        <v>2070</v>
      </c>
      <c r="AO150">
        <v>3.2</v>
      </c>
      <c r="AQ150" t="s">
        <v>4202</v>
      </c>
      <c r="AR150" t="s">
        <v>5111</v>
      </c>
      <c r="AS150">
        <v>0</v>
      </c>
      <c r="AU150">
        <v>3</v>
      </c>
      <c r="AV150">
        <v>1</v>
      </c>
      <c r="AW150">
        <v>105.79</v>
      </c>
      <c r="BB150" t="s">
        <v>1322</v>
      </c>
      <c r="BC150">
        <v>27240</v>
      </c>
      <c r="BG150" t="s">
        <v>5891</v>
      </c>
      <c r="BJ150" t="s">
        <v>5980</v>
      </c>
      <c r="BK150" t="s">
        <v>216</v>
      </c>
    </row>
    <row r="151" spans="1:64">
      <c r="A151" s="1">
        <f>HYPERLINK("https://lsnyc.legalserver.org/matter/dynamic-profile/view/1906426","19-1906426")</f>
        <v>0</v>
      </c>
      <c r="B151" t="s">
        <v>64</v>
      </c>
      <c r="C151" t="s">
        <v>91</v>
      </c>
      <c r="D151" t="s">
        <v>200</v>
      </c>
      <c r="E151" t="s">
        <v>201</v>
      </c>
      <c r="G151" t="s">
        <v>202</v>
      </c>
      <c r="H151" t="s">
        <v>277</v>
      </c>
      <c r="I151" t="s">
        <v>202</v>
      </c>
      <c r="J151" t="s">
        <v>289</v>
      </c>
      <c r="K151" t="s">
        <v>292</v>
      </c>
      <c r="M151" t="s">
        <v>290</v>
      </c>
      <c r="N151" t="s">
        <v>202</v>
      </c>
      <c r="O151" t="s">
        <v>421</v>
      </c>
      <c r="P151" t="s">
        <v>427</v>
      </c>
      <c r="S151" t="s">
        <v>592</v>
      </c>
      <c r="T151" t="s">
        <v>1302</v>
      </c>
      <c r="U151" t="s">
        <v>207</v>
      </c>
      <c r="W151" t="s">
        <v>1876</v>
      </c>
      <c r="X151" t="s">
        <v>2019</v>
      </c>
      <c r="Y151" t="s">
        <v>2866</v>
      </c>
      <c r="Z151" t="s">
        <v>3097</v>
      </c>
      <c r="AA151" t="s">
        <v>3135</v>
      </c>
      <c r="AB151">
        <v>11236</v>
      </c>
      <c r="AC151" t="s">
        <v>3136</v>
      </c>
      <c r="AD151" t="s">
        <v>3279</v>
      </c>
      <c r="AE151">
        <v>1</v>
      </c>
      <c r="AG151" t="s">
        <v>4028</v>
      </c>
      <c r="AH151" t="s">
        <v>291</v>
      </c>
      <c r="AK151" t="s">
        <v>4040</v>
      </c>
      <c r="AL151" t="s">
        <v>4048</v>
      </c>
      <c r="AM151">
        <v>0</v>
      </c>
      <c r="AN151">
        <v>1283</v>
      </c>
      <c r="AO151">
        <v>53.9</v>
      </c>
      <c r="AQ151" t="s">
        <v>4203</v>
      </c>
      <c r="AR151" t="s">
        <v>5112</v>
      </c>
      <c r="AS151">
        <v>2</v>
      </c>
      <c r="AU151">
        <v>1</v>
      </c>
      <c r="AV151">
        <v>1</v>
      </c>
      <c r="AW151">
        <v>48.26</v>
      </c>
      <c r="BA151" t="s">
        <v>5852</v>
      </c>
      <c r="BB151" t="s">
        <v>1322</v>
      </c>
      <c r="BC151">
        <v>8160</v>
      </c>
      <c r="BG151" t="s">
        <v>5890</v>
      </c>
      <c r="BJ151" t="s">
        <v>5981</v>
      </c>
      <c r="BK151" t="s">
        <v>267</v>
      </c>
      <c r="BL151" t="s">
        <v>6056</v>
      </c>
    </row>
    <row r="152" spans="1:64">
      <c r="A152" s="1">
        <f>HYPERLINK("https://lsnyc.legalserver.org/matter/dynamic-profile/view/1906275","19-1906275")</f>
        <v>0</v>
      </c>
      <c r="B152" t="s">
        <v>64</v>
      </c>
      <c r="C152" t="s">
        <v>91</v>
      </c>
      <c r="D152" t="s">
        <v>200</v>
      </c>
      <c r="E152" t="s">
        <v>201</v>
      </c>
      <c r="G152" t="s">
        <v>202</v>
      </c>
      <c r="H152" t="s">
        <v>272</v>
      </c>
      <c r="I152" t="s">
        <v>288</v>
      </c>
      <c r="J152" t="s">
        <v>290</v>
      </c>
      <c r="K152" t="s">
        <v>292</v>
      </c>
      <c r="M152" t="s">
        <v>290</v>
      </c>
      <c r="N152" t="s">
        <v>202</v>
      </c>
      <c r="O152" t="s">
        <v>421</v>
      </c>
      <c r="P152" t="s">
        <v>427</v>
      </c>
      <c r="S152" t="s">
        <v>593</v>
      </c>
      <c r="T152" t="s">
        <v>1303</v>
      </c>
      <c r="U152" t="s">
        <v>249</v>
      </c>
      <c r="W152" t="s">
        <v>1876</v>
      </c>
      <c r="X152" t="s">
        <v>2020</v>
      </c>
      <c r="Y152">
        <v>525</v>
      </c>
      <c r="Z152" t="s">
        <v>3097</v>
      </c>
      <c r="AA152" t="s">
        <v>3135</v>
      </c>
      <c r="AB152">
        <v>11249</v>
      </c>
      <c r="AC152" t="s">
        <v>3136</v>
      </c>
      <c r="AD152" t="s">
        <v>3280</v>
      </c>
      <c r="AE152">
        <v>0</v>
      </c>
      <c r="AG152" t="s">
        <v>4028</v>
      </c>
      <c r="AH152" t="s">
        <v>291</v>
      </c>
      <c r="AK152" t="s">
        <v>4040</v>
      </c>
      <c r="AM152">
        <v>0</v>
      </c>
      <c r="AN152">
        <v>992</v>
      </c>
      <c r="AO152">
        <v>1.2</v>
      </c>
      <c r="AQ152" t="s">
        <v>4204</v>
      </c>
      <c r="AR152" t="s">
        <v>5113</v>
      </c>
      <c r="AS152">
        <v>0</v>
      </c>
      <c r="AU152">
        <v>1</v>
      </c>
      <c r="AV152">
        <v>3</v>
      </c>
      <c r="AW152">
        <v>77.65000000000001</v>
      </c>
      <c r="BB152" t="s">
        <v>5863</v>
      </c>
      <c r="BC152">
        <v>19994</v>
      </c>
      <c r="BG152" t="s">
        <v>5894</v>
      </c>
      <c r="BJ152" t="s">
        <v>5982</v>
      </c>
      <c r="BK152" t="s">
        <v>267</v>
      </c>
    </row>
    <row r="153" spans="1:64">
      <c r="A153" s="1">
        <f>HYPERLINK("https://lsnyc.legalserver.org/matter/dynamic-profile/view/1907039","19-1907039")</f>
        <v>0</v>
      </c>
      <c r="B153" t="s">
        <v>64</v>
      </c>
      <c r="C153" t="s">
        <v>86</v>
      </c>
      <c r="D153" t="s">
        <v>200</v>
      </c>
      <c r="E153" t="s">
        <v>201</v>
      </c>
      <c r="G153" t="s">
        <v>202</v>
      </c>
      <c r="H153" t="s">
        <v>272</v>
      </c>
      <c r="I153" t="s">
        <v>288</v>
      </c>
      <c r="J153" t="s">
        <v>290</v>
      </c>
      <c r="K153" t="s">
        <v>292</v>
      </c>
      <c r="M153" t="s">
        <v>290</v>
      </c>
      <c r="N153" t="s">
        <v>419</v>
      </c>
      <c r="O153" t="s">
        <v>420</v>
      </c>
      <c r="P153" t="s">
        <v>427</v>
      </c>
      <c r="S153" t="s">
        <v>594</v>
      </c>
      <c r="T153" t="s">
        <v>1304</v>
      </c>
      <c r="U153" t="s">
        <v>226</v>
      </c>
      <c r="W153" t="s">
        <v>1876</v>
      </c>
      <c r="X153" t="s">
        <v>2021</v>
      </c>
      <c r="Y153" t="s">
        <v>2852</v>
      </c>
      <c r="Z153" t="s">
        <v>3097</v>
      </c>
      <c r="AA153" t="s">
        <v>3135</v>
      </c>
      <c r="AB153">
        <v>11216</v>
      </c>
      <c r="AD153" t="s">
        <v>3281</v>
      </c>
      <c r="AE153">
        <v>12</v>
      </c>
      <c r="AG153" t="s">
        <v>4029</v>
      </c>
      <c r="AH153" t="s">
        <v>291</v>
      </c>
      <c r="AK153" t="s">
        <v>4040</v>
      </c>
      <c r="AM153">
        <v>0</v>
      </c>
      <c r="AN153">
        <v>723.25</v>
      </c>
      <c r="AO153">
        <v>4</v>
      </c>
      <c r="AQ153" t="s">
        <v>4205</v>
      </c>
      <c r="AR153" t="s">
        <v>5114</v>
      </c>
      <c r="AS153">
        <v>0</v>
      </c>
      <c r="AT153" t="s">
        <v>5838</v>
      </c>
      <c r="AU153">
        <v>1</v>
      </c>
      <c r="AV153">
        <v>0</v>
      </c>
      <c r="AW153">
        <v>113.47</v>
      </c>
      <c r="BB153" t="s">
        <v>1322</v>
      </c>
      <c r="BC153">
        <v>14172</v>
      </c>
      <c r="BG153" t="s">
        <v>5891</v>
      </c>
      <c r="BJ153" t="s">
        <v>5943</v>
      </c>
      <c r="BK153" t="s">
        <v>236</v>
      </c>
    </row>
    <row r="154" spans="1:64">
      <c r="A154" s="1">
        <f>HYPERLINK("https://lsnyc.legalserver.org/matter/dynamic-profile/view/1909114","19-1909114")</f>
        <v>0</v>
      </c>
      <c r="B154" t="s">
        <v>64</v>
      </c>
      <c r="C154" t="s">
        <v>86</v>
      </c>
      <c r="D154" t="s">
        <v>200</v>
      </c>
      <c r="E154" t="s">
        <v>201</v>
      </c>
      <c r="G154" t="s">
        <v>202</v>
      </c>
      <c r="H154" t="s">
        <v>272</v>
      </c>
      <c r="I154" t="s">
        <v>288</v>
      </c>
      <c r="J154" t="s">
        <v>290</v>
      </c>
      <c r="K154" t="s">
        <v>202</v>
      </c>
      <c r="L154">
        <v>41361711</v>
      </c>
      <c r="M154" t="s">
        <v>290</v>
      </c>
      <c r="N154" t="s">
        <v>419</v>
      </c>
      <c r="O154" t="s">
        <v>420</v>
      </c>
      <c r="P154" t="s">
        <v>427</v>
      </c>
      <c r="S154" t="s">
        <v>595</v>
      </c>
      <c r="T154" t="s">
        <v>1305</v>
      </c>
      <c r="U154" t="s">
        <v>228</v>
      </c>
      <c r="W154" t="s">
        <v>1876</v>
      </c>
      <c r="X154" t="s">
        <v>2022</v>
      </c>
      <c r="Y154" t="s">
        <v>2853</v>
      </c>
      <c r="Z154" t="s">
        <v>3097</v>
      </c>
      <c r="AA154" t="s">
        <v>3135</v>
      </c>
      <c r="AB154">
        <v>11205</v>
      </c>
      <c r="AD154" t="s">
        <v>3282</v>
      </c>
      <c r="AE154">
        <v>0</v>
      </c>
      <c r="AG154" t="s">
        <v>4028</v>
      </c>
      <c r="AH154" t="s">
        <v>291</v>
      </c>
      <c r="AK154" t="s">
        <v>4040</v>
      </c>
      <c r="AM154">
        <v>0</v>
      </c>
      <c r="AN154">
        <v>924</v>
      </c>
      <c r="AO154">
        <v>2.2</v>
      </c>
      <c r="AQ154" t="s">
        <v>4206</v>
      </c>
      <c r="AR154" t="s">
        <v>5115</v>
      </c>
      <c r="AS154">
        <v>0</v>
      </c>
      <c r="AU154">
        <v>1</v>
      </c>
      <c r="AV154">
        <v>1</v>
      </c>
      <c r="AW154">
        <v>53.22</v>
      </c>
      <c r="BB154" t="s">
        <v>1322</v>
      </c>
      <c r="BC154">
        <v>9000</v>
      </c>
      <c r="BG154" t="s">
        <v>5891</v>
      </c>
      <c r="BJ154" t="s">
        <v>5965</v>
      </c>
      <c r="BK154" t="s">
        <v>206</v>
      </c>
    </row>
    <row r="155" spans="1:64">
      <c r="A155" s="1">
        <f>HYPERLINK("https://lsnyc.legalserver.org/matter/dynamic-profile/view/1903700","19-1903700")</f>
        <v>0</v>
      </c>
      <c r="B155" t="s">
        <v>64</v>
      </c>
      <c r="C155" t="s">
        <v>93</v>
      </c>
      <c r="D155" t="s">
        <v>200</v>
      </c>
      <c r="E155" t="s">
        <v>203</v>
      </c>
      <c r="F155" t="s">
        <v>215</v>
      </c>
      <c r="G155" t="s">
        <v>202</v>
      </c>
      <c r="H155" t="s">
        <v>272</v>
      </c>
      <c r="I155" t="s">
        <v>202</v>
      </c>
      <c r="J155" t="s">
        <v>289</v>
      </c>
      <c r="K155" t="s">
        <v>202</v>
      </c>
      <c r="L155" t="s">
        <v>320</v>
      </c>
      <c r="M155" t="s">
        <v>290</v>
      </c>
      <c r="N155" t="s">
        <v>202</v>
      </c>
      <c r="O155" t="s">
        <v>421</v>
      </c>
      <c r="P155" t="s">
        <v>202</v>
      </c>
      <c r="Q155" t="s">
        <v>430</v>
      </c>
      <c r="R155" t="s">
        <v>437</v>
      </c>
      <c r="S155" t="s">
        <v>596</v>
      </c>
      <c r="T155" t="s">
        <v>1306</v>
      </c>
      <c r="U155" t="s">
        <v>208</v>
      </c>
      <c r="V155" t="s">
        <v>235</v>
      </c>
      <c r="W155" t="s">
        <v>1877</v>
      </c>
      <c r="X155" t="s">
        <v>2023</v>
      </c>
      <c r="Y155" t="s">
        <v>2836</v>
      </c>
      <c r="Z155" t="s">
        <v>3097</v>
      </c>
      <c r="AA155" t="s">
        <v>3135</v>
      </c>
      <c r="AB155">
        <v>11221</v>
      </c>
      <c r="AC155" t="s">
        <v>3137</v>
      </c>
      <c r="AD155" t="s">
        <v>3283</v>
      </c>
      <c r="AE155">
        <v>7</v>
      </c>
      <c r="AF155" t="s">
        <v>4024</v>
      </c>
      <c r="AG155" t="s">
        <v>4029</v>
      </c>
      <c r="AH155" t="s">
        <v>291</v>
      </c>
      <c r="AI155" t="s">
        <v>291</v>
      </c>
      <c r="AK155" t="s">
        <v>4040</v>
      </c>
      <c r="AL155" t="s">
        <v>4049</v>
      </c>
      <c r="AM155">
        <v>0</v>
      </c>
      <c r="AN155">
        <v>553.8</v>
      </c>
      <c r="AO155">
        <v>9.300000000000001</v>
      </c>
      <c r="AP155" t="s">
        <v>4054</v>
      </c>
      <c r="AQ155" t="s">
        <v>4207</v>
      </c>
      <c r="AR155" t="s">
        <v>5116</v>
      </c>
      <c r="AS155">
        <v>8</v>
      </c>
      <c r="AT155" t="s">
        <v>5838</v>
      </c>
      <c r="AU155">
        <v>1</v>
      </c>
      <c r="AV155">
        <v>2</v>
      </c>
      <c r="AW155">
        <v>0</v>
      </c>
      <c r="BB155" t="s">
        <v>1322</v>
      </c>
      <c r="BC155">
        <v>0</v>
      </c>
      <c r="BG155" t="s">
        <v>5892</v>
      </c>
      <c r="BH155" t="s">
        <v>5928</v>
      </c>
      <c r="BI155" t="s">
        <v>5934</v>
      </c>
      <c r="BJ155" t="s">
        <v>5965</v>
      </c>
      <c r="BK155" t="s">
        <v>235</v>
      </c>
      <c r="BL155" t="s">
        <v>6056</v>
      </c>
    </row>
    <row r="156" spans="1:64">
      <c r="A156" s="1">
        <f>HYPERLINK("https://lsnyc.legalserver.org/matter/dynamic-profile/view/1905078","19-1905078")</f>
        <v>0</v>
      </c>
      <c r="B156" t="s">
        <v>64</v>
      </c>
      <c r="C156" t="s">
        <v>93</v>
      </c>
      <c r="D156" t="s">
        <v>200</v>
      </c>
      <c r="E156" t="s">
        <v>201</v>
      </c>
      <c r="G156" t="s">
        <v>202</v>
      </c>
      <c r="H156" t="s">
        <v>272</v>
      </c>
      <c r="I156" t="s">
        <v>202</v>
      </c>
      <c r="J156" t="s">
        <v>289</v>
      </c>
      <c r="K156" t="s">
        <v>292</v>
      </c>
      <c r="M156" t="s">
        <v>290</v>
      </c>
      <c r="N156" t="s">
        <v>202</v>
      </c>
      <c r="O156" t="s">
        <v>421</v>
      </c>
      <c r="P156" t="s">
        <v>427</v>
      </c>
      <c r="S156" t="s">
        <v>597</v>
      </c>
      <c r="T156" t="s">
        <v>1194</v>
      </c>
      <c r="U156" t="s">
        <v>258</v>
      </c>
      <c r="W156" t="s">
        <v>1876</v>
      </c>
      <c r="X156" t="s">
        <v>2024</v>
      </c>
      <c r="Y156" t="s">
        <v>2867</v>
      </c>
      <c r="Z156" t="s">
        <v>3097</v>
      </c>
      <c r="AA156" t="s">
        <v>3135</v>
      </c>
      <c r="AB156">
        <v>11221</v>
      </c>
      <c r="AD156" t="s">
        <v>3284</v>
      </c>
      <c r="AE156">
        <v>20</v>
      </c>
      <c r="AG156" t="s">
        <v>4029</v>
      </c>
      <c r="AH156" t="s">
        <v>291</v>
      </c>
      <c r="AK156" t="s">
        <v>4041</v>
      </c>
      <c r="AM156">
        <v>0</v>
      </c>
      <c r="AN156">
        <v>663</v>
      </c>
      <c r="AO156">
        <v>0</v>
      </c>
      <c r="AQ156" t="s">
        <v>4208</v>
      </c>
      <c r="AR156" t="s">
        <v>5117</v>
      </c>
      <c r="AS156">
        <v>180</v>
      </c>
      <c r="AU156">
        <v>2</v>
      </c>
      <c r="AV156">
        <v>3</v>
      </c>
      <c r="AW156">
        <v>34.37</v>
      </c>
      <c r="BB156" t="s">
        <v>1322</v>
      </c>
      <c r="BC156">
        <v>10368</v>
      </c>
      <c r="BG156" t="s">
        <v>5890</v>
      </c>
      <c r="BJ156" t="s">
        <v>5951</v>
      </c>
      <c r="BL156" t="s">
        <v>6056</v>
      </c>
    </row>
    <row r="157" spans="1:64">
      <c r="A157" s="1">
        <f>HYPERLINK("https://lsnyc.legalserver.org/matter/dynamic-profile/view/1903741","19-1903741")</f>
        <v>0</v>
      </c>
      <c r="B157" t="s">
        <v>64</v>
      </c>
      <c r="C157" t="s">
        <v>93</v>
      </c>
      <c r="D157" t="s">
        <v>200</v>
      </c>
      <c r="E157" t="s">
        <v>201</v>
      </c>
      <c r="G157" t="s">
        <v>202</v>
      </c>
      <c r="H157" t="s">
        <v>272</v>
      </c>
      <c r="I157" t="s">
        <v>202</v>
      </c>
      <c r="J157" t="s">
        <v>289</v>
      </c>
      <c r="K157" t="s">
        <v>292</v>
      </c>
      <c r="M157" t="s">
        <v>290</v>
      </c>
      <c r="N157" t="s">
        <v>202</v>
      </c>
      <c r="O157" t="s">
        <v>422</v>
      </c>
      <c r="P157" t="s">
        <v>202</v>
      </c>
      <c r="Q157" t="s">
        <v>430</v>
      </c>
      <c r="R157" t="s">
        <v>438</v>
      </c>
      <c r="S157" t="s">
        <v>598</v>
      </c>
      <c r="T157" t="s">
        <v>1307</v>
      </c>
      <c r="U157" t="s">
        <v>208</v>
      </c>
      <c r="V157" t="s">
        <v>235</v>
      </c>
      <c r="W157" t="s">
        <v>1877</v>
      </c>
      <c r="X157" t="s">
        <v>2025</v>
      </c>
      <c r="Y157" t="s">
        <v>2844</v>
      </c>
      <c r="Z157" t="s">
        <v>3097</v>
      </c>
      <c r="AA157" t="s">
        <v>3135</v>
      </c>
      <c r="AB157">
        <v>11226</v>
      </c>
      <c r="AC157" t="s">
        <v>3136</v>
      </c>
      <c r="AD157" t="s">
        <v>3285</v>
      </c>
      <c r="AE157">
        <v>1</v>
      </c>
      <c r="AF157" t="s">
        <v>4023</v>
      </c>
      <c r="AG157" t="s">
        <v>4029</v>
      </c>
      <c r="AH157" t="s">
        <v>291</v>
      </c>
      <c r="AI157" t="s">
        <v>291</v>
      </c>
      <c r="AK157" t="s">
        <v>4040</v>
      </c>
      <c r="AL157" t="s">
        <v>4046</v>
      </c>
      <c r="AM157">
        <v>0</v>
      </c>
      <c r="AN157">
        <v>922.83</v>
      </c>
      <c r="AO157">
        <v>4</v>
      </c>
      <c r="AP157" t="s">
        <v>4052</v>
      </c>
      <c r="AQ157" t="s">
        <v>4209</v>
      </c>
      <c r="AS157">
        <v>36</v>
      </c>
      <c r="AT157" t="s">
        <v>5838</v>
      </c>
      <c r="AU157">
        <v>2</v>
      </c>
      <c r="AV157">
        <v>2</v>
      </c>
      <c r="AW157">
        <v>104.85</v>
      </c>
      <c r="BB157" t="s">
        <v>1322</v>
      </c>
      <c r="BC157">
        <v>27000</v>
      </c>
      <c r="BG157" t="s">
        <v>5894</v>
      </c>
      <c r="BJ157" t="s">
        <v>5983</v>
      </c>
      <c r="BK157" t="s">
        <v>235</v>
      </c>
      <c r="BL157" t="s">
        <v>6056</v>
      </c>
    </row>
    <row r="158" spans="1:64">
      <c r="A158" s="1">
        <f>HYPERLINK("https://lsnyc.legalserver.org/matter/dynamic-profile/view/1903698","19-1903698")</f>
        <v>0</v>
      </c>
      <c r="B158" t="s">
        <v>64</v>
      </c>
      <c r="C158" t="s">
        <v>93</v>
      </c>
      <c r="D158" t="s">
        <v>200</v>
      </c>
      <c r="E158" t="s">
        <v>203</v>
      </c>
      <c r="F158" t="s">
        <v>215</v>
      </c>
      <c r="G158" t="s">
        <v>202</v>
      </c>
      <c r="H158" t="s">
        <v>272</v>
      </c>
      <c r="I158" t="s">
        <v>202</v>
      </c>
      <c r="J158" t="s">
        <v>289</v>
      </c>
      <c r="K158" t="s">
        <v>202</v>
      </c>
      <c r="L158" t="s">
        <v>321</v>
      </c>
      <c r="M158" t="s">
        <v>290</v>
      </c>
      <c r="N158" t="s">
        <v>202</v>
      </c>
      <c r="O158" t="s">
        <v>421</v>
      </c>
      <c r="P158" t="s">
        <v>202</v>
      </c>
      <c r="Q158" t="s">
        <v>430</v>
      </c>
      <c r="R158" t="s">
        <v>439</v>
      </c>
      <c r="S158" t="s">
        <v>599</v>
      </c>
      <c r="T158" t="s">
        <v>1308</v>
      </c>
      <c r="U158" t="s">
        <v>208</v>
      </c>
      <c r="V158" t="s">
        <v>216</v>
      </c>
      <c r="W158" t="s">
        <v>1877</v>
      </c>
      <c r="X158" t="s">
        <v>2026</v>
      </c>
      <c r="Y158" t="s">
        <v>2812</v>
      </c>
      <c r="Z158" t="s">
        <v>3097</v>
      </c>
      <c r="AA158" t="s">
        <v>3135</v>
      </c>
      <c r="AB158">
        <v>11216</v>
      </c>
      <c r="AC158" t="s">
        <v>3137</v>
      </c>
      <c r="AD158" t="s">
        <v>3286</v>
      </c>
      <c r="AE158">
        <v>34</v>
      </c>
      <c r="AF158" t="s">
        <v>4024</v>
      </c>
      <c r="AG158" t="s">
        <v>4029</v>
      </c>
      <c r="AH158" t="s">
        <v>291</v>
      </c>
      <c r="AI158" t="s">
        <v>291</v>
      </c>
      <c r="AK158" t="s">
        <v>4040</v>
      </c>
      <c r="AL158" t="s">
        <v>4046</v>
      </c>
      <c r="AM158">
        <v>0</v>
      </c>
      <c r="AN158">
        <v>900</v>
      </c>
      <c r="AO158">
        <v>4.8</v>
      </c>
      <c r="AP158" t="s">
        <v>4054</v>
      </c>
      <c r="AQ158" t="s">
        <v>4210</v>
      </c>
      <c r="AR158" t="s">
        <v>5118</v>
      </c>
      <c r="AS158">
        <v>25</v>
      </c>
      <c r="AT158" t="s">
        <v>5838</v>
      </c>
      <c r="AU158">
        <v>1</v>
      </c>
      <c r="AV158">
        <v>0</v>
      </c>
      <c r="AW158">
        <v>67.25</v>
      </c>
      <c r="BA158" t="s">
        <v>5851</v>
      </c>
      <c r="BB158" t="s">
        <v>1322</v>
      </c>
      <c r="BC158">
        <v>8400</v>
      </c>
      <c r="BG158" t="s">
        <v>5892</v>
      </c>
      <c r="BI158" t="s">
        <v>5933</v>
      </c>
      <c r="BJ158" t="s">
        <v>5957</v>
      </c>
      <c r="BK158" t="s">
        <v>240</v>
      </c>
      <c r="BL158" t="s">
        <v>6056</v>
      </c>
    </row>
    <row r="159" spans="1:64">
      <c r="A159" s="1">
        <f>HYPERLINK("https://lsnyc.legalserver.org/matter/dynamic-profile/view/1910330","19-1910330")</f>
        <v>0</v>
      </c>
      <c r="B159" t="s">
        <v>64</v>
      </c>
      <c r="C159" t="s">
        <v>93</v>
      </c>
      <c r="D159" t="s">
        <v>200</v>
      </c>
      <c r="E159" t="s">
        <v>201</v>
      </c>
      <c r="G159" t="s">
        <v>202</v>
      </c>
      <c r="H159" t="s">
        <v>273</v>
      </c>
      <c r="I159" t="s">
        <v>288</v>
      </c>
      <c r="J159" t="s">
        <v>290</v>
      </c>
      <c r="K159" t="s">
        <v>202</v>
      </c>
      <c r="L159" t="s">
        <v>322</v>
      </c>
      <c r="M159" t="s">
        <v>290</v>
      </c>
      <c r="N159" t="s">
        <v>202</v>
      </c>
      <c r="O159" t="s">
        <v>422</v>
      </c>
      <c r="P159" t="s">
        <v>427</v>
      </c>
      <c r="S159" t="s">
        <v>600</v>
      </c>
      <c r="T159" t="s">
        <v>1309</v>
      </c>
      <c r="U159" t="s">
        <v>216</v>
      </c>
      <c r="W159" t="s">
        <v>1876</v>
      </c>
      <c r="X159" t="s">
        <v>2027</v>
      </c>
      <c r="Y159">
        <v>1</v>
      </c>
      <c r="Z159" t="s">
        <v>3097</v>
      </c>
      <c r="AA159" t="s">
        <v>3135</v>
      </c>
      <c r="AB159">
        <v>11221</v>
      </c>
      <c r="AD159" t="s">
        <v>3287</v>
      </c>
      <c r="AE159">
        <v>0</v>
      </c>
      <c r="AG159" t="s">
        <v>4028</v>
      </c>
      <c r="AH159" t="s">
        <v>291</v>
      </c>
      <c r="AK159" t="s">
        <v>4040</v>
      </c>
      <c r="AM159">
        <v>0</v>
      </c>
      <c r="AN159">
        <v>1480</v>
      </c>
      <c r="AO159">
        <v>0</v>
      </c>
      <c r="AQ159" t="s">
        <v>4211</v>
      </c>
      <c r="AR159" t="s">
        <v>5119</v>
      </c>
      <c r="AS159">
        <v>0</v>
      </c>
      <c r="AU159">
        <v>1</v>
      </c>
      <c r="AV159">
        <v>0</v>
      </c>
      <c r="AW159">
        <v>82.43000000000001</v>
      </c>
      <c r="BB159" t="s">
        <v>1322</v>
      </c>
      <c r="BC159">
        <v>10296</v>
      </c>
      <c r="BG159" t="s">
        <v>5891</v>
      </c>
      <c r="BJ159" t="s">
        <v>5984</v>
      </c>
    </row>
    <row r="160" spans="1:64">
      <c r="A160" s="1">
        <f>HYPERLINK("https://lsnyc.legalserver.org/matter/dynamic-profile/view/1905951","19-1905951")</f>
        <v>0</v>
      </c>
      <c r="B160" t="s">
        <v>64</v>
      </c>
      <c r="C160" t="s">
        <v>93</v>
      </c>
      <c r="D160" t="s">
        <v>200</v>
      </c>
      <c r="E160" t="s">
        <v>201</v>
      </c>
      <c r="G160" t="s">
        <v>202</v>
      </c>
      <c r="H160" t="s">
        <v>271</v>
      </c>
      <c r="I160" t="s">
        <v>202</v>
      </c>
      <c r="J160" t="s">
        <v>289</v>
      </c>
      <c r="K160" t="s">
        <v>292</v>
      </c>
      <c r="M160" t="s">
        <v>290</v>
      </c>
      <c r="N160" t="s">
        <v>202</v>
      </c>
      <c r="O160" t="s">
        <v>421</v>
      </c>
      <c r="P160" t="s">
        <v>202</v>
      </c>
      <c r="Q160" t="s">
        <v>431</v>
      </c>
      <c r="R160" t="s">
        <v>440</v>
      </c>
      <c r="S160" t="s">
        <v>601</v>
      </c>
      <c r="T160" t="s">
        <v>1310</v>
      </c>
      <c r="U160" t="s">
        <v>250</v>
      </c>
      <c r="W160" t="s">
        <v>1876</v>
      </c>
      <c r="X160" t="s">
        <v>2028</v>
      </c>
      <c r="Y160" t="s">
        <v>2782</v>
      </c>
      <c r="Z160" t="s">
        <v>3097</v>
      </c>
      <c r="AA160" t="s">
        <v>3135</v>
      </c>
      <c r="AB160">
        <v>11226</v>
      </c>
      <c r="AC160" t="s">
        <v>3136</v>
      </c>
      <c r="AD160" t="s">
        <v>3288</v>
      </c>
      <c r="AE160">
        <v>34</v>
      </c>
      <c r="AG160" t="s">
        <v>4029</v>
      </c>
      <c r="AH160" t="s">
        <v>291</v>
      </c>
      <c r="AI160" t="s">
        <v>291</v>
      </c>
      <c r="AK160" t="s">
        <v>4040</v>
      </c>
      <c r="AL160" t="s">
        <v>4047</v>
      </c>
      <c r="AM160">
        <v>0</v>
      </c>
      <c r="AN160">
        <v>550</v>
      </c>
      <c r="AO160">
        <v>1.5</v>
      </c>
      <c r="AQ160" t="s">
        <v>4212</v>
      </c>
      <c r="AR160" t="s">
        <v>5120</v>
      </c>
      <c r="AS160">
        <v>2</v>
      </c>
      <c r="AT160" t="s">
        <v>5835</v>
      </c>
      <c r="AU160">
        <v>4</v>
      </c>
      <c r="AV160">
        <v>0</v>
      </c>
      <c r="AW160">
        <v>202.55</v>
      </c>
      <c r="AX160" t="s">
        <v>221</v>
      </c>
      <c r="AY160" t="s">
        <v>5849</v>
      </c>
      <c r="BB160" t="s">
        <v>1322</v>
      </c>
      <c r="BC160">
        <v>52156.08</v>
      </c>
      <c r="BG160" t="s">
        <v>5894</v>
      </c>
      <c r="BI160" t="s">
        <v>3143</v>
      </c>
      <c r="BJ160" t="s">
        <v>5956</v>
      </c>
      <c r="BK160" t="s">
        <v>262</v>
      </c>
      <c r="BL160" t="s">
        <v>6056</v>
      </c>
    </row>
    <row r="161" spans="1:64">
      <c r="A161" s="1">
        <f>HYPERLINK("https://lsnyc.legalserver.org/matter/dynamic-profile/view/1904622","19-1904622")</f>
        <v>0</v>
      </c>
      <c r="B161" t="s">
        <v>64</v>
      </c>
      <c r="C161" t="s">
        <v>86</v>
      </c>
      <c r="D161" t="s">
        <v>200</v>
      </c>
      <c r="E161" t="s">
        <v>201</v>
      </c>
      <c r="G161" t="s">
        <v>202</v>
      </c>
      <c r="H161" t="s">
        <v>272</v>
      </c>
      <c r="I161" t="s">
        <v>202</v>
      </c>
      <c r="J161" t="s">
        <v>289</v>
      </c>
      <c r="K161" t="s">
        <v>292</v>
      </c>
      <c r="M161" t="s">
        <v>290</v>
      </c>
      <c r="N161" t="s">
        <v>202</v>
      </c>
      <c r="O161" t="s">
        <v>421</v>
      </c>
      <c r="P161" t="s">
        <v>427</v>
      </c>
      <c r="S161" t="s">
        <v>575</v>
      </c>
      <c r="T161" t="s">
        <v>1311</v>
      </c>
      <c r="U161" t="s">
        <v>246</v>
      </c>
      <c r="W161" t="s">
        <v>1876</v>
      </c>
      <c r="X161" t="s">
        <v>1900</v>
      </c>
      <c r="Y161" t="s">
        <v>2857</v>
      </c>
      <c r="Z161" t="s">
        <v>3097</v>
      </c>
      <c r="AA161" t="s">
        <v>3135</v>
      </c>
      <c r="AB161">
        <v>11216</v>
      </c>
      <c r="AC161" t="s">
        <v>3137</v>
      </c>
      <c r="AD161" t="s">
        <v>3260</v>
      </c>
      <c r="AE161">
        <v>5</v>
      </c>
      <c r="AG161" t="s">
        <v>4029</v>
      </c>
      <c r="AH161" t="s">
        <v>291</v>
      </c>
      <c r="AI161" t="s">
        <v>291</v>
      </c>
      <c r="AK161" t="s">
        <v>4040</v>
      </c>
      <c r="AM161">
        <v>0</v>
      </c>
      <c r="AN161">
        <v>1871</v>
      </c>
      <c r="AO161">
        <v>1</v>
      </c>
      <c r="AQ161" t="s">
        <v>4182</v>
      </c>
      <c r="AR161" t="s">
        <v>5121</v>
      </c>
      <c r="AS161">
        <v>0</v>
      </c>
      <c r="AU161">
        <v>1</v>
      </c>
      <c r="AV161">
        <v>2</v>
      </c>
      <c r="AW161">
        <v>97.52</v>
      </c>
      <c r="BA161" t="s">
        <v>5850</v>
      </c>
      <c r="BB161" t="s">
        <v>5859</v>
      </c>
      <c r="BC161">
        <v>20800</v>
      </c>
      <c r="BG161" t="s">
        <v>5892</v>
      </c>
      <c r="BJ161" t="s">
        <v>5949</v>
      </c>
      <c r="BK161" t="s">
        <v>205</v>
      </c>
      <c r="BL161" t="s">
        <v>6056</v>
      </c>
    </row>
    <row r="162" spans="1:64">
      <c r="A162" s="1">
        <f>HYPERLINK("https://lsnyc.legalserver.org/matter/dynamic-profile/view/1906027","19-1906027")</f>
        <v>0</v>
      </c>
      <c r="B162" t="s">
        <v>64</v>
      </c>
      <c r="C162" t="s">
        <v>93</v>
      </c>
      <c r="D162" t="s">
        <v>200</v>
      </c>
      <c r="E162" t="s">
        <v>201</v>
      </c>
      <c r="G162" t="s">
        <v>202</v>
      </c>
      <c r="H162" t="s">
        <v>272</v>
      </c>
      <c r="I162" t="s">
        <v>288</v>
      </c>
      <c r="J162" t="s">
        <v>291</v>
      </c>
      <c r="K162" t="s">
        <v>202</v>
      </c>
      <c r="L162">
        <v>37698537</v>
      </c>
      <c r="M162" t="s">
        <v>290</v>
      </c>
      <c r="N162" t="s">
        <v>202</v>
      </c>
      <c r="O162" t="s">
        <v>421</v>
      </c>
      <c r="P162" t="s">
        <v>427</v>
      </c>
      <c r="S162" t="s">
        <v>602</v>
      </c>
      <c r="T162" t="s">
        <v>1312</v>
      </c>
      <c r="U162" t="s">
        <v>250</v>
      </c>
      <c r="W162" t="s">
        <v>1876</v>
      </c>
      <c r="X162" t="s">
        <v>2029</v>
      </c>
      <c r="Y162" t="s">
        <v>2868</v>
      </c>
      <c r="Z162" t="s">
        <v>3097</v>
      </c>
      <c r="AA162" t="s">
        <v>3135</v>
      </c>
      <c r="AB162">
        <v>11226</v>
      </c>
      <c r="AC162" t="s">
        <v>3136</v>
      </c>
      <c r="AD162" t="s">
        <v>3289</v>
      </c>
      <c r="AE162">
        <v>20</v>
      </c>
      <c r="AG162" t="s">
        <v>4029</v>
      </c>
      <c r="AH162" t="s">
        <v>291</v>
      </c>
      <c r="AI162" t="s">
        <v>291</v>
      </c>
      <c r="AK162" t="s">
        <v>4040</v>
      </c>
      <c r="AL162" t="s">
        <v>4049</v>
      </c>
      <c r="AM162">
        <v>0</v>
      </c>
      <c r="AN162">
        <v>1475.14</v>
      </c>
      <c r="AO162">
        <v>7.9</v>
      </c>
      <c r="AQ162" t="s">
        <v>4213</v>
      </c>
      <c r="AR162" t="s">
        <v>5122</v>
      </c>
      <c r="AS162">
        <v>104</v>
      </c>
      <c r="AT162" t="s">
        <v>5838</v>
      </c>
      <c r="AU162">
        <v>1</v>
      </c>
      <c r="AV162">
        <v>0</v>
      </c>
      <c r="AW162">
        <v>95.31</v>
      </c>
      <c r="BA162" t="s">
        <v>329</v>
      </c>
      <c r="BB162" t="s">
        <v>1322</v>
      </c>
      <c r="BC162">
        <v>11904</v>
      </c>
      <c r="BG162" t="s">
        <v>5894</v>
      </c>
      <c r="BJ162" t="s">
        <v>5957</v>
      </c>
      <c r="BK162" t="s">
        <v>263</v>
      </c>
      <c r="BL162" t="s">
        <v>329</v>
      </c>
    </row>
    <row r="163" spans="1:64">
      <c r="A163" s="1">
        <f>HYPERLINK("https://lsnyc.legalserver.org/matter/dynamic-profile/view/1906346","19-1906346")</f>
        <v>0</v>
      </c>
      <c r="B163" t="s">
        <v>64</v>
      </c>
      <c r="C163" t="s">
        <v>93</v>
      </c>
      <c r="D163" t="s">
        <v>200</v>
      </c>
      <c r="E163" t="s">
        <v>201</v>
      </c>
      <c r="G163" t="s">
        <v>202</v>
      </c>
      <c r="H163" t="s">
        <v>272</v>
      </c>
      <c r="I163" t="s">
        <v>202</v>
      </c>
      <c r="J163" t="s">
        <v>289</v>
      </c>
      <c r="K163" t="s">
        <v>292</v>
      </c>
      <c r="M163" t="s">
        <v>290</v>
      </c>
      <c r="N163" t="s">
        <v>202</v>
      </c>
      <c r="O163" t="s">
        <v>421</v>
      </c>
      <c r="P163" t="s">
        <v>427</v>
      </c>
      <c r="S163" t="s">
        <v>603</v>
      </c>
      <c r="T163" t="s">
        <v>1313</v>
      </c>
      <c r="U163" t="s">
        <v>253</v>
      </c>
      <c r="W163" t="s">
        <v>1876</v>
      </c>
      <c r="X163" t="s">
        <v>2030</v>
      </c>
      <c r="Y163">
        <v>316</v>
      </c>
      <c r="Z163" t="s">
        <v>3097</v>
      </c>
      <c r="AA163" t="s">
        <v>3135</v>
      </c>
      <c r="AB163">
        <v>11221</v>
      </c>
      <c r="AC163" t="s">
        <v>3137</v>
      </c>
      <c r="AD163" t="s">
        <v>3290</v>
      </c>
      <c r="AE163">
        <v>1</v>
      </c>
      <c r="AG163" t="s">
        <v>4029</v>
      </c>
      <c r="AH163" t="s">
        <v>291</v>
      </c>
      <c r="AI163" t="s">
        <v>291</v>
      </c>
      <c r="AK163" t="s">
        <v>4040</v>
      </c>
      <c r="AL163" t="s">
        <v>4046</v>
      </c>
      <c r="AM163">
        <v>0</v>
      </c>
      <c r="AN163">
        <v>2550</v>
      </c>
      <c r="AO163">
        <v>1.8</v>
      </c>
      <c r="AQ163" t="s">
        <v>4214</v>
      </c>
      <c r="AR163" t="s">
        <v>5123</v>
      </c>
      <c r="AS163">
        <v>42</v>
      </c>
      <c r="AU163">
        <v>1</v>
      </c>
      <c r="AV163">
        <v>0</v>
      </c>
      <c r="AW163">
        <v>0</v>
      </c>
      <c r="BB163" t="s">
        <v>1322</v>
      </c>
      <c r="BC163">
        <v>0</v>
      </c>
      <c r="BG163" t="s">
        <v>5894</v>
      </c>
      <c r="BJ163" t="s">
        <v>5965</v>
      </c>
      <c r="BK163" t="s">
        <v>219</v>
      </c>
      <c r="BL163" t="s">
        <v>6056</v>
      </c>
    </row>
    <row r="164" spans="1:64">
      <c r="A164" s="1">
        <f>HYPERLINK("https://lsnyc.legalserver.org/matter/dynamic-profile/view/1910295","19-1910295")</f>
        <v>0</v>
      </c>
      <c r="B164" t="s">
        <v>64</v>
      </c>
      <c r="C164" t="s">
        <v>93</v>
      </c>
      <c r="D164" t="s">
        <v>200</v>
      </c>
      <c r="E164" t="s">
        <v>201</v>
      </c>
      <c r="G164" t="s">
        <v>202</v>
      </c>
      <c r="H164" t="s">
        <v>272</v>
      </c>
      <c r="I164" t="s">
        <v>288</v>
      </c>
      <c r="J164" t="s">
        <v>290</v>
      </c>
      <c r="K164" t="s">
        <v>292</v>
      </c>
      <c r="M164" t="s">
        <v>290</v>
      </c>
      <c r="N164" t="s">
        <v>419</v>
      </c>
      <c r="O164" t="s">
        <v>420</v>
      </c>
      <c r="P164" t="s">
        <v>427</v>
      </c>
      <c r="S164" t="s">
        <v>604</v>
      </c>
      <c r="T164" t="s">
        <v>1267</v>
      </c>
      <c r="U164" t="s">
        <v>216</v>
      </c>
      <c r="W164" t="s">
        <v>1876</v>
      </c>
      <c r="X164" t="s">
        <v>2031</v>
      </c>
      <c r="Y164" t="s">
        <v>2869</v>
      </c>
      <c r="Z164" t="s">
        <v>3097</v>
      </c>
      <c r="AA164" t="s">
        <v>3135</v>
      </c>
      <c r="AB164">
        <v>11216</v>
      </c>
      <c r="AD164" t="s">
        <v>3291</v>
      </c>
      <c r="AE164">
        <v>0</v>
      </c>
      <c r="AG164" t="s">
        <v>4029</v>
      </c>
      <c r="AH164" t="s">
        <v>291</v>
      </c>
      <c r="AK164" t="s">
        <v>4040</v>
      </c>
      <c r="AM164">
        <v>0</v>
      </c>
      <c r="AN164">
        <v>0</v>
      </c>
      <c r="AO164">
        <v>0</v>
      </c>
      <c r="AQ164" t="s">
        <v>4215</v>
      </c>
      <c r="AR164" t="s">
        <v>5124</v>
      </c>
      <c r="AS164">
        <v>0</v>
      </c>
      <c r="AU164">
        <v>2</v>
      </c>
      <c r="AV164">
        <v>0</v>
      </c>
      <c r="AW164">
        <v>217.34</v>
      </c>
      <c r="BB164" t="s">
        <v>1322</v>
      </c>
      <c r="BC164">
        <v>36752</v>
      </c>
      <c r="BG164" t="s">
        <v>5891</v>
      </c>
      <c r="BJ164" t="s">
        <v>5963</v>
      </c>
    </row>
    <row r="165" spans="1:64">
      <c r="A165" s="1">
        <f>HYPERLINK("https://lsnyc.legalserver.org/matter/dynamic-profile/view/1907055","19-1907055")</f>
        <v>0</v>
      </c>
      <c r="B165" t="s">
        <v>64</v>
      </c>
      <c r="C165" t="s">
        <v>94</v>
      </c>
      <c r="D165" t="s">
        <v>200</v>
      </c>
      <c r="E165" t="s">
        <v>201</v>
      </c>
      <c r="G165" t="s">
        <v>202</v>
      </c>
      <c r="H165" t="s">
        <v>272</v>
      </c>
      <c r="I165" t="s">
        <v>202</v>
      </c>
      <c r="J165" t="s">
        <v>289</v>
      </c>
      <c r="K165" t="s">
        <v>292</v>
      </c>
      <c r="M165" t="s">
        <v>290</v>
      </c>
      <c r="N165" t="s">
        <v>419</v>
      </c>
      <c r="O165" t="s">
        <v>420</v>
      </c>
      <c r="P165" t="s">
        <v>427</v>
      </c>
      <c r="S165" t="s">
        <v>605</v>
      </c>
      <c r="T165" t="s">
        <v>1314</v>
      </c>
      <c r="U165" t="s">
        <v>226</v>
      </c>
      <c r="W165" t="s">
        <v>1876</v>
      </c>
      <c r="X165" t="s">
        <v>2032</v>
      </c>
      <c r="Y165" t="s">
        <v>2807</v>
      </c>
      <c r="Z165" t="s">
        <v>3097</v>
      </c>
      <c r="AA165" t="s">
        <v>3135</v>
      </c>
      <c r="AB165">
        <v>11226</v>
      </c>
      <c r="AC165" t="s">
        <v>3136</v>
      </c>
      <c r="AD165" t="s">
        <v>3292</v>
      </c>
      <c r="AE165">
        <v>40</v>
      </c>
      <c r="AG165" t="s">
        <v>4029</v>
      </c>
      <c r="AH165" t="s">
        <v>291</v>
      </c>
      <c r="AK165" t="s">
        <v>4040</v>
      </c>
      <c r="AM165">
        <v>0</v>
      </c>
      <c r="AN165">
        <v>882.9400000000001</v>
      </c>
      <c r="AO165">
        <v>7.3</v>
      </c>
      <c r="AQ165" t="s">
        <v>4216</v>
      </c>
      <c r="AR165" t="s">
        <v>5125</v>
      </c>
      <c r="AS165">
        <v>42</v>
      </c>
      <c r="AU165">
        <v>4</v>
      </c>
      <c r="AV165">
        <v>1</v>
      </c>
      <c r="AW165">
        <v>114.27</v>
      </c>
      <c r="BA165" t="s">
        <v>329</v>
      </c>
      <c r="BB165" t="s">
        <v>1322</v>
      </c>
      <c r="BC165">
        <v>34476</v>
      </c>
      <c r="BG165" t="s">
        <v>5894</v>
      </c>
      <c r="BJ165" t="s">
        <v>5949</v>
      </c>
      <c r="BK165" t="s">
        <v>267</v>
      </c>
      <c r="BL165" t="s">
        <v>6056</v>
      </c>
    </row>
    <row r="166" spans="1:64">
      <c r="A166" s="1">
        <f>HYPERLINK("https://lsnyc.legalserver.org/matter/dynamic-profile/view/1906979","19-1906979")</f>
        <v>0</v>
      </c>
      <c r="B166" t="s">
        <v>64</v>
      </c>
      <c r="C166" t="s">
        <v>94</v>
      </c>
      <c r="D166" t="s">
        <v>200</v>
      </c>
      <c r="E166" t="s">
        <v>201</v>
      </c>
      <c r="G166" t="s">
        <v>202</v>
      </c>
      <c r="H166" t="s">
        <v>272</v>
      </c>
      <c r="I166" t="s">
        <v>202</v>
      </c>
      <c r="J166" t="s">
        <v>289</v>
      </c>
      <c r="K166" t="s">
        <v>202</v>
      </c>
      <c r="L166" t="s">
        <v>323</v>
      </c>
      <c r="M166" t="s">
        <v>290</v>
      </c>
      <c r="N166" t="s">
        <v>419</v>
      </c>
      <c r="P166" t="s">
        <v>427</v>
      </c>
      <c r="S166" t="s">
        <v>606</v>
      </c>
      <c r="T166" t="s">
        <v>1233</v>
      </c>
      <c r="U166" t="s">
        <v>239</v>
      </c>
      <c r="W166" t="s">
        <v>1876</v>
      </c>
      <c r="X166" t="s">
        <v>2033</v>
      </c>
      <c r="Y166" t="s">
        <v>2870</v>
      </c>
      <c r="Z166" t="s">
        <v>3097</v>
      </c>
      <c r="AA166" t="s">
        <v>3135</v>
      </c>
      <c r="AB166">
        <v>11206</v>
      </c>
      <c r="AC166" t="s">
        <v>3136</v>
      </c>
      <c r="AD166" t="s">
        <v>3293</v>
      </c>
      <c r="AE166">
        <v>0</v>
      </c>
      <c r="AG166" t="s">
        <v>4028</v>
      </c>
      <c r="AH166" t="s">
        <v>291</v>
      </c>
      <c r="AK166" t="s">
        <v>4041</v>
      </c>
      <c r="AM166">
        <v>0</v>
      </c>
      <c r="AN166">
        <v>287</v>
      </c>
      <c r="AO166">
        <v>5.45</v>
      </c>
      <c r="AQ166" t="s">
        <v>4217</v>
      </c>
      <c r="AR166" t="s">
        <v>5126</v>
      </c>
      <c r="AS166">
        <v>0</v>
      </c>
      <c r="AU166">
        <v>1</v>
      </c>
      <c r="AV166">
        <v>1</v>
      </c>
      <c r="AW166">
        <v>12.92</v>
      </c>
      <c r="BB166" t="s">
        <v>1322</v>
      </c>
      <c r="BC166">
        <v>2184</v>
      </c>
      <c r="BG166" t="s">
        <v>5890</v>
      </c>
      <c r="BJ166" t="s">
        <v>5948</v>
      </c>
      <c r="BK166" t="s">
        <v>267</v>
      </c>
      <c r="BL166" t="s">
        <v>6056</v>
      </c>
    </row>
    <row r="167" spans="1:64">
      <c r="A167" s="1">
        <f>HYPERLINK("https://lsnyc.legalserver.org/matter/dynamic-profile/view/1906995","19-1906995")</f>
        <v>0</v>
      </c>
      <c r="B167" t="s">
        <v>64</v>
      </c>
      <c r="C167" t="s">
        <v>94</v>
      </c>
      <c r="D167" t="s">
        <v>200</v>
      </c>
      <c r="E167" t="s">
        <v>201</v>
      </c>
      <c r="G167" t="s">
        <v>202</v>
      </c>
      <c r="H167" t="s">
        <v>272</v>
      </c>
      <c r="I167" t="s">
        <v>202</v>
      </c>
      <c r="J167" t="s">
        <v>289</v>
      </c>
      <c r="K167" t="s">
        <v>292</v>
      </c>
      <c r="M167" t="s">
        <v>290</v>
      </c>
      <c r="N167" t="s">
        <v>419</v>
      </c>
      <c r="O167" t="s">
        <v>420</v>
      </c>
      <c r="P167" t="s">
        <v>427</v>
      </c>
      <c r="S167" t="s">
        <v>607</v>
      </c>
      <c r="T167" t="s">
        <v>1315</v>
      </c>
      <c r="U167" t="s">
        <v>226</v>
      </c>
      <c r="W167" t="s">
        <v>1876</v>
      </c>
      <c r="X167" t="s">
        <v>2034</v>
      </c>
      <c r="Y167" t="s">
        <v>2828</v>
      </c>
      <c r="Z167" t="s">
        <v>3097</v>
      </c>
      <c r="AA167" t="s">
        <v>3135</v>
      </c>
      <c r="AB167">
        <v>11226</v>
      </c>
      <c r="AC167" t="s">
        <v>3136</v>
      </c>
      <c r="AD167" t="s">
        <v>3294</v>
      </c>
      <c r="AE167">
        <v>-6</v>
      </c>
      <c r="AG167" t="s">
        <v>4029</v>
      </c>
      <c r="AH167" t="s">
        <v>291</v>
      </c>
      <c r="AK167" t="s">
        <v>4040</v>
      </c>
      <c r="AM167">
        <v>0</v>
      </c>
      <c r="AN167">
        <v>1577.59</v>
      </c>
      <c r="AO167">
        <v>7.95</v>
      </c>
      <c r="AQ167" t="s">
        <v>4218</v>
      </c>
      <c r="AR167" t="s">
        <v>5127</v>
      </c>
      <c r="AS167">
        <v>61</v>
      </c>
      <c r="AT167" t="s">
        <v>5838</v>
      </c>
      <c r="AU167">
        <v>1</v>
      </c>
      <c r="AV167">
        <v>0</v>
      </c>
      <c r="AW167">
        <v>192.15</v>
      </c>
      <c r="BA167" t="s">
        <v>329</v>
      </c>
      <c r="BB167" t="s">
        <v>1322</v>
      </c>
      <c r="BC167">
        <v>24000</v>
      </c>
      <c r="BG167" t="s">
        <v>5894</v>
      </c>
      <c r="BJ167" t="s">
        <v>5955</v>
      </c>
      <c r="BK167" t="s">
        <v>206</v>
      </c>
      <c r="BL167" t="s">
        <v>6056</v>
      </c>
    </row>
    <row r="168" spans="1:64">
      <c r="A168" s="1">
        <f>HYPERLINK("https://lsnyc.legalserver.org/matter/dynamic-profile/view/1909134","19-1909134")</f>
        <v>0</v>
      </c>
      <c r="B168" t="s">
        <v>64</v>
      </c>
      <c r="C168" t="s">
        <v>94</v>
      </c>
      <c r="D168" t="s">
        <v>200</v>
      </c>
      <c r="E168" t="s">
        <v>201</v>
      </c>
      <c r="G168" t="s">
        <v>202</v>
      </c>
      <c r="H168" t="s">
        <v>272</v>
      </c>
      <c r="I168" t="s">
        <v>202</v>
      </c>
      <c r="J168" t="s">
        <v>289</v>
      </c>
      <c r="K168" t="s">
        <v>292</v>
      </c>
      <c r="M168" t="s">
        <v>290</v>
      </c>
      <c r="N168" t="s">
        <v>419</v>
      </c>
      <c r="O168" t="s">
        <v>420</v>
      </c>
      <c r="P168" t="s">
        <v>427</v>
      </c>
      <c r="S168" t="s">
        <v>608</v>
      </c>
      <c r="T168" t="s">
        <v>1316</v>
      </c>
      <c r="U168" t="s">
        <v>228</v>
      </c>
      <c r="W168" t="s">
        <v>1876</v>
      </c>
      <c r="X168" t="s">
        <v>2035</v>
      </c>
      <c r="Y168" t="s">
        <v>2830</v>
      </c>
      <c r="Z168" t="s">
        <v>3097</v>
      </c>
      <c r="AA168" t="s">
        <v>3135</v>
      </c>
      <c r="AB168">
        <v>11226</v>
      </c>
      <c r="AC168" t="s">
        <v>3136</v>
      </c>
      <c r="AD168" t="s">
        <v>3295</v>
      </c>
      <c r="AE168">
        <v>0</v>
      </c>
      <c r="AG168" t="s">
        <v>4029</v>
      </c>
      <c r="AH168" t="s">
        <v>291</v>
      </c>
      <c r="AK168" t="s">
        <v>4040</v>
      </c>
      <c r="AM168">
        <v>0</v>
      </c>
      <c r="AN168">
        <v>0</v>
      </c>
      <c r="AO168">
        <v>2.75</v>
      </c>
      <c r="AQ168" t="s">
        <v>4219</v>
      </c>
      <c r="AR168" t="s">
        <v>5128</v>
      </c>
      <c r="AS168">
        <v>0</v>
      </c>
      <c r="AU168">
        <v>1</v>
      </c>
      <c r="AV168">
        <v>2</v>
      </c>
      <c r="AW168">
        <v>260.61</v>
      </c>
      <c r="BB168" t="s">
        <v>1322</v>
      </c>
      <c r="BC168">
        <v>55588</v>
      </c>
      <c r="BG168" t="s">
        <v>5894</v>
      </c>
      <c r="BJ168" t="s">
        <v>5949</v>
      </c>
      <c r="BK168" t="s">
        <v>264</v>
      </c>
      <c r="BL168" t="s">
        <v>6056</v>
      </c>
    </row>
    <row r="169" spans="1:64">
      <c r="A169" s="1">
        <f>HYPERLINK("https://lsnyc.legalserver.org/matter/dynamic-profile/view/1908908","19-1908908")</f>
        <v>0</v>
      </c>
      <c r="B169" t="s">
        <v>64</v>
      </c>
      <c r="C169" t="s">
        <v>95</v>
      </c>
      <c r="D169" t="s">
        <v>200</v>
      </c>
      <c r="E169" t="s">
        <v>201</v>
      </c>
      <c r="G169" t="s">
        <v>202</v>
      </c>
      <c r="H169" t="s">
        <v>272</v>
      </c>
      <c r="I169" t="s">
        <v>202</v>
      </c>
      <c r="J169" t="s">
        <v>289</v>
      </c>
      <c r="K169" t="s">
        <v>292</v>
      </c>
      <c r="M169" t="s">
        <v>290</v>
      </c>
      <c r="N169" t="s">
        <v>202</v>
      </c>
      <c r="O169" t="s">
        <v>421</v>
      </c>
      <c r="P169" t="s">
        <v>427</v>
      </c>
      <c r="S169" t="s">
        <v>609</v>
      </c>
      <c r="T169" t="s">
        <v>1317</v>
      </c>
      <c r="U169" t="s">
        <v>238</v>
      </c>
      <c r="W169" t="s">
        <v>1876</v>
      </c>
      <c r="X169" t="s">
        <v>2036</v>
      </c>
      <c r="Y169" t="s">
        <v>2796</v>
      </c>
      <c r="Z169" t="s">
        <v>3097</v>
      </c>
      <c r="AA169" t="s">
        <v>3135</v>
      </c>
      <c r="AB169">
        <v>11213</v>
      </c>
      <c r="AC169" t="s">
        <v>3136</v>
      </c>
      <c r="AD169" t="s">
        <v>3296</v>
      </c>
      <c r="AE169">
        <v>0</v>
      </c>
      <c r="AG169" t="s">
        <v>4028</v>
      </c>
      <c r="AH169" t="s">
        <v>291</v>
      </c>
      <c r="AK169" t="s">
        <v>4040</v>
      </c>
      <c r="AM169">
        <v>0</v>
      </c>
      <c r="AN169">
        <v>1100</v>
      </c>
      <c r="AO169">
        <v>1.55</v>
      </c>
      <c r="AQ169" t="s">
        <v>4220</v>
      </c>
      <c r="AR169" t="s">
        <v>5129</v>
      </c>
      <c r="AS169">
        <v>0</v>
      </c>
      <c r="AU169">
        <v>1</v>
      </c>
      <c r="AV169">
        <v>1</v>
      </c>
      <c r="AW169">
        <v>113.54</v>
      </c>
      <c r="BC169">
        <v>19200</v>
      </c>
      <c r="BG169" t="s">
        <v>5890</v>
      </c>
      <c r="BJ169" t="s">
        <v>5949</v>
      </c>
      <c r="BK169" t="s">
        <v>267</v>
      </c>
      <c r="BL169" t="s">
        <v>6056</v>
      </c>
    </row>
    <row r="170" spans="1:64">
      <c r="A170" s="1">
        <f>HYPERLINK("https://lsnyc.legalserver.org/matter/dynamic-profile/view/1909136","19-1909136")</f>
        <v>0</v>
      </c>
      <c r="B170" t="s">
        <v>64</v>
      </c>
      <c r="C170" t="s">
        <v>95</v>
      </c>
      <c r="D170" t="s">
        <v>200</v>
      </c>
      <c r="E170" t="s">
        <v>201</v>
      </c>
      <c r="G170" t="s">
        <v>202</v>
      </c>
      <c r="H170" t="s">
        <v>271</v>
      </c>
      <c r="I170" t="s">
        <v>288</v>
      </c>
      <c r="J170" t="s">
        <v>290</v>
      </c>
      <c r="K170" t="s">
        <v>202</v>
      </c>
      <c r="L170" t="s">
        <v>324</v>
      </c>
      <c r="M170" t="s">
        <v>290</v>
      </c>
      <c r="N170" t="s">
        <v>419</v>
      </c>
      <c r="O170" t="s">
        <v>420</v>
      </c>
      <c r="P170" t="s">
        <v>427</v>
      </c>
      <c r="S170" t="s">
        <v>610</v>
      </c>
      <c r="T170" t="s">
        <v>1318</v>
      </c>
      <c r="U170" t="s">
        <v>228</v>
      </c>
      <c r="W170" t="s">
        <v>1876</v>
      </c>
      <c r="X170" t="s">
        <v>1930</v>
      </c>
      <c r="Y170" t="s">
        <v>2782</v>
      </c>
      <c r="Z170" t="s">
        <v>3097</v>
      </c>
      <c r="AA170" t="s">
        <v>3135</v>
      </c>
      <c r="AB170">
        <v>11225</v>
      </c>
      <c r="AD170" t="s">
        <v>3297</v>
      </c>
      <c r="AE170">
        <v>0</v>
      </c>
      <c r="AG170" t="s">
        <v>4029</v>
      </c>
      <c r="AH170" t="s">
        <v>291</v>
      </c>
      <c r="AK170" t="s">
        <v>4040</v>
      </c>
      <c r="AM170">
        <v>0</v>
      </c>
      <c r="AN170">
        <v>315</v>
      </c>
      <c r="AO170">
        <v>0.1</v>
      </c>
      <c r="AQ170" t="s">
        <v>4221</v>
      </c>
      <c r="AR170" t="s">
        <v>5130</v>
      </c>
      <c r="AS170">
        <v>0</v>
      </c>
      <c r="AU170">
        <v>1</v>
      </c>
      <c r="AV170">
        <v>0</v>
      </c>
      <c r="AW170">
        <v>20.66</v>
      </c>
      <c r="BB170" t="s">
        <v>1322</v>
      </c>
      <c r="BC170">
        <v>2580</v>
      </c>
      <c r="BG170" t="s">
        <v>5891</v>
      </c>
      <c r="BJ170" t="s">
        <v>5985</v>
      </c>
      <c r="BK170" t="s">
        <v>263</v>
      </c>
    </row>
    <row r="171" spans="1:64">
      <c r="A171" s="1">
        <f>HYPERLINK("https://lsnyc.legalserver.org/matter/dynamic-profile/view/1907989","19-1907989")</f>
        <v>0</v>
      </c>
      <c r="B171" t="s">
        <v>64</v>
      </c>
      <c r="C171" t="s">
        <v>93</v>
      </c>
      <c r="D171" t="s">
        <v>200</v>
      </c>
      <c r="E171" t="s">
        <v>201</v>
      </c>
      <c r="G171" t="s">
        <v>202</v>
      </c>
      <c r="H171" t="s">
        <v>272</v>
      </c>
      <c r="I171" t="s">
        <v>202</v>
      </c>
      <c r="J171" t="s">
        <v>289</v>
      </c>
      <c r="K171" t="s">
        <v>292</v>
      </c>
      <c r="M171" t="s">
        <v>290</v>
      </c>
      <c r="N171" t="s">
        <v>202</v>
      </c>
      <c r="O171" t="s">
        <v>421</v>
      </c>
      <c r="P171" t="s">
        <v>427</v>
      </c>
      <c r="S171" t="s">
        <v>611</v>
      </c>
      <c r="T171" t="s">
        <v>1319</v>
      </c>
      <c r="U171" t="s">
        <v>247</v>
      </c>
      <c r="W171" t="s">
        <v>1876</v>
      </c>
      <c r="X171" t="s">
        <v>2037</v>
      </c>
      <c r="Y171" t="s">
        <v>2871</v>
      </c>
      <c r="Z171" t="s">
        <v>3097</v>
      </c>
      <c r="AA171" t="s">
        <v>3135</v>
      </c>
      <c r="AB171">
        <v>11226</v>
      </c>
      <c r="AC171" t="s">
        <v>3142</v>
      </c>
      <c r="AD171" t="s">
        <v>3298</v>
      </c>
      <c r="AE171">
        <v>20</v>
      </c>
      <c r="AG171" t="s">
        <v>4029</v>
      </c>
      <c r="AH171" t="s">
        <v>291</v>
      </c>
      <c r="AI171" t="s">
        <v>291</v>
      </c>
      <c r="AK171" t="s">
        <v>4040</v>
      </c>
      <c r="AL171" t="s">
        <v>4046</v>
      </c>
      <c r="AM171">
        <v>0</v>
      </c>
      <c r="AN171">
        <v>1377.91</v>
      </c>
      <c r="AO171">
        <v>2.5</v>
      </c>
      <c r="AQ171" t="s">
        <v>4222</v>
      </c>
      <c r="AR171" t="s">
        <v>5131</v>
      </c>
      <c r="AS171">
        <v>0</v>
      </c>
      <c r="AT171" t="s">
        <v>5838</v>
      </c>
      <c r="AU171">
        <v>1</v>
      </c>
      <c r="AV171">
        <v>0</v>
      </c>
      <c r="AW171">
        <v>57.17</v>
      </c>
      <c r="BB171" t="s">
        <v>1322</v>
      </c>
      <c r="BC171">
        <v>7140</v>
      </c>
      <c r="BG171" t="s">
        <v>93</v>
      </c>
      <c r="BJ171" t="s">
        <v>5944</v>
      </c>
      <c r="BK171" t="s">
        <v>252</v>
      </c>
    </row>
    <row r="172" spans="1:64">
      <c r="A172" s="1">
        <f>HYPERLINK("https://lsnyc.legalserver.org/matter/dynamic-profile/view/1909777","19-1909777")</f>
        <v>0</v>
      </c>
      <c r="B172" t="s">
        <v>64</v>
      </c>
      <c r="C172" t="s">
        <v>77</v>
      </c>
      <c r="D172" t="s">
        <v>200</v>
      </c>
      <c r="E172" t="s">
        <v>201</v>
      </c>
      <c r="G172" t="s">
        <v>202</v>
      </c>
      <c r="H172" t="s">
        <v>272</v>
      </c>
      <c r="I172" t="s">
        <v>202</v>
      </c>
      <c r="J172" t="s">
        <v>289</v>
      </c>
      <c r="K172" t="s">
        <v>292</v>
      </c>
      <c r="M172" t="s">
        <v>290</v>
      </c>
      <c r="N172" t="s">
        <v>202</v>
      </c>
      <c r="O172" t="s">
        <v>421</v>
      </c>
      <c r="P172" t="s">
        <v>427</v>
      </c>
      <c r="S172" t="s">
        <v>612</v>
      </c>
      <c r="T172" t="s">
        <v>1174</v>
      </c>
      <c r="U172" t="s">
        <v>264</v>
      </c>
      <c r="W172" t="s">
        <v>1876</v>
      </c>
      <c r="X172" t="s">
        <v>2038</v>
      </c>
      <c r="Y172" t="s">
        <v>2872</v>
      </c>
      <c r="Z172" t="s">
        <v>3097</v>
      </c>
      <c r="AA172" t="s">
        <v>3135</v>
      </c>
      <c r="AB172">
        <v>11216</v>
      </c>
      <c r="AC172" t="s">
        <v>3140</v>
      </c>
      <c r="AD172" t="s">
        <v>3299</v>
      </c>
      <c r="AE172">
        <v>41</v>
      </c>
      <c r="AG172" t="s">
        <v>4029</v>
      </c>
      <c r="AH172" t="s">
        <v>291</v>
      </c>
      <c r="AK172" t="s">
        <v>4040</v>
      </c>
      <c r="AM172">
        <v>0</v>
      </c>
      <c r="AN172">
        <v>809</v>
      </c>
      <c r="AO172">
        <v>0</v>
      </c>
      <c r="AQ172" t="s">
        <v>4223</v>
      </c>
      <c r="AS172">
        <v>62</v>
      </c>
      <c r="AT172" t="s">
        <v>5840</v>
      </c>
      <c r="AU172">
        <v>1</v>
      </c>
      <c r="AV172">
        <v>0</v>
      </c>
      <c r="AW172">
        <v>168.41</v>
      </c>
      <c r="BA172" t="s">
        <v>5850</v>
      </c>
      <c r="BB172" t="s">
        <v>1322</v>
      </c>
      <c r="BC172">
        <v>21034</v>
      </c>
      <c r="BG172" t="s">
        <v>5894</v>
      </c>
      <c r="BJ172" t="s">
        <v>3143</v>
      </c>
      <c r="BL172" t="s">
        <v>6056</v>
      </c>
    </row>
    <row r="173" spans="1:64">
      <c r="A173" s="1">
        <f>HYPERLINK("https://lsnyc.legalserver.org/matter/dynamic-profile/view/1909757","19-1909757")</f>
        <v>0</v>
      </c>
      <c r="B173" t="s">
        <v>64</v>
      </c>
      <c r="C173" t="s">
        <v>73</v>
      </c>
      <c r="D173" t="s">
        <v>200</v>
      </c>
      <c r="E173" t="s">
        <v>201</v>
      </c>
      <c r="G173" t="s">
        <v>202</v>
      </c>
      <c r="H173" t="s">
        <v>272</v>
      </c>
      <c r="I173" t="s">
        <v>288</v>
      </c>
      <c r="J173" t="s">
        <v>290</v>
      </c>
      <c r="K173" t="s">
        <v>292</v>
      </c>
      <c r="M173" t="s">
        <v>290</v>
      </c>
      <c r="N173" t="s">
        <v>419</v>
      </c>
      <c r="O173" t="s">
        <v>420</v>
      </c>
      <c r="P173" t="s">
        <v>427</v>
      </c>
      <c r="S173" t="s">
        <v>613</v>
      </c>
      <c r="T173" t="s">
        <v>1320</v>
      </c>
      <c r="U173" t="s">
        <v>264</v>
      </c>
      <c r="W173" t="s">
        <v>1876</v>
      </c>
      <c r="X173" t="s">
        <v>2039</v>
      </c>
      <c r="Y173" t="s">
        <v>2816</v>
      </c>
      <c r="Z173" t="s">
        <v>3097</v>
      </c>
      <c r="AA173" t="s">
        <v>3135</v>
      </c>
      <c r="AB173">
        <v>11226</v>
      </c>
      <c r="AD173" t="s">
        <v>3300</v>
      </c>
      <c r="AE173">
        <v>0</v>
      </c>
      <c r="AG173" t="s">
        <v>4029</v>
      </c>
      <c r="AH173" t="s">
        <v>291</v>
      </c>
      <c r="AK173" t="s">
        <v>4040</v>
      </c>
      <c r="AM173">
        <v>0</v>
      </c>
      <c r="AN173">
        <v>0</v>
      </c>
      <c r="AO173">
        <v>0</v>
      </c>
      <c r="AQ173" t="s">
        <v>4224</v>
      </c>
      <c r="AR173" t="s">
        <v>5132</v>
      </c>
      <c r="AS173">
        <v>0</v>
      </c>
      <c r="AU173">
        <v>2</v>
      </c>
      <c r="AV173">
        <v>0</v>
      </c>
      <c r="AW173">
        <v>70.95999999999999</v>
      </c>
      <c r="BB173" t="s">
        <v>1322</v>
      </c>
      <c r="BC173">
        <v>12000</v>
      </c>
      <c r="BG173" t="s">
        <v>5891</v>
      </c>
      <c r="BJ173" t="s">
        <v>5951</v>
      </c>
    </row>
    <row r="174" spans="1:64">
      <c r="A174" s="1">
        <f>HYPERLINK("https://lsnyc.legalserver.org/matter/dynamic-profile/view/1907629","19-1907629")</f>
        <v>0</v>
      </c>
      <c r="B174" t="s">
        <v>64</v>
      </c>
      <c r="C174" t="s">
        <v>75</v>
      </c>
      <c r="D174" t="s">
        <v>200</v>
      </c>
      <c r="E174" t="s">
        <v>201</v>
      </c>
      <c r="G174" t="s">
        <v>270</v>
      </c>
      <c r="I174" t="s">
        <v>288</v>
      </c>
      <c r="J174" t="s">
        <v>290</v>
      </c>
      <c r="K174" t="s">
        <v>292</v>
      </c>
      <c r="M174" t="s">
        <v>290</v>
      </c>
      <c r="N174" t="s">
        <v>202</v>
      </c>
      <c r="O174" t="s">
        <v>426</v>
      </c>
      <c r="P174" t="s">
        <v>427</v>
      </c>
      <c r="S174" t="s">
        <v>590</v>
      </c>
      <c r="T174" t="s">
        <v>1321</v>
      </c>
      <c r="U174" t="s">
        <v>232</v>
      </c>
      <c r="W174" t="s">
        <v>1876</v>
      </c>
      <c r="X174" t="s">
        <v>2040</v>
      </c>
      <c r="Y174" t="s">
        <v>2873</v>
      </c>
      <c r="Z174" t="s">
        <v>3097</v>
      </c>
      <c r="AA174" t="s">
        <v>3135</v>
      </c>
      <c r="AB174">
        <v>11208</v>
      </c>
      <c r="AE174">
        <v>0</v>
      </c>
      <c r="AG174" t="s">
        <v>4028</v>
      </c>
      <c r="AH174" t="s">
        <v>291</v>
      </c>
      <c r="AK174" t="s">
        <v>4041</v>
      </c>
      <c r="AM174">
        <v>0</v>
      </c>
      <c r="AN174">
        <v>0</v>
      </c>
      <c r="AO174">
        <v>13.4</v>
      </c>
      <c r="AQ174" t="s">
        <v>4225</v>
      </c>
      <c r="AR174" t="s">
        <v>5133</v>
      </c>
      <c r="AS174">
        <v>0</v>
      </c>
      <c r="AU174">
        <v>3</v>
      </c>
      <c r="AV174">
        <v>0</v>
      </c>
      <c r="AW174">
        <v>32.41</v>
      </c>
      <c r="BB174" t="s">
        <v>1322</v>
      </c>
      <c r="BC174">
        <v>6914</v>
      </c>
      <c r="BG174" t="s">
        <v>5891</v>
      </c>
      <c r="BJ174" t="s">
        <v>5949</v>
      </c>
      <c r="BK174" t="s">
        <v>216</v>
      </c>
    </row>
    <row r="175" spans="1:64">
      <c r="A175" s="1">
        <f>HYPERLINK("https://lsnyc.legalserver.org/matter/dynamic-profile/view/1909297","19-1909297")</f>
        <v>0</v>
      </c>
      <c r="B175" t="s">
        <v>64</v>
      </c>
      <c r="C175" t="s">
        <v>96</v>
      </c>
      <c r="D175" t="s">
        <v>200</v>
      </c>
      <c r="E175" t="s">
        <v>201</v>
      </c>
      <c r="G175" t="s">
        <v>270</v>
      </c>
      <c r="I175" t="s">
        <v>288</v>
      </c>
      <c r="J175" t="s">
        <v>290</v>
      </c>
      <c r="K175" t="s">
        <v>292</v>
      </c>
      <c r="M175" t="s">
        <v>290</v>
      </c>
      <c r="N175" t="s">
        <v>419</v>
      </c>
      <c r="O175" t="s">
        <v>420</v>
      </c>
      <c r="P175" t="s">
        <v>427</v>
      </c>
      <c r="S175" t="s">
        <v>614</v>
      </c>
      <c r="T175" t="s">
        <v>1322</v>
      </c>
      <c r="U175" t="s">
        <v>263</v>
      </c>
      <c r="W175" t="s">
        <v>1876</v>
      </c>
      <c r="X175" t="s">
        <v>2041</v>
      </c>
      <c r="Y175" t="s">
        <v>2838</v>
      </c>
      <c r="Z175" t="s">
        <v>3097</v>
      </c>
      <c r="AA175" t="s">
        <v>3135</v>
      </c>
      <c r="AB175">
        <v>11233</v>
      </c>
      <c r="AD175" t="s">
        <v>3251</v>
      </c>
      <c r="AE175">
        <v>0</v>
      </c>
      <c r="AG175" t="s">
        <v>4029</v>
      </c>
      <c r="AH175" t="s">
        <v>291</v>
      </c>
      <c r="AK175" t="s">
        <v>4040</v>
      </c>
      <c r="AM175">
        <v>0</v>
      </c>
      <c r="AN175">
        <v>0</v>
      </c>
      <c r="AO175">
        <v>2.5</v>
      </c>
      <c r="AQ175" t="s">
        <v>4226</v>
      </c>
      <c r="AR175" t="s">
        <v>5134</v>
      </c>
      <c r="AS175">
        <v>0</v>
      </c>
      <c r="AU175">
        <v>1</v>
      </c>
      <c r="AV175">
        <v>1</v>
      </c>
      <c r="AW175">
        <v>0</v>
      </c>
      <c r="BB175" t="s">
        <v>1322</v>
      </c>
      <c r="BC175">
        <v>0</v>
      </c>
      <c r="BG175" t="s">
        <v>5891</v>
      </c>
      <c r="BJ175" t="s">
        <v>5965</v>
      </c>
      <c r="BK175" t="s">
        <v>206</v>
      </c>
    </row>
    <row r="176" spans="1:64">
      <c r="A176" s="1">
        <f>HYPERLINK("https://lsnyc.legalserver.org/matter/dynamic-profile/view/1908997","19-1908997")</f>
        <v>0</v>
      </c>
      <c r="B176" t="s">
        <v>64</v>
      </c>
      <c r="C176" t="s">
        <v>96</v>
      </c>
      <c r="D176" t="s">
        <v>200</v>
      </c>
      <c r="E176" t="s">
        <v>201</v>
      </c>
      <c r="G176" t="s">
        <v>202</v>
      </c>
      <c r="H176" t="s">
        <v>271</v>
      </c>
      <c r="I176" t="s">
        <v>202</v>
      </c>
      <c r="J176" t="s">
        <v>289</v>
      </c>
      <c r="K176" t="s">
        <v>292</v>
      </c>
      <c r="M176" t="s">
        <v>290</v>
      </c>
      <c r="N176" t="s">
        <v>419</v>
      </c>
      <c r="P176" t="s">
        <v>427</v>
      </c>
      <c r="S176" t="s">
        <v>541</v>
      </c>
      <c r="T176" t="s">
        <v>1323</v>
      </c>
      <c r="U176" t="s">
        <v>256</v>
      </c>
      <c r="W176" t="s">
        <v>1876</v>
      </c>
      <c r="X176" t="s">
        <v>2042</v>
      </c>
      <c r="Y176" t="s">
        <v>2812</v>
      </c>
      <c r="Z176" t="s">
        <v>3097</v>
      </c>
      <c r="AA176" t="s">
        <v>3135</v>
      </c>
      <c r="AB176">
        <v>11233</v>
      </c>
      <c r="AC176" t="s">
        <v>3136</v>
      </c>
      <c r="AD176" t="s">
        <v>3301</v>
      </c>
      <c r="AE176">
        <v>0</v>
      </c>
      <c r="AG176" t="s">
        <v>4028</v>
      </c>
      <c r="AH176" t="s">
        <v>291</v>
      </c>
      <c r="AK176" t="s">
        <v>4040</v>
      </c>
      <c r="AM176">
        <v>0</v>
      </c>
      <c r="AN176">
        <v>176</v>
      </c>
      <c r="AO176">
        <v>2.7</v>
      </c>
      <c r="AQ176" t="s">
        <v>4227</v>
      </c>
      <c r="AR176" t="s">
        <v>5135</v>
      </c>
      <c r="AS176">
        <v>8</v>
      </c>
      <c r="AU176">
        <v>1</v>
      </c>
      <c r="AV176">
        <v>2</v>
      </c>
      <c r="AW176">
        <v>43.38</v>
      </c>
      <c r="BB176" t="s">
        <v>1322</v>
      </c>
      <c r="BC176">
        <v>9252</v>
      </c>
      <c r="BG176" t="s">
        <v>5890</v>
      </c>
      <c r="BJ176" t="s">
        <v>5959</v>
      </c>
      <c r="BK176" t="s">
        <v>228</v>
      </c>
      <c r="BL176" t="s">
        <v>6056</v>
      </c>
    </row>
    <row r="177" spans="1:64">
      <c r="A177" s="1">
        <f>HYPERLINK("https://lsnyc.legalserver.org/matter/dynamic-profile/view/1907731","19-1907731")</f>
        <v>0</v>
      </c>
      <c r="B177" t="s">
        <v>64</v>
      </c>
      <c r="C177" t="s">
        <v>97</v>
      </c>
      <c r="D177" t="s">
        <v>200</v>
      </c>
      <c r="E177" t="s">
        <v>201</v>
      </c>
      <c r="G177" t="s">
        <v>202</v>
      </c>
      <c r="H177" t="s">
        <v>272</v>
      </c>
      <c r="I177" t="s">
        <v>202</v>
      </c>
      <c r="J177" t="s">
        <v>289</v>
      </c>
      <c r="K177" t="s">
        <v>292</v>
      </c>
      <c r="M177" t="s">
        <v>290</v>
      </c>
      <c r="N177" t="s">
        <v>202</v>
      </c>
      <c r="O177" t="s">
        <v>421</v>
      </c>
      <c r="P177" t="s">
        <v>427</v>
      </c>
      <c r="S177" t="s">
        <v>615</v>
      </c>
      <c r="T177" t="s">
        <v>1324</v>
      </c>
      <c r="U177" t="s">
        <v>213</v>
      </c>
      <c r="W177" t="s">
        <v>1876</v>
      </c>
      <c r="X177" t="s">
        <v>2043</v>
      </c>
      <c r="Y177" t="s">
        <v>2865</v>
      </c>
      <c r="Z177" t="s">
        <v>3097</v>
      </c>
      <c r="AA177" t="s">
        <v>3135</v>
      </c>
      <c r="AB177">
        <v>11221</v>
      </c>
      <c r="AC177" t="s">
        <v>3137</v>
      </c>
      <c r="AD177" t="s">
        <v>3302</v>
      </c>
      <c r="AE177">
        <v>0</v>
      </c>
      <c r="AG177" t="s">
        <v>4029</v>
      </c>
      <c r="AH177" t="s">
        <v>291</v>
      </c>
      <c r="AI177" t="s">
        <v>291</v>
      </c>
      <c r="AK177" t="s">
        <v>4040</v>
      </c>
      <c r="AM177">
        <v>0</v>
      </c>
      <c r="AN177">
        <v>0</v>
      </c>
      <c r="AO177">
        <v>4</v>
      </c>
      <c r="AQ177" t="s">
        <v>4228</v>
      </c>
      <c r="AR177" t="s">
        <v>5136</v>
      </c>
      <c r="AS177">
        <v>0</v>
      </c>
      <c r="AU177">
        <v>1</v>
      </c>
      <c r="AV177">
        <v>5</v>
      </c>
      <c r="AW177">
        <v>49.28</v>
      </c>
      <c r="BB177" t="s">
        <v>1322</v>
      </c>
      <c r="BC177">
        <v>17046</v>
      </c>
      <c r="BG177" t="s">
        <v>5892</v>
      </c>
      <c r="BJ177" t="s">
        <v>5986</v>
      </c>
      <c r="BK177" t="s">
        <v>216</v>
      </c>
      <c r="BL177" t="s">
        <v>6056</v>
      </c>
    </row>
    <row r="178" spans="1:64">
      <c r="A178" s="1">
        <f>HYPERLINK("https://lsnyc.legalserver.org/matter/dynamic-profile/view/1903864","19-1903864")</f>
        <v>0</v>
      </c>
      <c r="B178" t="s">
        <v>64</v>
      </c>
      <c r="C178" t="s">
        <v>98</v>
      </c>
      <c r="D178" t="s">
        <v>200</v>
      </c>
      <c r="E178" t="s">
        <v>201</v>
      </c>
      <c r="G178" t="s">
        <v>202</v>
      </c>
      <c r="H178" t="s">
        <v>271</v>
      </c>
      <c r="I178" t="s">
        <v>202</v>
      </c>
      <c r="J178" t="s">
        <v>289</v>
      </c>
      <c r="K178" t="s">
        <v>292</v>
      </c>
      <c r="M178" t="s">
        <v>290</v>
      </c>
      <c r="N178" t="s">
        <v>202</v>
      </c>
      <c r="O178" t="s">
        <v>421</v>
      </c>
      <c r="P178" t="s">
        <v>427</v>
      </c>
      <c r="S178" t="s">
        <v>532</v>
      </c>
      <c r="T178" t="s">
        <v>1325</v>
      </c>
      <c r="U178" t="s">
        <v>229</v>
      </c>
      <c r="W178" t="s">
        <v>1876</v>
      </c>
      <c r="X178" t="s">
        <v>2044</v>
      </c>
      <c r="Y178" t="s">
        <v>2874</v>
      </c>
      <c r="Z178" t="s">
        <v>3097</v>
      </c>
      <c r="AA178" t="s">
        <v>3135</v>
      </c>
      <c r="AB178">
        <v>11226</v>
      </c>
      <c r="AC178" t="s">
        <v>3136</v>
      </c>
      <c r="AD178" t="s">
        <v>3303</v>
      </c>
      <c r="AE178">
        <v>11</v>
      </c>
      <c r="AG178" t="s">
        <v>4029</v>
      </c>
      <c r="AH178" t="s">
        <v>291</v>
      </c>
      <c r="AK178" t="s">
        <v>4040</v>
      </c>
      <c r="AM178">
        <v>0</v>
      </c>
      <c r="AN178">
        <v>994</v>
      </c>
      <c r="AO178">
        <v>26.8</v>
      </c>
      <c r="AQ178" t="s">
        <v>4229</v>
      </c>
      <c r="AR178" t="s">
        <v>5137</v>
      </c>
      <c r="AS178">
        <v>5</v>
      </c>
      <c r="AU178">
        <v>1</v>
      </c>
      <c r="AV178">
        <v>0</v>
      </c>
      <c r="AW178">
        <v>261.04</v>
      </c>
      <c r="AX178" t="s">
        <v>221</v>
      </c>
      <c r="AY178" t="s">
        <v>5849</v>
      </c>
      <c r="BA178" t="s">
        <v>329</v>
      </c>
      <c r="BB178" t="s">
        <v>1322</v>
      </c>
      <c r="BC178">
        <v>32604</v>
      </c>
      <c r="BG178" t="s">
        <v>5894</v>
      </c>
      <c r="BJ178" t="s">
        <v>5949</v>
      </c>
      <c r="BK178" t="s">
        <v>263</v>
      </c>
      <c r="BL178" t="s">
        <v>6056</v>
      </c>
    </row>
    <row r="179" spans="1:64">
      <c r="A179" s="1">
        <f>HYPERLINK("https://lsnyc.legalserver.org/matter/dynamic-profile/view/1910320","19-1910320")</f>
        <v>0</v>
      </c>
      <c r="B179" t="s">
        <v>64</v>
      </c>
      <c r="C179" t="s">
        <v>98</v>
      </c>
      <c r="D179" t="s">
        <v>200</v>
      </c>
      <c r="E179" t="s">
        <v>202</v>
      </c>
      <c r="F179" t="s">
        <v>216</v>
      </c>
      <c r="G179" t="s">
        <v>202</v>
      </c>
      <c r="H179" t="s">
        <v>271</v>
      </c>
      <c r="I179" t="s">
        <v>202</v>
      </c>
      <c r="J179" t="s">
        <v>289</v>
      </c>
      <c r="K179" t="s">
        <v>292</v>
      </c>
      <c r="M179" t="s">
        <v>290</v>
      </c>
      <c r="N179" t="s">
        <v>202</v>
      </c>
      <c r="O179" t="s">
        <v>421</v>
      </c>
      <c r="P179" t="s">
        <v>427</v>
      </c>
      <c r="S179" t="s">
        <v>616</v>
      </c>
      <c r="T179" t="s">
        <v>1326</v>
      </c>
      <c r="U179" t="s">
        <v>216</v>
      </c>
      <c r="W179" t="s">
        <v>1876</v>
      </c>
      <c r="X179" t="s">
        <v>2045</v>
      </c>
      <c r="Y179" t="s">
        <v>2834</v>
      </c>
      <c r="Z179" t="s">
        <v>3097</v>
      </c>
      <c r="AA179" t="s">
        <v>3135</v>
      </c>
      <c r="AB179">
        <v>11203</v>
      </c>
      <c r="AC179" t="s">
        <v>3139</v>
      </c>
      <c r="AD179" t="s">
        <v>3304</v>
      </c>
      <c r="AE179">
        <v>4</v>
      </c>
      <c r="AG179" t="s">
        <v>4028</v>
      </c>
      <c r="AH179" t="s">
        <v>291</v>
      </c>
      <c r="AI179" t="s">
        <v>291</v>
      </c>
      <c r="AK179" t="s">
        <v>4040</v>
      </c>
      <c r="AL179" t="s">
        <v>4049</v>
      </c>
      <c r="AM179">
        <v>0</v>
      </c>
      <c r="AN179">
        <v>1956</v>
      </c>
      <c r="AO179">
        <v>0</v>
      </c>
      <c r="AQ179" t="s">
        <v>4230</v>
      </c>
      <c r="AR179" t="s">
        <v>5138</v>
      </c>
      <c r="AS179">
        <v>7</v>
      </c>
      <c r="AT179" t="s">
        <v>5838</v>
      </c>
      <c r="AU179">
        <v>1</v>
      </c>
      <c r="AV179">
        <v>4</v>
      </c>
      <c r="AW179">
        <v>5.97</v>
      </c>
      <c r="BA179" t="s">
        <v>5852</v>
      </c>
      <c r="BB179" t="s">
        <v>1322</v>
      </c>
      <c r="BC179">
        <v>1800</v>
      </c>
      <c r="BG179" t="s">
        <v>98</v>
      </c>
      <c r="BJ179" t="s">
        <v>5987</v>
      </c>
    </row>
    <row r="180" spans="1:64">
      <c r="A180" s="1">
        <f>HYPERLINK("https://lsnyc.legalserver.org/matter/dynamic-profile/view/1908178","19-1908178")</f>
        <v>0</v>
      </c>
      <c r="B180" t="s">
        <v>64</v>
      </c>
      <c r="C180" t="s">
        <v>98</v>
      </c>
      <c r="D180" t="s">
        <v>200</v>
      </c>
      <c r="E180" t="s">
        <v>201</v>
      </c>
      <c r="G180" t="s">
        <v>202</v>
      </c>
      <c r="H180" t="s">
        <v>272</v>
      </c>
      <c r="I180" t="s">
        <v>288</v>
      </c>
      <c r="J180" t="s">
        <v>290</v>
      </c>
      <c r="K180" t="s">
        <v>292</v>
      </c>
      <c r="M180" t="s">
        <v>290</v>
      </c>
      <c r="N180" t="s">
        <v>419</v>
      </c>
      <c r="O180" t="s">
        <v>420</v>
      </c>
      <c r="P180" t="s">
        <v>427</v>
      </c>
      <c r="S180" t="s">
        <v>617</v>
      </c>
      <c r="T180" t="s">
        <v>1327</v>
      </c>
      <c r="U180" t="s">
        <v>1874</v>
      </c>
      <c r="W180" t="s">
        <v>1876</v>
      </c>
      <c r="X180" t="s">
        <v>2046</v>
      </c>
      <c r="Y180" t="s">
        <v>2875</v>
      </c>
      <c r="Z180" t="s">
        <v>3097</v>
      </c>
      <c r="AA180" t="s">
        <v>3135</v>
      </c>
      <c r="AB180">
        <v>11226</v>
      </c>
      <c r="AD180" t="s">
        <v>3305</v>
      </c>
      <c r="AE180">
        <v>0</v>
      </c>
      <c r="AG180" t="s">
        <v>4029</v>
      </c>
      <c r="AH180" t="s">
        <v>291</v>
      </c>
      <c r="AK180" t="s">
        <v>4040</v>
      </c>
      <c r="AM180">
        <v>0</v>
      </c>
      <c r="AN180">
        <v>0</v>
      </c>
      <c r="AO180">
        <v>0</v>
      </c>
      <c r="AQ180" t="s">
        <v>4231</v>
      </c>
      <c r="AR180" t="s">
        <v>5139</v>
      </c>
      <c r="AS180">
        <v>0</v>
      </c>
      <c r="AU180">
        <v>1</v>
      </c>
      <c r="AV180">
        <v>0</v>
      </c>
      <c r="AW180">
        <v>84.16</v>
      </c>
      <c r="BB180" t="s">
        <v>1322</v>
      </c>
      <c r="BC180">
        <v>10512</v>
      </c>
      <c r="BG180" t="s">
        <v>5891</v>
      </c>
      <c r="BJ180" t="s">
        <v>5988</v>
      </c>
      <c r="BL180" t="s">
        <v>6056</v>
      </c>
    </row>
    <row r="181" spans="1:64">
      <c r="A181" s="1">
        <f>HYPERLINK("https://lsnyc.legalserver.org/matter/dynamic-profile/view/1905952","19-1905952")</f>
        <v>0</v>
      </c>
      <c r="B181" t="s">
        <v>64</v>
      </c>
      <c r="C181" t="s">
        <v>98</v>
      </c>
      <c r="D181" t="s">
        <v>200</v>
      </c>
      <c r="E181" t="s">
        <v>201</v>
      </c>
      <c r="G181" t="s">
        <v>202</v>
      </c>
      <c r="H181" t="s">
        <v>272</v>
      </c>
      <c r="I181" t="s">
        <v>202</v>
      </c>
      <c r="J181" t="s">
        <v>289</v>
      </c>
      <c r="K181" t="s">
        <v>292</v>
      </c>
      <c r="M181" t="s">
        <v>290</v>
      </c>
      <c r="N181" t="s">
        <v>419</v>
      </c>
      <c r="O181" t="s">
        <v>420</v>
      </c>
      <c r="P181" t="s">
        <v>427</v>
      </c>
      <c r="S181" t="s">
        <v>618</v>
      </c>
      <c r="T181" t="s">
        <v>727</v>
      </c>
      <c r="U181" t="s">
        <v>250</v>
      </c>
      <c r="W181" t="s">
        <v>1876</v>
      </c>
      <c r="X181" t="s">
        <v>2047</v>
      </c>
      <c r="Y181" t="s">
        <v>2876</v>
      </c>
      <c r="Z181" t="s">
        <v>3097</v>
      </c>
      <c r="AA181" t="s">
        <v>3135</v>
      </c>
      <c r="AB181">
        <v>11213</v>
      </c>
      <c r="AD181" t="s">
        <v>3306</v>
      </c>
      <c r="AE181">
        <v>2</v>
      </c>
      <c r="AG181" t="s">
        <v>4028</v>
      </c>
      <c r="AH181" t="s">
        <v>291</v>
      </c>
      <c r="AK181" t="s">
        <v>4040</v>
      </c>
      <c r="AM181">
        <v>0</v>
      </c>
      <c r="AN181">
        <v>450</v>
      </c>
      <c r="AO181">
        <v>10.1</v>
      </c>
      <c r="AQ181" t="s">
        <v>4232</v>
      </c>
      <c r="AR181" t="s">
        <v>5140</v>
      </c>
      <c r="AS181">
        <v>18</v>
      </c>
      <c r="AU181">
        <v>1</v>
      </c>
      <c r="AV181">
        <v>1</v>
      </c>
      <c r="AW181">
        <v>80.26000000000001</v>
      </c>
      <c r="BA181" t="s">
        <v>5850</v>
      </c>
      <c r="BB181" t="s">
        <v>1322</v>
      </c>
      <c r="BC181">
        <v>13572</v>
      </c>
      <c r="BG181" t="s">
        <v>5890</v>
      </c>
      <c r="BJ181" t="s">
        <v>5966</v>
      </c>
      <c r="BK181" t="s">
        <v>263</v>
      </c>
      <c r="BL181" t="s">
        <v>6056</v>
      </c>
    </row>
    <row r="182" spans="1:64">
      <c r="A182" s="1">
        <f>HYPERLINK("https://lsnyc.legalserver.org/matter/dynamic-profile/view/1905960","19-1905960")</f>
        <v>0</v>
      </c>
      <c r="B182" t="s">
        <v>64</v>
      </c>
      <c r="C182" t="s">
        <v>98</v>
      </c>
      <c r="D182" t="s">
        <v>200</v>
      </c>
      <c r="E182" t="s">
        <v>201</v>
      </c>
      <c r="G182" t="s">
        <v>202</v>
      </c>
      <c r="H182" t="s">
        <v>271</v>
      </c>
      <c r="I182" t="s">
        <v>202</v>
      </c>
      <c r="J182" t="s">
        <v>289</v>
      </c>
      <c r="K182" t="s">
        <v>292</v>
      </c>
      <c r="M182" t="s">
        <v>290</v>
      </c>
      <c r="N182" t="s">
        <v>419</v>
      </c>
      <c r="O182" t="s">
        <v>420</v>
      </c>
      <c r="P182" t="s">
        <v>427</v>
      </c>
      <c r="S182" t="s">
        <v>619</v>
      </c>
      <c r="T182" t="s">
        <v>1328</v>
      </c>
      <c r="U182" t="s">
        <v>250</v>
      </c>
      <c r="W182" t="s">
        <v>1876</v>
      </c>
      <c r="X182" t="s">
        <v>2048</v>
      </c>
      <c r="Y182" t="s">
        <v>2877</v>
      </c>
      <c r="Z182" t="s">
        <v>3097</v>
      </c>
      <c r="AA182" t="s">
        <v>3135</v>
      </c>
      <c r="AB182">
        <v>11210</v>
      </c>
      <c r="AC182" t="s">
        <v>3136</v>
      </c>
      <c r="AD182" t="s">
        <v>3307</v>
      </c>
      <c r="AE182">
        <v>5</v>
      </c>
      <c r="AG182" t="s">
        <v>4028</v>
      </c>
      <c r="AH182" t="s">
        <v>291</v>
      </c>
      <c r="AK182" t="s">
        <v>4040</v>
      </c>
      <c r="AM182">
        <v>0</v>
      </c>
      <c r="AN182">
        <v>1350</v>
      </c>
      <c r="AO182">
        <v>7.5</v>
      </c>
      <c r="AQ182" t="s">
        <v>4233</v>
      </c>
      <c r="AR182" t="s">
        <v>5141</v>
      </c>
      <c r="AS182">
        <v>0</v>
      </c>
      <c r="AU182">
        <v>1</v>
      </c>
      <c r="AV182">
        <v>0</v>
      </c>
      <c r="AW182">
        <v>111.93</v>
      </c>
      <c r="BB182" t="s">
        <v>1322</v>
      </c>
      <c r="BC182">
        <v>13980</v>
      </c>
      <c r="BG182" t="s">
        <v>5890</v>
      </c>
      <c r="BJ182" t="s">
        <v>5944</v>
      </c>
      <c r="BK182" t="s">
        <v>1874</v>
      </c>
      <c r="BL182" t="s">
        <v>6056</v>
      </c>
    </row>
    <row r="183" spans="1:64">
      <c r="A183" s="1">
        <f>HYPERLINK("https://lsnyc.legalserver.org/matter/dynamic-profile/view/1903906","19-1903906")</f>
        <v>0</v>
      </c>
      <c r="B183" t="s">
        <v>64</v>
      </c>
      <c r="C183" t="s">
        <v>98</v>
      </c>
      <c r="D183" t="s">
        <v>200</v>
      </c>
      <c r="E183" t="s">
        <v>201</v>
      </c>
      <c r="G183" t="s">
        <v>202</v>
      </c>
      <c r="H183" t="s">
        <v>272</v>
      </c>
      <c r="I183" t="s">
        <v>202</v>
      </c>
      <c r="J183" t="s">
        <v>289</v>
      </c>
      <c r="K183" t="s">
        <v>202</v>
      </c>
      <c r="L183">
        <v>33826270</v>
      </c>
      <c r="M183" t="s">
        <v>290</v>
      </c>
      <c r="N183" t="s">
        <v>419</v>
      </c>
      <c r="O183" t="s">
        <v>420</v>
      </c>
      <c r="P183" t="s">
        <v>427</v>
      </c>
      <c r="S183" t="s">
        <v>620</v>
      </c>
      <c r="T183" t="s">
        <v>1227</v>
      </c>
      <c r="U183" t="s">
        <v>229</v>
      </c>
      <c r="W183" t="s">
        <v>1876</v>
      </c>
      <c r="X183" t="s">
        <v>2012</v>
      </c>
      <c r="Y183" t="s">
        <v>2809</v>
      </c>
      <c r="Z183" t="s">
        <v>3097</v>
      </c>
      <c r="AA183" t="s">
        <v>3135</v>
      </c>
      <c r="AB183">
        <v>11226</v>
      </c>
      <c r="AC183" t="s">
        <v>3136</v>
      </c>
      <c r="AD183" t="s">
        <v>3308</v>
      </c>
      <c r="AE183">
        <v>25</v>
      </c>
      <c r="AG183" t="s">
        <v>4029</v>
      </c>
      <c r="AH183" t="s">
        <v>291</v>
      </c>
      <c r="AK183" t="s">
        <v>4040</v>
      </c>
      <c r="AM183">
        <v>0</v>
      </c>
      <c r="AN183">
        <v>450</v>
      </c>
      <c r="AO183">
        <v>11.7</v>
      </c>
      <c r="AQ183" t="s">
        <v>4234</v>
      </c>
      <c r="AR183" t="s">
        <v>5142</v>
      </c>
      <c r="AS183">
        <v>84</v>
      </c>
      <c r="AU183">
        <v>1</v>
      </c>
      <c r="AV183">
        <v>3</v>
      </c>
      <c r="AW183">
        <v>95.81</v>
      </c>
      <c r="BA183" t="s">
        <v>5850</v>
      </c>
      <c r="BB183" t="s">
        <v>1322</v>
      </c>
      <c r="BC183">
        <v>24672</v>
      </c>
      <c r="BG183" t="s">
        <v>5894</v>
      </c>
      <c r="BJ183" t="s">
        <v>5989</v>
      </c>
      <c r="BK183" t="s">
        <v>236</v>
      </c>
      <c r="BL183" t="s">
        <v>6056</v>
      </c>
    </row>
    <row r="184" spans="1:64">
      <c r="A184" s="1">
        <f>HYPERLINK("https://lsnyc.legalserver.org/matter/dynamic-profile/view/1908048","19-1908048")</f>
        <v>0</v>
      </c>
      <c r="B184" t="s">
        <v>64</v>
      </c>
      <c r="C184" t="s">
        <v>98</v>
      </c>
      <c r="D184" t="s">
        <v>200</v>
      </c>
      <c r="E184" t="s">
        <v>201</v>
      </c>
      <c r="G184" t="s">
        <v>202</v>
      </c>
      <c r="H184" t="s">
        <v>271</v>
      </c>
      <c r="I184" t="s">
        <v>288</v>
      </c>
      <c r="J184" t="s">
        <v>290</v>
      </c>
      <c r="K184" t="s">
        <v>202</v>
      </c>
      <c r="L184" t="s">
        <v>325</v>
      </c>
      <c r="M184" t="s">
        <v>290</v>
      </c>
      <c r="N184" t="s">
        <v>419</v>
      </c>
      <c r="O184" t="s">
        <v>420</v>
      </c>
      <c r="P184" t="s">
        <v>427</v>
      </c>
      <c r="S184" t="s">
        <v>621</v>
      </c>
      <c r="T184" t="s">
        <v>1329</v>
      </c>
      <c r="U184" t="s">
        <v>221</v>
      </c>
      <c r="W184" t="s">
        <v>1876</v>
      </c>
      <c r="X184" t="s">
        <v>2049</v>
      </c>
      <c r="Y184" t="s">
        <v>2822</v>
      </c>
      <c r="Z184" t="s">
        <v>3097</v>
      </c>
      <c r="AA184" t="s">
        <v>3135</v>
      </c>
      <c r="AB184">
        <v>11236</v>
      </c>
      <c r="AC184" t="s">
        <v>3136</v>
      </c>
      <c r="AD184" t="s">
        <v>3309</v>
      </c>
      <c r="AE184">
        <v>0</v>
      </c>
      <c r="AG184" t="s">
        <v>4028</v>
      </c>
      <c r="AH184" t="s">
        <v>291</v>
      </c>
      <c r="AK184" t="s">
        <v>4040</v>
      </c>
      <c r="AM184">
        <v>0</v>
      </c>
      <c r="AN184">
        <v>1557</v>
      </c>
      <c r="AO184">
        <v>10.5</v>
      </c>
      <c r="AQ184" t="s">
        <v>4235</v>
      </c>
      <c r="AR184" t="s">
        <v>5143</v>
      </c>
      <c r="AS184">
        <v>0</v>
      </c>
      <c r="AU184">
        <v>1</v>
      </c>
      <c r="AV184">
        <v>2</v>
      </c>
      <c r="AW184">
        <v>21.83</v>
      </c>
      <c r="BA184" t="s">
        <v>5853</v>
      </c>
      <c r="BB184" t="s">
        <v>1322</v>
      </c>
      <c r="BC184">
        <v>4656</v>
      </c>
      <c r="BG184" t="s">
        <v>5891</v>
      </c>
      <c r="BJ184" t="s">
        <v>3143</v>
      </c>
      <c r="BK184" t="s">
        <v>216</v>
      </c>
    </row>
    <row r="185" spans="1:64">
      <c r="A185" s="1">
        <f>HYPERLINK("https://lsnyc.legalserver.org/matter/dynamic-profile/view/1906087","19-1906087")</f>
        <v>0</v>
      </c>
      <c r="B185" t="s">
        <v>64</v>
      </c>
      <c r="C185" t="s">
        <v>98</v>
      </c>
      <c r="D185" t="s">
        <v>200</v>
      </c>
      <c r="E185" t="s">
        <v>201</v>
      </c>
      <c r="G185" t="s">
        <v>202</v>
      </c>
      <c r="H185" t="s">
        <v>271</v>
      </c>
      <c r="I185" t="s">
        <v>202</v>
      </c>
      <c r="J185" t="s">
        <v>289</v>
      </c>
      <c r="K185" t="s">
        <v>202</v>
      </c>
      <c r="L185" t="s">
        <v>326</v>
      </c>
      <c r="M185" t="s">
        <v>290</v>
      </c>
      <c r="N185" t="s">
        <v>419</v>
      </c>
      <c r="O185" t="s">
        <v>420</v>
      </c>
      <c r="P185" t="s">
        <v>427</v>
      </c>
      <c r="S185" t="s">
        <v>622</v>
      </c>
      <c r="T185" t="s">
        <v>1330</v>
      </c>
      <c r="U185" t="s">
        <v>210</v>
      </c>
      <c r="W185" t="s">
        <v>1876</v>
      </c>
      <c r="X185" t="s">
        <v>2050</v>
      </c>
      <c r="Y185">
        <v>3</v>
      </c>
      <c r="Z185" t="s">
        <v>3097</v>
      </c>
      <c r="AA185" t="s">
        <v>3135</v>
      </c>
      <c r="AB185">
        <v>11204</v>
      </c>
      <c r="AD185" t="s">
        <v>3310</v>
      </c>
      <c r="AE185">
        <v>0</v>
      </c>
      <c r="AG185" t="s">
        <v>4028</v>
      </c>
      <c r="AH185" t="s">
        <v>291</v>
      </c>
      <c r="AI185" t="s">
        <v>291</v>
      </c>
      <c r="AK185" t="s">
        <v>4040</v>
      </c>
      <c r="AM185">
        <v>0</v>
      </c>
      <c r="AN185">
        <v>0</v>
      </c>
      <c r="AO185">
        <v>0</v>
      </c>
      <c r="AQ185" t="s">
        <v>4236</v>
      </c>
      <c r="AR185" t="s">
        <v>5144</v>
      </c>
      <c r="AS185">
        <v>0</v>
      </c>
      <c r="AU185">
        <v>2</v>
      </c>
      <c r="AV185">
        <v>2</v>
      </c>
      <c r="AW185">
        <v>17.67</v>
      </c>
      <c r="BB185" t="s">
        <v>1322</v>
      </c>
      <c r="BC185">
        <v>4550</v>
      </c>
      <c r="BG185" t="s">
        <v>5892</v>
      </c>
      <c r="BJ185" t="s">
        <v>5990</v>
      </c>
      <c r="BL185" t="s">
        <v>6056</v>
      </c>
    </row>
    <row r="186" spans="1:64">
      <c r="A186" s="1">
        <f>HYPERLINK("https://lsnyc.legalserver.org/matter/dynamic-profile/view/1906522","19-1906522")</f>
        <v>0</v>
      </c>
      <c r="B186" t="s">
        <v>64</v>
      </c>
      <c r="C186" t="s">
        <v>97</v>
      </c>
      <c r="D186" t="s">
        <v>200</v>
      </c>
      <c r="E186" t="s">
        <v>201</v>
      </c>
      <c r="G186" t="s">
        <v>202</v>
      </c>
      <c r="H186" t="s">
        <v>271</v>
      </c>
      <c r="I186" t="s">
        <v>202</v>
      </c>
      <c r="J186" t="s">
        <v>289</v>
      </c>
      <c r="K186" t="s">
        <v>292</v>
      </c>
      <c r="M186" t="s">
        <v>290</v>
      </c>
      <c r="N186" t="s">
        <v>202</v>
      </c>
      <c r="O186" t="s">
        <v>421</v>
      </c>
      <c r="P186" t="s">
        <v>427</v>
      </c>
      <c r="S186" t="s">
        <v>623</v>
      </c>
      <c r="T186" t="s">
        <v>1331</v>
      </c>
      <c r="U186" t="s">
        <v>253</v>
      </c>
      <c r="W186" t="s">
        <v>1876</v>
      </c>
      <c r="X186" t="s">
        <v>1984</v>
      </c>
      <c r="Y186" t="s">
        <v>2797</v>
      </c>
      <c r="Z186" t="s">
        <v>3097</v>
      </c>
      <c r="AA186" t="s">
        <v>3135</v>
      </c>
      <c r="AB186">
        <v>11221</v>
      </c>
      <c r="AC186" t="s">
        <v>3137</v>
      </c>
      <c r="AD186" t="s">
        <v>3311</v>
      </c>
      <c r="AE186">
        <v>6</v>
      </c>
      <c r="AG186" t="s">
        <v>4029</v>
      </c>
      <c r="AH186" t="s">
        <v>291</v>
      </c>
      <c r="AK186" t="s">
        <v>4040</v>
      </c>
      <c r="AM186">
        <v>0</v>
      </c>
      <c r="AN186">
        <v>375</v>
      </c>
      <c r="AO186">
        <v>12.6</v>
      </c>
      <c r="AQ186" t="s">
        <v>4237</v>
      </c>
      <c r="AR186" t="s">
        <v>5145</v>
      </c>
      <c r="AS186">
        <v>13</v>
      </c>
      <c r="AU186">
        <v>1</v>
      </c>
      <c r="AV186">
        <v>0</v>
      </c>
      <c r="AW186">
        <v>86.47</v>
      </c>
      <c r="BB186" t="s">
        <v>1322</v>
      </c>
      <c r="BC186">
        <v>10800</v>
      </c>
      <c r="BG186" t="s">
        <v>5894</v>
      </c>
      <c r="BJ186" t="s">
        <v>5957</v>
      </c>
      <c r="BK186" t="s">
        <v>222</v>
      </c>
      <c r="BL186" t="s">
        <v>6056</v>
      </c>
    </row>
    <row r="187" spans="1:64">
      <c r="A187" s="1">
        <f>HYPERLINK("https://lsnyc.legalserver.org/matter/dynamic-profile/view/1905030","19-1905030")</f>
        <v>0</v>
      </c>
      <c r="B187" t="s">
        <v>64</v>
      </c>
      <c r="C187" t="s">
        <v>99</v>
      </c>
      <c r="D187" t="s">
        <v>200</v>
      </c>
      <c r="E187" t="s">
        <v>201</v>
      </c>
      <c r="G187" t="s">
        <v>202</v>
      </c>
      <c r="H187" t="s">
        <v>272</v>
      </c>
      <c r="I187" t="s">
        <v>288</v>
      </c>
      <c r="J187" t="s">
        <v>290</v>
      </c>
      <c r="K187" t="s">
        <v>292</v>
      </c>
      <c r="M187" t="s">
        <v>290</v>
      </c>
      <c r="N187" t="s">
        <v>202</v>
      </c>
      <c r="O187" t="s">
        <v>421</v>
      </c>
      <c r="P187" t="s">
        <v>427</v>
      </c>
      <c r="S187" t="s">
        <v>624</v>
      </c>
      <c r="T187" t="s">
        <v>1332</v>
      </c>
      <c r="U187" t="s">
        <v>258</v>
      </c>
      <c r="W187" t="s">
        <v>1876</v>
      </c>
      <c r="X187" t="s">
        <v>2051</v>
      </c>
      <c r="Y187">
        <v>11</v>
      </c>
      <c r="Z187" t="s">
        <v>3097</v>
      </c>
      <c r="AA187" t="s">
        <v>3135</v>
      </c>
      <c r="AB187">
        <v>11225</v>
      </c>
      <c r="AE187">
        <v>0</v>
      </c>
      <c r="AG187" t="s">
        <v>4029</v>
      </c>
      <c r="AH187" t="s">
        <v>291</v>
      </c>
      <c r="AJ187" t="s">
        <v>4029</v>
      </c>
      <c r="AK187" t="s">
        <v>4040</v>
      </c>
      <c r="AM187">
        <v>0</v>
      </c>
      <c r="AN187">
        <v>0</v>
      </c>
      <c r="AO187">
        <v>11.7</v>
      </c>
      <c r="AQ187" t="s">
        <v>4238</v>
      </c>
      <c r="AR187" t="s">
        <v>5146</v>
      </c>
      <c r="AS187">
        <v>0</v>
      </c>
      <c r="AU187">
        <v>3</v>
      </c>
      <c r="AV187">
        <v>0</v>
      </c>
      <c r="AW187">
        <v>0</v>
      </c>
      <c r="BB187" t="s">
        <v>1322</v>
      </c>
      <c r="BC187">
        <v>0</v>
      </c>
      <c r="BG187" t="s">
        <v>5891</v>
      </c>
      <c r="BJ187" t="s">
        <v>5965</v>
      </c>
      <c r="BK187" t="s">
        <v>219</v>
      </c>
    </row>
    <row r="188" spans="1:64">
      <c r="A188" s="1">
        <f>HYPERLINK("https://lsnyc.legalserver.org/matter/dynamic-profile/view/1905035","19-1905035")</f>
        <v>0</v>
      </c>
      <c r="B188" t="s">
        <v>64</v>
      </c>
      <c r="C188" t="s">
        <v>99</v>
      </c>
      <c r="D188" t="s">
        <v>200</v>
      </c>
      <c r="E188" t="s">
        <v>201</v>
      </c>
      <c r="G188" t="s">
        <v>202</v>
      </c>
      <c r="H188" t="s">
        <v>273</v>
      </c>
      <c r="I188" t="s">
        <v>288</v>
      </c>
      <c r="J188" t="s">
        <v>290</v>
      </c>
      <c r="K188" t="s">
        <v>292</v>
      </c>
      <c r="M188" t="s">
        <v>290</v>
      </c>
      <c r="N188" t="s">
        <v>419</v>
      </c>
      <c r="P188" t="s">
        <v>427</v>
      </c>
      <c r="S188" t="s">
        <v>625</v>
      </c>
      <c r="T188" t="s">
        <v>1333</v>
      </c>
      <c r="U188" t="s">
        <v>258</v>
      </c>
      <c r="W188" t="s">
        <v>1876</v>
      </c>
      <c r="X188" t="s">
        <v>2052</v>
      </c>
      <c r="Y188" t="s">
        <v>2878</v>
      </c>
      <c r="Z188" t="s">
        <v>3097</v>
      </c>
      <c r="AA188" t="s">
        <v>3135</v>
      </c>
      <c r="AB188">
        <v>11226</v>
      </c>
      <c r="AE188">
        <v>0</v>
      </c>
      <c r="AG188" t="s">
        <v>4029</v>
      </c>
      <c r="AH188" t="s">
        <v>291</v>
      </c>
      <c r="AK188" t="s">
        <v>4040</v>
      </c>
      <c r="AM188">
        <v>0</v>
      </c>
      <c r="AN188">
        <v>0</v>
      </c>
      <c r="AO188">
        <v>0.3</v>
      </c>
      <c r="AQ188" t="s">
        <v>4239</v>
      </c>
      <c r="AR188" t="s">
        <v>5147</v>
      </c>
      <c r="AS188">
        <v>0</v>
      </c>
      <c r="AU188">
        <v>2</v>
      </c>
      <c r="AV188">
        <v>0</v>
      </c>
      <c r="AW188">
        <v>1.42</v>
      </c>
      <c r="BB188" t="s">
        <v>1322</v>
      </c>
      <c r="BC188">
        <v>240</v>
      </c>
      <c r="BG188" t="s">
        <v>5891</v>
      </c>
      <c r="BJ188" t="s">
        <v>5949</v>
      </c>
      <c r="BK188" t="s">
        <v>247</v>
      </c>
    </row>
    <row r="189" spans="1:64">
      <c r="A189" s="1">
        <f>HYPERLINK("https://lsnyc.legalserver.org/matter/dynamic-profile/view/1909698","19-1909698")</f>
        <v>0</v>
      </c>
      <c r="B189" t="s">
        <v>64</v>
      </c>
      <c r="C189" t="s">
        <v>99</v>
      </c>
      <c r="D189" t="s">
        <v>200</v>
      </c>
      <c r="E189" t="s">
        <v>201</v>
      </c>
      <c r="G189" t="s">
        <v>202</v>
      </c>
      <c r="H189" t="s">
        <v>272</v>
      </c>
      <c r="I189" t="s">
        <v>202</v>
      </c>
      <c r="J189" t="s">
        <v>289</v>
      </c>
      <c r="K189" t="s">
        <v>292</v>
      </c>
      <c r="M189" t="s">
        <v>290</v>
      </c>
      <c r="N189" t="s">
        <v>202</v>
      </c>
      <c r="O189" t="s">
        <v>421</v>
      </c>
      <c r="P189" t="s">
        <v>427</v>
      </c>
      <c r="S189" t="s">
        <v>626</v>
      </c>
      <c r="T189" t="s">
        <v>1334</v>
      </c>
      <c r="U189" t="s">
        <v>264</v>
      </c>
      <c r="W189" t="s">
        <v>1876</v>
      </c>
      <c r="X189" t="s">
        <v>2053</v>
      </c>
      <c r="Y189" t="s">
        <v>2875</v>
      </c>
      <c r="Z189" t="s">
        <v>3097</v>
      </c>
      <c r="AA189" t="s">
        <v>3135</v>
      </c>
      <c r="AB189">
        <v>11225</v>
      </c>
      <c r="AC189" t="s">
        <v>3137</v>
      </c>
      <c r="AD189" t="s">
        <v>3312</v>
      </c>
      <c r="AE189">
        <v>0</v>
      </c>
      <c r="AG189" t="s">
        <v>4029</v>
      </c>
      <c r="AH189" t="s">
        <v>291</v>
      </c>
      <c r="AI189" t="s">
        <v>291</v>
      </c>
      <c r="AK189" t="s">
        <v>4040</v>
      </c>
      <c r="AM189">
        <v>0</v>
      </c>
      <c r="AN189">
        <v>0</v>
      </c>
      <c r="AO189">
        <v>1.7</v>
      </c>
      <c r="AQ189" t="s">
        <v>4240</v>
      </c>
      <c r="AR189" t="s">
        <v>5148</v>
      </c>
      <c r="AS189">
        <v>0</v>
      </c>
      <c r="AU189">
        <v>2</v>
      </c>
      <c r="AV189">
        <v>0</v>
      </c>
      <c r="AW189">
        <v>66</v>
      </c>
      <c r="BB189" t="s">
        <v>1322</v>
      </c>
      <c r="BC189">
        <v>11160</v>
      </c>
      <c r="BG189" t="s">
        <v>5892</v>
      </c>
      <c r="BJ189" t="s">
        <v>5943</v>
      </c>
      <c r="BK189" t="s">
        <v>216</v>
      </c>
      <c r="BL189" t="s">
        <v>6056</v>
      </c>
    </row>
    <row r="190" spans="1:64">
      <c r="A190" s="1">
        <f>HYPERLINK("https://lsnyc.legalserver.org/matter/dynamic-profile/view/1907671","19-1907671")</f>
        <v>0</v>
      </c>
      <c r="B190" t="s">
        <v>64</v>
      </c>
      <c r="C190" t="s">
        <v>100</v>
      </c>
      <c r="D190" t="s">
        <v>200</v>
      </c>
      <c r="E190" t="s">
        <v>202</v>
      </c>
      <c r="F190" t="s">
        <v>217</v>
      </c>
      <c r="G190" t="s">
        <v>202</v>
      </c>
      <c r="H190" t="s">
        <v>272</v>
      </c>
      <c r="I190" t="s">
        <v>202</v>
      </c>
      <c r="J190" t="s">
        <v>289</v>
      </c>
      <c r="K190" t="s">
        <v>292</v>
      </c>
      <c r="M190" t="s">
        <v>290</v>
      </c>
      <c r="N190" t="s">
        <v>202</v>
      </c>
      <c r="O190" t="s">
        <v>421</v>
      </c>
      <c r="P190" t="s">
        <v>427</v>
      </c>
      <c r="S190" t="s">
        <v>627</v>
      </c>
      <c r="T190" t="s">
        <v>1335</v>
      </c>
      <c r="U190" t="s">
        <v>217</v>
      </c>
      <c r="W190" t="s">
        <v>1876</v>
      </c>
      <c r="X190" t="s">
        <v>2054</v>
      </c>
      <c r="Y190" t="s">
        <v>2879</v>
      </c>
      <c r="Z190" t="s">
        <v>3097</v>
      </c>
      <c r="AA190" t="s">
        <v>3135</v>
      </c>
      <c r="AB190">
        <v>11212</v>
      </c>
      <c r="AD190" t="s">
        <v>3313</v>
      </c>
      <c r="AE190">
        <v>0</v>
      </c>
      <c r="AG190" t="s">
        <v>4028</v>
      </c>
      <c r="AH190" t="s">
        <v>291</v>
      </c>
      <c r="AK190" t="s">
        <v>4041</v>
      </c>
      <c r="AL190" t="s">
        <v>4048</v>
      </c>
      <c r="AM190">
        <v>0</v>
      </c>
      <c r="AN190">
        <v>120</v>
      </c>
      <c r="AO190">
        <v>4.3</v>
      </c>
      <c r="AQ190" t="s">
        <v>4241</v>
      </c>
      <c r="AR190" t="s">
        <v>5149</v>
      </c>
      <c r="AS190">
        <v>0</v>
      </c>
      <c r="AT190" t="s">
        <v>5841</v>
      </c>
      <c r="AU190">
        <v>1</v>
      </c>
      <c r="AV190">
        <v>2</v>
      </c>
      <c r="AW190">
        <v>90.01000000000001</v>
      </c>
      <c r="BB190" t="s">
        <v>1322</v>
      </c>
      <c r="BC190">
        <v>19200</v>
      </c>
      <c r="BG190" t="s">
        <v>100</v>
      </c>
      <c r="BJ190" t="s">
        <v>5949</v>
      </c>
      <c r="BK190" t="s">
        <v>221</v>
      </c>
      <c r="BL190" t="s">
        <v>6056</v>
      </c>
    </row>
    <row r="191" spans="1:64">
      <c r="A191" s="1">
        <f>HYPERLINK("https://lsnyc.legalserver.org/matter/dynamic-profile/view/1909507","19-1909507")</f>
        <v>0</v>
      </c>
      <c r="B191" t="s">
        <v>64</v>
      </c>
      <c r="C191" t="s">
        <v>101</v>
      </c>
      <c r="D191" t="s">
        <v>200</v>
      </c>
      <c r="E191" t="s">
        <v>201</v>
      </c>
      <c r="G191" t="s">
        <v>270</v>
      </c>
      <c r="I191" t="s">
        <v>288</v>
      </c>
      <c r="J191" t="s">
        <v>290</v>
      </c>
      <c r="K191" t="s">
        <v>292</v>
      </c>
      <c r="M191" t="s">
        <v>290</v>
      </c>
      <c r="N191" t="s">
        <v>419</v>
      </c>
      <c r="P191" t="s">
        <v>427</v>
      </c>
      <c r="S191" t="s">
        <v>503</v>
      </c>
      <c r="T191" t="s">
        <v>1336</v>
      </c>
      <c r="U191" t="s">
        <v>222</v>
      </c>
      <c r="W191" t="s">
        <v>1876</v>
      </c>
      <c r="X191" t="s">
        <v>2055</v>
      </c>
      <c r="Y191" t="s">
        <v>2843</v>
      </c>
      <c r="Z191" t="s">
        <v>3097</v>
      </c>
      <c r="AA191" t="s">
        <v>3135</v>
      </c>
      <c r="AB191">
        <v>11206</v>
      </c>
      <c r="AE191">
        <v>0</v>
      </c>
      <c r="AG191" t="s">
        <v>4029</v>
      </c>
      <c r="AH191" t="s">
        <v>291</v>
      </c>
      <c r="AJ191" t="s">
        <v>4029</v>
      </c>
      <c r="AK191" t="s">
        <v>4041</v>
      </c>
      <c r="AM191">
        <v>0</v>
      </c>
      <c r="AN191">
        <v>0</v>
      </c>
      <c r="AO191">
        <v>6.2</v>
      </c>
      <c r="AQ191" t="s">
        <v>4242</v>
      </c>
      <c r="AR191" t="s">
        <v>5150</v>
      </c>
      <c r="AS191">
        <v>0</v>
      </c>
      <c r="AU191">
        <v>1</v>
      </c>
      <c r="AV191">
        <v>0</v>
      </c>
      <c r="AW191">
        <v>180.62</v>
      </c>
      <c r="BB191" t="s">
        <v>1322</v>
      </c>
      <c r="BC191">
        <v>22560</v>
      </c>
      <c r="BG191" t="s">
        <v>5897</v>
      </c>
      <c r="BJ191" t="s">
        <v>5958</v>
      </c>
      <c r="BK191" t="s">
        <v>216</v>
      </c>
    </row>
    <row r="192" spans="1:64">
      <c r="A192" s="1">
        <f>HYPERLINK("https://lsnyc.legalserver.org/matter/dynamic-profile/view/1910279","19-1910279")</f>
        <v>0</v>
      </c>
      <c r="B192" t="s">
        <v>64</v>
      </c>
      <c r="C192" t="s">
        <v>97</v>
      </c>
      <c r="D192" t="s">
        <v>200</v>
      </c>
      <c r="E192" t="s">
        <v>201</v>
      </c>
      <c r="G192" t="s">
        <v>202</v>
      </c>
      <c r="H192" t="s">
        <v>272</v>
      </c>
      <c r="I192" t="s">
        <v>202</v>
      </c>
      <c r="J192" t="s">
        <v>289</v>
      </c>
      <c r="K192" t="s">
        <v>292</v>
      </c>
      <c r="M192" t="s">
        <v>290</v>
      </c>
      <c r="N192" t="s">
        <v>419</v>
      </c>
      <c r="O192" t="s">
        <v>420</v>
      </c>
      <c r="P192" t="s">
        <v>427</v>
      </c>
      <c r="S192" t="s">
        <v>628</v>
      </c>
      <c r="T192" t="s">
        <v>1337</v>
      </c>
      <c r="U192" t="s">
        <v>216</v>
      </c>
      <c r="W192" t="s">
        <v>1876</v>
      </c>
      <c r="X192" t="s">
        <v>2056</v>
      </c>
      <c r="Y192" t="s">
        <v>2880</v>
      </c>
      <c r="Z192" t="s">
        <v>3097</v>
      </c>
      <c r="AA192" t="s">
        <v>3135</v>
      </c>
      <c r="AB192">
        <v>11225</v>
      </c>
      <c r="AC192" t="s">
        <v>3137</v>
      </c>
      <c r="AD192" t="s">
        <v>3314</v>
      </c>
      <c r="AE192">
        <v>0</v>
      </c>
      <c r="AG192" t="s">
        <v>4029</v>
      </c>
      <c r="AH192" t="s">
        <v>291</v>
      </c>
      <c r="AK192" t="s">
        <v>4040</v>
      </c>
      <c r="AM192">
        <v>0</v>
      </c>
      <c r="AN192">
        <v>1339.23</v>
      </c>
      <c r="AO192">
        <v>0</v>
      </c>
      <c r="AQ192" t="s">
        <v>4243</v>
      </c>
      <c r="AR192" t="s">
        <v>5151</v>
      </c>
      <c r="AS192">
        <v>0</v>
      </c>
      <c r="AU192">
        <v>3</v>
      </c>
      <c r="AV192">
        <v>0</v>
      </c>
      <c r="AW192">
        <v>239.1</v>
      </c>
      <c r="BC192">
        <v>51000</v>
      </c>
      <c r="BG192" t="s">
        <v>5890</v>
      </c>
      <c r="BJ192" t="s">
        <v>5949</v>
      </c>
      <c r="BL192" t="s">
        <v>6056</v>
      </c>
    </row>
    <row r="193" spans="1:64">
      <c r="A193" s="1">
        <f>HYPERLINK("https://lsnyc.legalserver.org/matter/dynamic-profile/view/1905262","19-1905262")</f>
        <v>0</v>
      </c>
      <c r="B193" t="s">
        <v>64</v>
      </c>
      <c r="C193" t="s">
        <v>97</v>
      </c>
      <c r="D193" t="s">
        <v>200</v>
      </c>
      <c r="E193" t="s">
        <v>201</v>
      </c>
      <c r="G193" t="s">
        <v>202</v>
      </c>
      <c r="H193" t="s">
        <v>272</v>
      </c>
      <c r="I193" t="s">
        <v>202</v>
      </c>
      <c r="J193" t="s">
        <v>289</v>
      </c>
      <c r="K193" t="s">
        <v>292</v>
      </c>
      <c r="M193" t="s">
        <v>290</v>
      </c>
      <c r="N193" t="s">
        <v>202</v>
      </c>
      <c r="O193" t="s">
        <v>421</v>
      </c>
      <c r="P193" t="s">
        <v>428</v>
      </c>
      <c r="S193" t="s">
        <v>629</v>
      </c>
      <c r="T193" t="s">
        <v>1320</v>
      </c>
      <c r="U193" t="s">
        <v>231</v>
      </c>
      <c r="V193" t="s">
        <v>263</v>
      </c>
      <c r="W193" t="s">
        <v>1877</v>
      </c>
      <c r="X193" t="s">
        <v>2057</v>
      </c>
      <c r="Y193" t="s">
        <v>2853</v>
      </c>
      <c r="Z193" t="s">
        <v>3097</v>
      </c>
      <c r="AA193" t="s">
        <v>3135</v>
      </c>
      <c r="AB193">
        <v>11221</v>
      </c>
      <c r="AC193" t="s">
        <v>3137</v>
      </c>
      <c r="AD193" t="s">
        <v>3315</v>
      </c>
      <c r="AE193">
        <v>9</v>
      </c>
      <c r="AF193" t="s">
        <v>4025</v>
      </c>
      <c r="AG193" t="s">
        <v>4029</v>
      </c>
      <c r="AH193" t="s">
        <v>291</v>
      </c>
      <c r="AI193" t="s">
        <v>291</v>
      </c>
      <c r="AK193" t="s">
        <v>4040</v>
      </c>
      <c r="AM193">
        <v>0</v>
      </c>
      <c r="AN193">
        <v>1240</v>
      </c>
      <c r="AO193">
        <v>6.6</v>
      </c>
      <c r="AP193" t="s">
        <v>4054</v>
      </c>
      <c r="AQ193" t="s">
        <v>4244</v>
      </c>
      <c r="AR193" t="s">
        <v>5152</v>
      </c>
      <c r="AS193">
        <v>0</v>
      </c>
      <c r="AU193">
        <v>1</v>
      </c>
      <c r="AV193">
        <v>1</v>
      </c>
      <c r="AW193">
        <v>70.95999999999999</v>
      </c>
      <c r="BA193" t="s">
        <v>5854</v>
      </c>
      <c r="BB193" t="s">
        <v>1322</v>
      </c>
      <c r="BC193">
        <v>12000</v>
      </c>
      <c r="BG193" t="s">
        <v>5892</v>
      </c>
      <c r="BJ193" t="s">
        <v>5951</v>
      </c>
      <c r="BK193" t="s">
        <v>263</v>
      </c>
      <c r="BL193" t="s">
        <v>6056</v>
      </c>
    </row>
    <row r="194" spans="1:64">
      <c r="A194" s="1">
        <f>HYPERLINK("https://lsnyc.legalserver.org/matter/dynamic-profile/view/1909722","19-1909722")</f>
        <v>0</v>
      </c>
      <c r="B194" t="s">
        <v>64</v>
      </c>
      <c r="C194" t="s">
        <v>97</v>
      </c>
      <c r="D194" t="s">
        <v>200</v>
      </c>
      <c r="E194" t="s">
        <v>201</v>
      </c>
      <c r="G194" t="s">
        <v>202</v>
      </c>
      <c r="H194" t="s">
        <v>272</v>
      </c>
      <c r="I194" t="s">
        <v>202</v>
      </c>
      <c r="J194" t="s">
        <v>289</v>
      </c>
      <c r="K194" t="s">
        <v>292</v>
      </c>
      <c r="M194" t="s">
        <v>290</v>
      </c>
      <c r="N194" t="s">
        <v>202</v>
      </c>
      <c r="O194" t="s">
        <v>421</v>
      </c>
      <c r="P194" t="s">
        <v>427</v>
      </c>
      <c r="S194" t="s">
        <v>630</v>
      </c>
      <c r="T194" t="s">
        <v>1338</v>
      </c>
      <c r="U194" t="s">
        <v>264</v>
      </c>
      <c r="W194" t="s">
        <v>1876</v>
      </c>
      <c r="X194" t="s">
        <v>2058</v>
      </c>
      <c r="Y194" t="s">
        <v>2852</v>
      </c>
      <c r="Z194" t="s">
        <v>3097</v>
      </c>
      <c r="AA194" t="s">
        <v>3135</v>
      </c>
      <c r="AB194">
        <v>11221</v>
      </c>
      <c r="AC194" t="s">
        <v>3137</v>
      </c>
      <c r="AD194" t="s">
        <v>3316</v>
      </c>
      <c r="AE194">
        <v>0</v>
      </c>
      <c r="AG194" t="s">
        <v>4029</v>
      </c>
      <c r="AH194" t="s">
        <v>291</v>
      </c>
      <c r="AI194" t="s">
        <v>291</v>
      </c>
      <c r="AK194" t="s">
        <v>4040</v>
      </c>
      <c r="AM194">
        <v>0</v>
      </c>
      <c r="AN194">
        <v>0</v>
      </c>
      <c r="AO194">
        <v>1</v>
      </c>
      <c r="AQ194" t="s">
        <v>4245</v>
      </c>
      <c r="AR194" t="s">
        <v>5153</v>
      </c>
      <c r="AS194">
        <v>0</v>
      </c>
      <c r="AU194">
        <v>1</v>
      </c>
      <c r="AV194">
        <v>0</v>
      </c>
      <c r="AW194">
        <v>67.25</v>
      </c>
      <c r="BB194" t="s">
        <v>5859</v>
      </c>
      <c r="BC194">
        <v>8400</v>
      </c>
      <c r="BG194" t="s">
        <v>5892</v>
      </c>
      <c r="BJ194" t="s">
        <v>5950</v>
      </c>
      <c r="BK194" t="s">
        <v>267</v>
      </c>
      <c r="BL194" t="s">
        <v>6056</v>
      </c>
    </row>
    <row r="195" spans="1:64">
      <c r="A195" s="1">
        <f>HYPERLINK("https://lsnyc.legalserver.org/matter/dynamic-profile/view/1909627","19-1909627")</f>
        <v>0</v>
      </c>
      <c r="B195" t="s">
        <v>64</v>
      </c>
      <c r="C195" t="s">
        <v>99</v>
      </c>
      <c r="D195" t="s">
        <v>200</v>
      </c>
      <c r="E195" t="s">
        <v>201</v>
      </c>
      <c r="G195" t="s">
        <v>202</v>
      </c>
      <c r="H195" t="s">
        <v>272</v>
      </c>
      <c r="I195" t="s">
        <v>202</v>
      </c>
      <c r="J195" t="s">
        <v>289</v>
      </c>
      <c r="K195" t="s">
        <v>292</v>
      </c>
      <c r="M195" t="s">
        <v>290</v>
      </c>
      <c r="N195" t="s">
        <v>202</v>
      </c>
      <c r="O195" t="s">
        <v>421</v>
      </c>
      <c r="P195" t="s">
        <v>427</v>
      </c>
      <c r="S195" t="s">
        <v>631</v>
      </c>
      <c r="T195" t="s">
        <v>1220</v>
      </c>
      <c r="U195" t="s">
        <v>222</v>
      </c>
      <c r="W195" t="s">
        <v>1876</v>
      </c>
      <c r="X195" t="s">
        <v>2059</v>
      </c>
      <c r="Y195" t="s">
        <v>2881</v>
      </c>
      <c r="Z195" t="s">
        <v>3097</v>
      </c>
      <c r="AA195" t="s">
        <v>3135</v>
      </c>
      <c r="AB195">
        <v>11221</v>
      </c>
      <c r="AC195" t="s">
        <v>3137</v>
      </c>
      <c r="AD195" t="s">
        <v>3317</v>
      </c>
      <c r="AE195">
        <v>0</v>
      </c>
      <c r="AG195" t="s">
        <v>4029</v>
      </c>
      <c r="AH195" t="s">
        <v>291</v>
      </c>
      <c r="AI195" t="s">
        <v>291</v>
      </c>
      <c r="AK195" t="s">
        <v>4040</v>
      </c>
      <c r="AM195">
        <v>0</v>
      </c>
      <c r="AN195">
        <v>0</v>
      </c>
      <c r="AO195">
        <v>2</v>
      </c>
      <c r="AQ195" t="s">
        <v>4246</v>
      </c>
      <c r="AR195" t="s">
        <v>5154</v>
      </c>
      <c r="AS195">
        <v>0</v>
      </c>
      <c r="AU195">
        <v>2</v>
      </c>
      <c r="AV195">
        <v>0</v>
      </c>
      <c r="AW195">
        <v>189.24</v>
      </c>
      <c r="BB195" t="s">
        <v>1322</v>
      </c>
      <c r="BC195">
        <v>32000</v>
      </c>
      <c r="BG195" t="s">
        <v>5892</v>
      </c>
      <c r="BJ195" t="s">
        <v>5951</v>
      </c>
      <c r="BK195" t="s">
        <v>267</v>
      </c>
      <c r="BL195" t="s">
        <v>6056</v>
      </c>
    </row>
    <row r="196" spans="1:64">
      <c r="A196" s="1">
        <f>HYPERLINK("https://lsnyc.legalserver.org/matter/dynamic-profile/view/1909647","19-1909647")</f>
        <v>0</v>
      </c>
      <c r="B196" t="s">
        <v>64</v>
      </c>
      <c r="C196" t="s">
        <v>99</v>
      </c>
      <c r="D196" t="s">
        <v>200</v>
      </c>
      <c r="E196" t="s">
        <v>201</v>
      </c>
      <c r="G196" t="s">
        <v>202</v>
      </c>
      <c r="H196" t="s">
        <v>272</v>
      </c>
      <c r="I196" t="s">
        <v>288</v>
      </c>
      <c r="J196" t="s">
        <v>290</v>
      </c>
      <c r="K196" t="s">
        <v>292</v>
      </c>
      <c r="M196" t="s">
        <v>290</v>
      </c>
      <c r="N196" t="s">
        <v>419</v>
      </c>
      <c r="O196" t="s">
        <v>420</v>
      </c>
      <c r="P196" t="s">
        <v>427</v>
      </c>
      <c r="S196" t="s">
        <v>632</v>
      </c>
      <c r="T196" t="s">
        <v>1339</v>
      </c>
      <c r="U196" t="s">
        <v>222</v>
      </c>
      <c r="W196" t="s">
        <v>1876</v>
      </c>
      <c r="X196" t="s">
        <v>2060</v>
      </c>
      <c r="Y196" t="s">
        <v>2882</v>
      </c>
      <c r="Z196" t="s">
        <v>3097</v>
      </c>
      <c r="AA196" t="s">
        <v>3135</v>
      </c>
      <c r="AB196">
        <v>11220</v>
      </c>
      <c r="AD196" t="s">
        <v>3318</v>
      </c>
      <c r="AE196">
        <v>0</v>
      </c>
      <c r="AG196" t="s">
        <v>4028</v>
      </c>
      <c r="AH196" t="s">
        <v>291</v>
      </c>
      <c r="AK196" t="s">
        <v>4040</v>
      </c>
      <c r="AM196">
        <v>0</v>
      </c>
      <c r="AN196">
        <v>2000</v>
      </c>
      <c r="AO196">
        <v>1.3</v>
      </c>
      <c r="AQ196" t="s">
        <v>4152</v>
      </c>
      <c r="AR196" t="s">
        <v>5155</v>
      </c>
      <c r="AS196">
        <v>0</v>
      </c>
      <c r="AU196">
        <v>3</v>
      </c>
      <c r="AV196">
        <v>0</v>
      </c>
      <c r="AW196">
        <v>141.88</v>
      </c>
      <c r="BB196" t="s">
        <v>1322</v>
      </c>
      <c r="BC196">
        <v>30264</v>
      </c>
      <c r="BG196" t="s">
        <v>5891</v>
      </c>
      <c r="BJ196" t="s">
        <v>5991</v>
      </c>
      <c r="BK196" t="s">
        <v>243</v>
      </c>
    </row>
    <row r="197" spans="1:64">
      <c r="A197" s="1">
        <f>HYPERLINK("https://lsnyc.legalserver.org/matter/dynamic-profile/view/1907840","19-1907840")</f>
        <v>0</v>
      </c>
      <c r="B197" t="s">
        <v>64</v>
      </c>
      <c r="C197" t="s">
        <v>99</v>
      </c>
      <c r="D197" t="s">
        <v>200</v>
      </c>
      <c r="E197" t="s">
        <v>201</v>
      </c>
      <c r="G197" t="s">
        <v>202</v>
      </c>
      <c r="H197" t="s">
        <v>272</v>
      </c>
      <c r="I197" t="s">
        <v>288</v>
      </c>
      <c r="J197" t="s">
        <v>290</v>
      </c>
      <c r="K197" t="s">
        <v>292</v>
      </c>
      <c r="M197" t="s">
        <v>290</v>
      </c>
      <c r="N197" t="s">
        <v>419</v>
      </c>
      <c r="O197" t="s">
        <v>420</v>
      </c>
      <c r="P197" t="s">
        <v>427</v>
      </c>
      <c r="S197" t="s">
        <v>633</v>
      </c>
      <c r="T197" t="s">
        <v>962</v>
      </c>
      <c r="U197" t="s">
        <v>223</v>
      </c>
      <c r="W197" t="s">
        <v>1876</v>
      </c>
      <c r="X197" t="s">
        <v>2061</v>
      </c>
      <c r="Y197" t="s">
        <v>2800</v>
      </c>
      <c r="Z197" t="s">
        <v>3097</v>
      </c>
      <c r="AA197" t="s">
        <v>3135</v>
      </c>
      <c r="AB197">
        <v>11212</v>
      </c>
      <c r="AC197" t="s">
        <v>3140</v>
      </c>
      <c r="AD197" t="s">
        <v>3319</v>
      </c>
      <c r="AE197">
        <v>0</v>
      </c>
      <c r="AG197" t="s">
        <v>4028</v>
      </c>
      <c r="AH197" t="s">
        <v>291</v>
      </c>
      <c r="AK197" t="s">
        <v>4041</v>
      </c>
      <c r="AM197">
        <v>0</v>
      </c>
      <c r="AN197">
        <v>0</v>
      </c>
      <c r="AO197">
        <v>0</v>
      </c>
      <c r="AQ197" t="s">
        <v>4247</v>
      </c>
      <c r="AR197" t="s">
        <v>5156</v>
      </c>
      <c r="AS197">
        <v>0</v>
      </c>
      <c r="AT197" t="s">
        <v>5837</v>
      </c>
      <c r="AU197">
        <v>2</v>
      </c>
      <c r="AV197">
        <v>3</v>
      </c>
      <c r="AW197">
        <v>0</v>
      </c>
      <c r="BB197" t="s">
        <v>1322</v>
      </c>
      <c r="BC197">
        <v>0</v>
      </c>
      <c r="BG197" t="s">
        <v>5893</v>
      </c>
      <c r="BJ197" t="s">
        <v>5945</v>
      </c>
    </row>
    <row r="198" spans="1:64">
      <c r="A198" s="1">
        <f>HYPERLINK("https://lsnyc.legalserver.org/matter/dynamic-profile/view/1909695","19-1909695")</f>
        <v>0</v>
      </c>
      <c r="B198" t="s">
        <v>64</v>
      </c>
      <c r="C198" t="s">
        <v>97</v>
      </c>
      <c r="D198" t="s">
        <v>200</v>
      </c>
      <c r="E198" t="s">
        <v>201</v>
      </c>
      <c r="G198" t="s">
        <v>202</v>
      </c>
      <c r="H198" t="s">
        <v>272</v>
      </c>
      <c r="I198" t="s">
        <v>202</v>
      </c>
      <c r="J198" t="s">
        <v>289</v>
      </c>
      <c r="K198" t="s">
        <v>292</v>
      </c>
      <c r="M198" t="s">
        <v>290</v>
      </c>
      <c r="N198" t="s">
        <v>202</v>
      </c>
      <c r="O198" t="s">
        <v>421</v>
      </c>
      <c r="P198" t="s">
        <v>427</v>
      </c>
      <c r="S198" t="s">
        <v>634</v>
      </c>
      <c r="T198" t="s">
        <v>1233</v>
      </c>
      <c r="U198" t="s">
        <v>264</v>
      </c>
      <c r="W198" t="s">
        <v>1876</v>
      </c>
      <c r="X198" t="s">
        <v>2062</v>
      </c>
      <c r="Y198">
        <v>2</v>
      </c>
      <c r="Z198" t="s">
        <v>3097</v>
      </c>
      <c r="AA198" t="s">
        <v>3135</v>
      </c>
      <c r="AB198">
        <v>11216</v>
      </c>
      <c r="AC198" t="s">
        <v>3137</v>
      </c>
      <c r="AD198" t="s">
        <v>3320</v>
      </c>
      <c r="AE198">
        <v>0</v>
      </c>
      <c r="AG198" t="s">
        <v>4029</v>
      </c>
      <c r="AH198" t="s">
        <v>291</v>
      </c>
      <c r="AI198" t="s">
        <v>291</v>
      </c>
      <c r="AK198" t="s">
        <v>4040</v>
      </c>
      <c r="AM198">
        <v>0</v>
      </c>
      <c r="AN198">
        <v>0</v>
      </c>
      <c r="AO198">
        <v>0</v>
      </c>
      <c r="AQ198" t="s">
        <v>4248</v>
      </c>
      <c r="AR198" t="s">
        <v>5157</v>
      </c>
      <c r="AS198">
        <v>0</v>
      </c>
      <c r="AU198">
        <v>1</v>
      </c>
      <c r="AV198">
        <v>1</v>
      </c>
      <c r="AW198">
        <v>170.31</v>
      </c>
      <c r="BB198" t="s">
        <v>1322</v>
      </c>
      <c r="BC198">
        <v>28800</v>
      </c>
      <c r="BG198" t="s">
        <v>5892</v>
      </c>
      <c r="BJ198" t="s">
        <v>5949</v>
      </c>
      <c r="BL198" t="s">
        <v>6056</v>
      </c>
    </row>
    <row r="199" spans="1:64">
      <c r="A199" s="1">
        <f>HYPERLINK("https://lsnyc.legalserver.org/matter/dynamic-profile/view/1905173","19-1905173")</f>
        <v>0</v>
      </c>
      <c r="B199" t="s">
        <v>64</v>
      </c>
      <c r="C199" t="s">
        <v>97</v>
      </c>
      <c r="D199" t="s">
        <v>200</v>
      </c>
      <c r="E199" t="s">
        <v>201</v>
      </c>
      <c r="G199" t="s">
        <v>202</v>
      </c>
      <c r="H199" t="s">
        <v>272</v>
      </c>
      <c r="I199" t="s">
        <v>202</v>
      </c>
      <c r="J199" t="s">
        <v>289</v>
      </c>
      <c r="K199" t="s">
        <v>202</v>
      </c>
      <c r="L199" t="s">
        <v>327</v>
      </c>
      <c r="M199" t="s">
        <v>290</v>
      </c>
      <c r="N199" t="s">
        <v>202</v>
      </c>
      <c r="O199" t="s">
        <v>421</v>
      </c>
      <c r="P199" t="s">
        <v>428</v>
      </c>
      <c r="S199" t="s">
        <v>635</v>
      </c>
      <c r="T199" t="s">
        <v>1340</v>
      </c>
      <c r="U199" t="s">
        <v>231</v>
      </c>
      <c r="V199" t="s">
        <v>207</v>
      </c>
      <c r="W199" t="s">
        <v>1877</v>
      </c>
      <c r="X199" t="s">
        <v>2063</v>
      </c>
      <c r="Y199" t="s">
        <v>2883</v>
      </c>
      <c r="Z199" t="s">
        <v>3097</v>
      </c>
      <c r="AA199" t="s">
        <v>3135</v>
      </c>
      <c r="AB199">
        <v>11216</v>
      </c>
      <c r="AC199" t="s">
        <v>3137</v>
      </c>
      <c r="AD199" t="s">
        <v>3321</v>
      </c>
      <c r="AE199">
        <v>40</v>
      </c>
      <c r="AF199" t="s">
        <v>4025</v>
      </c>
      <c r="AG199" t="s">
        <v>4029</v>
      </c>
      <c r="AH199" t="s">
        <v>291</v>
      </c>
      <c r="AI199" t="s">
        <v>291</v>
      </c>
      <c r="AK199" t="s">
        <v>4040</v>
      </c>
      <c r="AM199">
        <v>0</v>
      </c>
      <c r="AN199">
        <v>705</v>
      </c>
      <c r="AO199">
        <v>3</v>
      </c>
      <c r="AP199" t="s">
        <v>4054</v>
      </c>
      <c r="AQ199" t="s">
        <v>4249</v>
      </c>
      <c r="AR199" t="s">
        <v>5158</v>
      </c>
      <c r="AS199">
        <v>0</v>
      </c>
      <c r="AU199">
        <v>1</v>
      </c>
      <c r="AV199">
        <v>0</v>
      </c>
      <c r="AW199">
        <v>19.22</v>
      </c>
      <c r="BB199" t="s">
        <v>1322</v>
      </c>
      <c r="BC199">
        <v>2400</v>
      </c>
      <c r="BG199" t="s">
        <v>5892</v>
      </c>
      <c r="BJ199" t="s">
        <v>5948</v>
      </c>
      <c r="BK199" t="s">
        <v>207</v>
      </c>
      <c r="BL199" t="s">
        <v>6056</v>
      </c>
    </row>
    <row r="200" spans="1:64">
      <c r="A200" s="1">
        <f>HYPERLINK("https://lsnyc.legalserver.org/matter/dynamic-profile/view/1909710","19-1909710")</f>
        <v>0</v>
      </c>
      <c r="B200" t="s">
        <v>64</v>
      </c>
      <c r="C200" t="s">
        <v>97</v>
      </c>
      <c r="D200" t="s">
        <v>200</v>
      </c>
      <c r="E200" t="s">
        <v>201</v>
      </c>
      <c r="G200" t="s">
        <v>202</v>
      </c>
      <c r="H200" t="s">
        <v>272</v>
      </c>
      <c r="I200" t="s">
        <v>202</v>
      </c>
      <c r="J200" t="s">
        <v>289</v>
      </c>
      <c r="K200" t="s">
        <v>292</v>
      </c>
      <c r="M200" t="s">
        <v>290</v>
      </c>
      <c r="N200" t="s">
        <v>202</v>
      </c>
      <c r="O200" t="s">
        <v>421</v>
      </c>
      <c r="P200" t="s">
        <v>427</v>
      </c>
      <c r="S200" t="s">
        <v>636</v>
      </c>
      <c r="T200" t="s">
        <v>1341</v>
      </c>
      <c r="U200" t="s">
        <v>264</v>
      </c>
      <c r="W200" t="s">
        <v>1876</v>
      </c>
      <c r="X200" t="s">
        <v>2043</v>
      </c>
      <c r="Y200" t="s">
        <v>2783</v>
      </c>
      <c r="Z200" t="s">
        <v>3097</v>
      </c>
      <c r="AA200" t="s">
        <v>3135</v>
      </c>
      <c r="AB200">
        <v>11221</v>
      </c>
      <c r="AC200" t="s">
        <v>3137</v>
      </c>
      <c r="AD200" t="s">
        <v>3322</v>
      </c>
      <c r="AE200">
        <v>0</v>
      </c>
      <c r="AG200" t="s">
        <v>4029</v>
      </c>
      <c r="AH200" t="s">
        <v>291</v>
      </c>
      <c r="AI200" t="s">
        <v>291</v>
      </c>
      <c r="AK200" t="s">
        <v>4040</v>
      </c>
      <c r="AM200">
        <v>0</v>
      </c>
      <c r="AN200">
        <v>0</v>
      </c>
      <c r="AO200">
        <v>2.4</v>
      </c>
      <c r="AQ200" t="s">
        <v>4250</v>
      </c>
      <c r="AR200" t="s">
        <v>5159</v>
      </c>
      <c r="AS200">
        <v>0</v>
      </c>
      <c r="AU200">
        <v>2</v>
      </c>
      <c r="AV200">
        <v>2</v>
      </c>
      <c r="AW200">
        <v>112.62</v>
      </c>
      <c r="BB200" t="s">
        <v>1322</v>
      </c>
      <c r="BC200">
        <v>29000</v>
      </c>
      <c r="BG200" t="s">
        <v>5892</v>
      </c>
      <c r="BJ200" t="s">
        <v>5949</v>
      </c>
      <c r="BK200" t="s">
        <v>216</v>
      </c>
      <c r="BL200" t="s">
        <v>6056</v>
      </c>
    </row>
    <row r="201" spans="1:64">
      <c r="A201" s="1">
        <f>HYPERLINK("https://lsnyc.legalserver.org/matter/dynamic-profile/view/1909615","19-1909615")</f>
        <v>0</v>
      </c>
      <c r="B201" t="s">
        <v>64</v>
      </c>
      <c r="C201" t="s">
        <v>97</v>
      </c>
      <c r="D201" t="s">
        <v>200</v>
      </c>
      <c r="E201" t="s">
        <v>201</v>
      </c>
      <c r="G201" t="s">
        <v>202</v>
      </c>
      <c r="H201" t="s">
        <v>272</v>
      </c>
      <c r="I201" t="s">
        <v>202</v>
      </c>
      <c r="J201" t="s">
        <v>289</v>
      </c>
      <c r="K201" t="s">
        <v>292</v>
      </c>
      <c r="M201" t="s">
        <v>290</v>
      </c>
      <c r="N201" t="s">
        <v>202</v>
      </c>
      <c r="O201" t="s">
        <v>421</v>
      </c>
      <c r="P201" t="s">
        <v>427</v>
      </c>
      <c r="S201" t="s">
        <v>637</v>
      </c>
      <c r="T201" t="s">
        <v>1342</v>
      </c>
      <c r="U201" t="s">
        <v>222</v>
      </c>
      <c r="W201" t="s">
        <v>1876</v>
      </c>
      <c r="X201" t="s">
        <v>2038</v>
      </c>
      <c r="Y201" t="s">
        <v>2884</v>
      </c>
      <c r="Z201" t="s">
        <v>3097</v>
      </c>
      <c r="AA201" t="s">
        <v>3135</v>
      </c>
      <c r="AB201">
        <v>11216</v>
      </c>
      <c r="AC201" t="s">
        <v>3137</v>
      </c>
      <c r="AD201" t="s">
        <v>3323</v>
      </c>
      <c r="AE201">
        <v>0</v>
      </c>
      <c r="AG201" t="s">
        <v>4029</v>
      </c>
      <c r="AH201" t="s">
        <v>291</v>
      </c>
      <c r="AI201" t="s">
        <v>291</v>
      </c>
      <c r="AK201" t="s">
        <v>4040</v>
      </c>
      <c r="AM201">
        <v>0</v>
      </c>
      <c r="AN201">
        <v>0</v>
      </c>
      <c r="AO201">
        <v>2.1</v>
      </c>
      <c r="AQ201" t="s">
        <v>4251</v>
      </c>
      <c r="AR201" t="s">
        <v>5160</v>
      </c>
      <c r="AS201">
        <v>0</v>
      </c>
      <c r="AU201">
        <v>1</v>
      </c>
      <c r="AV201">
        <v>0</v>
      </c>
      <c r="AW201">
        <v>41.63</v>
      </c>
      <c r="BB201" t="s">
        <v>1322</v>
      </c>
      <c r="BC201">
        <v>5200</v>
      </c>
      <c r="BG201" t="s">
        <v>5892</v>
      </c>
      <c r="BJ201" t="s">
        <v>3143</v>
      </c>
      <c r="BK201" t="s">
        <v>216</v>
      </c>
      <c r="BL201" t="s">
        <v>6056</v>
      </c>
    </row>
    <row r="202" spans="1:64">
      <c r="A202" s="1">
        <f>HYPERLINK("https://lsnyc.legalserver.org/matter/dynamic-profile/view/1905284","19-1905284")</f>
        <v>0</v>
      </c>
      <c r="B202" t="s">
        <v>64</v>
      </c>
      <c r="C202" t="s">
        <v>97</v>
      </c>
      <c r="D202" t="s">
        <v>200</v>
      </c>
      <c r="E202" t="s">
        <v>201</v>
      </c>
      <c r="G202" t="s">
        <v>202</v>
      </c>
      <c r="H202" t="s">
        <v>272</v>
      </c>
      <c r="I202" t="s">
        <v>202</v>
      </c>
      <c r="J202" t="s">
        <v>289</v>
      </c>
      <c r="K202" t="s">
        <v>202</v>
      </c>
      <c r="L202" t="s">
        <v>328</v>
      </c>
      <c r="M202" t="s">
        <v>290</v>
      </c>
      <c r="N202" t="s">
        <v>202</v>
      </c>
      <c r="O202" t="s">
        <v>421</v>
      </c>
      <c r="P202" t="s">
        <v>427</v>
      </c>
      <c r="S202" t="s">
        <v>638</v>
      </c>
      <c r="T202" t="s">
        <v>1343</v>
      </c>
      <c r="U202" t="s">
        <v>231</v>
      </c>
      <c r="W202" t="s">
        <v>1876</v>
      </c>
      <c r="X202" t="s">
        <v>2064</v>
      </c>
      <c r="Y202" t="s">
        <v>2836</v>
      </c>
      <c r="Z202" t="s">
        <v>3097</v>
      </c>
      <c r="AA202" t="s">
        <v>3135</v>
      </c>
      <c r="AB202">
        <v>11226</v>
      </c>
      <c r="AC202" t="s">
        <v>3143</v>
      </c>
      <c r="AD202" t="s">
        <v>3324</v>
      </c>
      <c r="AE202">
        <v>8</v>
      </c>
      <c r="AG202" t="s">
        <v>4029</v>
      </c>
      <c r="AH202" t="s">
        <v>291</v>
      </c>
      <c r="AK202" t="s">
        <v>4040</v>
      </c>
      <c r="AM202">
        <v>0</v>
      </c>
      <c r="AN202">
        <v>1617.84</v>
      </c>
      <c r="AO202">
        <v>5.3</v>
      </c>
      <c r="AQ202" t="s">
        <v>4252</v>
      </c>
      <c r="AR202" t="s">
        <v>5161</v>
      </c>
      <c r="AS202">
        <v>36</v>
      </c>
      <c r="AU202">
        <v>2</v>
      </c>
      <c r="AV202">
        <v>1</v>
      </c>
      <c r="AW202">
        <v>199.83</v>
      </c>
      <c r="BB202" t="s">
        <v>1322</v>
      </c>
      <c r="BC202">
        <v>42623.1</v>
      </c>
      <c r="BG202" t="s">
        <v>5890</v>
      </c>
      <c r="BJ202" t="s">
        <v>5992</v>
      </c>
      <c r="BK202" t="s">
        <v>243</v>
      </c>
      <c r="BL202" t="s">
        <v>6056</v>
      </c>
    </row>
    <row r="203" spans="1:64">
      <c r="A203" s="1">
        <f>HYPERLINK("https://lsnyc.legalserver.org/matter/dynamic-profile/view/1907770","19-1907770")</f>
        <v>0</v>
      </c>
      <c r="B203" t="s">
        <v>64</v>
      </c>
      <c r="C203" t="s">
        <v>97</v>
      </c>
      <c r="D203" t="s">
        <v>200</v>
      </c>
      <c r="E203" t="s">
        <v>201</v>
      </c>
      <c r="G203" t="s">
        <v>202</v>
      </c>
      <c r="H203" t="s">
        <v>272</v>
      </c>
      <c r="I203" t="s">
        <v>202</v>
      </c>
      <c r="J203" t="s">
        <v>289</v>
      </c>
      <c r="K203" t="s">
        <v>292</v>
      </c>
      <c r="M203" t="s">
        <v>290</v>
      </c>
      <c r="N203" t="s">
        <v>202</v>
      </c>
      <c r="O203" t="s">
        <v>421</v>
      </c>
      <c r="P203" t="s">
        <v>427</v>
      </c>
      <c r="S203" t="s">
        <v>639</v>
      </c>
      <c r="T203" t="s">
        <v>1344</v>
      </c>
      <c r="U203" t="s">
        <v>213</v>
      </c>
      <c r="W203" t="s">
        <v>1876</v>
      </c>
      <c r="X203" t="s">
        <v>2065</v>
      </c>
      <c r="Y203" t="s">
        <v>2812</v>
      </c>
      <c r="Z203" t="s">
        <v>3097</v>
      </c>
      <c r="AA203" t="s">
        <v>3135</v>
      </c>
      <c r="AB203">
        <v>11216</v>
      </c>
      <c r="AC203" t="s">
        <v>3137</v>
      </c>
      <c r="AD203" t="s">
        <v>3325</v>
      </c>
      <c r="AE203">
        <v>0</v>
      </c>
      <c r="AG203" t="s">
        <v>4029</v>
      </c>
      <c r="AH203" t="s">
        <v>291</v>
      </c>
      <c r="AI203" t="s">
        <v>291</v>
      </c>
      <c r="AK203" t="s">
        <v>4040</v>
      </c>
      <c r="AM203">
        <v>0</v>
      </c>
      <c r="AN203">
        <v>0</v>
      </c>
      <c r="AO203">
        <v>3.4</v>
      </c>
      <c r="AQ203" t="s">
        <v>4253</v>
      </c>
      <c r="AR203" t="s">
        <v>5162</v>
      </c>
      <c r="AS203">
        <v>0</v>
      </c>
      <c r="AU203">
        <v>2</v>
      </c>
      <c r="AV203">
        <v>1</v>
      </c>
      <c r="AW203">
        <v>179.9</v>
      </c>
      <c r="BB203" t="s">
        <v>1322</v>
      </c>
      <c r="BC203">
        <v>38372</v>
      </c>
      <c r="BG203" t="s">
        <v>5892</v>
      </c>
      <c r="BJ203" t="s">
        <v>5963</v>
      </c>
      <c r="BK203" t="s">
        <v>243</v>
      </c>
      <c r="BL203" t="s">
        <v>6056</v>
      </c>
    </row>
    <row r="204" spans="1:64">
      <c r="A204" s="1">
        <f>HYPERLINK("https://lsnyc.legalserver.org/matter/dynamic-profile/view/1903752","19-1903752")</f>
        <v>0</v>
      </c>
      <c r="B204" t="s">
        <v>64</v>
      </c>
      <c r="C204" t="s">
        <v>96</v>
      </c>
      <c r="D204" t="s">
        <v>200</v>
      </c>
      <c r="E204" t="s">
        <v>203</v>
      </c>
      <c r="F204" t="s">
        <v>215</v>
      </c>
      <c r="G204" t="s">
        <v>202</v>
      </c>
      <c r="H204" t="s">
        <v>272</v>
      </c>
      <c r="I204" t="s">
        <v>202</v>
      </c>
      <c r="J204" t="s">
        <v>289</v>
      </c>
      <c r="K204" t="s">
        <v>202</v>
      </c>
      <c r="L204" t="s">
        <v>329</v>
      </c>
      <c r="M204" t="s">
        <v>290</v>
      </c>
      <c r="N204" t="s">
        <v>202</v>
      </c>
      <c r="O204" t="s">
        <v>421</v>
      </c>
      <c r="P204" t="s">
        <v>427</v>
      </c>
      <c r="S204" t="s">
        <v>640</v>
      </c>
      <c r="T204" t="s">
        <v>1345</v>
      </c>
      <c r="U204" t="s">
        <v>208</v>
      </c>
      <c r="W204" t="s">
        <v>1876</v>
      </c>
      <c r="X204" t="s">
        <v>2066</v>
      </c>
      <c r="Y204" t="s">
        <v>2794</v>
      </c>
      <c r="Z204" t="s">
        <v>3097</v>
      </c>
      <c r="AA204" t="s">
        <v>3135</v>
      </c>
      <c r="AB204">
        <v>11226</v>
      </c>
      <c r="AC204" t="s">
        <v>3136</v>
      </c>
      <c r="AD204" t="s">
        <v>3326</v>
      </c>
      <c r="AE204">
        <v>1</v>
      </c>
      <c r="AG204" t="s">
        <v>4029</v>
      </c>
      <c r="AH204" t="s">
        <v>291</v>
      </c>
      <c r="AI204" t="s">
        <v>291</v>
      </c>
      <c r="AK204" t="s">
        <v>4040</v>
      </c>
      <c r="AL204" t="s">
        <v>4046</v>
      </c>
      <c r="AM204">
        <v>0</v>
      </c>
      <c r="AN204">
        <v>1550</v>
      </c>
      <c r="AO204">
        <v>7.6</v>
      </c>
      <c r="AQ204" t="s">
        <v>4254</v>
      </c>
      <c r="AR204" t="s">
        <v>5163</v>
      </c>
      <c r="AS204">
        <v>23</v>
      </c>
      <c r="AT204" t="s">
        <v>5838</v>
      </c>
      <c r="AU204">
        <v>1</v>
      </c>
      <c r="AV204">
        <v>0</v>
      </c>
      <c r="AW204">
        <v>83.27</v>
      </c>
      <c r="BA204" t="s">
        <v>329</v>
      </c>
      <c r="BB204" t="s">
        <v>1322</v>
      </c>
      <c r="BC204">
        <v>10400</v>
      </c>
      <c r="BG204" t="s">
        <v>5894</v>
      </c>
      <c r="BJ204" t="s">
        <v>5949</v>
      </c>
      <c r="BK204" t="s">
        <v>243</v>
      </c>
      <c r="BL204" t="s">
        <v>6056</v>
      </c>
    </row>
    <row r="205" spans="1:64">
      <c r="A205" s="1">
        <f>HYPERLINK("https://lsnyc.legalserver.org/matter/dynamic-profile/view/1903809","19-1903809")</f>
        <v>0</v>
      </c>
      <c r="B205" t="s">
        <v>64</v>
      </c>
      <c r="C205" t="s">
        <v>96</v>
      </c>
      <c r="D205" t="s">
        <v>200</v>
      </c>
      <c r="E205" t="s">
        <v>203</v>
      </c>
      <c r="F205" t="s">
        <v>215</v>
      </c>
      <c r="G205" t="s">
        <v>202</v>
      </c>
      <c r="H205" t="s">
        <v>272</v>
      </c>
      <c r="I205" t="s">
        <v>202</v>
      </c>
      <c r="J205" t="s">
        <v>289</v>
      </c>
      <c r="K205" t="s">
        <v>202</v>
      </c>
      <c r="L205" t="s">
        <v>329</v>
      </c>
      <c r="M205" t="s">
        <v>290</v>
      </c>
      <c r="N205" t="s">
        <v>202</v>
      </c>
      <c r="O205" t="s">
        <v>421</v>
      </c>
      <c r="P205" t="s">
        <v>427</v>
      </c>
      <c r="S205" t="s">
        <v>641</v>
      </c>
      <c r="T205" t="s">
        <v>1346</v>
      </c>
      <c r="U205" t="s">
        <v>229</v>
      </c>
      <c r="W205" t="s">
        <v>1876</v>
      </c>
      <c r="X205" t="s">
        <v>2067</v>
      </c>
      <c r="Y205" t="s">
        <v>2885</v>
      </c>
      <c r="Z205" t="s">
        <v>3097</v>
      </c>
      <c r="AA205" t="s">
        <v>3135</v>
      </c>
      <c r="AB205">
        <v>11226</v>
      </c>
      <c r="AC205" t="s">
        <v>3136</v>
      </c>
      <c r="AD205" t="s">
        <v>3327</v>
      </c>
      <c r="AE205">
        <v>12</v>
      </c>
      <c r="AG205" t="s">
        <v>4029</v>
      </c>
      <c r="AH205" t="s">
        <v>291</v>
      </c>
      <c r="AI205" t="s">
        <v>291</v>
      </c>
      <c r="AK205" t="s">
        <v>4040</v>
      </c>
      <c r="AL205" t="s">
        <v>4046</v>
      </c>
      <c r="AM205">
        <v>0</v>
      </c>
      <c r="AN205">
        <v>1296</v>
      </c>
      <c r="AO205">
        <v>7</v>
      </c>
      <c r="AQ205" t="s">
        <v>4255</v>
      </c>
      <c r="AR205" t="s">
        <v>5164</v>
      </c>
      <c r="AS205">
        <v>35</v>
      </c>
      <c r="AU205">
        <v>1</v>
      </c>
      <c r="AV205">
        <v>0</v>
      </c>
      <c r="AW205">
        <v>0</v>
      </c>
      <c r="BA205" t="s">
        <v>329</v>
      </c>
      <c r="BB205" t="s">
        <v>1322</v>
      </c>
      <c r="BC205">
        <v>0</v>
      </c>
      <c r="BG205" t="s">
        <v>5894</v>
      </c>
      <c r="BJ205" t="s">
        <v>5965</v>
      </c>
      <c r="BK205" t="s">
        <v>264</v>
      </c>
      <c r="BL205" t="s">
        <v>6056</v>
      </c>
    </row>
    <row r="206" spans="1:64">
      <c r="A206" s="1">
        <f>HYPERLINK("https://lsnyc.legalserver.org/matter/dynamic-profile/view/1907699","19-1907699")</f>
        <v>0</v>
      </c>
      <c r="B206" t="s">
        <v>64</v>
      </c>
      <c r="C206" t="s">
        <v>97</v>
      </c>
      <c r="D206" t="s">
        <v>200</v>
      </c>
      <c r="E206" t="s">
        <v>201</v>
      </c>
      <c r="G206" t="s">
        <v>202</v>
      </c>
      <c r="H206" t="s">
        <v>272</v>
      </c>
      <c r="I206" t="s">
        <v>288</v>
      </c>
      <c r="J206" t="s">
        <v>290</v>
      </c>
      <c r="K206" t="s">
        <v>292</v>
      </c>
      <c r="M206" t="s">
        <v>290</v>
      </c>
      <c r="N206" t="s">
        <v>202</v>
      </c>
      <c r="O206" t="s">
        <v>422</v>
      </c>
      <c r="P206" t="s">
        <v>428</v>
      </c>
      <c r="S206" t="s">
        <v>642</v>
      </c>
      <c r="T206" t="s">
        <v>1347</v>
      </c>
      <c r="U206" t="s">
        <v>217</v>
      </c>
      <c r="V206" t="s">
        <v>225</v>
      </c>
      <c r="W206" t="s">
        <v>1877</v>
      </c>
      <c r="X206" t="s">
        <v>2068</v>
      </c>
      <c r="Y206" t="s">
        <v>2784</v>
      </c>
      <c r="Z206" t="s">
        <v>3097</v>
      </c>
      <c r="AA206" t="s">
        <v>3135</v>
      </c>
      <c r="AB206">
        <v>11226</v>
      </c>
      <c r="AC206" t="s">
        <v>3136</v>
      </c>
      <c r="AD206" t="s">
        <v>3328</v>
      </c>
      <c r="AE206">
        <v>0</v>
      </c>
      <c r="AF206" t="s">
        <v>4023</v>
      </c>
      <c r="AG206" t="s">
        <v>4029</v>
      </c>
      <c r="AH206" t="s">
        <v>291</v>
      </c>
      <c r="AK206" t="s">
        <v>4040</v>
      </c>
      <c r="AM206">
        <v>0</v>
      </c>
      <c r="AN206">
        <v>1720</v>
      </c>
      <c r="AO206">
        <v>1.5</v>
      </c>
      <c r="AP206" t="s">
        <v>4052</v>
      </c>
      <c r="AQ206" t="s">
        <v>4256</v>
      </c>
      <c r="AR206" t="s">
        <v>5165</v>
      </c>
      <c r="AS206">
        <v>0</v>
      </c>
      <c r="AT206" t="s">
        <v>5836</v>
      </c>
      <c r="AU206">
        <v>1</v>
      </c>
      <c r="AV206">
        <v>0</v>
      </c>
      <c r="AW206">
        <v>0</v>
      </c>
      <c r="BA206" t="s">
        <v>329</v>
      </c>
      <c r="BB206" t="s">
        <v>1322</v>
      </c>
      <c r="BC206">
        <v>0</v>
      </c>
      <c r="BG206" t="s">
        <v>5891</v>
      </c>
      <c r="BJ206" t="s">
        <v>5945</v>
      </c>
      <c r="BK206" t="s">
        <v>225</v>
      </c>
      <c r="BL206" t="s">
        <v>6056</v>
      </c>
    </row>
    <row r="207" spans="1:64">
      <c r="A207" s="1">
        <f>HYPERLINK("https://lsnyc.legalserver.org/matter/dynamic-profile/view/1909585","19-1909585")</f>
        <v>0</v>
      </c>
      <c r="B207" t="s">
        <v>64</v>
      </c>
      <c r="C207" t="s">
        <v>102</v>
      </c>
      <c r="D207" t="s">
        <v>200</v>
      </c>
      <c r="E207" t="s">
        <v>201</v>
      </c>
      <c r="G207" t="s">
        <v>202</v>
      </c>
      <c r="H207" t="s">
        <v>272</v>
      </c>
      <c r="I207" t="s">
        <v>288</v>
      </c>
      <c r="J207" t="s">
        <v>290</v>
      </c>
      <c r="K207" t="s">
        <v>202</v>
      </c>
      <c r="L207" t="s">
        <v>330</v>
      </c>
      <c r="M207" t="s">
        <v>290</v>
      </c>
      <c r="N207" t="s">
        <v>202</v>
      </c>
      <c r="O207" t="s">
        <v>421</v>
      </c>
      <c r="P207" t="s">
        <v>427</v>
      </c>
      <c r="S207" t="s">
        <v>643</v>
      </c>
      <c r="T207" t="s">
        <v>1091</v>
      </c>
      <c r="U207" t="s">
        <v>230</v>
      </c>
      <c r="W207" t="s">
        <v>1876</v>
      </c>
      <c r="X207" t="s">
        <v>2069</v>
      </c>
      <c r="Y207" t="s">
        <v>2815</v>
      </c>
      <c r="Z207" t="s">
        <v>3097</v>
      </c>
      <c r="AA207" t="s">
        <v>3135</v>
      </c>
      <c r="AB207">
        <v>11230</v>
      </c>
      <c r="AC207" t="s">
        <v>3136</v>
      </c>
      <c r="AD207" t="s">
        <v>3329</v>
      </c>
      <c r="AE207">
        <v>-1</v>
      </c>
      <c r="AG207" t="s">
        <v>4028</v>
      </c>
      <c r="AH207" t="s">
        <v>291</v>
      </c>
      <c r="AI207" t="s">
        <v>291</v>
      </c>
      <c r="AK207" t="s">
        <v>4040</v>
      </c>
      <c r="AL207" t="s">
        <v>4049</v>
      </c>
      <c r="AM207">
        <v>0</v>
      </c>
      <c r="AN207">
        <v>1550</v>
      </c>
      <c r="AO207">
        <v>16.5</v>
      </c>
      <c r="AQ207" t="s">
        <v>4257</v>
      </c>
      <c r="AR207" t="s">
        <v>5166</v>
      </c>
      <c r="AS207">
        <v>0</v>
      </c>
      <c r="AT207" t="s">
        <v>5838</v>
      </c>
      <c r="AU207">
        <v>1</v>
      </c>
      <c r="AV207">
        <v>1</v>
      </c>
      <c r="AW207">
        <v>20.65</v>
      </c>
      <c r="BC207">
        <v>3492</v>
      </c>
      <c r="BG207" t="s">
        <v>102</v>
      </c>
      <c r="BJ207" t="s">
        <v>5948</v>
      </c>
      <c r="BK207" t="s">
        <v>267</v>
      </c>
      <c r="BL207" t="s">
        <v>6057</v>
      </c>
    </row>
    <row r="208" spans="1:64">
      <c r="A208" s="1">
        <f>HYPERLINK("https://lsnyc.legalserver.org/matter/dynamic-profile/view/1909696","19-1909696")</f>
        <v>0</v>
      </c>
      <c r="B208" t="s">
        <v>64</v>
      </c>
      <c r="C208" t="s">
        <v>103</v>
      </c>
      <c r="D208" t="s">
        <v>200</v>
      </c>
      <c r="E208" t="s">
        <v>201</v>
      </c>
      <c r="G208" t="s">
        <v>202</v>
      </c>
      <c r="H208" t="s">
        <v>272</v>
      </c>
      <c r="I208" t="s">
        <v>202</v>
      </c>
      <c r="J208" t="s">
        <v>289</v>
      </c>
      <c r="K208" t="s">
        <v>292</v>
      </c>
      <c r="M208" t="s">
        <v>290</v>
      </c>
      <c r="N208" t="s">
        <v>419</v>
      </c>
      <c r="O208" t="s">
        <v>420</v>
      </c>
      <c r="P208" t="s">
        <v>427</v>
      </c>
      <c r="S208" t="s">
        <v>534</v>
      </c>
      <c r="T208" t="s">
        <v>1348</v>
      </c>
      <c r="U208" t="s">
        <v>264</v>
      </c>
      <c r="W208" t="s">
        <v>1876</v>
      </c>
      <c r="X208" t="s">
        <v>2070</v>
      </c>
      <c r="Z208" t="s">
        <v>3097</v>
      </c>
      <c r="AA208" t="s">
        <v>3135</v>
      </c>
      <c r="AB208">
        <v>11223</v>
      </c>
      <c r="AC208" t="s">
        <v>3136</v>
      </c>
      <c r="AD208" t="s">
        <v>3330</v>
      </c>
      <c r="AE208">
        <v>0</v>
      </c>
      <c r="AG208" t="s">
        <v>4028</v>
      </c>
      <c r="AH208" t="s">
        <v>291</v>
      </c>
      <c r="AK208" t="s">
        <v>4040</v>
      </c>
      <c r="AM208">
        <v>0</v>
      </c>
      <c r="AN208">
        <v>0</v>
      </c>
      <c r="AO208">
        <v>11.2</v>
      </c>
      <c r="AQ208" t="s">
        <v>4258</v>
      </c>
      <c r="AR208" t="s">
        <v>5167</v>
      </c>
      <c r="AS208">
        <v>0</v>
      </c>
      <c r="AU208">
        <v>2</v>
      </c>
      <c r="AV208">
        <v>0</v>
      </c>
      <c r="AW208">
        <v>36.9</v>
      </c>
      <c r="BB208" t="s">
        <v>5859</v>
      </c>
      <c r="BC208">
        <v>6240</v>
      </c>
      <c r="BG208" t="s">
        <v>5894</v>
      </c>
      <c r="BJ208" t="s">
        <v>5951</v>
      </c>
      <c r="BK208" t="s">
        <v>216</v>
      </c>
      <c r="BL208" t="s">
        <v>6056</v>
      </c>
    </row>
    <row r="209" spans="1:64">
      <c r="A209" s="1">
        <f>HYPERLINK("https://lsnyc.legalserver.org/matter/dynamic-profile/view/1905975","19-1905975")</f>
        <v>0</v>
      </c>
      <c r="B209" t="s">
        <v>64</v>
      </c>
      <c r="C209" t="s">
        <v>104</v>
      </c>
      <c r="D209" t="s">
        <v>200</v>
      </c>
      <c r="E209" t="s">
        <v>202</v>
      </c>
      <c r="F209" t="s">
        <v>213</v>
      </c>
      <c r="G209" t="s">
        <v>202</v>
      </c>
      <c r="H209" t="s">
        <v>272</v>
      </c>
      <c r="I209" t="s">
        <v>202</v>
      </c>
      <c r="J209" t="s">
        <v>289</v>
      </c>
      <c r="K209" t="s">
        <v>292</v>
      </c>
      <c r="M209" t="s">
        <v>290</v>
      </c>
      <c r="N209" t="s">
        <v>202</v>
      </c>
      <c r="O209" t="s">
        <v>421</v>
      </c>
      <c r="P209" t="s">
        <v>427</v>
      </c>
      <c r="S209" t="s">
        <v>644</v>
      </c>
      <c r="T209" t="s">
        <v>1349</v>
      </c>
      <c r="U209" t="s">
        <v>250</v>
      </c>
      <c r="W209" t="s">
        <v>1876</v>
      </c>
      <c r="X209" t="s">
        <v>2071</v>
      </c>
      <c r="Y209" t="s">
        <v>2886</v>
      </c>
      <c r="Z209" t="s">
        <v>3097</v>
      </c>
      <c r="AA209" t="s">
        <v>3135</v>
      </c>
      <c r="AB209">
        <v>11212</v>
      </c>
      <c r="AD209" t="s">
        <v>3331</v>
      </c>
      <c r="AE209">
        <v>0</v>
      </c>
      <c r="AG209" t="s">
        <v>4028</v>
      </c>
      <c r="AH209" t="s">
        <v>291</v>
      </c>
      <c r="AK209" t="s">
        <v>4040</v>
      </c>
      <c r="AM209">
        <v>0</v>
      </c>
      <c r="AN209">
        <v>482</v>
      </c>
      <c r="AO209">
        <v>2.6</v>
      </c>
      <c r="AQ209" t="s">
        <v>4259</v>
      </c>
      <c r="AS209">
        <v>0</v>
      </c>
      <c r="AU209">
        <v>1</v>
      </c>
      <c r="AV209">
        <v>0</v>
      </c>
      <c r="AW209">
        <v>124.9</v>
      </c>
      <c r="BB209" t="s">
        <v>1322</v>
      </c>
      <c r="BC209">
        <v>15600</v>
      </c>
      <c r="BG209" t="s">
        <v>5890</v>
      </c>
      <c r="BJ209" t="s">
        <v>5959</v>
      </c>
      <c r="BK209" t="s">
        <v>218</v>
      </c>
      <c r="BL209" t="s">
        <v>6056</v>
      </c>
    </row>
    <row r="210" spans="1:64">
      <c r="A210" s="1">
        <f>HYPERLINK("https://lsnyc.legalserver.org/matter/dynamic-profile/view/1908125","19-1908125")</f>
        <v>0</v>
      </c>
      <c r="B210" t="s">
        <v>64</v>
      </c>
      <c r="C210" t="s">
        <v>102</v>
      </c>
      <c r="D210" t="s">
        <v>200</v>
      </c>
      <c r="E210" t="s">
        <v>201</v>
      </c>
      <c r="G210" t="s">
        <v>202</v>
      </c>
      <c r="H210" t="s">
        <v>272</v>
      </c>
      <c r="I210" t="s">
        <v>202</v>
      </c>
      <c r="J210" t="s">
        <v>289</v>
      </c>
      <c r="K210" t="s">
        <v>292</v>
      </c>
      <c r="M210" t="s">
        <v>290</v>
      </c>
      <c r="N210" t="s">
        <v>202</v>
      </c>
      <c r="O210" t="s">
        <v>421</v>
      </c>
      <c r="P210" t="s">
        <v>427</v>
      </c>
      <c r="S210" t="s">
        <v>480</v>
      </c>
      <c r="T210" t="s">
        <v>1350</v>
      </c>
      <c r="U210" t="s">
        <v>1874</v>
      </c>
      <c r="W210" t="s">
        <v>1876</v>
      </c>
      <c r="X210" t="s">
        <v>2072</v>
      </c>
      <c r="Y210" t="s">
        <v>2830</v>
      </c>
      <c r="Z210" t="s">
        <v>3097</v>
      </c>
      <c r="AA210" t="s">
        <v>3135</v>
      </c>
      <c r="AB210">
        <v>11225</v>
      </c>
      <c r="AC210" t="s">
        <v>3137</v>
      </c>
      <c r="AD210" t="s">
        <v>3332</v>
      </c>
      <c r="AE210">
        <v>0</v>
      </c>
      <c r="AG210" t="s">
        <v>4029</v>
      </c>
      <c r="AH210" t="s">
        <v>291</v>
      </c>
      <c r="AI210" t="s">
        <v>291</v>
      </c>
      <c r="AK210" t="s">
        <v>4040</v>
      </c>
      <c r="AM210">
        <v>0</v>
      </c>
      <c r="AN210">
        <v>0</v>
      </c>
      <c r="AO210">
        <v>1.5</v>
      </c>
      <c r="AQ210" t="s">
        <v>4260</v>
      </c>
      <c r="AR210" t="s">
        <v>5168</v>
      </c>
      <c r="AS210">
        <v>0</v>
      </c>
      <c r="AU210">
        <v>1</v>
      </c>
      <c r="AV210">
        <v>0</v>
      </c>
      <c r="AW210">
        <v>0</v>
      </c>
      <c r="BB210" t="s">
        <v>1322</v>
      </c>
      <c r="BC210">
        <v>0</v>
      </c>
      <c r="BG210" t="s">
        <v>5892</v>
      </c>
      <c r="BJ210" t="s">
        <v>5965</v>
      </c>
      <c r="BK210" t="s">
        <v>230</v>
      </c>
      <c r="BL210" t="s">
        <v>6056</v>
      </c>
    </row>
    <row r="211" spans="1:64">
      <c r="A211" s="1">
        <f>HYPERLINK("https://lsnyc.legalserver.org/matter/dynamic-profile/view/1908693","19-1908693")</f>
        <v>0</v>
      </c>
      <c r="B211" t="s">
        <v>64</v>
      </c>
      <c r="C211" t="s">
        <v>102</v>
      </c>
      <c r="D211" t="s">
        <v>200</v>
      </c>
      <c r="E211" t="s">
        <v>201</v>
      </c>
      <c r="G211" t="s">
        <v>202</v>
      </c>
      <c r="H211" t="s">
        <v>272</v>
      </c>
      <c r="I211" t="s">
        <v>202</v>
      </c>
      <c r="J211" t="s">
        <v>289</v>
      </c>
      <c r="K211" t="s">
        <v>292</v>
      </c>
      <c r="M211" t="s">
        <v>290</v>
      </c>
      <c r="N211" t="s">
        <v>202</v>
      </c>
      <c r="O211" t="s">
        <v>421</v>
      </c>
      <c r="P211" t="s">
        <v>427</v>
      </c>
      <c r="S211" t="s">
        <v>645</v>
      </c>
      <c r="T211" t="s">
        <v>1351</v>
      </c>
      <c r="U211" t="s">
        <v>252</v>
      </c>
      <c r="W211" t="s">
        <v>1876</v>
      </c>
      <c r="X211" t="s">
        <v>1894</v>
      </c>
      <c r="Y211" t="s">
        <v>2843</v>
      </c>
      <c r="Z211" t="s">
        <v>3097</v>
      </c>
      <c r="AA211" t="s">
        <v>3135</v>
      </c>
      <c r="AB211">
        <v>11221</v>
      </c>
      <c r="AC211" t="s">
        <v>3137</v>
      </c>
      <c r="AD211" t="s">
        <v>3333</v>
      </c>
      <c r="AE211">
        <v>0</v>
      </c>
      <c r="AG211" t="s">
        <v>4029</v>
      </c>
      <c r="AH211" t="s">
        <v>291</v>
      </c>
      <c r="AI211" t="s">
        <v>291</v>
      </c>
      <c r="AK211" t="s">
        <v>4040</v>
      </c>
      <c r="AM211">
        <v>0</v>
      </c>
      <c r="AN211">
        <v>0</v>
      </c>
      <c r="AO211">
        <v>0.5</v>
      </c>
      <c r="AQ211" t="s">
        <v>4182</v>
      </c>
      <c r="AR211" t="s">
        <v>5169</v>
      </c>
      <c r="AS211">
        <v>0</v>
      </c>
      <c r="AU211">
        <v>1</v>
      </c>
      <c r="AV211">
        <v>1</v>
      </c>
      <c r="AW211">
        <v>153.76</v>
      </c>
      <c r="BB211" t="s">
        <v>1322</v>
      </c>
      <c r="BC211">
        <v>26000</v>
      </c>
      <c r="BG211" t="s">
        <v>5892</v>
      </c>
      <c r="BJ211" t="s">
        <v>5951</v>
      </c>
      <c r="BK211" t="s">
        <v>252</v>
      </c>
      <c r="BL211" t="s">
        <v>6056</v>
      </c>
    </row>
    <row r="212" spans="1:64">
      <c r="A212" s="1">
        <f>HYPERLINK("https://lsnyc.legalserver.org/matter/dynamic-profile/view/1908785","19-1908785")</f>
        <v>0</v>
      </c>
      <c r="B212" t="s">
        <v>64</v>
      </c>
      <c r="C212" t="s">
        <v>102</v>
      </c>
      <c r="D212" t="s">
        <v>200</v>
      </c>
      <c r="E212" t="s">
        <v>201</v>
      </c>
      <c r="G212" t="s">
        <v>202</v>
      </c>
      <c r="H212" t="s">
        <v>271</v>
      </c>
      <c r="I212" t="s">
        <v>202</v>
      </c>
      <c r="J212" t="s">
        <v>289</v>
      </c>
      <c r="K212" t="s">
        <v>292</v>
      </c>
      <c r="M212" t="s">
        <v>290</v>
      </c>
      <c r="N212" t="s">
        <v>202</v>
      </c>
      <c r="O212" t="s">
        <v>421</v>
      </c>
      <c r="P212" t="s">
        <v>427</v>
      </c>
      <c r="S212" t="s">
        <v>646</v>
      </c>
      <c r="T212" t="s">
        <v>1352</v>
      </c>
      <c r="U212" t="s">
        <v>219</v>
      </c>
      <c r="W212" t="s">
        <v>1876</v>
      </c>
      <c r="X212" t="s">
        <v>2073</v>
      </c>
      <c r="Y212" t="s">
        <v>2833</v>
      </c>
      <c r="Z212" t="s">
        <v>3097</v>
      </c>
      <c r="AA212" t="s">
        <v>3135</v>
      </c>
      <c r="AB212">
        <v>11221</v>
      </c>
      <c r="AC212" t="s">
        <v>3137</v>
      </c>
      <c r="AD212" t="s">
        <v>3334</v>
      </c>
      <c r="AE212">
        <v>0</v>
      </c>
      <c r="AG212" t="s">
        <v>4029</v>
      </c>
      <c r="AH212" t="s">
        <v>291</v>
      </c>
      <c r="AI212" t="s">
        <v>291</v>
      </c>
      <c r="AK212" t="s">
        <v>4040</v>
      </c>
      <c r="AM212">
        <v>0</v>
      </c>
      <c r="AN212">
        <v>0</v>
      </c>
      <c r="AO212">
        <v>0.5</v>
      </c>
      <c r="AQ212" t="s">
        <v>4261</v>
      </c>
      <c r="AR212" t="s">
        <v>5170</v>
      </c>
      <c r="AS212">
        <v>0</v>
      </c>
      <c r="AU212">
        <v>2</v>
      </c>
      <c r="AV212">
        <v>1</v>
      </c>
      <c r="AW212">
        <v>170.65</v>
      </c>
      <c r="BB212" t="s">
        <v>1322</v>
      </c>
      <c r="BC212">
        <v>36400</v>
      </c>
      <c r="BG212" t="s">
        <v>5892</v>
      </c>
      <c r="BJ212" t="s">
        <v>5949</v>
      </c>
      <c r="BK212" t="s">
        <v>263</v>
      </c>
      <c r="BL212" t="s">
        <v>6056</v>
      </c>
    </row>
    <row r="213" spans="1:64">
      <c r="A213" s="1">
        <f>HYPERLINK("https://lsnyc.legalserver.org/matter/dynamic-profile/view/1908690","19-1908690")</f>
        <v>0</v>
      </c>
      <c r="B213" t="s">
        <v>64</v>
      </c>
      <c r="C213" t="s">
        <v>102</v>
      </c>
      <c r="D213" t="s">
        <v>200</v>
      </c>
      <c r="E213" t="s">
        <v>201</v>
      </c>
      <c r="G213" t="s">
        <v>202</v>
      </c>
      <c r="H213" t="s">
        <v>271</v>
      </c>
      <c r="I213" t="s">
        <v>202</v>
      </c>
      <c r="J213" t="s">
        <v>289</v>
      </c>
      <c r="K213" t="s">
        <v>292</v>
      </c>
      <c r="M213" t="s">
        <v>290</v>
      </c>
      <c r="N213" t="s">
        <v>202</v>
      </c>
      <c r="O213" t="s">
        <v>421</v>
      </c>
      <c r="P213" t="s">
        <v>427</v>
      </c>
      <c r="S213" t="s">
        <v>647</v>
      </c>
      <c r="T213" t="s">
        <v>1353</v>
      </c>
      <c r="U213" t="s">
        <v>252</v>
      </c>
      <c r="W213" t="s">
        <v>1876</v>
      </c>
      <c r="X213" t="s">
        <v>1916</v>
      </c>
      <c r="Y213">
        <v>1</v>
      </c>
      <c r="Z213" t="s">
        <v>3097</v>
      </c>
      <c r="AA213" t="s">
        <v>3135</v>
      </c>
      <c r="AB213">
        <v>11221</v>
      </c>
      <c r="AC213" t="s">
        <v>3137</v>
      </c>
      <c r="AD213" t="s">
        <v>3183</v>
      </c>
      <c r="AE213">
        <v>0</v>
      </c>
      <c r="AG213" t="s">
        <v>4029</v>
      </c>
      <c r="AH213" t="s">
        <v>291</v>
      </c>
      <c r="AI213" t="s">
        <v>291</v>
      </c>
      <c r="AK213" t="s">
        <v>4040</v>
      </c>
      <c r="AM213">
        <v>0</v>
      </c>
      <c r="AN213">
        <v>0</v>
      </c>
      <c r="AO213">
        <v>12.25</v>
      </c>
      <c r="AQ213" t="s">
        <v>4262</v>
      </c>
      <c r="AR213" t="s">
        <v>5171</v>
      </c>
      <c r="AS213">
        <v>0</v>
      </c>
      <c r="AU213">
        <v>2</v>
      </c>
      <c r="AV213">
        <v>0</v>
      </c>
      <c r="AW213">
        <v>76.88</v>
      </c>
      <c r="BB213" t="s">
        <v>5859</v>
      </c>
      <c r="BC213">
        <v>13000</v>
      </c>
      <c r="BG213" t="s">
        <v>5892</v>
      </c>
      <c r="BJ213" t="s">
        <v>5949</v>
      </c>
      <c r="BK213" t="s">
        <v>222</v>
      </c>
      <c r="BL213" t="s">
        <v>6056</v>
      </c>
    </row>
    <row r="214" spans="1:64">
      <c r="A214" s="1">
        <f>HYPERLINK("https://lsnyc.legalserver.org/matter/dynamic-profile/view/1906334","19-1906334")</f>
        <v>0</v>
      </c>
      <c r="B214" t="s">
        <v>64</v>
      </c>
      <c r="C214" t="s">
        <v>102</v>
      </c>
      <c r="D214" t="s">
        <v>200</v>
      </c>
      <c r="E214" t="s">
        <v>201</v>
      </c>
      <c r="G214" t="s">
        <v>202</v>
      </c>
      <c r="H214" t="s">
        <v>272</v>
      </c>
      <c r="I214" t="s">
        <v>202</v>
      </c>
      <c r="J214" t="s">
        <v>289</v>
      </c>
      <c r="K214" t="s">
        <v>292</v>
      </c>
      <c r="M214" t="s">
        <v>290</v>
      </c>
      <c r="N214" t="s">
        <v>202</v>
      </c>
      <c r="O214" t="s">
        <v>421</v>
      </c>
      <c r="P214" t="s">
        <v>427</v>
      </c>
      <c r="S214" t="s">
        <v>595</v>
      </c>
      <c r="T214" t="s">
        <v>1354</v>
      </c>
      <c r="U214" t="s">
        <v>249</v>
      </c>
      <c r="W214" t="s">
        <v>1876</v>
      </c>
      <c r="X214" t="s">
        <v>2074</v>
      </c>
      <c r="Y214" t="s">
        <v>2835</v>
      </c>
      <c r="Z214" t="s">
        <v>3097</v>
      </c>
      <c r="AA214" t="s">
        <v>3135</v>
      </c>
      <c r="AB214">
        <v>11225</v>
      </c>
      <c r="AC214" t="s">
        <v>3137</v>
      </c>
      <c r="AD214" t="s">
        <v>3335</v>
      </c>
      <c r="AE214">
        <v>35</v>
      </c>
      <c r="AG214" t="s">
        <v>4029</v>
      </c>
      <c r="AH214" t="s">
        <v>291</v>
      </c>
      <c r="AI214" t="s">
        <v>291</v>
      </c>
      <c r="AK214" t="s">
        <v>4040</v>
      </c>
      <c r="AM214">
        <v>0</v>
      </c>
      <c r="AN214">
        <v>852</v>
      </c>
      <c r="AO214">
        <v>7</v>
      </c>
      <c r="AQ214" t="s">
        <v>4263</v>
      </c>
      <c r="AR214" t="s">
        <v>5172</v>
      </c>
      <c r="AS214">
        <v>20</v>
      </c>
      <c r="AU214">
        <v>1</v>
      </c>
      <c r="AV214">
        <v>0</v>
      </c>
      <c r="AW214">
        <v>208.17</v>
      </c>
      <c r="AX214" t="s">
        <v>221</v>
      </c>
      <c r="AY214" t="s">
        <v>5849</v>
      </c>
      <c r="BA214" t="s">
        <v>329</v>
      </c>
      <c r="BB214" t="s">
        <v>1322</v>
      </c>
      <c r="BC214">
        <v>26000</v>
      </c>
      <c r="BG214" t="s">
        <v>5894</v>
      </c>
      <c r="BJ214" t="s">
        <v>5949</v>
      </c>
      <c r="BK214" t="s">
        <v>218</v>
      </c>
      <c r="BL214" t="s">
        <v>6056</v>
      </c>
    </row>
    <row r="215" spans="1:64">
      <c r="A215" s="1">
        <f>HYPERLINK("https://lsnyc.legalserver.org/matter/dynamic-profile/view/1908575","19-1908575")</f>
        <v>0</v>
      </c>
      <c r="B215" t="s">
        <v>65</v>
      </c>
      <c r="C215" t="s">
        <v>105</v>
      </c>
      <c r="D215" t="s">
        <v>200</v>
      </c>
      <c r="E215" t="s">
        <v>201</v>
      </c>
      <c r="G215" t="s">
        <v>202</v>
      </c>
      <c r="H215" t="s">
        <v>271</v>
      </c>
      <c r="I215" t="s">
        <v>288</v>
      </c>
      <c r="J215" t="s">
        <v>290</v>
      </c>
      <c r="K215" t="s">
        <v>292</v>
      </c>
      <c r="M215" t="s">
        <v>290</v>
      </c>
      <c r="N215" t="s">
        <v>202</v>
      </c>
      <c r="O215" t="s">
        <v>421</v>
      </c>
      <c r="P215" t="s">
        <v>427</v>
      </c>
      <c r="S215" t="s">
        <v>648</v>
      </c>
      <c r="T215" t="s">
        <v>1355</v>
      </c>
      <c r="U215" t="s">
        <v>237</v>
      </c>
      <c r="W215" t="s">
        <v>1876</v>
      </c>
      <c r="X215" t="s">
        <v>2075</v>
      </c>
      <c r="Y215" t="s">
        <v>2790</v>
      </c>
      <c r="Z215" t="s">
        <v>3098</v>
      </c>
      <c r="AA215" t="s">
        <v>3135</v>
      </c>
      <c r="AB215">
        <v>10467</v>
      </c>
      <c r="AD215" t="s">
        <v>3336</v>
      </c>
      <c r="AE215">
        <v>1</v>
      </c>
      <c r="AG215" t="s">
        <v>4030</v>
      </c>
      <c r="AH215" t="s">
        <v>291</v>
      </c>
      <c r="AK215" t="s">
        <v>4040</v>
      </c>
      <c r="AL215" t="s">
        <v>4046</v>
      </c>
      <c r="AM215">
        <v>0</v>
      </c>
      <c r="AN215">
        <v>500</v>
      </c>
      <c r="AO215">
        <v>1.4</v>
      </c>
      <c r="AQ215" t="s">
        <v>4264</v>
      </c>
      <c r="AR215" t="s">
        <v>5173</v>
      </c>
      <c r="AS215">
        <v>3</v>
      </c>
      <c r="AT215" t="s">
        <v>5835</v>
      </c>
      <c r="AU215">
        <v>1</v>
      </c>
      <c r="AV215">
        <v>0</v>
      </c>
      <c r="AW215">
        <v>90.89</v>
      </c>
      <c r="BB215" t="s">
        <v>1322</v>
      </c>
      <c r="BC215">
        <v>11352</v>
      </c>
      <c r="BG215" t="s">
        <v>5898</v>
      </c>
      <c r="BJ215" t="s">
        <v>5993</v>
      </c>
      <c r="BK215" t="s">
        <v>234</v>
      </c>
    </row>
    <row r="216" spans="1:64">
      <c r="A216" s="1">
        <f>HYPERLINK("https://lsnyc.legalserver.org/matter/dynamic-profile/view/1906675","19-1906675")</f>
        <v>0</v>
      </c>
      <c r="B216" t="s">
        <v>65</v>
      </c>
      <c r="C216" t="s">
        <v>106</v>
      </c>
      <c r="D216" t="s">
        <v>200</v>
      </c>
      <c r="E216" t="s">
        <v>202</v>
      </c>
      <c r="F216" t="s">
        <v>218</v>
      </c>
      <c r="G216" t="s">
        <v>202</v>
      </c>
      <c r="H216" t="s">
        <v>271</v>
      </c>
      <c r="I216" t="s">
        <v>202</v>
      </c>
      <c r="J216" t="s">
        <v>289</v>
      </c>
      <c r="K216" t="s">
        <v>292</v>
      </c>
      <c r="M216" t="s">
        <v>290</v>
      </c>
      <c r="N216" t="s">
        <v>202</v>
      </c>
      <c r="O216" t="s">
        <v>422</v>
      </c>
      <c r="P216" t="s">
        <v>428</v>
      </c>
      <c r="S216" t="s">
        <v>649</v>
      </c>
      <c r="T216" t="s">
        <v>1245</v>
      </c>
      <c r="U216" t="s">
        <v>241</v>
      </c>
      <c r="V216" t="s">
        <v>218</v>
      </c>
      <c r="W216" t="s">
        <v>1877</v>
      </c>
      <c r="X216" t="s">
        <v>2076</v>
      </c>
      <c r="Y216">
        <v>2</v>
      </c>
      <c r="Z216" t="s">
        <v>3098</v>
      </c>
      <c r="AA216" t="s">
        <v>3135</v>
      </c>
      <c r="AB216">
        <v>10473</v>
      </c>
      <c r="AD216" t="s">
        <v>3337</v>
      </c>
      <c r="AE216">
        <v>1</v>
      </c>
      <c r="AF216" t="s">
        <v>4023</v>
      </c>
      <c r="AG216" t="s">
        <v>4031</v>
      </c>
      <c r="AH216" t="s">
        <v>291</v>
      </c>
      <c r="AI216" t="s">
        <v>291</v>
      </c>
      <c r="AK216" t="s">
        <v>4040</v>
      </c>
      <c r="AL216" t="s">
        <v>4046</v>
      </c>
      <c r="AM216">
        <v>0</v>
      </c>
      <c r="AN216">
        <v>800</v>
      </c>
      <c r="AO216">
        <v>0.5</v>
      </c>
      <c r="AP216" t="s">
        <v>4052</v>
      </c>
      <c r="AQ216" t="s">
        <v>4265</v>
      </c>
      <c r="AS216">
        <v>0</v>
      </c>
      <c r="AT216" t="s">
        <v>5842</v>
      </c>
      <c r="AU216">
        <v>1</v>
      </c>
      <c r="AV216">
        <v>0</v>
      </c>
      <c r="AW216">
        <v>83.11</v>
      </c>
      <c r="BA216" t="s">
        <v>5852</v>
      </c>
      <c r="BB216" t="s">
        <v>5859</v>
      </c>
      <c r="BC216">
        <v>10380</v>
      </c>
      <c r="BG216" t="s">
        <v>140</v>
      </c>
      <c r="BJ216" t="s">
        <v>5944</v>
      </c>
      <c r="BK216" t="s">
        <v>218</v>
      </c>
      <c r="BL216" t="s">
        <v>6056</v>
      </c>
    </row>
    <row r="217" spans="1:64">
      <c r="A217" s="1">
        <f>HYPERLINK("https://lsnyc.legalserver.org/matter/dynamic-profile/view/1908847","19-1908847")</f>
        <v>0</v>
      </c>
      <c r="B217" t="s">
        <v>65</v>
      </c>
      <c r="C217" t="s">
        <v>107</v>
      </c>
      <c r="D217" t="s">
        <v>200</v>
      </c>
      <c r="E217" t="s">
        <v>202</v>
      </c>
      <c r="F217" t="s">
        <v>219</v>
      </c>
      <c r="G217" t="s">
        <v>202</v>
      </c>
      <c r="H217" t="s">
        <v>272</v>
      </c>
      <c r="I217" t="s">
        <v>202</v>
      </c>
      <c r="J217" t="s">
        <v>289</v>
      </c>
      <c r="K217" t="s">
        <v>292</v>
      </c>
      <c r="M217" t="s">
        <v>290</v>
      </c>
      <c r="N217" t="s">
        <v>202</v>
      </c>
      <c r="O217" t="s">
        <v>421</v>
      </c>
      <c r="P217" t="s">
        <v>427</v>
      </c>
      <c r="S217" t="s">
        <v>582</v>
      </c>
      <c r="T217" t="s">
        <v>1238</v>
      </c>
      <c r="U217" t="s">
        <v>219</v>
      </c>
      <c r="W217" t="s">
        <v>1876</v>
      </c>
      <c r="X217" t="s">
        <v>2077</v>
      </c>
      <c r="Y217">
        <v>7</v>
      </c>
      <c r="Z217" t="s">
        <v>3098</v>
      </c>
      <c r="AA217" t="s">
        <v>3135</v>
      </c>
      <c r="AB217">
        <v>10467</v>
      </c>
      <c r="AC217" t="s">
        <v>3139</v>
      </c>
      <c r="AD217" t="s">
        <v>3338</v>
      </c>
      <c r="AE217">
        <v>4</v>
      </c>
      <c r="AG217" t="s">
        <v>4030</v>
      </c>
      <c r="AH217" t="s">
        <v>291</v>
      </c>
      <c r="AI217" t="s">
        <v>291</v>
      </c>
      <c r="AK217" t="s">
        <v>4040</v>
      </c>
      <c r="AM217">
        <v>0</v>
      </c>
      <c r="AN217">
        <v>0</v>
      </c>
      <c r="AO217">
        <v>1</v>
      </c>
      <c r="AQ217" t="s">
        <v>4266</v>
      </c>
      <c r="AR217" t="s">
        <v>5174</v>
      </c>
      <c r="AS217">
        <v>7</v>
      </c>
      <c r="AT217" t="s">
        <v>5836</v>
      </c>
      <c r="AU217">
        <v>2</v>
      </c>
      <c r="AV217">
        <v>3</v>
      </c>
      <c r="AW217">
        <v>92.18000000000001</v>
      </c>
      <c r="BA217" t="s">
        <v>5853</v>
      </c>
      <c r="BB217" t="s">
        <v>1322</v>
      </c>
      <c r="BC217">
        <v>27812</v>
      </c>
      <c r="BG217" t="s">
        <v>5899</v>
      </c>
      <c r="BJ217" t="s">
        <v>5962</v>
      </c>
      <c r="BK217" t="s">
        <v>238</v>
      </c>
      <c r="BL217" t="s">
        <v>6056</v>
      </c>
    </row>
    <row r="218" spans="1:64">
      <c r="A218" s="1">
        <f>HYPERLINK("https://lsnyc.legalserver.org/matter/dynamic-profile/view/1907434","19-1907434")</f>
        <v>0</v>
      </c>
      <c r="B218" t="s">
        <v>65</v>
      </c>
      <c r="C218" t="s">
        <v>106</v>
      </c>
      <c r="D218" t="s">
        <v>200</v>
      </c>
      <c r="E218" t="s">
        <v>202</v>
      </c>
      <c r="F218" t="s">
        <v>220</v>
      </c>
      <c r="G218" t="s">
        <v>202</v>
      </c>
      <c r="H218" t="s">
        <v>271</v>
      </c>
      <c r="I218" t="s">
        <v>202</v>
      </c>
      <c r="J218" t="s">
        <v>289</v>
      </c>
      <c r="K218" t="s">
        <v>292</v>
      </c>
      <c r="M218" t="s">
        <v>290</v>
      </c>
      <c r="N218" t="s">
        <v>202</v>
      </c>
      <c r="O218" t="s">
        <v>422</v>
      </c>
      <c r="P218" t="s">
        <v>428</v>
      </c>
      <c r="S218" t="s">
        <v>650</v>
      </c>
      <c r="T218" t="s">
        <v>1356</v>
      </c>
      <c r="U218" t="s">
        <v>220</v>
      </c>
      <c r="V218" t="s">
        <v>256</v>
      </c>
      <c r="W218" t="s">
        <v>1877</v>
      </c>
      <c r="X218" t="s">
        <v>2078</v>
      </c>
      <c r="Y218" t="s">
        <v>2887</v>
      </c>
      <c r="Z218" t="s">
        <v>3098</v>
      </c>
      <c r="AA218" t="s">
        <v>3135</v>
      </c>
      <c r="AB218">
        <v>10474</v>
      </c>
      <c r="AC218" t="s">
        <v>3139</v>
      </c>
      <c r="AD218" t="s">
        <v>3339</v>
      </c>
      <c r="AE218">
        <v>3</v>
      </c>
      <c r="AF218" t="s">
        <v>4023</v>
      </c>
      <c r="AG218" t="s">
        <v>4031</v>
      </c>
      <c r="AH218" t="s">
        <v>291</v>
      </c>
      <c r="AI218" t="s">
        <v>291</v>
      </c>
      <c r="AK218" t="s">
        <v>4040</v>
      </c>
      <c r="AM218">
        <v>0</v>
      </c>
      <c r="AN218">
        <v>1316</v>
      </c>
      <c r="AO218">
        <v>1</v>
      </c>
      <c r="AP218" t="s">
        <v>4052</v>
      </c>
      <c r="AQ218" t="s">
        <v>4267</v>
      </c>
      <c r="AR218" t="s">
        <v>5175</v>
      </c>
      <c r="AS218">
        <v>44</v>
      </c>
      <c r="AT218" t="s">
        <v>5838</v>
      </c>
      <c r="AU218">
        <v>1</v>
      </c>
      <c r="AV218">
        <v>2</v>
      </c>
      <c r="AW218">
        <v>183.45</v>
      </c>
      <c r="BB218" t="s">
        <v>1322</v>
      </c>
      <c r="BC218">
        <v>39130</v>
      </c>
      <c r="BG218" t="s">
        <v>140</v>
      </c>
      <c r="BJ218" t="s">
        <v>5949</v>
      </c>
      <c r="BK218" t="s">
        <v>256</v>
      </c>
      <c r="BL218" t="s">
        <v>6056</v>
      </c>
    </row>
    <row r="219" spans="1:64">
      <c r="A219" s="1">
        <f>HYPERLINK("https://lsnyc.legalserver.org/matter/dynamic-profile/view/1905337","19-1905337")</f>
        <v>0</v>
      </c>
      <c r="B219" t="s">
        <v>65</v>
      </c>
      <c r="C219" t="s">
        <v>108</v>
      </c>
      <c r="D219" t="s">
        <v>200</v>
      </c>
      <c r="E219" t="s">
        <v>202</v>
      </c>
      <c r="F219" t="s">
        <v>218</v>
      </c>
      <c r="G219" t="s">
        <v>202</v>
      </c>
      <c r="H219" t="s">
        <v>272</v>
      </c>
      <c r="I219" t="s">
        <v>202</v>
      </c>
      <c r="J219" t="s">
        <v>289</v>
      </c>
      <c r="K219" t="s">
        <v>292</v>
      </c>
      <c r="M219" t="s">
        <v>290</v>
      </c>
      <c r="N219" t="s">
        <v>202</v>
      </c>
      <c r="O219" t="s">
        <v>421</v>
      </c>
      <c r="P219" t="s">
        <v>427</v>
      </c>
      <c r="S219" t="s">
        <v>651</v>
      </c>
      <c r="T219" t="s">
        <v>1357</v>
      </c>
      <c r="U219" t="s">
        <v>214</v>
      </c>
      <c r="W219" t="s">
        <v>1876</v>
      </c>
      <c r="X219" t="s">
        <v>2079</v>
      </c>
      <c r="Y219" t="s">
        <v>2812</v>
      </c>
      <c r="Z219" t="s">
        <v>3098</v>
      </c>
      <c r="AA219" t="s">
        <v>3135</v>
      </c>
      <c r="AB219">
        <v>10462</v>
      </c>
      <c r="AC219" t="s">
        <v>3139</v>
      </c>
      <c r="AD219" t="s">
        <v>3340</v>
      </c>
      <c r="AE219">
        <v>8</v>
      </c>
      <c r="AG219" t="s">
        <v>4030</v>
      </c>
      <c r="AH219" t="s">
        <v>291</v>
      </c>
      <c r="AI219" t="s">
        <v>291</v>
      </c>
      <c r="AK219" t="s">
        <v>4040</v>
      </c>
      <c r="AL219" t="s">
        <v>4049</v>
      </c>
      <c r="AM219">
        <v>0</v>
      </c>
      <c r="AN219">
        <v>1900</v>
      </c>
      <c r="AO219">
        <v>8.300000000000001</v>
      </c>
      <c r="AQ219" t="s">
        <v>4268</v>
      </c>
      <c r="AR219" t="s">
        <v>5176</v>
      </c>
      <c r="AS219">
        <v>122</v>
      </c>
      <c r="AT219" t="s">
        <v>5838</v>
      </c>
      <c r="AU219">
        <v>2</v>
      </c>
      <c r="AV219">
        <v>1</v>
      </c>
      <c r="AW219">
        <v>281.29</v>
      </c>
      <c r="AX219" t="s">
        <v>228</v>
      </c>
      <c r="AY219" t="s">
        <v>5849</v>
      </c>
      <c r="BA219" t="s">
        <v>329</v>
      </c>
      <c r="BB219" t="s">
        <v>1322</v>
      </c>
      <c r="BC219">
        <v>60000</v>
      </c>
      <c r="BG219" t="s">
        <v>5898</v>
      </c>
      <c r="BJ219" t="s">
        <v>5949</v>
      </c>
      <c r="BK219" t="s">
        <v>206</v>
      </c>
      <c r="BL219" t="s">
        <v>6056</v>
      </c>
    </row>
    <row r="220" spans="1:64">
      <c r="A220" s="1">
        <f>HYPERLINK("https://lsnyc.legalserver.org/matter/dynamic-profile/view/1908554","19-1908554")</f>
        <v>0</v>
      </c>
      <c r="B220" t="s">
        <v>65</v>
      </c>
      <c r="C220" t="s">
        <v>107</v>
      </c>
      <c r="D220" t="s">
        <v>200</v>
      </c>
      <c r="E220" t="s">
        <v>201</v>
      </c>
      <c r="G220" t="s">
        <v>202</v>
      </c>
      <c r="H220" t="s">
        <v>272</v>
      </c>
      <c r="I220" t="s">
        <v>202</v>
      </c>
      <c r="J220" t="s">
        <v>289</v>
      </c>
      <c r="K220" t="s">
        <v>292</v>
      </c>
      <c r="M220" t="s">
        <v>290</v>
      </c>
      <c r="N220" t="s">
        <v>419</v>
      </c>
      <c r="P220" t="s">
        <v>427</v>
      </c>
      <c r="S220" t="s">
        <v>652</v>
      </c>
      <c r="T220" t="s">
        <v>1358</v>
      </c>
      <c r="U220" t="s">
        <v>237</v>
      </c>
      <c r="W220" t="s">
        <v>1876</v>
      </c>
      <c r="X220" t="s">
        <v>2080</v>
      </c>
      <c r="Y220" t="s">
        <v>2785</v>
      </c>
      <c r="Z220" t="s">
        <v>3098</v>
      </c>
      <c r="AA220" t="s">
        <v>3135</v>
      </c>
      <c r="AB220">
        <v>10468</v>
      </c>
      <c r="AC220" t="s">
        <v>3139</v>
      </c>
      <c r="AD220" t="s">
        <v>3341</v>
      </c>
      <c r="AE220">
        <v>5</v>
      </c>
      <c r="AG220" t="s">
        <v>4030</v>
      </c>
      <c r="AH220" t="s">
        <v>291</v>
      </c>
      <c r="AI220" t="s">
        <v>291</v>
      </c>
      <c r="AK220" t="s">
        <v>4040</v>
      </c>
      <c r="AM220">
        <v>0</v>
      </c>
      <c r="AN220">
        <v>1350</v>
      </c>
      <c r="AO220">
        <v>1</v>
      </c>
      <c r="AQ220" t="s">
        <v>4269</v>
      </c>
      <c r="AR220" t="s">
        <v>5177</v>
      </c>
      <c r="AS220">
        <v>27</v>
      </c>
      <c r="AT220" t="s">
        <v>5838</v>
      </c>
      <c r="AU220">
        <v>2</v>
      </c>
      <c r="AV220">
        <v>2</v>
      </c>
      <c r="AW220">
        <v>80.78</v>
      </c>
      <c r="BA220" t="s">
        <v>329</v>
      </c>
      <c r="BB220" t="s">
        <v>5859</v>
      </c>
      <c r="BC220">
        <v>20800</v>
      </c>
      <c r="BG220" t="s">
        <v>5899</v>
      </c>
      <c r="BJ220" t="s">
        <v>5949</v>
      </c>
      <c r="BK220" t="s">
        <v>238</v>
      </c>
    </row>
    <row r="221" spans="1:64">
      <c r="A221" s="1">
        <f>HYPERLINK("https://lsnyc.legalserver.org/matter/dynamic-profile/view/1910323","19-1910323")</f>
        <v>0</v>
      </c>
      <c r="B221" t="s">
        <v>65</v>
      </c>
      <c r="C221" t="s">
        <v>109</v>
      </c>
      <c r="D221" t="s">
        <v>200</v>
      </c>
      <c r="E221" t="s">
        <v>201</v>
      </c>
      <c r="G221" t="s">
        <v>202</v>
      </c>
      <c r="H221" t="s">
        <v>272</v>
      </c>
      <c r="I221" t="s">
        <v>202</v>
      </c>
      <c r="J221" t="s">
        <v>289</v>
      </c>
      <c r="K221" t="s">
        <v>292</v>
      </c>
      <c r="M221" t="s">
        <v>290</v>
      </c>
      <c r="N221" t="s">
        <v>202</v>
      </c>
      <c r="O221" t="s">
        <v>421</v>
      </c>
      <c r="P221" t="s">
        <v>427</v>
      </c>
      <c r="S221" t="s">
        <v>548</v>
      </c>
      <c r="T221" t="s">
        <v>1359</v>
      </c>
      <c r="U221" t="s">
        <v>216</v>
      </c>
      <c r="W221" t="s">
        <v>1876</v>
      </c>
      <c r="X221" t="s">
        <v>2081</v>
      </c>
      <c r="Y221" t="s">
        <v>2800</v>
      </c>
      <c r="Z221" t="s">
        <v>3098</v>
      </c>
      <c r="AA221" t="s">
        <v>3135</v>
      </c>
      <c r="AB221">
        <v>10467</v>
      </c>
      <c r="AC221" t="s">
        <v>3136</v>
      </c>
      <c r="AD221" t="s">
        <v>3342</v>
      </c>
      <c r="AE221">
        <v>6</v>
      </c>
      <c r="AG221" t="s">
        <v>4030</v>
      </c>
      <c r="AH221" t="s">
        <v>291</v>
      </c>
      <c r="AI221" t="s">
        <v>291</v>
      </c>
      <c r="AK221" t="s">
        <v>4040</v>
      </c>
      <c r="AL221" t="s">
        <v>4048</v>
      </c>
      <c r="AM221">
        <v>0</v>
      </c>
      <c r="AN221">
        <v>1020</v>
      </c>
      <c r="AO221">
        <v>1.9</v>
      </c>
      <c r="AQ221" t="s">
        <v>4270</v>
      </c>
      <c r="AR221" t="s">
        <v>5178</v>
      </c>
      <c r="AS221">
        <v>55</v>
      </c>
      <c r="AT221" t="s">
        <v>5838</v>
      </c>
      <c r="AU221">
        <v>1</v>
      </c>
      <c r="AV221">
        <v>0</v>
      </c>
      <c r="AW221">
        <v>0</v>
      </c>
      <c r="BA221" t="s">
        <v>329</v>
      </c>
      <c r="BB221" t="s">
        <v>1322</v>
      </c>
      <c r="BC221">
        <v>0</v>
      </c>
      <c r="BG221" t="s">
        <v>5900</v>
      </c>
      <c r="BJ221" t="s">
        <v>5945</v>
      </c>
      <c r="BK221" t="s">
        <v>266</v>
      </c>
      <c r="BL221" t="s">
        <v>6056</v>
      </c>
    </row>
    <row r="222" spans="1:64">
      <c r="A222" s="1">
        <f>HYPERLINK("https://lsnyc.legalserver.org/matter/dynamic-profile/view/1909374","19-1909374")</f>
        <v>0</v>
      </c>
      <c r="B222" t="s">
        <v>65</v>
      </c>
      <c r="C222" t="s">
        <v>108</v>
      </c>
      <c r="D222" t="s">
        <v>200</v>
      </c>
      <c r="E222" t="s">
        <v>201</v>
      </c>
      <c r="G222" t="s">
        <v>202</v>
      </c>
      <c r="H222" t="s">
        <v>273</v>
      </c>
      <c r="I222" t="s">
        <v>202</v>
      </c>
      <c r="J222" t="s">
        <v>289</v>
      </c>
      <c r="K222" t="s">
        <v>202</v>
      </c>
      <c r="L222" t="s">
        <v>331</v>
      </c>
      <c r="M222" t="s">
        <v>290</v>
      </c>
      <c r="N222" t="s">
        <v>419</v>
      </c>
      <c r="P222" t="s">
        <v>427</v>
      </c>
      <c r="S222" t="s">
        <v>653</v>
      </c>
      <c r="T222" t="s">
        <v>1360</v>
      </c>
      <c r="U222" t="s">
        <v>234</v>
      </c>
      <c r="W222" t="s">
        <v>1876</v>
      </c>
      <c r="X222" t="s">
        <v>2082</v>
      </c>
      <c r="Y222" t="s">
        <v>2800</v>
      </c>
      <c r="Z222" t="s">
        <v>3098</v>
      </c>
      <c r="AA222" t="s">
        <v>3135</v>
      </c>
      <c r="AB222">
        <v>10452</v>
      </c>
      <c r="AC222" t="s">
        <v>3140</v>
      </c>
      <c r="AD222" t="s">
        <v>3343</v>
      </c>
      <c r="AE222">
        <v>5</v>
      </c>
      <c r="AG222" t="s">
        <v>4031</v>
      </c>
      <c r="AH222" t="s">
        <v>291</v>
      </c>
      <c r="AK222" t="s">
        <v>4040</v>
      </c>
      <c r="AM222">
        <v>0</v>
      </c>
      <c r="AN222">
        <v>1207.54</v>
      </c>
      <c r="AO222">
        <v>0.5</v>
      </c>
      <c r="AQ222" t="s">
        <v>4271</v>
      </c>
      <c r="AR222" t="s">
        <v>5179</v>
      </c>
      <c r="AS222">
        <v>0</v>
      </c>
      <c r="AT222" t="s">
        <v>5838</v>
      </c>
      <c r="AU222">
        <v>1</v>
      </c>
      <c r="AV222">
        <v>2</v>
      </c>
      <c r="AW222">
        <v>49.23</v>
      </c>
      <c r="BA222" t="s">
        <v>5853</v>
      </c>
      <c r="BB222" t="s">
        <v>1322</v>
      </c>
      <c r="BC222">
        <v>10500</v>
      </c>
      <c r="BG222" t="s">
        <v>5898</v>
      </c>
      <c r="BJ222" t="s">
        <v>5994</v>
      </c>
      <c r="BK222" t="s">
        <v>216</v>
      </c>
      <c r="BL222" t="s">
        <v>6057</v>
      </c>
    </row>
    <row r="223" spans="1:64">
      <c r="A223" s="1">
        <f>HYPERLINK("https://lsnyc.legalserver.org/matter/dynamic-profile/view/1909982","19-1909982")</f>
        <v>0</v>
      </c>
      <c r="B223" t="s">
        <v>65</v>
      </c>
      <c r="C223" t="s">
        <v>107</v>
      </c>
      <c r="D223" t="s">
        <v>200</v>
      </c>
      <c r="E223" t="s">
        <v>201</v>
      </c>
      <c r="G223" t="s">
        <v>202</v>
      </c>
      <c r="H223" t="s">
        <v>272</v>
      </c>
      <c r="I223" t="s">
        <v>202</v>
      </c>
      <c r="J223" t="s">
        <v>289</v>
      </c>
      <c r="K223" t="s">
        <v>292</v>
      </c>
      <c r="M223" t="s">
        <v>290</v>
      </c>
      <c r="N223" t="s">
        <v>419</v>
      </c>
      <c r="P223" t="s">
        <v>427</v>
      </c>
      <c r="S223" t="s">
        <v>654</v>
      </c>
      <c r="T223" t="s">
        <v>1361</v>
      </c>
      <c r="U223" t="s">
        <v>243</v>
      </c>
      <c r="W223" t="s">
        <v>1876</v>
      </c>
      <c r="X223" t="s">
        <v>2083</v>
      </c>
      <c r="Y223" t="s">
        <v>2830</v>
      </c>
      <c r="Z223" t="s">
        <v>3098</v>
      </c>
      <c r="AA223" t="s">
        <v>3135</v>
      </c>
      <c r="AB223">
        <v>10457</v>
      </c>
      <c r="AC223" t="s">
        <v>3138</v>
      </c>
      <c r="AD223" t="s">
        <v>3344</v>
      </c>
      <c r="AE223">
        <v>2</v>
      </c>
      <c r="AG223" t="s">
        <v>4030</v>
      </c>
      <c r="AH223" t="s">
        <v>291</v>
      </c>
      <c r="AI223" t="s">
        <v>291</v>
      </c>
      <c r="AK223" t="s">
        <v>4040</v>
      </c>
      <c r="AM223">
        <v>0</v>
      </c>
      <c r="AN223">
        <v>1177</v>
      </c>
      <c r="AO223">
        <v>0</v>
      </c>
      <c r="AQ223" t="s">
        <v>4272</v>
      </c>
      <c r="AR223" t="s">
        <v>5180</v>
      </c>
      <c r="AS223">
        <v>43</v>
      </c>
      <c r="AT223" t="s">
        <v>5838</v>
      </c>
      <c r="AU223">
        <v>1</v>
      </c>
      <c r="AV223">
        <v>1</v>
      </c>
      <c r="AW223">
        <v>64.25</v>
      </c>
      <c r="BA223" t="s">
        <v>5853</v>
      </c>
      <c r="BB223" t="s">
        <v>1322</v>
      </c>
      <c r="BC223">
        <v>10864</v>
      </c>
      <c r="BG223" t="s">
        <v>5899</v>
      </c>
      <c r="BJ223" t="s">
        <v>5949</v>
      </c>
    </row>
    <row r="224" spans="1:64">
      <c r="A224" s="1">
        <f>HYPERLINK("https://lsnyc.legalserver.org/matter/dynamic-profile/view/1910004","19-1910004")</f>
        <v>0</v>
      </c>
      <c r="B224" t="s">
        <v>65</v>
      </c>
      <c r="C224" t="s">
        <v>107</v>
      </c>
      <c r="D224" t="s">
        <v>200</v>
      </c>
      <c r="E224" t="s">
        <v>201</v>
      </c>
      <c r="G224" t="s">
        <v>202</v>
      </c>
      <c r="H224" t="s">
        <v>272</v>
      </c>
      <c r="I224" t="s">
        <v>202</v>
      </c>
      <c r="J224" t="s">
        <v>289</v>
      </c>
      <c r="K224" t="s">
        <v>202</v>
      </c>
      <c r="L224" t="s">
        <v>332</v>
      </c>
      <c r="M224" t="s">
        <v>290</v>
      </c>
      <c r="N224" t="s">
        <v>202</v>
      </c>
      <c r="O224" t="s">
        <v>421</v>
      </c>
      <c r="P224" t="s">
        <v>427</v>
      </c>
      <c r="S224" t="s">
        <v>655</v>
      </c>
      <c r="T224" t="s">
        <v>1362</v>
      </c>
      <c r="U224" t="s">
        <v>243</v>
      </c>
      <c r="W224" t="s">
        <v>1876</v>
      </c>
      <c r="X224" t="s">
        <v>2084</v>
      </c>
      <c r="Y224" t="s">
        <v>2836</v>
      </c>
      <c r="Z224" t="s">
        <v>3098</v>
      </c>
      <c r="AA224" t="s">
        <v>3135</v>
      </c>
      <c r="AB224">
        <v>10467</v>
      </c>
      <c r="AC224" t="s">
        <v>3139</v>
      </c>
      <c r="AD224" t="s">
        <v>3345</v>
      </c>
      <c r="AE224">
        <v>1</v>
      </c>
      <c r="AG224" t="s">
        <v>4030</v>
      </c>
      <c r="AH224" t="s">
        <v>291</v>
      </c>
      <c r="AI224" t="s">
        <v>291</v>
      </c>
      <c r="AK224" t="s">
        <v>4040</v>
      </c>
      <c r="AM224">
        <v>0</v>
      </c>
      <c r="AN224">
        <v>1350</v>
      </c>
      <c r="AO224">
        <v>0</v>
      </c>
      <c r="AQ224" t="s">
        <v>4273</v>
      </c>
      <c r="AR224" t="s">
        <v>5181</v>
      </c>
      <c r="AS224">
        <v>66</v>
      </c>
      <c r="AT224" t="s">
        <v>5838</v>
      </c>
      <c r="AU224">
        <v>1</v>
      </c>
      <c r="AV224">
        <v>1</v>
      </c>
      <c r="AW224">
        <v>171.5</v>
      </c>
      <c r="BB224" t="s">
        <v>5859</v>
      </c>
      <c r="BC224">
        <v>29000</v>
      </c>
      <c r="BG224" t="s">
        <v>5899</v>
      </c>
      <c r="BJ224" t="s">
        <v>5949</v>
      </c>
    </row>
    <row r="225" spans="1:64">
      <c r="A225" s="1">
        <f>HYPERLINK("https://lsnyc.legalserver.org/matter/dynamic-profile/view/1909467","19-1909467")</f>
        <v>0</v>
      </c>
      <c r="B225" t="s">
        <v>65</v>
      </c>
      <c r="C225" t="s">
        <v>107</v>
      </c>
      <c r="D225" t="s">
        <v>200</v>
      </c>
      <c r="E225" t="s">
        <v>201</v>
      </c>
      <c r="G225" t="s">
        <v>202</v>
      </c>
      <c r="H225" t="s">
        <v>277</v>
      </c>
      <c r="I225" t="s">
        <v>202</v>
      </c>
      <c r="J225" t="s">
        <v>289</v>
      </c>
      <c r="K225" t="s">
        <v>292</v>
      </c>
      <c r="M225" t="s">
        <v>290</v>
      </c>
      <c r="N225" t="s">
        <v>419</v>
      </c>
      <c r="O225" t="s">
        <v>420</v>
      </c>
      <c r="P225" t="s">
        <v>427</v>
      </c>
      <c r="S225" t="s">
        <v>656</v>
      </c>
      <c r="T225" t="s">
        <v>1363</v>
      </c>
      <c r="U225" t="s">
        <v>230</v>
      </c>
      <c r="W225" t="s">
        <v>1876</v>
      </c>
      <c r="X225" t="s">
        <v>2085</v>
      </c>
      <c r="Y225" t="s">
        <v>2815</v>
      </c>
      <c r="Z225" t="s">
        <v>3098</v>
      </c>
      <c r="AA225" t="s">
        <v>3135</v>
      </c>
      <c r="AB225">
        <v>10453</v>
      </c>
      <c r="AC225" t="s">
        <v>3144</v>
      </c>
      <c r="AE225">
        <v>31</v>
      </c>
      <c r="AG225" t="s">
        <v>4031</v>
      </c>
      <c r="AH225" t="s">
        <v>291</v>
      </c>
      <c r="AI225" t="s">
        <v>291</v>
      </c>
      <c r="AK225" t="s">
        <v>4040</v>
      </c>
      <c r="AM225">
        <v>0</v>
      </c>
      <c r="AN225">
        <v>102</v>
      </c>
      <c r="AO225">
        <v>1.5</v>
      </c>
      <c r="AQ225" t="s">
        <v>4274</v>
      </c>
      <c r="AR225" t="s">
        <v>5182</v>
      </c>
      <c r="AS225">
        <v>42</v>
      </c>
      <c r="AT225" t="s">
        <v>5843</v>
      </c>
      <c r="AU225">
        <v>1</v>
      </c>
      <c r="AV225">
        <v>0</v>
      </c>
      <c r="AW225">
        <v>0</v>
      </c>
      <c r="BB225" t="s">
        <v>1322</v>
      </c>
      <c r="BC225">
        <v>0</v>
      </c>
      <c r="BG225" t="s">
        <v>140</v>
      </c>
      <c r="BJ225" t="s">
        <v>5949</v>
      </c>
      <c r="BK225" t="s">
        <v>230</v>
      </c>
      <c r="BL225" t="s">
        <v>6056</v>
      </c>
    </row>
    <row r="226" spans="1:64">
      <c r="A226" s="1">
        <f>HYPERLINK("https://lsnyc.legalserver.org/matter/dynamic-profile/view/1904722","19-1904722")</f>
        <v>0</v>
      </c>
      <c r="B226" t="s">
        <v>65</v>
      </c>
      <c r="C226" t="s">
        <v>107</v>
      </c>
      <c r="D226" t="s">
        <v>200</v>
      </c>
      <c r="E226" t="s">
        <v>202</v>
      </c>
      <c r="F226" t="s">
        <v>213</v>
      </c>
      <c r="G226" t="s">
        <v>202</v>
      </c>
      <c r="H226" t="s">
        <v>272</v>
      </c>
      <c r="I226" t="s">
        <v>202</v>
      </c>
      <c r="J226" t="s">
        <v>289</v>
      </c>
      <c r="K226" t="s">
        <v>292</v>
      </c>
      <c r="M226" t="s">
        <v>290</v>
      </c>
      <c r="N226" t="s">
        <v>202</v>
      </c>
      <c r="O226" t="s">
        <v>421</v>
      </c>
      <c r="P226" t="s">
        <v>427</v>
      </c>
      <c r="S226" t="s">
        <v>657</v>
      </c>
      <c r="T226" t="s">
        <v>1364</v>
      </c>
      <c r="U226" t="s">
        <v>246</v>
      </c>
      <c r="W226" t="s">
        <v>1876</v>
      </c>
      <c r="X226" t="s">
        <v>2086</v>
      </c>
      <c r="Y226" t="s">
        <v>2888</v>
      </c>
      <c r="Z226" t="s">
        <v>3098</v>
      </c>
      <c r="AA226" t="s">
        <v>3135</v>
      </c>
      <c r="AB226">
        <v>10467</v>
      </c>
      <c r="AC226" t="s">
        <v>3139</v>
      </c>
      <c r="AD226" t="s">
        <v>3346</v>
      </c>
      <c r="AE226">
        <v>3</v>
      </c>
      <c r="AG226" t="s">
        <v>4030</v>
      </c>
      <c r="AH226" t="s">
        <v>291</v>
      </c>
      <c r="AI226" t="s">
        <v>291</v>
      </c>
      <c r="AK226" t="s">
        <v>4040</v>
      </c>
      <c r="AM226">
        <v>0</v>
      </c>
      <c r="AN226">
        <v>863</v>
      </c>
      <c r="AO226">
        <v>2.05</v>
      </c>
      <c r="AQ226" t="s">
        <v>4275</v>
      </c>
      <c r="AR226" t="s">
        <v>5183</v>
      </c>
      <c r="AS226">
        <v>135</v>
      </c>
      <c r="AT226" t="s">
        <v>5838</v>
      </c>
      <c r="AU226">
        <v>1</v>
      </c>
      <c r="AV226">
        <v>2</v>
      </c>
      <c r="AW226">
        <v>30.15</v>
      </c>
      <c r="BA226" t="s">
        <v>5852</v>
      </c>
      <c r="BB226" t="s">
        <v>1322</v>
      </c>
      <c r="BC226">
        <v>6430</v>
      </c>
      <c r="BG226" t="s">
        <v>5899</v>
      </c>
      <c r="BJ226" t="s">
        <v>5995</v>
      </c>
      <c r="BK226" t="s">
        <v>223</v>
      </c>
      <c r="BL226" t="s">
        <v>6056</v>
      </c>
    </row>
    <row r="227" spans="1:64">
      <c r="A227" s="1">
        <f>HYPERLINK("https://lsnyc.legalserver.org/matter/dynamic-profile/view/1905992","19-1905992")</f>
        <v>0</v>
      </c>
      <c r="B227" t="s">
        <v>65</v>
      </c>
      <c r="C227" t="s">
        <v>109</v>
      </c>
      <c r="D227" t="s">
        <v>200</v>
      </c>
      <c r="E227" t="s">
        <v>202</v>
      </c>
      <c r="F227" t="s">
        <v>221</v>
      </c>
      <c r="G227" t="s">
        <v>202</v>
      </c>
      <c r="H227" t="s">
        <v>271</v>
      </c>
      <c r="I227" t="s">
        <v>202</v>
      </c>
      <c r="J227" t="s">
        <v>289</v>
      </c>
      <c r="K227" t="s">
        <v>292</v>
      </c>
      <c r="M227" t="s">
        <v>290</v>
      </c>
      <c r="N227" t="s">
        <v>202</v>
      </c>
      <c r="O227" t="s">
        <v>421</v>
      </c>
      <c r="P227" t="s">
        <v>202</v>
      </c>
      <c r="Q227" t="s">
        <v>430</v>
      </c>
      <c r="R227" t="s">
        <v>441</v>
      </c>
      <c r="S227" t="s">
        <v>658</v>
      </c>
      <c r="T227" t="s">
        <v>1365</v>
      </c>
      <c r="U227" t="s">
        <v>250</v>
      </c>
      <c r="V227" t="s">
        <v>259</v>
      </c>
      <c r="W227" t="s">
        <v>1877</v>
      </c>
      <c r="X227" t="s">
        <v>2087</v>
      </c>
      <c r="Z227" t="s">
        <v>3098</v>
      </c>
      <c r="AA227" t="s">
        <v>3135</v>
      </c>
      <c r="AB227">
        <v>10457</v>
      </c>
      <c r="AC227" t="s">
        <v>3136</v>
      </c>
      <c r="AD227" t="s">
        <v>3347</v>
      </c>
      <c r="AE227">
        <v>3</v>
      </c>
      <c r="AF227" t="s">
        <v>4024</v>
      </c>
      <c r="AG227" t="s">
        <v>4030</v>
      </c>
      <c r="AH227" t="s">
        <v>291</v>
      </c>
      <c r="AK227" t="s">
        <v>4040</v>
      </c>
      <c r="AL227" t="s">
        <v>4048</v>
      </c>
      <c r="AM227">
        <v>0</v>
      </c>
      <c r="AN227">
        <v>1200</v>
      </c>
      <c r="AO227">
        <v>4.7</v>
      </c>
      <c r="AP227" t="s">
        <v>4054</v>
      </c>
      <c r="AQ227" t="s">
        <v>4276</v>
      </c>
      <c r="AS227">
        <v>0</v>
      </c>
      <c r="AT227" t="s">
        <v>5835</v>
      </c>
      <c r="AU227">
        <v>2</v>
      </c>
      <c r="AV227">
        <v>1</v>
      </c>
      <c r="AW227">
        <v>51.76</v>
      </c>
      <c r="BA227" t="s">
        <v>329</v>
      </c>
      <c r="BB227" t="s">
        <v>5859</v>
      </c>
      <c r="BC227">
        <v>11040</v>
      </c>
      <c r="BG227" t="s">
        <v>140</v>
      </c>
      <c r="BI227" t="s">
        <v>5933</v>
      </c>
      <c r="BJ227" t="s">
        <v>5949</v>
      </c>
      <c r="BK227" t="s">
        <v>238</v>
      </c>
      <c r="BL227" t="s">
        <v>6056</v>
      </c>
    </row>
    <row r="228" spans="1:64">
      <c r="A228" s="1">
        <f>HYPERLINK("https://lsnyc.legalserver.org/matter/dynamic-profile/view/1909588","19-1909588")</f>
        <v>0</v>
      </c>
      <c r="B228" t="s">
        <v>65</v>
      </c>
      <c r="C228" t="s">
        <v>110</v>
      </c>
      <c r="D228" t="s">
        <v>200</v>
      </c>
      <c r="E228" t="s">
        <v>202</v>
      </c>
      <c r="F228" t="s">
        <v>222</v>
      </c>
      <c r="G228" t="s">
        <v>202</v>
      </c>
      <c r="H228" t="s">
        <v>272</v>
      </c>
      <c r="I228" t="s">
        <v>202</v>
      </c>
      <c r="J228" t="s">
        <v>289</v>
      </c>
      <c r="K228" t="s">
        <v>292</v>
      </c>
      <c r="M228" t="s">
        <v>290</v>
      </c>
      <c r="N228" t="s">
        <v>202</v>
      </c>
      <c r="O228" t="s">
        <v>421</v>
      </c>
      <c r="P228" t="s">
        <v>427</v>
      </c>
      <c r="S228" t="s">
        <v>659</v>
      </c>
      <c r="T228" t="s">
        <v>1366</v>
      </c>
      <c r="U228" t="s">
        <v>222</v>
      </c>
      <c r="W228" t="s">
        <v>1876</v>
      </c>
      <c r="X228" t="s">
        <v>2088</v>
      </c>
      <c r="Z228" t="s">
        <v>3098</v>
      </c>
      <c r="AA228" t="s">
        <v>3135</v>
      </c>
      <c r="AB228">
        <v>10462</v>
      </c>
      <c r="AC228" t="s">
        <v>3136</v>
      </c>
      <c r="AD228" t="s">
        <v>3348</v>
      </c>
      <c r="AE228">
        <v>6</v>
      </c>
      <c r="AG228" t="s">
        <v>4030</v>
      </c>
      <c r="AH228" t="s">
        <v>291</v>
      </c>
      <c r="AI228" t="s">
        <v>291</v>
      </c>
      <c r="AK228" t="s">
        <v>4040</v>
      </c>
      <c r="AM228">
        <v>0</v>
      </c>
      <c r="AN228">
        <v>1750</v>
      </c>
      <c r="AO228">
        <v>0</v>
      </c>
      <c r="AQ228" t="s">
        <v>4277</v>
      </c>
      <c r="AR228" t="s">
        <v>5184</v>
      </c>
      <c r="AS228">
        <v>67</v>
      </c>
      <c r="AT228" t="s">
        <v>5836</v>
      </c>
      <c r="AU228">
        <v>1</v>
      </c>
      <c r="AV228">
        <v>0</v>
      </c>
      <c r="AW228">
        <v>153.72</v>
      </c>
      <c r="BA228" t="s">
        <v>329</v>
      </c>
      <c r="BB228" t="s">
        <v>1322</v>
      </c>
      <c r="BC228">
        <v>19200</v>
      </c>
      <c r="BG228" t="s">
        <v>5901</v>
      </c>
      <c r="BJ228" t="s">
        <v>5959</v>
      </c>
      <c r="BL228" t="s">
        <v>6056</v>
      </c>
    </row>
    <row r="229" spans="1:64">
      <c r="A229" s="1">
        <f>HYPERLINK("https://lsnyc.legalserver.org/matter/dynamic-profile/view/1908502","19-1908502")</f>
        <v>0</v>
      </c>
      <c r="B229" t="s">
        <v>65</v>
      </c>
      <c r="C229" t="s">
        <v>110</v>
      </c>
      <c r="D229" t="s">
        <v>200</v>
      </c>
      <c r="E229" t="s">
        <v>201</v>
      </c>
      <c r="G229" t="s">
        <v>202</v>
      </c>
      <c r="H229" t="s">
        <v>272</v>
      </c>
      <c r="I229" t="s">
        <v>202</v>
      </c>
      <c r="J229" t="s">
        <v>289</v>
      </c>
      <c r="K229" t="s">
        <v>292</v>
      </c>
      <c r="M229" t="s">
        <v>290</v>
      </c>
      <c r="N229" t="s">
        <v>202</v>
      </c>
      <c r="O229" t="s">
        <v>421</v>
      </c>
      <c r="P229" t="s">
        <v>427</v>
      </c>
      <c r="S229" t="s">
        <v>660</v>
      </c>
      <c r="T229" t="s">
        <v>1367</v>
      </c>
      <c r="U229" t="s">
        <v>223</v>
      </c>
      <c r="W229" t="s">
        <v>1876</v>
      </c>
      <c r="X229" t="s">
        <v>2089</v>
      </c>
      <c r="Y229" t="s">
        <v>2809</v>
      </c>
      <c r="Z229" t="s">
        <v>3098</v>
      </c>
      <c r="AA229" t="s">
        <v>3135</v>
      </c>
      <c r="AB229">
        <v>10468</v>
      </c>
      <c r="AC229" t="s">
        <v>3136</v>
      </c>
      <c r="AD229" t="s">
        <v>3349</v>
      </c>
      <c r="AE229">
        <v>5</v>
      </c>
      <c r="AG229" t="s">
        <v>4030</v>
      </c>
      <c r="AH229" t="s">
        <v>291</v>
      </c>
      <c r="AI229" t="s">
        <v>291</v>
      </c>
      <c r="AK229" t="s">
        <v>4040</v>
      </c>
      <c r="AM229">
        <v>0</v>
      </c>
      <c r="AN229">
        <v>1408</v>
      </c>
      <c r="AO229">
        <v>0</v>
      </c>
      <c r="AQ229" t="s">
        <v>4278</v>
      </c>
      <c r="AR229" t="s">
        <v>5185</v>
      </c>
      <c r="AS229">
        <v>66</v>
      </c>
      <c r="AT229" t="s">
        <v>5838</v>
      </c>
      <c r="AU229">
        <v>2</v>
      </c>
      <c r="AV229">
        <v>3</v>
      </c>
      <c r="AW229">
        <v>208.82</v>
      </c>
      <c r="BA229" t="s">
        <v>329</v>
      </c>
      <c r="BB229" t="s">
        <v>1322</v>
      </c>
      <c r="BC229">
        <v>63000</v>
      </c>
      <c r="BG229" t="s">
        <v>138</v>
      </c>
      <c r="BJ229" t="s">
        <v>5949</v>
      </c>
      <c r="BL229" t="s">
        <v>6057</v>
      </c>
    </row>
    <row r="230" spans="1:64">
      <c r="A230" s="1">
        <f>HYPERLINK("https://lsnyc.legalserver.org/matter/dynamic-profile/view/1908484","19-1908484")</f>
        <v>0</v>
      </c>
      <c r="B230" t="s">
        <v>65</v>
      </c>
      <c r="C230" t="s">
        <v>111</v>
      </c>
      <c r="D230" t="s">
        <v>200</v>
      </c>
      <c r="E230" t="s">
        <v>201</v>
      </c>
      <c r="G230" t="s">
        <v>202</v>
      </c>
      <c r="H230" t="s">
        <v>272</v>
      </c>
      <c r="I230" t="s">
        <v>288</v>
      </c>
      <c r="J230" t="s">
        <v>290</v>
      </c>
      <c r="K230" t="s">
        <v>292</v>
      </c>
      <c r="M230" t="s">
        <v>290</v>
      </c>
      <c r="N230" t="s">
        <v>202</v>
      </c>
      <c r="O230" t="s">
        <v>421</v>
      </c>
      <c r="P230" t="s">
        <v>427</v>
      </c>
      <c r="S230" t="s">
        <v>661</v>
      </c>
      <c r="T230" t="s">
        <v>1368</v>
      </c>
      <c r="U230" t="s">
        <v>237</v>
      </c>
      <c r="W230" t="s">
        <v>1876</v>
      </c>
      <c r="X230" t="s">
        <v>2090</v>
      </c>
      <c r="Y230" t="s">
        <v>2889</v>
      </c>
      <c r="Z230" t="s">
        <v>3098</v>
      </c>
      <c r="AA230" t="s">
        <v>3135</v>
      </c>
      <c r="AB230">
        <v>10452</v>
      </c>
      <c r="AC230" t="s">
        <v>3145</v>
      </c>
      <c r="AE230">
        <v>5</v>
      </c>
      <c r="AG230" t="s">
        <v>4031</v>
      </c>
      <c r="AH230" t="s">
        <v>291</v>
      </c>
      <c r="AK230" t="s">
        <v>4040</v>
      </c>
      <c r="AM230">
        <v>0</v>
      </c>
      <c r="AN230">
        <v>1090.6</v>
      </c>
      <c r="AO230">
        <v>0.5</v>
      </c>
      <c r="AQ230" t="s">
        <v>4279</v>
      </c>
      <c r="AR230" t="s">
        <v>5186</v>
      </c>
      <c r="AS230">
        <v>0</v>
      </c>
      <c r="AT230" t="s">
        <v>5838</v>
      </c>
      <c r="AU230">
        <v>1</v>
      </c>
      <c r="AV230">
        <v>2</v>
      </c>
      <c r="AW230">
        <v>220.2</v>
      </c>
      <c r="BB230" t="s">
        <v>1322</v>
      </c>
      <c r="BC230">
        <v>46968</v>
      </c>
      <c r="BG230" t="s">
        <v>5902</v>
      </c>
      <c r="BJ230" t="s">
        <v>5962</v>
      </c>
      <c r="BK230" t="s">
        <v>206</v>
      </c>
    </row>
    <row r="231" spans="1:64">
      <c r="A231" s="1">
        <f>HYPERLINK("https://lsnyc.legalserver.org/matter/dynamic-profile/view/1904769","19-1904769")</f>
        <v>0</v>
      </c>
      <c r="B231" t="s">
        <v>65</v>
      </c>
      <c r="C231" t="s">
        <v>111</v>
      </c>
      <c r="D231" t="s">
        <v>200</v>
      </c>
      <c r="E231" t="s">
        <v>201</v>
      </c>
      <c r="G231" t="s">
        <v>270</v>
      </c>
      <c r="I231" t="s">
        <v>202</v>
      </c>
      <c r="J231" t="s">
        <v>289</v>
      </c>
      <c r="K231" t="s">
        <v>292</v>
      </c>
      <c r="M231" t="s">
        <v>290</v>
      </c>
      <c r="N231" t="s">
        <v>202</v>
      </c>
      <c r="O231" t="s">
        <v>422</v>
      </c>
      <c r="P231" t="s">
        <v>427</v>
      </c>
      <c r="S231" t="s">
        <v>662</v>
      </c>
      <c r="T231" t="s">
        <v>1369</v>
      </c>
      <c r="U231" t="s">
        <v>211</v>
      </c>
      <c r="W231" t="s">
        <v>1876</v>
      </c>
      <c r="X231" t="s">
        <v>2091</v>
      </c>
      <c r="Y231" t="s">
        <v>2890</v>
      </c>
      <c r="Z231" t="s">
        <v>3098</v>
      </c>
      <c r="AA231" t="s">
        <v>3135</v>
      </c>
      <c r="AB231">
        <v>10453</v>
      </c>
      <c r="AD231" t="s">
        <v>3350</v>
      </c>
      <c r="AE231">
        <v>27</v>
      </c>
      <c r="AG231" t="s">
        <v>4031</v>
      </c>
      <c r="AH231" t="s">
        <v>291</v>
      </c>
      <c r="AK231" t="s">
        <v>4040</v>
      </c>
      <c r="AM231">
        <v>0</v>
      </c>
      <c r="AN231">
        <v>879.3</v>
      </c>
      <c r="AO231">
        <v>0.7</v>
      </c>
      <c r="AQ231" t="s">
        <v>4280</v>
      </c>
      <c r="AR231" t="s">
        <v>5187</v>
      </c>
      <c r="AS231">
        <v>0</v>
      </c>
      <c r="AU231">
        <v>1</v>
      </c>
      <c r="AV231">
        <v>0</v>
      </c>
      <c r="AW231">
        <v>47.94</v>
      </c>
      <c r="BB231" t="s">
        <v>5859</v>
      </c>
      <c r="BC231">
        <v>5988</v>
      </c>
      <c r="BG231" t="s">
        <v>5902</v>
      </c>
      <c r="BJ231" t="s">
        <v>5957</v>
      </c>
      <c r="BK231" t="s">
        <v>237</v>
      </c>
      <c r="BL231" t="s">
        <v>6056</v>
      </c>
    </row>
    <row r="232" spans="1:64">
      <c r="A232" s="1">
        <f>HYPERLINK("https://lsnyc.legalserver.org/matter/dynamic-profile/view/1909306","19-1909306")</f>
        <v>0</v>
      </c>
      <c r="B232" t="s">
        <v>65</v>
      </c>
      <c r="C232" t="s">
        <v>108</v>
      </c>
      <c r="D232" t="s">
        <v>200</v>
      </c>
      <c r="E232" t="s">
        <v>201</v>
      </c>
      <c r="G232" t="s">
        <v>202</v>
      </c>
      <c r="H232" t="s">
        <v>271</v>
      </c>
      <c r="I232" t="s">
        <v>202</v>
      </c>
      <c r="J232" t="s">
        <v>289</v>
      </c>
      <c r="K232" t="s">
        <v>292</v>
      </c>
      <c r="M232" t="s">
        <v>290</v>
      </c>
      <c r="N232" t="s">
        <v>419</v>
      </c>
      <c r="P232" t="s">
        <v>427</v>
      </c>
      <c r="S232" t="s">
        <v>663</v>
      </c>
      <c r="T232" t="s">
        <v>1242</v>
      </c>
      <c r="U232" t="s">
        <v>263</v>
      </c>
      <c r="W232" t="s">
        <v>1876</v>
      </c>
      <c r="X232" t="s">
        <v>2092</v>
      </c>
      <c r="Y232" t="s">
        <v>2800</v>
      </c>
      <c r="Z232" t="s">
        <v>3098</v>
      </c>
      <c r="AA232" t="s">
        <v>3135</v>
      </c>
      <c r="AB232">
        <v>10458</v>
      </c>
      <c r="AC232" t="s">
        <v>3140</v>
      </c>
      <c r="AD232" t="s">
        <v>3351</v>
      </c>
      <c r="AE232">
        <v>5</v>
      </c>
      <c r="AG232" t="s">
        <v>4031</v>
      </c>
      <c r="AH232" t="s">
        <v>291</v>
      </c>
      <c r="AI232" t="s">
        <v>291</v>
      </c>
      <c r="AK232" t="s">
        <v>4040</v>
      </c>
      <c r="AM232">
        <v>0</v>
      </c>
      <c r="AN232">
        <v>1515</v>
      </c>
      <c r="AO232">
        <v>2.5</v>
      </c>
      <c r="AQ232" t="s">
        <v>4281</v>
      </c>
      <c r="AR232" t="s">
        <v>5188</v>
      </c>
      <c r="AS232">
        <v>8</v>
      </c>
      <c r="AT232" t="s">
        <v>5838</v>
      </c>
      <c r="AU232">
        <v>1</v>
      </c>
      <c r="AV232">
        <v>2</v>
      </c>
      <c r="AW232">
        <v>85.23</v>
      </c>
      <c r="BB232" t="s">
        <v>1322</v>
      </c>
      <c r="BC232">
        <v>18180</v>
      </c>
      <c r="BG232" t="s">
        <v>5898</v>
      </c>
      <c r="BJ232" t="s">
        <v>5960</v>
      </c>
      <c r="BK232" t="s">
        <v>263</v>
      </c>
      <c r="BL232" t="s">
        <v>6056</v>
      </c>
    </row>
    <row r="233" spans="1:64">
      <c r="A233" s="1">
        <f>HYPERLINK("https://lsnyc.legalserver.org/matter/dynamic-profile/view/1904677","19-1904677")</f>
        <v>0</v>
      </c>
      <c r="B233" t="s">
        <v>65</v>
      </c>
      <c r="C233" t="s">
        <v>107</v>
      </c>
      <c r="D233" t="s">
        <v>200</v>
      </c>
      <c r="E233" t="s">
        <v>202</v>
      </c>
      <c r="F233" t="s">
        <v>223</v>
      </c>
      <c r="G233" t="s">
        <v>202</v>
      </c>
      <c r="H233" t="s">
        <v>272</v>
      </c>
      <c r="I233" t="s">
        <v>202</v>
      </c>
      <c r="J233" t="s">
        <v>289</v>
      </c>
      <c r="K233" t="s">
        <v>292</v>
      </c>
      <c r="M233" t="s">
        <v>290</v>
      </c>
      <c r="N233" t="s">
        <v>202</v>
      </c>
      <c r="O233" t="s">
        <v>421</v>
      </c>
      <c r="P233" t="s">
        <v>427</v>
      </c>
      <c r="S233" t="s">
        <v>664</v>
      </c>
      <c r="T233" t="s">
        <v>1370</v>
      </c>
      <c r="U233" t="s">
        <v>246</v>
      </c>
      <c r="W233" t="s">
        <v>1876</v>
      </c>
      <c r="X233" t="s">
        <v>2093</v>
      </c>
      <c r="Y233">
        <v>802</v>
      </c>
      <c r="Z233" t="s">
        <v>3098</v>
      </c>
      <c r="AA233" t="s">
        <v>3135</v>
      </c>
      <c r="AB233">
        <v>10468</v>
      </c>
      <c r="AC233" t="s">
        <v>3139</v>
      </c>
      <c r="AD233" t="s">
        <v>3352</v>
      </c>
      <c r="AE233">
        <v>3</v>
      </c>
      <c r="AG233" t="s">
        <v>4030</v>
      </c>
      <c r="AH233" t="s">
        <v>291</v>
      </c>
      <c r="AI233" t="s">
        <v>291</v>
      </c>
      <c r="AK233" t="s">
        <v>4040</v>
      </c>
      <c r="AM233">
        <v>0</v>
      </c>
      <c r="AN233">
        <v>0</v>
      </c>
      <c r="AO233">
        <v>2.5</v>
      </c>
      <c r="AQ233" t="s">
        <v>4282</v>
      </c>
      <c r="AR233" t="s">
        <v>5189</v>
      </c>
      <c r="AS233">
        <v>0</v>
      </c>
      <c r="AT233" t="s">
        <v>5836</v>
      </c>
      <c r="AU233">
        <v>1</v>
      </c>
      <c r="AV233">
        <v>0</v>
      </c>
      <c r="AW233">
        <v>80.42</v>
      </c>
      <c r="BA233" t="s">
        <v>5850</v>
      </c>
      <c r="BB233" t="s">
        <v>1322</v>
      </c>
      <c r="BC233">
        <v>10044</v>
      </c>
      <c r="BG233" t="s">
        <v>5899</v>
      </c>
      <c r="BJ233" t="s">
        <v>5959</v>
      </c>
      <c r="BK233" t="s">
        <v>264</v>
      </c>
      <c r="BL233" t="s">
        <v>6056</v>
      </c>
    </row>
    <row r="234" spans="1:64">
      <c r="A234" s="1">
        <f>HYPERLINK("https://lsnyc.legalserver.org/matter/dynamic-profile/view/1907316","19-1907316")</f>
        <v>0</v>
      </c>
      <c r="B234" t="s">
        <v>65</v>
      </c>
      <c r="C234" t="s">
        <v>109</v>
      </c>
      <c r="D234" t="s">
        <v>200</v>
      </c>
      <c r="E234" t="s">
        <v>201</v>
      </c>
      <c r="G234" t="s">
        <v>202</v>
      </c>
      <c r="H234" t="s">
        <v>271</v>
      </c>
      <c r="I234" t="s">
        <v>202</v>
      </c>
      <c r="J234" t="s">
        <v>289</v>
      </c>
      <c r="K234" t="s">
        <v>292</v>
      </c>
      <c r="M234" t="s">
        <v>290</v>
      </c>
      <c r="N234" t="s">
        <v>202</v>
      </c>
      <c r="O234" t="s">
        <v>421</v>
      </c>
      <c r="P234" t="s">
        <v>427</v>
      </c>
      <c r="S234" t="s">
        <v>665</v>
      </c>
      <c r="T234" t="s">
        <v>1371</v>
      </c>
      <c r="U234" t="s">
        <v>235</v>
      </c>
      <c r="W234" t="s">
        <v>1876</v>
      </c>
      <c r="X234" t="s">
        <v>2094</v>
      </c>
      <c r="Y234" t="s">
        <v>2891</v>
      </c>
      <c r="Z234" t="s">
        <v>3098</v>
      </c>
      <c r="AA234" t="s">
        <v>3135</v>
      </c>
      <c r="AB234">
        <v>10456</v>
      </c>
      <c r="AC234" t="s">
        <v>3139</v>
      </c>
      <c r="AD234" t="s">
        <v>3353</v>
      </c>
      <c r="AE234">
        <v>20</v>
      </c>
      <c r="AG234" t="s">
        <v>4031</v>
      </c>
      <c r="AH234" t="s">
        <v>291</v>
      </c>
      <c r="AI234" t="s">
        <v>291</v>
      </c>
      <c r="AK234" t="s">
        <v>4041</v>
      </c>
      <c r="AL234" t="s">
        <v>4048</v>
      </c>
      <c r="AM234">
        <v>0</v>
      </c>
      <c r="AN234">
        <v>408</v>
      </c>
      <c r="AO234">
        <v>4.1</v>
      </c>
      <c r="AQ234" t="s">
        <v>4225</v>
      </c>
      <c r="AR234" t="s">
        <v>5190</v>
      </c>
      <c r="AS234">
        <v>607</v>
      </c>
      <c r="AT234" t="s">
        <v>5837</v>
      </c>
      <c r="AU234">
        <v>1</v>
      </c>
      <c r="AV234">
        <v>0</v>
      </c>
      <c r="AW234">
        <v>119.04</v>
      </c>
      <c r="BA234" t="s">
        <v>3143</v>
      </c>
      <c r="BB234" t="s">
        <v>1322</v>
      </c>
      <c r="BC234">
        <v>14868</v>
      </c>
      <c r="BG234" t="s">
        <v>5900</v>
      </c>
      <c r="BJ234" t="s">
        <v>5950</v>
      </c>
      <c r="BK234" t="s">
        <v>206</v>
      </c>
      <c r="BL234" t="s">
        <v>6056</v>
      </c>
    </row>
    <row r="235" spans="1:64">
      <c r="A235" s="1">
        <f>HYPERLINK("https://lsnyc.legalserver.org/matter/dynamic-profile/view/1908454","19-1908454")</f>
        <v>0</v>
      </c>
      <c r="B235" t="s">
        <v>65</v>
      </c>
      <c r="C235" t="s">
        <v>109</v>
      </c>
      <c r="D235" t="s">
        <v>200</v>
      </c>
      <c r="E235" t="s">
        <v>201</v>
      </c>
      <c r="G235" t="s">
        <v>202</v>
      </c>
      <c r="H235" t="s">
        <v>272</v>
      </c>
      <c r="I235" t="s">
        <v>202</v>
      </c>
      <c r="J235" t="s">
        <v>289</v>
      </c>
      <c r="K235" t="s">
        <v>202</v>
      </c>
      <c r="L235" t="s">
        <v>333</v>
      </c>
      <c r="M235" t="s">
        <v>290</v>
      </c>
      <c r="N235" t="s">
        <v>202</v>
      </c>
      <c r="O235" t="s">
        <v>421</v>
      </c>
      <c r="P235" t="s">
        <v>427</v>
      </c>
      <c r="S235" t="s">
        <v>666</v>
      </c>
      <c r="T235" t="s">
        <v>1372</v>
      </c>
      <c r="U235" t="s">
        <v>237</v>
      </c>
      <c r="W235" t="s">
        <v>1876</v>
      </c>
      <c r="X235" t="s">
        <v>2095</v>
      </c>
      <c r="Y235" t="s">
        <v>2892</v>
      </c>
      <c r="Z235" t="s">
        <v>3098</v>
      </c>
      <c r="AA235" t="s">
        <v>3135</v>
      </c>
      <c r="AB235">
        <v>10463</v>
      </c>
      <c r="AC235" t="s">
        <v>3140</v>
      </c>
      <c r="AD235" t="s">
        <v>3354</v>
      </c>
      <c r="AE235">
        <v>5</v>
      </c>
      <c r="AG235" t="s">
        <v>4030</v>
      </c>
      <c r="AH235" t="s">
        <v>291</v>
      </c>
      <c r="AI235" t="s">
        <v>291</v>
      </c>
      <c r="AK235" t="s">
        <v>4040</v>
      </c>
      <c r="AM235">
        <v>0</v>
      </c>
      <c r="AN235">
        <v>1600</v>
      </c>
      <c r="AO235">
        <v>5.3</v>
      </c>
      <c r="AQ235" t="s">
        <v>4283</v>
      </c>
      <c r="AR235" t="s">
        <v>5191</v>
      </c>
      <c r="AS235">
        <v>45</v>
      </c>
      <c r="AT235" t="s">
        <v>5838</v>
      </c>
      <c r="AU235">
        <v>4</v>
      </c>
      <c r="AV235">
        <v>1</v>
      </c>
      <c r="AW235">
        <v>84.19</v>
      </c>
      <c r="BB235" t="s">
        <v>1322</v>
      </c>
      <c r="BC235">
        <v>25400</v>
      </c>
      <c r="BG235" t="s">
        <v>5900</v>
      </c>
      <c r="BJ235" t="s">
        <v>5962</v>
      </c>
      <c r="BK235" t="s">
        <v>216</v>
      </c>
      <c r="BL235" t="s">
        <v>6056</v>
      </c>
    </row>
    <row r="236" spans="1:64">
      <c r="A236" s="1">
        <f>HYPERLINK("https://lsnyc.legalserver.org/matter/dynamic-profile/view/1908146","19-1908146")</f>
        <v>0</v>
      </c>
      <c r="B236" t="s">
        <v>65</v>
      </c>
      <c r="C236" t="s">
        <v>109</v>
      </c>
      <c r="D236" t="s">
        <v>200</v>
      </c>
      <c r="E236" t="s">
        <v>202</v>
      </c>
      <c r="F236" t="s">
        <v>224</v>
      </c>
      <c r="G236" t="s">
        <v>202</v>
      </c>
      <c r="H236" t="s">
        <v>272</v>
      </c>
      <c r="I236" t="s">
        <v>202</v>
      </c>
      <c r="J236" t="s">
        <v>289</v>
      </c>
      <c r="K236" t="s">
        <v>292</v>
      </c>
      <c r="M236" t="s">
        <v>290</v>
      </c>
      <c r="N236" t="s">
        <v>202</v>
      </c>
      <c r="O236" t="s">
        <v>421</v>
      </c>
      <c r="P236" t="s">
        <v>427</v>
      </c>
      <c r="S236" t="s">
        <v>552</v>
      </c>
      <c r="T236" t="s">
        <v>1373</v>
      </c>
      <c r="U236" t="s">
        <v>1874</v>
      </c>
      <c r="W236" t="s">
        <v>1876</v>
      </c>
      <c r="X236" t="s">
        <v>2096</v>
      </c>
      <c r="Y236" t="s">
        <v>2875</v>
      </c>
      <c r="Z236" t="s">
        <v>3098</v>
      </c>
      <c r="AA236" t="s">
        <v>3135</v>
      </c>
      <c r="AB236">
        <v>10467</v>
      </c>
      <c r="AD236" t="s">
        <v>3355</v>
      </c>
      <c r="AE236">
        <v>17</v>
      </c>
      <c r="AG236" t="s">
        <v>4030</v>
      </c>
      <c r="AH236" t="s">
        <v>291</v>
      </c>
      <c r="AI236" t="s">
        <v>291</v>
      </c>
      <c r="AK236" t="s">
        <v>4040</v>
      </c>
      <c r="AL236" t="s">
        <v>4048</v>
      </c>
      <c r="AM236">
        <v>0</v>
      </c>
      <c r="AN236">
        <v>908.35</v>
      </c>
      <c r="AO236">
        <v>1.9</v>
      </c>
      <c r="AQ236" t="s">
        <v>4284</v>
      </c>
      <c r="AR236" t="s">
        <v>5192</v>
      </c>
      <c r="AS236">
        <v>54</v>
      </c>
      <c r="AT236" t="s">
        <v>5838</v>
      </c>
      <c r="AU236">
        <v>1</v>
      </c>
      <c r="AV236">
        <v>0</v>
      </c>
      <c r="AW236">
        <v>81.95</v>
      </c>
      <c r="BA236" t="s">
        <v>5851</v>
      </c>
      <c r="BB236" t="s">
        <v>1322</v>
      </c>
      <c r="BC236">
        <v>10236</v>
      </c>
      <c r="BG236" t="s">
        <v>140</v>
      </c>
      <c r="BJ236" t="s">
        <v>5943</v>
      </c>
      <c r="BK236" t="s">
        <v>216</v>
      </c>
      <c r="BL236" t="s">
        <v>6056</v>
      </c>
    </row>
    <row r="237" spans="1:64">
      <c r="A237" s="1">
        <f>HYPERLINK("https://lsnyc.legalserver.org/matter/dynamic-profile/view/1910258","19-1910258")</f>
        <v>0</v>
      </c>
      <c r="B237" t="s">
        <v>65</v>
      </c>
      <c r="C237" t="s">
        <v>112</v>
      </c>
      <c r="D237" t="s">
        <v>200</v>
      </c>
      <c r="E237" t="s">
        <v>201</v>
      </c>
      <c r="G237" t="s">
        <v>202</v>
      </c>
      <c r="H237" t="s">
        <v>271</v>
      </c>
      <c r="I237" t="s">
        <v>202</v>
      </c>
      <c r="J237" t="s">
        <v>289</v>
      </c>
      <c r="K237" t="s">
        <v>292</v>
      </c>
      <c r="M237" t="s">
        <v>290</v>
      </c>
      <c r="N237" t="s">
        <v>419</v>
      </c>
      <c r="P237" t="s">
        <v>427</v>
      </c>
      <c r="S237" t="s">
        <v>667</v>
      </c>
      <c r="T237" t="s">
        <v>1374</v>
      </c>
      <c r="U237" t="s">
        <v>259</v>
      </c>
      <c r="W237" t="s">
        <v>1876</v>
      </c>
      <c r="X237" t="s">
        <v>2097</v>
      </c>
      <c r="Y237" t="s">
        <v>2824</v>
      </c>
      <c r="Z237" t="s">
        <v>3098</v>
      </c>
      <c r="AA237" t="s">
        <v>3135</v>
      </c>
      <c r="AB237">
        <v>10468</v>
      </c>
      <c r="AC237" t="s">
        <v>3139</v>
      </c>
      <c r="AD237" t="s">
        <v>3356</v>
      </c>
      <c r="AE237">
        <v>20</v>
      </c>
      <c r="AG237" t="s">
        <v>4030</v>
      </c>
      <c r="AH237" t="s">
        <v>291</v>
      </c>
      <c r="AI237" t="s">
        <v>291</v>
      </c>
      <c r="AK237" t="s">
        <v>4040</v>
      </c>
      <c r="AM237">
        <v>0</v>
      </c>
      <c r="AN237">
        <v>978.29</v>
      </c>
      <c r="AO237">
        <v>0</v>
      </c>
      <c r="AQ237" t="s">
        <v>4285</v>
      </c>
      <c r="AR237" t="s">
        <v>5193</v>
      </c>
      <c r="AS237">
        <v>60</v>
      </c>
      <c r="AT237" t="s">
        <v>5836</v>
      </c>
      <c r="AU237">
        <v>3</v>
      </c>
      <c r="AV237">
        <v>0</v>
      </c>
      <c r="AW237">
        <v>260.85</v>
      </c>
      <c r="BA237" t="s">
        <v>329</v>
      </c>
      <c r="BC237">
        <v>55640</v>
      </c>
      <c r="BG237" t="s">
        <v>5901</v>
      </c>
      <c r="BJ237" t="s">
        <v>5951</v>
      </c>
      <c r="BL237" t="s">
        <v>6056</v>
      </c>
    </row>
    <row r="238" spans="1:64">
      <c r="A238" s="1">
        <f>HYPERLINK("https://lsnyc.legalserver.org/matter/dynamic-profile/view/1907649","19-1907649")</f>
        <v>0</v>
      </c>
      <c r="B238" t="s">
        <v>65</v>
      </c>
      <c r="C238" t="s">
        <v>112</v>
      </c>
      <c r="D238" t="s">
        <v>200</v>
      </c>
      <c r="E238" t="s">
        <v>202</v>
      </c>
      <c r="F238" t="s">
        <v>225</v>
      </c>
      <c r="G238" t="s">
        <v>202</v>
      </c>
      <c r="H238" t="s">
        <v>272</v>
      </c>
      <c r="I238" t="s">
        <v>202</v>
      </c>
      <c r="J238" t="s">
        <v>289</v>
      </c>
      <c r="K238" t="s">
        <v>292</v>
      </c>
      <c r="M238" t="s">
        <v>290</v>
      </c>
      <c r="N238" t="s">
        <v>202</v>
      </c>
      <c r="O238" t="s">
        <v>421</v>
      </c>
      <c r="P238" t="s">
        <v>202</v>
      </c>
      <c r="Q238" t="s">
        <v>430</v>
      </c>
      <c r="R238" t="s">
        <v>442</v>
      </c>
      <c r="S238" t="s">
        <v>668</v>
      </c>
      <c r="T238" t="s">
        <v>1238</v>
      </c>
      <c r="U238" t="s">
        <v>217</v>
      </c>
      <c r="V238" t="s">
        <v>259</v>
      </c>
      <c r="W238" t="s">
        <v>1877</v>
      </c>
      <c r="X238" t="s">
        <v>2098</v>
      </c>
      <c r="Y238" t="s">
        <v>2806</v>
      </c>
      <c r="Z238" t="s">
        <v>3098</v>
      </c>
      <c r="AA238" t="s">
        <v>3135</v>
      </c>
      <c r="AB238">
        <v>10452</v>
      </c>
      <c r="AC238" t="s">
        <v>3143</v>
      </c>
      <c r="AD238" t="s">
        <v>3357</v>
      </c>
      <c r="AE238">
        <v>2</v>
      </c>
      <c r="AF238" t="s">
        <v>4024</v>
      </c>
      <c r="AG238" t="s">
        <v>4031</v>
      </c>
      <c r="AH238" t="s">
        <v>291</v>
      </c>
      <c r="AI238" t="s">
        <v>291</v>
      </c>
      <c r="AK238" t="s">
        <v>4040</v>
      </c>
      <c r="AL238" t="s">
        <v>4050</v>
      </c>
      <c r="AM238">
        <v>0</v>
      </c>
      <c r="AN238">
        <v>1150</v>
      </c>
      <c r="AO238">
        <v>10</v>
      </c>
      <c r="AP238" t="s">
        <v>4054</v>
      </c>
      <c r="AQ238" t="s">
        <v>4286</v>
      </c>
      <c r="AR238" t="s">
        <v>5194</v>
      </c>
      <c r="AS238">
        <v>72</v>
      </c>
      <c r="AT238" t="s">
        <v>5838</v>
      </c>
      <c r="AU238">
        <v>1</v>
      </c>
      <c r="AV238">
        <v>0</v>
      </c>
      <c r="AW238">
        <v>228.98</v>
      </c>
      <c r="AX238" t="s">
        <v>228</v>
      </c>
      <c r="AY238" t="s">
        <v>5849</v>
      </c>
      <c r="BA238" t="s">
        <v>329</v>
      </c>
      <c r="BB238" t="s">
        <v>1322</v>
      </c>
      <c r="BC238">
        <v>28600</v>
      </c>
      <c r="BG238" t="s">
        <v>5900</v>
      </c>
      <c r="BI238" t="s">
        <v>5932</v>
      </c>
      <c r="BJ238" t="s">
        <v>5949</v>
      </c>
      <c r="BK238" t="s">
        <v>225</v>
      </c>
      <c r="BL238" t="s">
        <v>6056</v>
      </c>
    </row>
    <row r="239" spans="1:64">
      <c r="A239" s="1">
        <f>HYPERLINK("https://lsnyc.legalserver.org/matter/dynamic-profile/view/1907632","19-1907632")</f>
        <v>0</v>
      </c>
      <c r="B239" t="s">
        <v>65</v>
      </c>
      <c r="C239" t="s">
        <v>112</v>
      </c>
      <c r="D239" t="s">
        <v>200</v>
      </c>
      <c r="E239" t="s">
        <v>202</v>
      </c>
      <c r="F239" t="s">
        <v>224</v>
      </c>
      <c r="G239" t="s">
        <v>202</v>
      </c>
      <c r="H239" t="s">
        <v>271</v>
      </c>
      <c r="I239" t="s">
        <v>202</v>
      </c>
      <c r="J239" t="s">
        <v>289</v>
      </c>
      <c r="K239" t="s">
        <v>292</v>
      </c>
      <c r="M239" t="s">
        <v>290</v>
      </c>
      <c r="N239" t="s">
        <v>202</v>
      </c>
      <c r="O239" t="s">
        <v>421</v>
      </c>
      <c r="P239" t="s">
        <v>427</v>
      </c>
      <c r="S239" t="s">
        <v>669</v>
      </c>
      <c r="T239" t="s">
        <v>1375</v>
      </c>
      <c r="U239" t="s">
        <v>217</v>
      </c>
      <c r="W239" t="s">
        <v>1876</v>
      </c>
      <c r="X239" t="s">
        <v>2099</v>
      </c>
      <c r="Y239" t="s">
        <v>2783</v>
      </c>
      <c r="Z239" t="s">
        <v>3098</v>
      </c>
      <c r="AA239" t="s">
        <v>3135</v>
      </c>
      <c r="AB239">
        <v>10467</v>
      </c>
      <c r="AC239" t="s">
        <v>3139</v>
      </c>
      <c r="AD239" t="s">
        <v>3358</v>
      </c>
      <c r="AE239">
        <v>1</v>
      </c>
      <c r="AG239" t="s">
        <v>4030</v>
      </c>
      <c r="AH239" t="s">
        <v>291</v>
      </c>
      <c r="AI239" t="s">
        <v>291</v>
      </c>
      <c r="AK239" t="s">
        <v>4040</v>
      </c>
      <c r="AM239">
        <v>0</v>
      </c>
      <c r="AN239">
        <v>2395</v>
      </c>
      <c r="AO239">
        <v>1.9</v>
      </c>
      <c r="AQ239" t="s">
        <v>4287</v>
      </c>
      <c r="AR239" t="s">
        <v>5195</v>
      </c>
      <c r="AS239">
        <v>4</v>
      </c>
      <c r="AT239" t="s">
        <v>5836</v>
      </c>
      <c r="AU239">
        <v>1</v>
      </c>
      <c r="AV239">
        <v>2</v>
      </c>
      <c r="AW239">
        <v>55.3</v>
      </c>
      <c r="BA239" t="s">
        <v>5855</v>
      </c>
      <c r="BB239" t="s">
        <v>1322</v>
      </c>
      <c r="BC239">
        <v>11796</v>
      </c>
      <c r="BG239" t="s">
        <v>5901</v>
      </c>
      <c r="BJ239" t="s">
        <v>5996</v>
      </c>
      <c r="BK239" t="s">
        <v>243</v>
      </c>
      <c r="BL239" t="s">
        <v>6056</v>
      </c>
    </row>
    <row r="240" spans="1:64">
      <c r="A240" s="1">
        <f>HYPERLINK("https://lsnyc.legalserver.org/matter/dynamic-profile/view/1909607","19-1909607")</f>
        <v>0</v>
      </c>
      <c r="B240" t="s">
        <v>65</v>
      </c>
      <c r="C240" t="s">
        <v>112</v>
      </c>
      <c r="D240" t="s">
        <v>200</v>
      </c>
      <c r="E240" t="s">
        <v>201</v>
      </c>
      <c r="G240" t="s">
        <v>202</v>
      </c>
      <c r="H240" t="s">
        <v>271</v>
      </c>
      <c r="I240" t="s">
        <v>202</v>
      </c>
      <c r="J240" t="s">
        <v>289</v>
      </c>
      <c r="K240" t="s">
        <v>292</v>
      </c>
      <c r="M240" t="s">
        <v>290</v>
      </c>
      <c r="N240" t="s">
        <v>202</v>
      </c>
      <c r="O240" t="s">
        <v>421</v>
      </c>
      <c r="P240" t="s">
        <v>427</v>
      </c>
      <c r="S240" t="s">
        <v>670</v>
      </c>
      <c r="T240" t="s">
        <v>1228</v>
      </c>
      <c r="U240" t="s">
        <v>222</v>
      </c>
      <c r="W240" t="s">
        <v>1876</v>
      </c>
      <c r="X240" t="s">
        <v>2100</v>
      </c>
      <c r="Z240" t="s">
        <v>3098</v>
      </c>
      <c r="AA240" t="s">
        <v>3135</v>
      </c>
      <c r="AB240">
        <v>10468</v>
      </c>
      <c r="AC240" t="s">
        <v>3139</v>
      </c>
      <c r="AD240" t="s">
        <v>3359</v>
      </c>
      <c r="AE240">
        <v>9</v>
      </c>
      <c r="AG240" t="s">
        <v>4030</v>
      </c>
      <c r="AH240" t="s">
        <v>291</v>
      </c>
      <c r="AI240" t="s">
        <v>291</v>
      </c>
      <c r="AK240" t="s">
        <v>4040</v>
      </c>
      <c r="AM240">
        <v>0</v>
      </c>
      <c r="AN240">
        <v>1008.93</v>
      </c>
      <c r="AO240">
        <v>0</v>
      </c>
      <c r="AQ240" t="s">
        <v>4288</v>
      </c>
      <c r="AR240" t="s">
        <v>5196</v>
      </c>
      <c r="AS240">
        <v>36</v>
      </c>
      <c r="AT240" t="s">
        <v>5838</v>
      </c>
      <c r="AU240">
        <v>1</v>
      </c>
      <c r="AV240">
        <v>1</v>
      </c>
      <c r="AW240">
        <v>127.74</v>
      </c>
      <c r="BA240" t="s">
        <v>329</v>
      </c>
      <c r="BB240" t="s">
        <v>1322</v>
      </c>
      <c r="BC240">
        <v>21600</v>
      </c>
      <c r="BG240" t="s">
        <v>5901</v>
      </c>
      <c r="BJ240" t="s">
        <v>5951</v>
      </c>
      <c r="BL240" t="s">
        <v>6056</v>
      </c>
    </row>
    <row r="241" spans="1:64">
      <c r="A241" s="1">
        <f>HYPERLINK("https://lsnyc.legalserver.org/matter/dynamic-profile/view/1904049","19-1904049")</f>
        <v>0</v>
      </c>
      <c r="B241" t="s">
        <v>65</v>
      </c>
      <c r="C241" t="s">
        <v>112</v>
      </c>
      <c r="D241" t="s">
        <v>200</v>
      </c>
      <c r="E241" t="s">
        <v>202</v>
      </c>
      <c r="F241" t="s">
        <v>207</v>
      </c>
      <c r="G241" t="s">
        <v>202</v>
      </c>
      <c r="H241" t="s">
        <v>272</v>
      </c>
      <c r="I241" t="s">
        <v>202</v>
      </c>
      <c r="J241" t="s">
        <v>289</v>
      </c>
      <c r="K241" t="s">
        <v>292</v>
      </c>
      <c r="M241" t="s">
        <v>290</v>
      </c>
      <c r="N241" t="s">
        <v>202</v>
      </c>
      <c r="O241" t="s">
        <v>421</v>
      </c>
      <c r="P241" t="s">
        <v>427</v>
      </c>
      <c r="S241" t="s">
        <v>671</v>
      </c>
      <c r="T241" t="s">
        <v>1376</v>
      </c>
      <c r="U241" t="s">
        <v>255</v>
      </c>
      <c r="W241" t="s">
        <v>1876</v>
      </c>
      <c r="X241" t="s">
        <v>2101</v>
      </c>
      <c r="Y241">
        <v>52</v>
      </c>
      <c r="Z241" t="s">
        <v>3098</v>
      </c>
      <c r="AA241" t="s">
        <v>3135</v>
      </c>
      <c r="AB241">
        <v>10457</v>
      </c>
      <c r="AC241" t="s">
        <v>3139</v>
      </c>
      <c r="AD241" t="s">
        <v>3360</v>
      </c>
      <c r="AE241">
        <v>1</v>
      </c>
      <c r="AG241" t="s">
        <v>4030</v>
      </c>
      <c r="AH241" t="s">
        <v>291</v>
      </c>
      <c r="AI241" t="s">
        <v>291</v>
      </c>
      <c r="AK241" t="s">
        <v>4040</v>
      </c>
      <c r="AL241" t="s">
        <v>4046</v>
      </c>
      <c r="AM241">
        <v>0</v>
      </c>
      <c r="AN241">
        <v>1675</v>
      </c>
      <c r="AO241">
        <v>3.1</v>
      </c>
      <c r="AQ241" t="s">
        <v>4289</v>
      </c>
      <c r="AR241" t="s">
        <v>5197</v>
      </c>
      <c r="AS241">
        <v>27</v>
      </c>
      <c r="AT241" t="s">
        <v>5838</v>
      </c>
      <c r="AU241">
        <v>1</v>
      </c>
      <c r="AV241">
        <v>1</v>
      </c>
      <c r="AW241">
        <v>164.36</v>
      </c>
      <c r="BA241" t="s">
        <v>329</v>
      </c>
      <c r="BB241" t="s">
        <v>5859</v>
      </c>
      <c r="BC241">
        <v>27794</v>
      </c>
      <c r="BG241" t="s">
        <v>5901</v>
      </c>
      <c r="BJ241" t="s">
        <v>3143</v>
      </c>
      <c r="BK241" t="s">
        <v>1874</v>
      </c>
      <c r="BL241" t="s">
        <v>6056</v>
      </c>
    </row>
    <row r="242" spans="1:64">
      <c r="A242" s="1">
        <f>HYPERLINK("https://lsnyc.legalserver.org/matter/dynamic-profile/view/1907639","19-1907639")</f>
        <v>0</v>
      </c>
      <c r="B242" t="s">
        <v>65</v>
      </c>
      <c r="C242" t="s">
        <v>112</v>
      </c>
      <c r="D242" t="s">
        <v>200</v>
      </c>
      <c r="E242" t="s">
        <v>201</v>
      </c>
      <c r="G242" t="s">
        <v>202</v>
      </c>
      <c r="H242" t="s">
        <v>272</v>
      </c>
      <c r="I242" t="s">
        <v>202</v>
      </c>
      <c r="J242" t="s">
        <v>289</v>
      </c>
      <c r="K242" t="s">
        <v>292</v>
      </c>
      <c r="M242" t="s">
        <v>290</v>
      </c>
      <c r="N242" t="s">
        <v>202</v>
      </c>
      <c r="O242" t="s">
        <v>423</v>
      </c>
      <c r="P242" t="s">
        <v>427</v>
      </c>
      <c r="S242" t="s">
        <v>672</v>
      </c>
      <c r="T242" t="s">
        <v>1377</v>
      </c>
      <c r="U242" t="s">
        <v>217</v>
      </c>
      <c r="W242" t="s">
        <v>1876</v>
      </c>
      <c r="X242" t="s">
        <v>2102</v>
      </c>
      <c r="Y242" t="s">
        <v>2893</v>
      </c>
      <c r="Z242" t="s">
        <v>3098</v>
      </c>
      <c r="AA242" t="s">
        <v>3135</v>
      </c>
      <c r="AB242">
        <v>10452</v>
      </c>
      <c r="AC242" t="s">
        <v>3144</v>
      </c>
      <c r="AD242" t="s">
        <v>3361</v>
      </c>
      <c r="AE242">
        <v>48</v>
      </c>
      <c r="AG242" t="s">
        <v>4031</v>
      </c>
      <c r="AH242" t="s">
        <v>291</v>
      </c>
      <c r="AI242" t="s">
        <v>291</v>
      </c>
      <c r="AK242" t="s">
        <v>4040</v>
      </c>
      <c r="AM242">
        <v>0</v>
      </c>
      <c r="AN242">
        <v>719.34</v>
      </c>
      <c r="AO242">
        <v>8.449999999999999</v>
      </c>
      <c r="AQ242" t="s">
        <v>4290</v>
      </c>
      <c r="AR242" t="s">
        <v>5198</v>
      </c>
      <c r="AS242">
        <v>49</v>
      </c>
      <c r="AT242" t="s">
        <v>5838</v>
      </c>
      <c r="AU242">
        <v>1</v>
      </c>
      <c r="AV242">
        <v>1</v>
      </c>
      <c r="AW242">
        <v>97.09999999999999</v>
      </c>
      <c r="BA242" t="s">
        <v>5851</v>
      </c>
      <c r="BB242" t="s">
        <v>1322</v>
      </c>
      <c r="BC242">
        <v>16420</v>
      </c>
      <c r="BG242" t="s">
        <v>140</v>
      </c>
      <c r="BJ242" t="s">
        <v>5997</v>
      </c>
      <c r="BK242" t="s">
        <v>259</v>
      </c>
      <c r="BL242" t="s">
        <v>6056</v>
      </c>
    </row>
    <row r="243" spans="1:64">
      <c r="A243" s="1">
        <f>HYPERLINK("https://lsnyc.legalserver.org/matter/dynamic-profile/view/1907027","19-1907027")</f>
        <v>0</v>
      </c>
      <c r="B243" t="s">
        <v>65</v>
      </c>
      <c r="C243" t="s">
        <v>112</v>
      </c>
      <c r="D243" t="s">
        <v>200</v>
      </c>
      <c r="E243" t="s">
        <v>202</v>
      </c>
      <c r="F243" t="s">
        <v>226</v>
      </c>
      <c r="G243" t="s">
        <v>202</v>
      </c>
      <c r="H243" t="s">
        <v>272</v>
      </c>
      <c r="I243" t="s">
        <v>202</v>
      </c>
      <c r="J243" t="s">
        <v>289</v>
      </c>
      <c r="K243" t="s">
        <v>292</v>
      </c>
      <c r="M243" t="s">
        <v>290</v>
      </c>
      <c r="N243" t="s">
        <v>202</v>
      </c>
      <c r="O243" t="s">
        <v>421</v>
      </c>
      <c r="P243" t="s">
        <v>427</v>
      </c>
      <c r="S243" t="s">
        <v>673</v>
      </c>
      <c r="T243" t="s">
        <v>1378</v>
      </c>
      <c r="U243" t="s">
        <v>226</v>
      </c>
      <c r="W243" t="s">
        <v>1876</v>
      </c>
      <c r="X243" t="s">
        <v>2103</v>
      </c>
      <c r="Y243">
        <v>53</v>
      </c>
      <c r="Z243" t="s">
        <v>3098</v>
      </c>
      <c r="AA243" t="s">
        <v>3135</v>
      </c>
      <c r="AB243">
        <v>10467</v>
      </c>
      <c r="AC243" t="s">
        <v>3139</v>
      </c>
      <c r="AD243" t="s">
        <v>3362</v>
      </c>
      <c r="AE243">
        <v>13</v>
      </c>
      <c r="AG243" t="s">
        <v>4030</v>
      </c>
      <c r="AH243" t="s">
        <v>291</v>
      </c>
      <c r="AI243" t="s">
        <v>291</v>
      </c>
      <c r="AK243" t="s">
        <v>4040</v>
      </c>
      <c r="AM243">
        <v>0</v>
      </c>
      <c r="AN243">
        <v>1209.64</v>
      </c>
      <c r="AO243">
        <v>4.7</v>
      </c>
      <c r="AQ243" t="s">
        <v>4268</v>
      </c>
      <c r="AR243" t="s">
        <v>5199</v>
      </c>
      <c r="AS243">
        <v>50</v>
      </c>
      <c r="AT243" t="s">
        <v>5836</v>
      </c>
      <c r="AU243">
        <v>1</v>
      </c>
      <c r="AV243">
        <v>3</v>
      </c>
      <c r="AW243">
        <v>84.01000000000001</v>
      </c>
      <c r="BA243" t="s">
        <v>5852</v>
      </c>
      <c r="BB243" t="s">
        <v>1322</v>
      </c>
      <c r="BC243">
        <v>21632</v>
      </c>
      <c r="BG243" t="s">
        <v>5899</v>
      </c>
      <c r="BJ243" t="s">
        <v>5949</v>
      </c>
      <c r="BK243" t="s">
        <v>259</v>
      </c>
      <c r="BL243" t="s">
        <v>6056</v>
      </c>
    </row>
    <row r="244" spans="1:64">
      <c r="A244" s="1">
        <f>HYPERLINK("https://lsnyc.legalserver.org/matter/dynamic-profile/view/1909462","19-1909462")</f>
        <v>0</v>
      </c>
      <c r="B244" t="s">
        <v>65</v>
      </c>
      <c r="C244" t="s">
        <v>109</v>
      </c>
      <c r="D244" t="s">
        <v>200</v>
      </c>
      <c r="E244" t="s">
        <v>201</v>
      </c>
      <c r="G244" t="s">
        <v>202</v>
      </c>
      <c r="H244" t="s">
        <v>272</v>
      </c>
      <c r="I244" t="s">
        <v>202</v>
      </c>
      <c r="J244" t="s">
        <v>289</v>
      </c>
      <c r="K244" t="s">
        <v>292</v>
      </c>
      <c r="M244" t="s">
        <v>290</v>
      </c>
      <c r="N244" t="s">
        <v>202</v>
      </c>
      <c r="O244" t="s">
        <v>421</v>
      </c>
      <c r="P244" t="s">
        <v>202</v>
      </c>
      <c r="Q244" t="s">
        <v>430</v>
      </c>
      <c r="R244" t="s">
        <v>443</v>
      </c>
      <c r="S244" t="s">
        <v>655</v>
      </c>
      <c r="T244" t="s">
        <v>1362</v>
      </c>
      <c r="U244" t="s">
        <v>230</v>
      </c>
      <c r="W244" t="s">
        <v>1876</v>
      </c>
      <c r="X244" t="s">
        <v>2084</v>
      </c>
      <c r="Y244" t="s">
        <v>2836</v>
      </c>
      <c r="Z244" t="s">
        <v>3098</v>
      </c>
      <c r="AA244" t="s">
        <v>3135</v>
      </c>
      <c r="AB244">
        <v>10467</v>
      </c>
      <c r="AD244" t="s">
        <v>3363</v>
      </c>
      <c r="AE244">
        <v>1</v>
      </c>
      <c r="AG244" t="s">
        <v>4030</v>
      </c>
      <c r="AH244" t="s">
        <v>291</v>
      </c>
      <c r="AI244" t="s">
        <v>291</v>
      </c>
      <c r="AK244" t="s">
        <v>4040</v>
      </c>
      <c r="AL244" t="s">
        <v>4046</v>
      </c>
      <c r="AM244">
        <v>0</v>
      </c>
      <c r="AN244">
        <v>1350</v>
      </c>
      <c r="AO244">
        <v>0.1</v>
      </c>
      <c r="AQ244" t="s">
        <v>4273</v>
      </c>
      <c r="AR244" t="s">
        <v>5181</v>
      </c>
      <c r="AS244">
        <v>66</v>
      </c>
      <c r="AT244" t="s">
        <v>5838</v>
      </c>
      <c r="AU244">
        <v>1</v>
      </c>
      <c r="AV244">
        <v>1</v>
      </c>
      <c r="AW244">
        <v>171.5</v>
      </c>
      <c r="BA244" t="s">
        <v>329</v>
      </c>
      <c r="BB244" t="s">
        <v>5859</v>
      </c>
      <c r="BC244">
        <v>29000</v>
      </c>
      <c r="BG244" t="s">
        <v>140</v>
      </c>
      <c r="BI244" t="s">
        <v>5933</v>
      </c>
      <c r="BJ244" t="s">
        <v>5949</v>
      </c>
      <c r="BK244" t="s">
        <v>216</v>
      </c>
      <c r="BL244" t="s">
        <v>6056</v>
      </c>
    </row>
    <row r="245" spans="1:64">
      <c r="A245" s="1">
        <f>HYPERLINK("https://lsnyc.legalserver.org/matter/dynamic-profile/view/1904135","19-1904135")</f>
        <v>0</v>
      </c>
      <c r="B245" t="s">
        <v>65</v>
      </c>
      <c r="C245" t="s">
        <v>109</v>
      </c>
      <c r="D245" t="s">
        <v>200</v>
      </c>
      <c r="E245" t="s">
        <v>202</v>
      </c>
      <c r="F245" t="s">
        <v>227</v>
      </c>
      <c r="G245" t="s">
        <v>202</v>
      </c>
      <c r="H245" t="s">
        <v>272</v>
      </c>
      <c r="I245" t="s">
        <v>202</v>
      </c>
      <c r="J245" t="s">
        <v>289</v>
      </c>
      <c r="K245" t="s">
        <v>292</v>
      </c>
      <c r="M245" t="s">
        <v>290</v>
      </c>
      <c r="N245" t="s">
        <v>202</v>
      </c>
      <c r="O245" t="s">
        <v>421</v>
      </c>
      <c r="P245" t="s">
        <v>427</v>
      </c>
      <c r="S245" t="s">
        <v>674</v>
      </c>
      <c r="T245" t="s">
        <v>1379</v>
      </c>
      <c r="U245" t="s">
        <v>227</v>
      </c>
      <c r="W245" t="s">
        <v>1876</v>
      </c>
      <c r="X245" t="s">
        <v>2104</v>
      </c>
      <c r="Y245">
        <v>2</v>
      </c>
      <c r="Z245" t="s">
        <v>3098</v>
      </c>
      <c r="AA245" t="s">
        <v>3135</v>
      </c>
      <c r="AB245">
        <v>10460</v>
      </c>
      <c r="AC245" t="s">
        <v>3140</v>
      </c>
      <c r="AD245" t="s">
        <v>3364</v>
      </c>
      <c r="AE245">
        <v>12</v>
      </c>
      <c r="AG245" t="s">
        <v>4031</v>
      </c>
      <c r="AH245" t="s">
        <v>291</v>
      </c>
      <c r="AI245" t="s">
        <v>291</v>
      </c>
      <c r="AK245" t="s">
        <v>4040</v>
      </c>
      <c r="AL245" t="s">
        <v>4047</v>
      </c>
      <c r="AM245">
        <v>0</v>
      </c>
      <c r="AN245">
        <v>1106.46</v>
      </c>
      <c r="AO245">
        <v>11.6</v>
      </c>
      <c r="AQ245" t="s">
        <v>4291</v>
      </c>
      <c r="AR245" t="s">
        <v>5200</v>
      </c>
      <c r="AS245">
        <v>25</v>
      </c>
      <c r="AT245" t="s">
        <v>5838</v>
      </c>
      <c r="AU245">
        <v>2</v>
      </c>
      <c r="AV245">
        <v>0</v>
      </c>
      <c r="AW245">
        <v>150.05</v>
      </c>
      <c r="BA245" t="s">
        <v>329</v>
      </c>
      <c r="BB245" t="s">
        <v>1322</v>
      </c>
      <c r="BC245">
        <v>25374</v>
      </c>
      <c r="BG245" t="s">
        <v>5900</v>
      </c>
      <c r="BJ245" t="s">
        <v>5949</v>
      </c>
      <c r="BK245" t="s">
        <v>216</v>
      </c>
      <c r="BL245" t="s">
        <v>6056</v>
      </c>
    </row>
    <row r="246" spans="1:64">
      <c r="A246" s="1">
        <f>HYPERLINK("https://lsnyc.legalserver.org/matter/dynamic-profile/view/1906713","19-1906713")</f>
        <v>0</v>
      </c>
      <c r="B246" t="s">
        <v>65</v>
      </c>
      <c r="C246" t="s">
        <v>109</v>
      </c>
      <c r="D246" t="s">
        <v>200</v>
      </c>
      <c r="E246" t="s">
        <v>202</v>
      </c>
      <c r="F246" t="s">
        <v>228</v>
      </c>
      <c r="G246" t="s">
        <v>202</v>
      </c>
      <c r="H246" t="s">
        <v>272</v>
      </c>
      <c r="I246" t="s">
        <v>202</v>
      </c>
      <c r="J246" t="s">
        <v>289</v>
      </c>
      <c r="K246" t="s">
        <v>292</v>
      </c>
      <c r="M246" t="s">
        <v>290</v>
      </c>
      <c r="N246" t="s">
        <v>202</v>
      </c>
      <c r="O246" t="s">
        <v>421</v>
      </c>
      <c r="P246" t="s">
        <v>427</v>
      </c>
      <c r="S246" t="s">
        <v>675</v>
      </c>
      <c r="T246" t="s">
        <v>1217</v>
      </c>
      <c r="U246" t="s">
        <v>209</v>
      </c>
      <c r="W246" t="s">
        <v>1876</v>
      </c>
      <c r="X246" t="s">
        <v>2105</v>
      </c>
      <c r="Y246" t="s">
        <v>2894</v>
      </c>
      <c r="Z246" t="s">
        <v>3098</v>
      </c>
      <c r="AA246" t="s">
        <v>3135</v>
      </c>
      <c r="AB246">
        <v>10468</v>
      </c>
      <c r="AC246" t="s">
        <v>3139</v>
      </c>
      <c r="AD246" t="s">
        <v>3365</v>
      </c>
      <c r="AE246">
        <v>1</v>
      </c>
      <c r="AG246" t="s">
        <v>4030</v>
      </c>
      <c r="AH246" t="s">
        <v>291</v>
      </c>
      <c r="AI246" t="s">
        <v>291</v>
      </c>
      <c r="AK246" t="s">
        <v>4040</v>
      </c>
      <c r="AL246" t="s">
        <v>4046</v>
      </c>
      <c r="AM246">
        <v>0</v>
      </c>
      <c r="AN246">
        <v>0</v>
      </c>
      <c r="AO246">
        <v>2.2</v>
      </c>
      <c r="AQ246" t="s">
        <v>4292</v>
      </c>
      <c r="AS246">
        <v>104</v>
      </c>
      <c r="AT246" t="s">
        <v>5838</v>
      </c>
      <c r="AU246">
        <v>5</v>
      </c>
      <c r="AV246">
        <v>1</v>
      </c>
      <c r="AW246">
        <v>245.74</v>
      </c>
      <c r="AX246" t="s">
        <v>228</v>
      </c>
      <c r="AY246" t="s">
        <v>5849</v>
      </c>
      <c r="BA246" t="s">
        <v>329</v>
      </c>
      <c r="BB246" t="s">
        <v>5859</v>
      </c>
      <c r="BC246">
        <v>85000</v>
      </c>
      <c r="BG246" t="s">
        <v>140</v>
      </c>
      <c r="BJ246" t="s">
        <v>5949</v>
      </c>
      <c r="BK246" t="s">
        <v>234</v>
      </c>
      <c r="BL246" t="s">
        <v>6056</v>
      </c>
    </row>
    <row r="247" spans="1:64">
      <c r="A247" s="1">
        <f>HYPERLINK("https://lsnyc.legalserver.org/matter/dynamic-profile/view/1904771","19-1904771")</f>
        <v>0</v>
      </c>
      <c r="B247" t="s">
        <v>65</v>
      </c>
      <c r="C247" t="s">
        <v>109</v>
      </c>
      <c r="D247" t="s">
        <v>200</v>
      </c>
      <c r="E247" t="s">
        <v>202</v>
      </c>
      <c r="F247" t="s">
        <v>210</v>
      </c>
      <c r="G247" t="s">
        <v>202</v>
      </c>
      <c r="H247" t="s">
        <v>272</v>
      </c>
      <c r="I247" t="s">
        <v>202</v>
      </c>
      <c r="J247" t="s">
        <v>289</v>
      </c>
      <c r="K247" t="s">
        <v>292</v>
      </c>
      <c r="M247" t="s">
        <v>290</v>
      </c>
      <c r="N247" t="s">
        <v>202</v>
      </c>
      <c r="O247" t="s">
        <v>421</v>
      </c>
      <c r="P247" t="s">
        <v>427</v>
      </c>
      <c r="S247" t="s">
        <v>676</v>
      </c>
      <c r="T247" t="s">
        <v>1219</v>
      </c>
      <c r="U247" t="s">
        <v>211</v>
      </c>
      <c r="W247" t="s">
        <v>1876</v>
      </c>
      <c r="X247" t="s">
        <v>2106</v>
      </c>
      <c r="Y247" t="s">
        <v>2783</v>
      </c>
      <c r="Z247" t="s">
        <v>3098</v>
      </c>
      <c r="AA247" t="s">
        <v>3135</v>
      </c>
      <c r="AB247">
        <v>10457</v>
      </c>
      <c r="AC247" t="s">
        <v>3143</v>
      </c>
      <c r="AD247" t="s">
        <v>3366</v>
      </c>
      <c r="AE247">
        <v>45</v>
      </c>
      <c r="AG247" t="s">
        <v>4030</v>
      </c>
      <c r="AH247" t="s">
        <v>291</v>
      </c>
      <c r="AI247" t="s">
        <v>291</v>
      </c>
      <c r="AK247" t="s">
        <v>4040</v>
      </c>
      <c r="AL247" t="s">
        <v>4048</v>
      </c>
      <c r="AM247">
        <v>0</v>
      </c>
      <c r="AN247">
        <v>848.87</v>
      </c>
      <c r="AO247">
        <v>8</v>
      </c>
      <c r="AQ247" t="s">
        <v>4293</v>
      </c>
      <c r="AR247" t="s">
        <v>5201</v>
      </c>
      <c r="AS247">
        <v>48</v>
      </c>
      <c r="AT247" t="s">
        <v>5838</v>
      </c>
      <c r="AU247">
        <v>2</v>
      </c>
      <c r="AV247">
        <v>2</v>
      </c>
      <c r="AW247">
        <v>35.93</v>
      </c>
      <c r="BA247" t="s">
        <v>5850</v>
      </c>
      <c r="BB247" t="s">
        <v>1322</v>
      </c>
      <c r="BC247">
        <v>9252</v>
      </c>
      <c r="BG247" t="s">
        <v>5900</v>
      </c>
      <c r="BJ247" t="s">
        <v>5959</v>
      </c>
      <c r="BK247" t="s">
        <v>259</v>
      </c>
      <c r="BL247" t="s">
        <v>6056</v>
      </c>
    </row>
    <row r="248" spans="1:64">
      <c r="A248" s="1">
        <f>HYPERLINK("https://lsnyc.legalserver.org/matter/dynamic-profile/view/1903892","19-1903892")</f>
        <v>0</v>
      </c>
      <c r="B248" t="s">
        <v>65</v>
      </c>
      <c r="C248" t="s">
        <v>109</v>
      </c>
      <c r="D248" t="s">
        <v>200</v>
      </c>
      <c r="E248" t="s">
        <v>201</v>
      </c>
      <c r="G248" t="s">
        <v>202</v>
      </c>
      <c r="H248" t="s">
        <v>272</v>
      </c>
      <c r="I248" t="s">
        <v>202</v>
      </c>
      <c r="J248" t="s">
        <v>289</v>
      </c>
      <c r="K248" t="s">
        <v>292</v>
      </c>
      <c r="M248" t="s">
        <v>290</v>
      </c>
      <c r="N248" t="s">
        <v>202</v>
      </c>
      <c r="O248" t="s">
        <v>421</v>
      </c>
      <c r="P248" t="s">
        <v>202</v>
      </c>
      <c r="Q248" t="s">
        <v>430</v>
      </c>
      <c r="R248" t="s">
        <v>444</v>
      </c>
      <c r="S248" t="s">
        <v>677</v>
      </c>
      <c r="T248" t="s">
        <v>1380</v>
      </c>
      <c r="U248" t="s">
        <v>229</v>
      </c>
      <c r="V248" t="s">
        <v>222</v>
      </c>
      <c r="W248" t="s">
        <v>1877</v>
      </c>
      <c r="X248" t="s">
        <v>2107</v>
      </c>
      <c r="Y248" t="s">
        <v>2895</v>
      </c>
      <c r="Z248" t="s">
        <v>3098</v>
      </c>
      <c r="AA248" t="s">
        <v>3135</v>
      </c>
      <c r="AB248">
        <v>10453</v>
      </c>
      <c r="AC248" t="s">
        <v>3140</v>
      </c>
      <c r="AD248" t="s">
        <v>3367</v>
      </c>
      <c r="AE248">
        <v>9</v>
      </c>
      <c r="AF248" t="s">
        <v>4024</v>
      </c>
      <c r="AG248" t="s">
        <v>4031</v>
      </c>
      <c r="AH248" t="s">
        <v>291</v>
      </c>
      <c r="AK248" t="s">
        <v>4040</v>
      </c>
      <c r="AL248" t="s">
        <v>4049</v>
      </c>
      <c r="AM248">
        <v>0</v>
      </c>
      <c r="AN248">
        <v>338.1</v>
      </c>
      <c r="AO248">
        <v>12.65</v>
      </c>
      <c r="AP248" t="s">
        <v>4054</v>
      </c>
      <c r="AQ248" t="s">
        <v>4294</v>
      </c>
      <c r="AR248" t="s">
        <v>5202</v>
      </c>
      <c r="AS248">
        <v>30</v>
      </c>
      <c r="AT248" t="s">
        <v>5844</v>
      </c>
      <c r="AU248">
        <v>1</v>
      </c>
      <c r="AV248">
        <v>0</v>
      </c>
      <c r="AW248">
        <v>108.28</v>
      </c>
      <c r="BA248" t="s">
        <v>3143</v>
      </c>
      <c r="BB248" t="s">
        <v>1322</v>
      </c>
      <c r="BC248">
        <v>13524</v>
      </c>
      <c r="BG248" t="s">
        <v>5903</v>
      </c>
      <c r="BH248" t="s">
        <v>5929</v>
      </c>
      <c r="BI248" t="s">
        <v>5932</v>
      </c>
      <c r="BJ248" t="s">
        <v>5998</v>
      </c>
      <c r="BK248" t="s">
        <v>236</v>
      </c>
      <c r="BL248" t="s">
        <v>6056</v>
      </c>
    </row>
    <row r="249" spans="1:64">
      <c r="A249" s="1">
        <f>HYPERLINK("https://lsnyc.legalserver.org/matter/dynamic-profile/view/1903766","19-1903766")</f>
        <v>0</v>
      </c>
      <c r="B249" t="s">
        <v>65</v>
      </c>
      <c r="C249" t="s">
        <v>109</v>
      </c>
      <c r="D249" t="s">
        <v>200</v>
      </c>
      <c r="E249" t="s">
        <v>202</v>
      </c>
      <c r="F249" t="s">
        <v>208</v>
      </c>
      <c r="G249" t="s">
        <v>202</v>
      </c>
      <c r="H249" t="s">
        <v>271</v>
      </c>
      <c r="I249" t="s">
        <v>202</v>
      </c>
      <c r="J249" t="s">
        <v>289</v>
      </c>
      <c r="K249" t="s">
        <v>292</v>
      </c>
      <c r="M249" t="s">
        <v>290</v>
      </c>
      <c r="N249" t="s">
        <v>202</v>
      </c>
      <c r="O249" t="s">
        <v>421</v>
      </c>
      <c r="P249" t="s">
        <v>427</v>
      </c>
      <c r="S249" t="s">
        <v>678</v>
      </c>
      <c r="T249" t="s">
        <v>1194</v>
      </c>
      <c r="U249" t="s">
        <v>208</v>
      </c>
      <c r="W249" t="s">
        <v>1876</v>
      </c>
      <c r="X249" t="s">
        <v>2108</v>
      </c>
      <c r="Y249" t="s">
        <v>2835</v>
      </c>
      <c r="Z249" t="s">
        <v>3098</v>
      </c>
      <c r="AA249" t="s">
        <v>3135</v>
      </c>
      <c r="AB249">
        <v>10453</v>
      </c>
      <c r="AC249" t="s">
        <v>3139</v>
      </c>
      <c r="AD249" t="s">
        <v>3368</v>
      </c>
      <c r="AE249">
        <v>3</v>
      </c>
      <c r="AG249" t="s">
        <v>4031</v>
      </c>
      <c r="AH249" t="s">
        <v>291</v>
      </c>
      <c r="AI249" t="s">
        <v>291</v>
      </c>
      <c r="AK249" t="s">
        <v>4040</v>
      </c>
      <c r="AL249" t="s">
        <v>4047</v>
      </c>
      <c r="AM249">
        <v>0</v>
      </c>
      <c r="AN249">
        <v>1213</v>
      </c>
      <c r="AO249">
        <v>14.9</v>
      </c>
      <c r="AQ249" t="s">
        <v>4295</v>
      </c>
      <c r="AR249" t="s">
        <v>5203</v>
      </c>
      <c r="AS249">
        <v>30</v>
      </c>
      <c r="AT249" t="s">
        <v>5838</v>
      </c>
      <c r="AU249">
        <v>1</v>
      </c>
      <c r="AV249">
        <v>0</v>
      </c>
      <c r="AW249">
        <v>82.43000000000001</v>
      </c>
      <c r="BA249" t="s">
        <v>5856</v>
      </c>
      <c r="BB249" t="s">
        <v>1322</v>
      </c>
      <c r="BC249">
        <v>10296</v>
      </c>
      <c r="BG249" t="s">
        <v>5904</v>
      </c>
      <c r="BJ249" t="s">
        <v>5942</v>
      </c>
      <c r="BK249" t="s">
        <v>216</v>
      </c>
      <c r="BL249" t="s">
        <v>6056</v>
      </c>
    </row>
    <row r="250" spans="1:64">
      <c r="A250" s="1">
        <f>HYPERLINK("https://lsnyc.legalserver.org/matter/dynamic-profile/view/1908578","19-1908578")</f>
        <v>0</v>
      </c>
      <c r="B250" t="s">
        <v>65</v>
      </c>
      <c r="C250" t="s">
        <v>109</v>
      </c>
      <c r="D250" t="s">
        <v>200</v>
      </c>
      <c r="E250" t="s">
        <v>201</v>
      </c>
      <c r="G250" t="s">
        <v>202</v>
      </c>
      <c r="H250" t="s">
        <v>272</v>
      </c>
      <c r="I250" t="s">
        <v>202</v>
      </c>
      <c r="J250" t="s">
        <v>289</v>
      </c>
      <c r="K250" t="s">
        <v>292</v>
      </c>
      <c r="M250" t="s">
        <v>290</v>
      </c>
      <c r="N250" t="s">
        <v>419</v>
      </c>
      <c r="O250" t="s">
        <v>420</v>
      </c>
      <c r="P250" t="s">
        <v>427</v>
      </c>
      <c r="S250" t="s">
        <v>675</v>
      </c>
      <c r="T250" t="s">
        <v>1381</v>
      </c>
      <c r="U250" t="s">
        <v>237</v>
      </c>
      <c r="W250" t="s">
        <v>1876</v>
      </c>
      <c r="X250" t="s">
        <v>2109</v>
      </c>
      <c r="Y250" t="s">
        <v>2828</v>
      </c>
      <c r="Z250" t="s">
        <v>3098</v>
      </c>
      <c r="AA250" t="s">
        <v>3135</v>
      </c>
      <c r="AB250">
        <v>10467</v>
      </c>
      <c r="AC250" t="s">
        <v>3144</v>
      </c>
      <c r="AD250" t="s">
        <v>3369</v>
      </c>
      <c r="AE250">
        <v>16</v>
      </c>
      <c r="AG250" t="s">
        <v>4030</v>
      </c>
      <c r="AH250" t="s">
        <v>291</v>
      </c>
      <c r="AI250" t="s">
        <v>291</v>
      </c>
      <c r="AK250" t="s">
        <v>4040</v>
      </c>
      <c r="AL250" t="s">
        <v>4048</v>
      </c>
      <c r="AM250">
        <v>0</v>
      </c>
      <c r="AN250">
        <v>1450</v>
      </c>
      <c r="AO250">
        <v>1</v>
      </c>
      <c r="AQ250" t="s">
        <v>4296</v>
      </c>
      <c r="AR250" t="s">
        <v>5204</v>
      </c>
      <c r="AS250">
        <v>28</v>
      </c>
      <c r="AT250" t="s">
        <v>5838</v>
      </c>
      <c r="AU250">
        <v>2</v>
      </c>
      <c r="AV250">
        <v>1</v>
      </c>
      <c r="AW250">
        <v>109.7</v>
      </c>
      <c r="BA250" t="s">
        <v>329</v>
      </c>
      <c r="BB250" t="s">
        <v>1322</v>
      </c>
      <c r="BC250">
        <v>23400</v>
      </c>
      <c r="BG250" t="s">
        <v>5900</v>
      </c>
      <c r="BJ250" t="s">
        <v>5949</v>
      </c>
      <c r="BK250" t="s">
        <v>230</v>
      </c>
      <c r="BL250" t="s">
        <v>6056</v>
      </c>
    </row>
    <row r="251" spans="1:64">
      <c r="A251" s="1">
        <f>HYPERLINK("https://lsnyc.legalserver.org/matter/dynamic-profile/view/1909192","19-1909192")</f>
        <v>0</v>
      </c>
      <c r="B251" t="s">
        <v>65</v>
      </c>
      <c r="C251" t="s">
        <v>109</v>
      </c>
      <c r="D251" t="s">
        <v>200</v>
      </c>
      <c r="E251" t="s">
        <v>201</v>
      </c>
      <c r="G251" t="s">
        <v>202</v>
      </c>
      <c r="H251" t="s">
        <v>274</v>
      </c>
      <c r="I251" t="s">
        <v>202</v>
      </c>
      <c r="J251" t="s">
        <v>289</v>
      </c>
      <c r="K251" t="s">
        <v>292</v>
      </c>
      <c r="M251" t="s">
        <v>290</v>
      </c>
      <c r="N251" t="s">
        <v>202</v>
      </c>
      <c r="O251" t="s">
        <v>425</v>
      </c>
      <c r="P251" t="s">
        <v>427</v>
      </c>
      <c r="S251" t="s">
        <v>665</v>
      </c>
      <c r="T251" t="s">
        <v>1371</v>
      </c>
      <c r="U251" t="s">
        <v>228</v>
      </c>
      <c r="W251" t="s">
        <v>1876</v>
      </c>
      <c r="X251" t="s">
        <v>2094</v>
      </c>
      <c r="Y251" t="s">
        <v>2891</v>
      </c>
      <c r="Z251" t="s">
        <v>3098</v>
      </c>
      <c r="AA251" t="s">
        <v>3135</v>
      </c>
      <c r="AB251">
        <v>10456</v>
      </c>
      <c r="AC251" t="s">
        <v>3139</v>
      </c>
      <c r="AE251">
        <v>20</v>
      </c>
      <c r="AG251" t="s">
        <v>4031</v>
      </c>
      <c r="AH251" t="s">
        <v>291</v>
      </c>
      <c r="AI251" t="s">
        <v>291</v>
      </c>
      <c r="AK251" t="s">
        <v>4041</v>
      </c>
      <c r="AM251">
        <v>0</v>
      </c>
      <c r="AN251">
        <v>408</v>
      </c>
      <c r="AO251">
        <v>0.3</v>
      </c>
      <c r="AQ251" t="s">
        <v>4225</v>
      </c>
      <c r="AR251" t="s">
        <v>5190</v>
      </c>
      <c r="AS251">
        <v>607</v>
      </c>
      <c r="AT251" t="s">
        <v>5837</v>
      </c>
      <c r="AU251">
        <v>1</v>
      </c>
      <c r="AV251">
        <v>0</v>
      </c>
      <c r="AW251">
        <v>119.04</v>
      </c>
      <c r="BB251" t="s">
        <v>1322</v>
      </c>
      <c r="BC251">
        <v>14868</v>
      </c>
      <c r="BG251" t="s">
        <v>5900</v>
      </c>
      <c r="BJ251" t="s">
        <v>5950</v>
      </c>
      <c r="BK251" t="s">
        <v>259</v>
      </c>
      <c r="BL251" t="s">
        <v>6056</v>
      </c>
    </row>
    <row r="252" spans="1:64">
      <c r="A252" s="1">
        <f>HYPERLINK("https://lsnyc.legalserver.org/matter/dynamic-profile/view/1909339","19-1909339")</f>
        <v>0</v>
      </c>
      <c r="B252" t="s">
        <v>65</v>
      </c>
      <c r="C252" t="s">
        <v>108</v>
      </c>
      <c r="D252" t="s">
        <v>200</v>
      </c>
      <c r="E252" t="s">
        <v>201</v>
      </c>
      <c r="G252" t="s">
        <v>202</v>
      </c>
      <c r="H252" t="s">
        <v>272</v>
      </c>
      <c r="I252" t="s">
        <v>202</v>
      </c>
      <c r="J252" t="s">
        <v>289</v>
      </c>
      <c r="K252" t="s">
        <v>202</v>
      </c>
      <c r="L252" t="s">
        <v>334</v>
      </c>
      <c r="M252" t="s">
        <v>290</v>
      </c>
      <c r="N252" t="s">
        <v>419</v>
      </c>
      <c r="P252" t="s">
        <v>427</v>
      </c>
      <c r="S252" t="s">
        <v>663</v>
      </c>
      <c r="T252" t="s">
        <v>1242</v>
      </c>
      <c r="U252" t="s">
        <v>263</v>
      </c>
      <c r="W252" t="s">
        <v>1876</v>
      </c>
      <c r="X252" t="s">
        <v>2092</v>
      </c>
      <c r="Y252" t="s">
        <v>2800</v>
      </c>
      <c r="Z252" t="s">
        <v>3098</v>
      </c>
      <c r="AA252" t="s">
        <v>3135</v>
      </c>
      <c r="AB252">
        <v>10458</v>
      </c>
      <c r="AC252" t="s">
        <v>3140</v>
      </c>
      <c r="AD252" t="s">
        <v>3370</v>
      </c>
      <c r="AE252">
        <v>5</v>
      </c>
      <c r="AG252" t="s">
        <v>4031</v>
      </c>
      <c r="AH252" t="s">
        <v>291</v>
      </c>
      <c r="AI252" t="s">
        <v>291</v>
      </c>
      <c r="AK252" t="s">
        <v>4040</v>
      </c>
      <c r="AM252">
        <v>0</v>
      </c>
      <c r="AN252">
        <v>1515</v>
      </c>
      <c r="AO252">
        <v>2.9</v>
      </c>
      <c r="AQ252" t="s">
        <v>4281</v>
      </c>
      <c r="AR252" t="s">
        <v>5188</v>
      </c>
      <c r="AS252">
        <v>8</v>
      </c>
      <c r="AT252" t="s">
        <v>5838</v>
      </c>
      <c r="AU252">
        <v>1</v>
      </c>
      <c r="AV252">
        <v>2</v>
      </c>
      <c r="AW252">
        <v>85.23</v>
      </c>
      <c r="BB252" t="s">
        <v>1322</v>
      </c>
      <c r="BC252">
        <v>18180</v>
      </c>
      <c r="BG252" t="s">
        <v>5898</v>
      </c>
      <c r="BJ252" t="s">
        <v>5960</v>
      </c>
      <c r="BK252" t="s">
        <v>259</v>
      </c>
      <c r="BL252" t="s">
        <v>6057</v>
      </c>
    </row>
    <row r="253" spans="1:64">
      <c r="A253" s="1">
        <f>HYPERLINK("https://lsnyc.legalserver.org/matter/dynamic-profile/view/1903840","19-1903840")</f>
        <v>0</v>
      </c>
      <c r="B253" t="s">
        <v>65</v>
      </c>
      <c r="C253" t="s">
        <v>109</v>
      </c>
      <c r="D253" t="s">
        <v>200</v>
      </c>
      <c r="E253" t="s">
        <v>202</v>
      </c>
      <c r="F253" t="s">
        <v>229</v>
      </c>
      <c r="G253" t="s">
        <v>202</v>
      </c>
      <c r="H253" t="s">
        <v>272</v>
      </c>
      <c r="I253" t="s">
        <v>202</v>
      </c>
      <c r="J253" t="s">
        <v>289</v>
      </c>
      <c r="K253" t="s">
        <v>292</v>
      </c>
      <c r="M253" t="s">
        <v>290</v>
      </c>
      <c r="N253" t="s">
        <v>202</v>
      </c>
      <c r="O253" t="s">
        <v>421</v>
      </c>
      <c r="P253" t="s">
        <v>427</v>
      </c>
      <c r="S253" t="s">
        <v>516</v>
      </c>
      <c r="T253" t="s">
        <v>1354</v>
      </c>
      <c r="U253" t="s">
        <v>229</v>
      </c>
      <c r="W253" t="s">
        <v>1876</v>
      </c>
      <c r="X253" t="s">
        <v>2110</v>
      </c>
      <c r="Y253" t="s">
        <v>2800</v>
      </c>
      <c r="Z253" t="s">
        <v>3098</v>
      </c>
      <c r="AA253" t="s">
        <v>3135</v>
      </c>
      <c r="AB253">
        <v>10457</v>
      </c>
      <c r="AC253" t="s">
        <v>3143</v>
      </c>
      <c r="AD253" t="s">
        <v>3371</v>
      </c>
      <c r="AE253">
        <v>11</v>
      </c>
      <c r="AG253" t="s">
        <v>4030</v>
      </c>
      <c r="AH253" t="s">
        <v>291</v>
      </c>
      <c r="AI253" t="s">
        <v>291</v>
      </c>
      <c r="AK253" t="s">
        <v>4040</v>
      </c>
      <c r="AL253" t="s">
        <v>4048</v>
      </c>
      <c r="AM253">
        <v>0</v>
      </c>
      <c r="AN253">
        <v>1077.46</v>
      </c>
      <c r="AO253">
        <v>9</v>
      </c>
      <c r="AQ253" t="s">
        <v>4297</v>
      </c>
      <c r="AR253" t="s">
        <v>5205</v>
      </c>
      <c r="AS253">
        <v>24</v>
      </c>
      <c r="AT253" t="s">
        <v>5838</v>
      </c>
      <c r="AU253">
        <v>1</v>
      </c>
      <c r="AV253">
        <v>0</v>
      </c>
      <c r="AW253">
        <v>127.81</v>
      </c>
      <c r="BA253" t="s">
        <v>329</v>
      </c>
      <c r="BB253" t="s">
        <v>1322</v>
      </c>
      <c r="BC253">
        <v>15964</v>
      </c>
      <c r="BG253" t="s">
        <v>140</v>
      </c>
      <c r="BJ253" t="s">
        <v>5999</v>
      </c>
      <c r="BK253" t="s">
        <v>259</v>
      </c>
      <c r="BL253" t="s">
        <v>6056</v>
      </c>
    </row>
    <row r="254" spans="1:64">
      <c r="A254" s="1">
        <f>HYPERLINK("https://lsnyc.legalserver.org/matter/dynamic-profile/view/1907737","19-1907737")</f>
        <v>0</v>
      </c>
      <c r="B254" t="s">
        <v>65</v>
      </c>
      <c r="C254" t="s">
        <v>109</v>
      </c>
      <c r="D254" t="s">
        <v>200</v>
      </c>
      <c r="E254" t="s">
        <v>201</v>
      </c>
      <c r="G254" t="s">
        <v>202</v>
      </c>
      <c r="H254" t="s">
        <v>271</v>
      </c>
      <c r="I254" t="s">
        <v>202</v>
      </c>
      <c r="J254" t="s">
        <v>289</v>
      </c>
      <c r="K254" t="s">
        <v>292</v>
      </c>
      <c r="M254" t="s">
        <v>290</v>
      </c>
      <c r="N254" t="s">
        <v>419</v>
      </c>
      <c r="O254" t="s">
        <v>420</v>
      </c>
      <c r="P254" t="s">
        <v>427</v>
      </c>
      <c r="S254" t="s">
        <v>679</v>
      </c>
      <c r="T254" t="s">
        <v>1220</v>
      </c>
      <c r="U254" t="s">
        <v>213</v>
      </c>
      <c r="W254" t="s">
        <v>1876</v>
      </c>
      <c r="X254" t="s">
        <v>2111</v>
      </c>
      <c r="Y254" t="s">
        <v>2896</v>
      </c>
      <c r="Z254" t="s">
        <v>3098</v>
      </c>
      <c r="AA254" t="s">
        <v>3135</v>
      </c>
      <c r="AB254">
        <v>10469</v>
      </c>
      <c r="AC254" t="s">
        <v>3138</v>
      </c>
      <c r="AD254" t="s">
        <v>3372</v>
      </c>
      <c r="AE254">
        <v>11</v>
      </c>
      <c r="AG254" t="s">
        <v>4031</v>
      </c>
      <c r="AH254" t="s">
        <v>291</v>
      </c>
      <c r="AI254" t="s">
        <v>291</v>
      </c>
      <c r="AK254" t="s">
        <v>4040</v>
      </c>
      <c r="AL254" t="s">
        <v>4047</v>
      </c>
      <c r="AM254">
        <v>0</v>
      </c>
      <c r="AN254">
        <v>1100</v>
      </c>
      <c r="AO254">
        <v>1.8</v>
      </c>
      <c r="AQ254" t="s">
        <v>4298</v>
      </c>
      <c r="AR254" t="s">
        <v>5206</v>
      </c>
      <c r="AS254">
        <v>2</v>
      </c>
      <c r="AT254" t="s">
        <v>5842</v>
      </c>
      <c r="AU254">
        <v>2</v>
      </c>
      <c r="AV254">
        <v>0</v>
      </c>
      <c r="AW254">
        <v>180.6</v>
      </c>
      <c r="BA254" t="s">
        <v>329</v>
      </c>
      <c r="BB254" t="s">
        <v>1322</v>
      </c>
      <c r="BC254">
        <v>30540</v>
      </c>
      <c r="BG254" t="s">
        <v>140</v>
      </c>
      <c r="BJ254" t="s">
        <v>5958</v>
      </c>
      <c r="BK254" t="s">
        <v>218</v>
      </c>
      <c r="BL254" t="s">
        <v>6056</v>
      </c>
    </row>
    <row r="255" spans="1:64">
      <c r="A255" s="1">
        <f>HYPERLINK("https://lsnyc.legalserver.org/matter/dynamic-profile/view/1907700","19-1907700")</f>
        <v>0</v>
      </c>
      <c r="B255" t="s">
        <v>65</v>
      </c>
      <c r="C255" t="s">
        <v>109</v>
      </c>
      <c r="D255" t="s">
        <v>200</v>
      </c>
      <c r="E255" t="s">
        <v>202</v>
      </c>
      <c r="F255" t="s">
        <v>230</v>
      </c>
      <c r="G255" t="s">
        <v>202</v>
      </c>
      <c r="H255" t="s">
        <v>272</v>
      </c>
      <c r="I255" t="s">
        <v>202</v>
      </c>
      <c r="J255" t="s">
        <v>289</v>
      </c>
      <c r="K255" t="s">
        <v>292</v>
      </c>
      <c r="M255" t="s">
        <v>290</v>
      </c>
      <c r="N255" t="s">
        <v>202</v>
      </c>
      <c r="O255" t="s">
        <v>421</v>
      </c>
      <c r="P255" t="s">
        <v>427</v>
      </c>
      <c r="S255" t="s">
        <v>680</v>
      </c>
      <c r="T255" t="s">
        <v>1382</v>
      </c>
      <c r="U255" t="s">
        <v>217</v>
      </c>
      <c r="W255" t="s">
        <v>1876</v>
      </c>
      <c r="X255" t="s">
        <v>2112</v>
      </c>
      <c r="Y255" t="s">
        <v>2897</v>
      </c>
      <c r="Z255" t="s">
        <v>3098</v>
      </c>
      <c r="AA255" t="s">
        <v>3135</v>
      </c>
      <c r="AB255">
        <v>10457</v>
      </c>
      <c r="AD255" t="s">
        <v>3373</v>
      </c>
      <c r="AE255">
        <v>9</v>
      </c>
      <c r="AG255" t="s">
        <v>4030</v>
      </c>
      <c r="AH255" t="s">
        <v>291</v>
      </c>
      <c r="AI255" t="s">
        <v>291</v>
      </c>
      <c r="AK255" t="s">
        <v>4040</v>
      </c>
      <c r="AL255" t="s">
        <v>4048</v>
      </c>
      <c r="AM255">
        <v>0</v>
      </c>
      <c r="AN255">
        <v>1316.36</v>
      </c>
      <c r="AO255">
        <v>4.65</v>
      </c>
      <c r="AQ255" t="s">
        <v>4299</v>
      </c>
      <c r="AS255">
        <v>221</v>
      </c>
      <c r="AT255" t="s">
        <v>5838</v>
      </c>
      <c r="AU255">
        <v>1</v>
      </c>
      <c r="AV255">
        <v>5</v>
      </c>
      <c r="AW255">
        <v>65.15000000000001</v>
      </c>
      <c r="BA255" t="s">
        <v>5852</v>
      </c>
      <c r="BB255" t="s">
        <v>5859</v>
      </c>
      <c r="BC255">
        <v>22534</v>
      </c>
      <c r="BG255" t="s">
        <v>140</v>
      </c>
      <c r="BJ255" t="s">
        <v>6000</v>
      </c>
      <c r="BK255" t="s">
        <v>259</v>
      </c>
      <c r="BL255" t="s">
        <v>6056</v>
      </c>
    </row>
    <row r="256" spans="1:64">
      <c r="A256" s="1">
        <f>HYPERLINK("https://lsnyc.legalserver.org/matter/dynamic-profile/view/1905318","19-1905318")</f>
        <v>0</v>
      </c>
      <c r="B256" t="s">
        <v>65</v>
      </c>
      <c r="C256" t="s">
        <v>108</v>
      </c>
      <c r="D256" t="s">
        <v>200</v>
      </c>
      <c r="E256" t="s">
        <v>202</v>
      </c>
      <c r="F256" t="s">
        <v>231</v>
      </c>
      <c r="G256" t="s">
        <v>202</v>
      </c>
      <c r="H256" t="s">
        <v>272</v>
      </c>
      <c r="I256" t="s">
        <v>202</v>
      </c>
      <c r="J256" t="s">
        <v>289</v>
      </c>
      <c r="K256" t="s">
        <v>292</v>
      </c>
      <c r="M256" t="s">
        <v>290</v>
      </c>
      <c r="N256" t="s">
        <v>202</v>
      </c>
      <c r="O256" t="s">
        <v>421</v>
      </c>
      <c r="P256" t="s">
        <v>427</v>
      </c>
      <c r="S256" t="s">
        <v>647</v>
      </c>
      <c r="T256" t="s">
        <v>1356</v>
      </c>
      <c r="U256" t="s">
        <v>231</v>
      </c>
      <c r="W256" t="s">
        <v>1876</v>
      </c>
      <c r="X256" t="s">
        <v>2113</v>
      </c>
      <c r="Y256" t="s">
        <v>2812</v>
      </c>
      <c r="Z256" t="s">
        <v>3098</v>
      </c>
      <c r="AA256" t="s">
        <v>3135</v>
      </c>
      <c r="AB256">
        <v>10457</v>
      </c>
      <c r="AC256" t="s">
        <v>3140</v>
      </c>
      <c r="AD256" t="s">
        <v>3374</v>
      </c>
      <c r="AE256">
        <v>3</v>
      </c>
      <c r="AG256" t="s">
        <v>4030</v>
      </c>
      <c r="AH256" t="s">
        <v>291</v>
      </c>
      <c r="AI256" t="s">
        <v>291</v>
      </c>
      <c r="AK256" t="s">
        <v>4040</v>
      </c>
      <c r="AL256" t="s">
        <v>4046</v>
      </c>
      <c r="AM256">
        <v>0</v>
      </c>
      <c r="AN256">
        <v>1650</v>
      </c>
      <c r="AO256">
        <v>5.9</v>
      </c>
      <c r="AQ256" t="s">
        <v>4300</v>
      </c>
      <c r="AR256" t="s">
        <v>5207</v>
      </c>
      <c r="AS256">
        <v>27</v>
      </c>
      <c r="AT256" t="s">
        <v>5838</v>
      </c>
      <c r="AU256">
        <v>1</v>
      </c>
      <c r="AV256">
        <v>1</v>
      </c>
      <c r="AW256">
        <v>58.05</v>
      </c>
      <c r="BA256" t="s">
        <v>5850</v>
      </c>
      <c r="BB256" t="s">
        <v>5859</v>
      </c>
      <c r="BC256">
        <v>9816</v>
      </c>
      <c r="BG256" t="s">
        <v>5904</v>
      </c>
      <c r="BJ256" t="s">
        <v>5944</v>
      </c>
      <c r="BK256" t="s">
        <v>230</v>
      </c>
      <c r="BL256" t="s">
        <v>6056</v>
      </c>
    </row>
    <row r="257" spans="1:64">
      <c r="A257" s="1">
        <f>HYPERLINK("https://lsnyc.legalserver.org/matter/dynamic-profile/view/1903930","19-1903930")</f>
        <v>0</v>
      </c>
      <c r="B257" t="s">
        <v>65</v>
      </c>
      <c r="C257" t="s">
        <v>108</v>
      </c>
      <c r="D257" t="s">
        <v>200</v>
      </c>
      <c r="E257" t="s">
        <v>202</v>
      </c>
      <c r="F257" t="s">
        <v>231</v>
      </c>
      <c r="G257" t="s">
        <v>202</v>
      </c>
      <c r="H257" t="s">
        <v>272</v>
      </c>
      <c r="I257" t="s">
        <v>202</v>
      </c>
      <c r="J257" t="s">
        <v>289</v>
      </c>
      <c r="K257" t="s">
        <v>292</v>
      </c>
      <c r="M257" t="s">
        <v>290</v>
      </c>
      <c r="N257" t="s">
        <v>202</v>
      </c>
      <c r="O257" t="s">
        <v>421</v>
      </c>
      <c r="P257" t="s">
        <v>427</v>
      </c>
      <c r="S257" t="s">
        <v>681</v>
      </c>
      <c r="T257" t="s">
        <v>1383</v>
      </c>
      <c r="U257" t="s">
        <v>229</v>
      </c>
      <c r="W257" t="s">
        <v>1876</v>
      </c>
      <c r="X257" t="s">
        <v>2114</v>
      </c>
      <c r="Y257">
        <v>314</v>
      </c>
      <c r="Z257" t="s">
        <v>3098</v>
      </c>
      <c r="AA257" t="s">
        <v>3135</v>
      </c>
      <c r="AB257">
        <v>10457</v>
      </c>
      <c r="AC257" t="s">
        <v>3136</v>
      </c>
      <c r="AD257" t="s">
        <v>3375</v>
      </c>
      <c r="AE257">
        <v>1</v>
      </c>
      <c r="AG257" t="s">
        <v>4030</v>
      </c>
      <c r="AH257" t="s">
        <v>291</v>
      </c>
      <c r="AI257" t="s">
        <v>291</v>
      </c>
      <c r="AK257" t="s">
        <v>4040</v>
      </c>
      <c r="AM257">
        <v>0</v>
      </c>
      <c r="AN257">
        <v>1038</v>
      </c>
      <c r="AO257">
        <v>6</v>
      </c>
      <c r="AQ257" t="s">
        <v>4301</v>
      </c>
      <c r="AR257" t="s">
        <v>5208</v>
      </c>
      <c r="AS257">
        <v>0</v>
      </c>
      <c r="AT257" t="s">
        <v>5838</v>
      </c>
      <c r="AU257">
        <v>1</v>
      </c>
      <c r="AV257">
        <v>1</v>
      </c>
      <c r="AW257">
        <v>177.41</v>
      </c>
      <c r="BA257" t="s">
        <v>329</v>
      </c>
      <c r="BB257" t="s">
        <v>1322</v>
      </c>
      <c r="BC257">
        <v>30000</v>
      </c>
      <c r="BG257" t="s">
        <v>140</v>
      </c>
      <c r="BJ257" t="s">
        <v>5949</v>
      </c>
      <c r="BK257" t="s">
        <v>216</v>
      </c>
      <c r="BL257" t="s">
        <v>6056</v>
      </c>
    </row>
    <row r="258" spans="1:64">
      <c r="A258" s="1">
        <f>HYPERLINK("https://lsnyc.legalserver.org/matter/dynamic-profile/view/1908270","19-1908270")</f>
        <v>0</v>
      </c>
      <c r="B258" t="s">
        <v>65</v>
      </c>
      <c r="C258" t="s">
        <v>110</v>
      </c>
      <c r="D258" t="s">
        <v>200</v>
      </c>
      <c r="E258" t="s">
        <v>201</v>
      </c>
      <c r="G258" t="s">
        <v>202</v>
      </c>
      <c r="H258" t="s">
        <v>272</v>
      </c>
      <c r="I258" t="s">
        <v>202</v>
      </c>
      <c r="J258" t="s">
        <v>289</v>
      </c>
      <c r="K258" t="s">
        <v>292</v>
      </c>
      <c r="M258" t="s">
        <v>290</v>
      </c>
      <c r="N258" t="s">
        <v>419</v>
      </c>
      <c r="P258" t="s">
        <v>427</v>
      </c>
      <c r="S258" t="s">
        <v>682</v>
      </c>
      <c r="T258" t="s">
        <v>1384</v>
      </c>
      <c r="U258" t="s">
        <v>225</v>
      </c>
      <c r="W258" t="s">
        <v>1876</v>
      </c>
      <c r="X258" t="s">
        <v>2115</v>
      </c>
      <c r="Y258" t="s">
        <v>2865</v>
      </c>
      <c r="Z258" t="s">
        <v>3098</v>
      </c>
      <c r="AA258" t="s">
        <v>3135</v>
      </c>
      <c r="AB258">
        <v>10467</v>
      </c>
      <c r="AC258" t="s">
        <v>3136</v>
      </c>
      <c r="AD258" t="s">
        <v>3376</v>
      </c>
      <c r="AE258">
        <v>5</v>
      </c>
      <c r="AG258" t="s">
        <v>4030</v>
      </c>
      <c r="AH258" t="s">
        <v>291</v>
      </c>
      <c r="AI258" t="s">
        <v>291</v>
      </c>
      <c r="AK258" t="s">
        <v>4040</v>
      </c>
      <c r="AM258">
        <v>0</v>
      </c>
      <c r="AN258">
        <v>1325</v>
      </c>
      <c r="AO258">
        <v>0</v>
      </c>
      <c r="AQ258" t="s">
        <v>4302</v>
      </c>
      <c r="AR258" t="s">
        <v>5209</v>
      </c>
      <c r="AS258">
        <v>49</v>
      </c>
      <c r="AT258" t="s">
        <v>5836</v>
      </c>
      <c r="AU258">
        <v>3</v>
      </c>
      <c r="AV258">
        <v>0</v>
      </c>
      <c r="AW258">
        <v>170.65</v>
      </c>
      <c r="BA258" t="s">
        <v>329</v>
      </c>
      <c r="BB258" t="s">
        <v>5859</v>
      </c>
      <c r="BC258">
        <v>36400</v>
      </c>
      <c r="BG258" t="s">
        <v>138</v>
      </c>
      <c r="BJ258" t="s">
        <v>5949</v>
      </c>
      <c r="BL258" t="s">
        <v>6056</v>
      </c>
    </row>
    <row r="259" spans="1:64">
      <c r="A259" s="1">
        <f>HYPERLINK("https://lsnyc.legalserver.org/matter/dynamic-profile/view/1908191","19-1908191")</f>
        <v>0</v>
      </c>
      <c r="B259" t="s">
        <v>65</v>
      </c>
      <c r="C259" t="s">
        <v>113</v>
      </c>
      <c r="D259" t="s">
        <v>200</v>
      </c>
      <c r="E259" t="s">
        <v>201</v>
      </c>
      <c r="G259" t="s">
        <v>202</v>
      </c>
      <c r="H259" t="s">
        <v>272</v>
      </c>
      <c r="I259" t="s">
        <v>202</v>
      </c>
      <c r="J259" t="s">
        <v>289</v>
      </c>
      <c r="K259" t="s">
        <v>292</v>
      </c>
      <c r="M259" t="s">
        <v>290</v>
      </c>
      <c r="N259" t="s">
        <v>202</v>
      </c>
      <c r="O259" t="s">
        <v>421</v>
      </c>
      <c r="P259" t="s">
        <v>427</v>
      </c>
      <c r="S259" t="s">
        <v>683</v>
      </c>
      <c r="T259" t="s">
        <v>1385</v>
      </c>
      <c r="U259" t="s">
        <v>1874</v>
      </c>
      <c r="W259" t="s">
        <v>1876</v>
      </c>
      <c r="X259" t="s">
        <v>2116</v>
      </c>
      <c r="Y259" t="s">
        <v>2898</v>
      </c>
      <c r="Z259" t="s">
        <v>3098</v>
      </c>
      <c r="AA259" t="s">
        <v>3135</v>
      </c>
      <c r="AB259">
        <v>10457</v>
      </c>
      <c r="AD259" t="s">
        <v>3377</v>
      </c>
      <c r="AE259">
        <v>22</v>
      </c>
      <c r="AG259" t="s">
        <v>4030</v>
      </c>
      <c r="AH259" t="s">
        <v>291</v>
      </c>
      <c r="AI259" t="s">
        <v>291</v>
      </c>
      <c r="AK259" t="s">
        <v>4040</v>
      </c>
      <c r="AL259" t="s">
        <v>4046</v>
      </c>
      <c r="AM259">
        <v>0</v>
      </c>
      <c r="AN259">
        <v>1211</v>
      </c>
      <c r="AO259">
        <v>0</v>
      </c>
      <c r="AQ259" t="s">
        <v>4303</v>
      </c>
      <c r="AR259" t="s">
        <v>5210</v>
      </c>
      <c r="AS259">
        <v>0</v>
      </c>
      <c r="AT259" t="s">
        <v>5838</v>
      </c>
      <c r="AU259">
        <v>2</v>
      </c>
      <c r="AV259">
        <v>0</v>
      </c>
      <c r="AW259">
        <v>56.35</v>
      </c>
      <c r="BA259" t="s">
        <v>5850</v>
      </c>
      <c r="BB259" t="s">
        <v>1322</v>
      </c>
      <c r="BC259">
        <v>9528</v>
      </c>
      <c r="BG259" t="s">
        <v>140</v>
      </c>
      <c r="BJ259" t="s">
        <v>5959</v>
      </c>
      <c r="BL259" t="s">
        <v>6056</v>
      </c>
    </row>
    <row r="260" spans="1:64">
      <c r="A260" s="1">
        <f>HYPERLINK("https://lsnyc.legalserver.org/matter/dynamic-profile/view/1905608","19-1905608")</f>
        <v>0</v>
      </c>
      <c r="B260" t="s">
        <v>65</v>
      </c>
      <c r="C260" t="s">
        <v>114</v>
      </c>
      <c r="D260" t="s">
        <v>200</v>
      </c>
      <c r="E260" t="s">
        <v>202</v>
      </c>
      <c r="F260" t="s">
        <v>232</v>
      </c>
      <c r="G260" t="s">
        <v>202</v>
      </c>
      <c r="H260" t="s">
        <v>272</v>
      </c>
      <c r="I260" t="s">
        <v>202</v>
      </c>
      <c r="J260" t="s">
        <v>289</v>
      </c>
      <c r="K260" t="s">
        <v>292</v>
      </c>
      <c r="M260" t="s">
        <v>290</v>
      </c>
      <c r="N260" t="s">
        <v>202</v>
      </c>
      <c r="O260" t="s">
        <v>421</v>
      </c>
      <c r="P260" t="s">
        <v>202</v>
      </c>
      <c r="Q260" t="s">
        <v>430</v>
      </c>
      <c r="R260" t="s">
        <v>445</v>
      </c>
      <c r="S260" t="s">
        <v>684</v>
      </c>
      <c r="T260" t="s">
        <v>1386</v>
      </c>
      <c r="U260" t="s">
        <v>232</v>
      </c>
      <c r="W260" t="s">
        <v>1876</v>
      </c>
      <c r="X260" t="s">
        <v>2117</v>
      </c>
      <c r="Y260" t="s">
        <v>2899</v>
      </c>
      <c r="Z260" t="s">
        <v>3098</v>
      </c>
      <c r="AA260" t="s">
        <v>3135</v>
      </c>
      <c r="AB260">
        <v>10460</v>
      </c>
      <c r="AC260" t="s">
        <v>3141</v>
      </c>
      <c r="AD260" t="s">
        <v>3378</v>
      </c>
      <c r="AE260">
        <v>1</v>
      </c>
      <c r="AG260" t="s">
        <v>4031</v>
      </c>
      <c r="AH260" t="s">
        <v>291</v>
      </c>
      <c r="AI260" t="s">
        <v>291</v>
      </c>
      <c r="AK260" t="s">
        <v>4040</v>
      </c>
      <c r="AL260" t="s">
        <v>4050</v>
      </c>
      <c r="AM260">
        <v>0</v>
      </c>
      <c r="AN260">
        <v>1534</v>
      </c>
      <c r="AO260">
        <v>4.9</v>
      </c>
      <c r="AQ260" t="s">
        <v>4304</v>
      </c>
      <c r="AR260" t="s">
        <v>5211</v>
      </c>
      <c r="AS260">
        <v>27</v>
      </c>
      <c r="AT260" t="s">
        <v>5838</v>
      </c>
      <c r="AU260">
        <v>4</v>
      </c>
      <c r="AV260">
        <v>0</v>
      </c>
      <c r="AW260">
        <v>87.3</v>
      </c>
      <c r="BA260" t="s">
        <v>5852</v>
      </c>
      <c r="BB260" t="s">
        <v>1322</v>
      </c>
      <c r="BC260">
        <v>22480</v>
      </c>
      <c r="BG260" t="s">
        <v>5898</v>
      </c>
      <c r="BH260" t="s">
        <v>5929</v>
      </c>
      <c r="BI260" t="s">
        <v>5935</v>
      </c>
      <c r="BJ260" t="s">
        <v>5962</v>
      </c>
      <c r="BK260" t="s">
        <v>240</v>
      </c>
      <c r="BL260" t="s">
        <v>6056</v>
      </c>
    </row>
    <row r="261" spans="1:64">
      <c r="A261" s="1">
        <f>HYPERLINK("https://lsnyc.legalserver.org/matter/dynamic-profile/view/1904305","19-1904305")</f>
        <v>0</v>
      </c>
      <c r="B261" t="s">
        <v>65</v>
      </c>
      <c r="C261" t="s">
        <v>114</v>
      </c>
      <c r="D261" t="s">
        <v>200</v>
      </c>
      <c r="E261" t="s">
        <v>202</v>
      </c>
      <c r="F261" t="s">
        <v>233</v>
      </c>
      <c r="G261" t="s">
        <v>202</v>
      </c>
      <c r="H261" t="s">
        <v>271</v>
      </c>
      <c r="I261" t="s">
        <v>202</v>
      </c>
      <c r="J261" t="s">
        <v>289</v>
      </c>
      <c r="K261" t="s">
        <v>292</v>
      </c>
      <c r="M261" t="s">
        <v>290</v>
      </c>
      <c r="N261" t="s">
        <v>202</v>
      </c>
      <c r="O261" t="s">
        <v>421</v>
      </c>
      <c r="P261" t="s">
        <v>427</v>
      </c>
      <c r="S261" t="s">
        <v>685</v>
      </c>
      <c r="T261" t="s">
        <v>1387</v>
      </c>
      <c r="U261" t="s">
        <v>233</v>
      </c>
      <c r="W261" t="s">
        <v>1876</v>
      </c>
      <c r="X261" t="s">
        <v>2118</v>
      </c>
      <c r="Y261" t="s">
        <v>2900</v>
      </c>
      <c r="Z261" t="s">
        <v>3098</v>
      </c>
      <c r="AA261" t="s">
        <v>3135</v>
      </c>
      <c r="AB261">
        <v>10456</v>
      </c>
      <c r="AC261" t="s">
        <v>3140</v>
      </c>
      <c r="AD261" t="s">
        <v>3379</v>
      </c>
      <c r="AE261">
        <v>27</v>
      </c>
      <c r="AG261" t="s">
        <v>4031</v>
      </c>
      <c r="AH261" t="s">
        <v>291</v>
      </c>
      <c r="AI261" t="s">
        <v>291</v>
      </c>
      <c r="AK261" t="s">
        <v>4040</v>
      </c>
      <c r="AL261" t="s">
        <v>4046</v>
      </c>
      <c r="AM261">
        <v>0</v>
      </c>
      <c r="AN261">
        <v>1263.13</v>
      </c>
      <c r="AO261">
        <v>3.3</v>
      </c>
      <c r="AQ261" t="s">
        <v>4305</v>
      </c>
      <c r="AR261" t="s">
        <v>5212</v>
      </c>
      <c r="AS261">
        <v>71</v>
      </c>
      <c r="AT261" t="s">
        <v>5838</v>
      </c>
      <c r="AU261">
        <v>1</v>
      </c>
      <c r="AV261">
        <v>4</v>
      </c>
      <c r="AW261">
        <v>135.9</v>
      </c>
      <c r="BB261" t="s">
        <v>1322</v>
      </c>
      <c r="BC261">
        <v>41000</v>
      </c>
      <c r="BG261" t="s">
        <v>5900</v>
      </c>
      <c r="BJ261" t="s">
        <v>5949</v>
      </c>
      <c r="BK261" t="s">
        <v>263</v>
      </c>
      <c r="BL261" t="s">
        <v>6056</v>
      </c>
    </row>
    <row r="262" spans="1:64">
      <c r="A262" s="1">
        <f>HYPERLINK("https://lsnyc.legalserver.org/matter/dynamic-profile/view/1905906","19-1905906")</f>
        <v>0</v>
      </c>
      <c r="B262" t="s">
        <v>65</v>
      </c>
      <c r="C262" t="s">
        <v>113</v>
      </c>
      <c r="D262" t="s">
        <v>200</v>
      </c>
      <c r="E262" t="s">
        <v>201</v>
      </c>
      <c r="G262" t="s">
        <v>202</v>
      </c>
      <c r="H262" t="s">
        <v>271</v>
      </c>
      <c r="I262" t="s">
        <v>202</v>
      </c>
      <c r="J262" t="s">
        <v>289</v>
      </c>
      <c r="K262" t="s">
        <v>292</v>
      </c>
      <c r="M262" t="s">
        <v>290</v>
      </c>
      <c r="N262" t="s">
        <v>419</v>
      </c>
      <c r="P262" t="s">
        <v>427</v>
      </c>
      <c r="S262" t="s">
        <v>548</v>
      </c>
      <c r="T262" t="s">
        <v>1388</v>
      </c>
      <c r="U262" t="s">
        <v>262</v>
      </c>
      <c r="W262" t="s">
        <v>1876</v>
      </c>
      <c r="X262" t="s">
        <v>2119</v>
      </c>
      <c r="Y262">
        <v>1</v>
      </c>
      <c r="Z262" t="s">
        <v>3098</v>
      </c>
      <c r="AA262" t="s">
        <v>3135</v>
      </c>
      <c r="AB262">
        <v>10457</v>
      </c>
      <c r="AD262" t="s">
        <v>3380</v>
      </c>
      <c r="AE262">
        <v>6</v>
      </c>
      <c r="AG262" t="s">
        <v>4030</v>
      </c>
      <c r="AH262" t="s">
        <v>291</v>
      </c>
      <c r="AI262" t="s">
        <v>291</v>
      </c>
      <c r="AK262" t="s">
        <v>4040</v>
      </c>
      <c r="AM262">
        <v>0</v>
      </c>
      <c r="AN262">
        <v>0</v>
      </c>
      <c r="AO262">
        <v>0</v>
      </c>
      <c r="AQ262" t="s">
        <v>4306</v>
      </c>
      <c r="AR262" t="s">
        <v>5213</v>
      </c>
      <c r="AS262">
        <v>3</v>
      </c>
      <c r="AU262">
        <v>1</v>
      </c>
      <c r="AV262">
        <v>0</v>
      </c>
      <c r="AW262">
        <v>208.17</v>
      </c>
      <c r="BB262" t="s">
        <v>1322</v>
      </c>
      <c r="BC262">
        <v>26000</v>
      </c>
      <c r="BF262" t="s">
        <v>5875</v>
      </c>
      <c r="BG262" t="s">
        <v>140</v>
      </c>
      <c r="BJ262" t="s">
        <v>5968</v>
      </c>
      <c r="BL262" t="s">
        <v>6056</v>
      </c>
    </row>
    <row r="263" spans="1:64">
      <c r="A263" s="1">
        <f>HYPERLINK("https://lsnyc.legalserver.org/matter/dynamic-profile/view/1907711","19-1907711")</f>
        <v>0</v>
      </c>
      <c r="B263" t="s">
        <v>65</v>
      </c>
      <c r="C263" t="s">
        <v>113</v>
      </c>
      <c r="D263" t="s">
        <v>200</v>
      </c>
      <c r="E263" t="s">
        <v>201</v>
      </c>
      <c r="G263" t="s">
        <v>202</v>
      </c>
      <c r="H263" t="s">
        <v>272</v>
      </c>
      <c r="I263" t="s">
        <v>202</v>
      </c>
      <c r="J263" t="s">
        <v>289</v>
      </c>
      <c r="K263" t="s">
        <v>292</v>
      </c>
      <c r="M263" t="s">
        <v>290</v>
      </c>
      <c r="N263" t="s">
        <v>419</v>
      </c>
      <c r="P263" t="s">
        <v>427</v>
      </c>
      <c r="S263" t="s">
        <v>686</v>
      </c>
      <c r="T263" t="s">
        <v>1389</v>
      </c>
      <c r="U263" t="s">
        <v>217</v>
      </c>
      <c r="W263" t="s">
        <v>1876</v>
      </c>
      <c r="X263" t="s">
        <v>2120</v>
      </c>
      <c r="Z263" t="s">
        <v>3098</v>
      </c>
      <c r="AA263" t="s">
        <v>3135</v>
      </c>
      <c r="AB263">
        <v>10467</v>
      </c>
      <c r="AD263" t="s">
        <v>3381</v>
      </c>
      <c r="AE263">
        <v>2</v>
      </c>
      <c r="AG263" t="s">
        <v>4030</v>
      </c>
      <c r="AH263" t="s">
        <v>291</v>
      </c>
      <c r="AI263" t="s">
        <v>291</v>
      </c>
      <c r="AK263" t="s">
        <v>4040</v>
      </c>
      <c r="AM263">
        <v>0</v>
      </c>
      <c r="AN263">
        <v>1537</v>
      </c>
      <c r="AO263">
        <v>2</v>
      </c>
      <c r="AQ263" t="s">
        <v>4307</v>
      </c>
      <c r="AR263" t="s">
        <v>5214</v>
      </c>
      <c r="AS263">
        <v>28</v>
      </c>
      <c r="AT263" t="s">
        <v>5838</v>
      </c>
      <c r="AU263">
        <v>1</v>
      </c>
      <c r="AV263">
        <v>3</v>
      </c>
      <c r="AW263">
        <v>13.13</v>
      </c>
      <c r="BB263" t="s">
        <v>1322</v>
      </c>
      <c r="BC263">
        <v>3380</v>
      </c>
      <c r="BG263" t="s">
        <v>140</v>
      </c>
      <c r="BJ263" t="s">
        <v>5960</v>
      </c>
      <c r="BK263" t="s">
        <v>225</v>
      </c>
      <c r="BL263" t="s">
        <v>6056</v>
      </c>
    </row>
    <row r="264" spans="1:64">
      <c r="A264" s="1">
        <f>HYPERLINK("https://lsnyc.legalserver.org/matter/dynamic-profile/view/1907654","19-1907654")</f>
        <v>0</v>
      </c>
      <c r="B264" t="s">
        <v>65</v>
      </c>
      <c r="C264" t="s">
        <v>113</v>
      </c>
      <c r="D264" t="s">
        <v>200</v>
      </c>
      <c r="E264" t="s">
        <v>201</v>
      </c>
      <c r="G264" t="s">
        <v>202</v>
      </c>
      <c r="H264" t="s">
        <v>271</v>
      </c>
      <c r="I264" t="s">
        <v>202</v>
      </c>
      <c r="J264" t="s">
        <v>289</v>
      </c>
      <c r="K264" t="s">
        <v>292</v>
      </c>
      <c r="M264" t="s">
        <v>290</v>
      </c>
      <c r="N264" t="s">
        <v>419</v>
      </c>
      <c r="P264" t="s">
        <v>427</v>
      </c>
      <c r="S264" t="s">
        <v>687</v>
      </c>
      <c r="T264" t="s">
        <v>1390</v>
      </c>
      <c r="U264" t="s">
        <v>217</v>
      </c>
      <c r="W264" t="s">
        <v>1876</v>
      </c>
      <c r="X264" t="s">
        <v>2121</v>
      </c>
      <c r="Y264" t="s">
        <v>2822</v>
      </c>
      <c r="Z264" t="s">
        <v>3098</v>
      </c>
      <c r="AA264" t="s">
        <v>3135</v>
      </c>
      <c r="AB264">
        <v>10467</v>
      </c>
      <c r="AD264" t="s">
        <v>3382</v>
      </c>
      <c r="AE264">
        <v>0</v>
      </c>
      <c r="AG264" t="s">
        <v>4030</v>
      </c>
      <c r="AH264" t="s">
        <v>291</v>
      </c>
      <c r="AI264" t="s">
        <v>291</v>
      </c>
      <c r="AK264" t="s">
        <v>4040</v>
      </c>
      <c r="AM264">
        <v>0</v>
      </c>
      <c r="AN264">
        <v>1155</v>
      </c>
      <c r="AO264">
        <v>2</v>
      </c>
      <c r="AQ264" t="s">
        <v>4308</v>
      </c>
      <c r="AS264">
        <v>49</v>
      </c>
      <c r="AU264">
        <v>2</v>
      </c>
      <c r="AV264">
        <v>4</v>
      </c>
      <c r="AW264">
        <v>75.17</v>
      </c>
      <c r="BB264" t="s">
        <v>1322</v>
      </c>
      <c r="BC264">
        <v>26000</v>
      </c>
      <c r="BG264" t="s">
        <v>140</v>
      </c>
      <c r="BJ264" t="s">
        <v>5949</v>
      </c>
      <c r="BK264" t="s">
        <v>225</v>
      </c>
      <c r="BL264" t="s">
        <v>6056</v>
      </c>
    </row>
    <row r="265" spans="1:64">
      <c r="A265" s="1">
        <f>HYPERLINK("https://lsnyc.legalserver.org/matter/dynamic-profile/view/1908430","19-1908430")</f>
        <v>0</v>
      </c>
      <c r="B265" t="s">
        <v>65</v>
      </c>
      <c r="C265" t="s">
        <v>115</v>
      </c>
      <c r="D265" t="s">
        <v>200</v>
      </c>
      <c r="E265" t="s">
        <v>202</v>
      </c>
      <c r="F265" t="s">
        <v>234</v>
      </c>
      <c r="G265" t="s">
        <v>202</v>
      </c>
      <c r="H265" t="s">
        <v>271</v>
      </c>
      <c r="I265" t="s">
        <v>202</v>
      </c>
      <c r="J265" t="s">
        <v>289</v>
      </c>
      <c r="K265" t="s">
        <v>292</v>
      </c>
      <c r="M265" t="s">
        <v>290</v>
      </c>
      <c r="N265" t="s">
        <v>202</v>
      </c>
      <c r="O265" t="s">
        <v>421</v>
      </c>
      <c r="P265" t="s">
        <v>427</v>
      </c>
      <c r="S265" t="s">
        <v>688</v>
      </c>
      <c r="T265" t="s">
        <v>1391</v>
      </c>
      <c r="U265" t="s">
        <v>218</v>
      </c>
      <c r="W265" t="s">
        <v>1876</v>
      </c>
      <c r="X265" t="s">
        <v>2122</v>
      </c>
      <c r="Y265">
        <v>2</v>
      </c>
      <c r="Z265" t="s">
        <v>3098</v>
      </c>
      <c r="AA265" t="s">
        <v>3135</v>
      </c>
      <c r="AB265">
        <v>10462</v>
      </c>
      <c r="AC265" t="s">
        <v>3136</v>
      </c>
      <c r="AD265" t="s">
        <v>3383</v>
      </c>
      <c r="AE265">
        <v>3</v>
      </c>
      <c r="AG265" t="s">
        <v>4030</v>
      </c>
      <c r="AH265" t="s">
        <v>291</v>
      </c>
      <c r="AI265" t="s">
        <v>291</v>
      </c>
      <c r="AK265" t="s">
        <v>4040</v>
      </c>
      <c r="AM265">
        <v>0</v>
      </c>
      <c r="AN265">
        <v>1810</v>
      </c>
      <c r="AO265">
        <v>1.5</v>
      </c>
      <c r="AQ265" t="s">
        <v>4309</v>
      </c>
      <c r="AR265" t="s">
        <v>5215</v>
      </c>
      <c r="AS265">
        <v>0</v>
      </c>
      <c r="AT265" t="s">
        <v>5838</v>
      </c>
      <c r="AU265">
        <v>3</v>
      </c>
      <c r="AV265">
        <v>3</v>
      </c>
      <c r="AW265">
        <v>104.86</v>
      </c>
      <c r="BA265" t="s">
        <v>5850</v>
      </c>
      <c r="BB265" t="s">
        <v>1322</v>
      </c>
      <c r="BC265">
        <v>36270</v>
      </c>
      <c r="BG265" t="s">
        <v>5904</v>
      </c>
      <c r="BJ265" t="s">
        <v>5967</v>
      </c>
      <c r="BK265" t="s">
        <v>234</v>
      </c>
      <c r="BL265" t="s">
        <v>6056</v>
      </c>
    </row>
    <row r="266" spans="1:64">
      <c r="A266" s="1">
        <f>HYPERLINK("https://lsnyc.legalserver.org/matter/dynamic-profile/view/1908855","19-1908855")</f>
        <v>0</v>
      </c>
      <c r="B266" t="s">
        <v>65</v>
      </c>
      <c r="C266" t="s">
        <v>115</v>
      </c>
      <c r="D266" t="s">
        <v>200</v>
      </c>
      <c r="E266" t="s">
        <v>201</v>
      </c>
      <c r="G266" t="s">
        <v>202</v>
      </c>
      <c r="H266" t="s">
        <v>272</v>
      </c>
      <c r="I266" t="s">
        <v>202</v>
      </c>
      <c r="J266" t="s">
        <v>289</v>
      </c>
      <c r="K266" t="s">
        <v>202</v>
      </c>
      <c r="L266" t="s">
        <v>335</v>
      </c>
      <c r="M266" t="s">
        <v>290</v>
      </c>
      <c r="N266" t="s">
        <v>419</v>
      </c>
      <c r="O266" t="s">
        <v>420</v>
      </c>
      <c r="P266" t="s">
        <v>427</v>
      </c>
      <c r="S266" t="s">
        <v>689</v>
      </c>
      <c r="T266" t="s">
        <v>1392</v>
      </c>
      <c r="U266" t="s">
        <v>238</v>
      </c>
      <c r="W266" t="s">
        <v>1876</v>
      </c>
      <c r="X266" t="s">
        <v>2123</v>
      </c>
      <c r="Y266" t="s">
        <v>2901</v>
      </c>
      <c r="Z266" t="s">
        <v>3098</v>
      </c>
      <c r="AA266" t="s">
        <v>3135</v>
      </c>
      <c r="AB266">
        <v>10467</v>
      </c>
      <c r="AC266" t="s">
        <v>3136</v>
      </c>
      <c r="AD266" t="s">
        <v>3384</v>
      </c>
      <c r="AE266">
        <v>4</v>
      </c>
      <c r="AG266" t="s">
        <v>4030</v>
      </c>
      <c r="AH266" t="s">
        <v>291</v>
      </c>
      <c r="AI266" t="s">
        <v>291</v>
      </c>
      <c r="AK266" t="s">
        <v>4040</v>
      </c>
      <c r="AM266">
        <v>0</v>
      </c>
      <c r="AN266">
        <v>1359.82</v>
      </c>
      <c r="AO266">
        <v>0.5</v>
      </c>
      <c r="AQ266" t="s">
        <v>4310</v>
      </c>
      <c r="AR266" t="s">
        <v>5216</v>
      </c>
      <c r="AS266">
        <v>100</v>
      </c>
      <c r="AT266" t="s">
        <v>5836</v>
      </c>
      <c r="AU266">
        <v>1</v>
      </c>
      <c r="AV266">
        <v>1</v>
      </c>
      <c r="AW266">
        <v>19.73</v>
      </c>
      <c r="BA266" t="s">
        <v>329</v>
      </c>
      <c r="BB266" t="s">
        <v>1322</v>
      </c>
      <c r="BC266">
        <v>3336</v>
      </c>
      <c r="BG266" t="s">
        <v>5904</v>
      </c>
      <c r="BJ266" t="s">
        <v>5948</v>
      </c>
      <c r="BK266" t="s">
        <v>238</v>
      </c>
      <c r="BL266" t="s">
        <v>6057</v>
      </c>
    </row>
    <row r="267" spans="1:64">
      <c r="A267" s="1">
        <f>HYPERLINK("https://lsnyc.legalserver.org/matter/dynamic-profile/view/1908451","19-1908451")</f>
        <v>0</v>
      </c>
      <c r="B267" t="s">
        <v>65</v>
      </c>
      <c r="C267" t="s">
        <v>115</v>
      </c>
      <c r="D267" t="s">
        <v>200</v>
      </c>
      <c r="E267" t="s">
        <v>202</v>
      </c>
      <c r="F267" t="s">
        <v>234</v>
      </c>
      <c r="G267" t="s">
        <v>202</v>
      </c>
      <c r="H267" t="s">
        <v>272</v>
      </c>
      <c r="I267" t="s">
        <v>202</v>
      </c>
      <c r="J267" t="s">
        <v>289</v>
      </c>
      <c r="K267" t="s">
        <v>292</v>
      </c>
      <c r="M267" t="s">
        <v>290</v>
      </c>
      <c r="N267" t="s">
        <v>202</v>
      </c>
      <c r="O267" t="s">
        <v>421</v>
      </c>
      <c r="P267" t="s">
        <v>427</v>
      </c>
      <c r="S267" t="s">
        <v>526</v>
      </c>
      <c r="T267" t="s">
        <v>1017</v>
      </c>
      <c r="U267" t="s">
        <v>237</v>
      </c>
      <c r="W267" t="s">
        <v>1876</v>
      </c>
      <c r="X267" t="s">
        <v>2124</v>
      </c>
      <c r="Y267" t="s">
        <v>2788</v>
      </c>
      <c r="Z267" t="s">
        <v>3098</v>
      </c>
      <c r="AA267" t="s">
        <v>3135</v>
      </c>
      <c r="AB267">
        <v>10452</v>
      </c>
      <c r="AC267" t="s">
        <v>3144</v>
      </c>
      <c r="AD267" t="s">
        <v>3385</v>
      </c>
      <c r="AE267">
        <v>19</v>
      </c>
      <c r="AG267" t="s">
        <v>4031</v>
      </c>
      <c r="AH267" t="s">
        <v>291</v>
      </c>
      <c r="AI267" t="s">
        <v>289</v>
      </c>
      <c r="AK267" t="s">
        <v>4040</v>
      </c>
      <c r="AL267" t="s">
        <v>4047</v>
      </c>
      <c r="AM267">
        <v>0</v>
      </c>
      <c r="AN267">
        <v>922</v>
      </c>
      <c r="AO267">
        <v>4</v>
      </c>
      <c r="AQ267" t="s">
        <v>4311</v>
      </c>
      <c r="AR267" t="s">
        <v>5217</v>
      </c>
      <c r="AS267">
        <v>0</v>
      </c>
      <c r="AT267" t="s">
        <v>5838</v>
      </c>
      <c r="AU267">
        <v>1</v>
      </c>
      <c r="AV267">
        <v>1</v>
      </c>
      <c r="AW267">
        <v>112.41</v>
      </c>
      <c r="BB267" t="s">
        <v>5859</v>
      </c>
      <c r="BC267">
        <v>19008</v>
      </c>
      <c r="BG267" t="s">
        <v>5905</v>
      </c>
      <c r="BJ267" t="s">
        <v>5949</v>
      </c>
      <c r="BK267" t="s">
        <v>230</v>
      </c>
      <c r="BL267" t="s">
        <v>6056</v>
      </c>
    </row>
    <row r="268" spans="1:64">
      <c r="A268" s="1">
        <f>HYPERLINK("https://lsnyc.legalserver.org/matter/dynamic-profile/view/1905538","19-1905538")</f>
        <v>0</v>
      </c>
      <c r="B268" t="s">
        <v>65</v>
      </c>
      <c r="C268" t="s">
        <v>115</v>
      </c>
      <c r="D268" t="s">
        <v>200</v>
      </c>
      <c r="E268" t="s">
        <v>202</v>
      </c>
      <c r="F268" t="s">
        <v>207</v>
      </c>
      <c r="G268" t="s">
        <v>202</v>
      </c>
      <c r="H268" t="s">
        <v>271</v>
      </c>
      <c r="I268" t="s">
        <v>202</v>
      </c>
      <c r="J268" t="s">
        <v>289</v>
      </c>
      <c r="K268" t="s">
        <v>292</v>
      </c>
      <c r="M268" t="s">
        <v>290</v>
      </c>
      <c r="N268" t="s">
        <v>202</v>
      </c>
      <c r="O268" t="s">
        <v>421</v>
      </c>
      <c r="P268" t="s">
        <v>427</v>
      </c>
      <c r="S268" t="s">
        <v>690</v>
      </c>
      <c r="T268" t="s">
        <v>1393</v>
      </c>
      <c r="U268" t="s">
        <v>232</v>
      </c>
      <c r="W268" t="s">
        <v>1876</v>
      </c>
      <c r="X268" t="s">
        <v>2125</v>
      </c>
      <c r="Y268" t="s">
        <v>2794</v>
      </c>
      <c r="Z268" t="s">
        <v>3098</v>
      </c>
      <c r="AA268" t="s">
        <v>3135</v>
      </c>
      <c r="AB268">
        <v>10467</v>
      </c>
      <c r="AC268" t="s">
        <v>3143</v>
      </c>
      <c r="AD268" t="s">
        <v>3386</v>
      </c>
      <c r="AE268">
        <v>2</v>
      </c>
      <c r="AG268" t="s">
        <v>4030</v>
      </c>
      <c r="AH268" t="s">
        <v>291</v>
      </c>
      <c r="AI268" t="s">
        <v>291</v>
      </c>
      <c r="AK268" t="s">
        <v>4040</v>
      </c>
      <c r="AM268">
        <v>0</v>
      </c>
      <c r="AN268">
        <v>0</v>
      </c>
      <c r="AO268">
        <v>0.2</v>
      </c>
      <c r="AS268">
        <v>49</v>
      </c>
      <c r="AU268">
        <v>1</v>
      </c>
      <c r="AV268">
        <v>0</v>
      </c>
      <c r="AW268">
        <v>74.08</v>
      </c>
      <c r="BA268" t="s">
        <v>5854</v>
      </c>
      <c r="BB268" t="s">
        <v>1322</v>
      </c>
      <c r="BC268">
        <v>9252</v>
      </c>
      <c r="BG268" t="s">
        <v>5900</v>
      </c>
      <c r="BJ268" t="s">
        <v>5959</v>
      </c>
      <c r="BK268" t="s">
        <v>232</v>
      </c>
      <c r="BL268" t="s">
        <v>6056</v>
      </c>
    </row>
    <row r="269" spans="1:64">
      <c r="A269" s="1">
        <f>HYPERLINK("https://lsnyc.legalserver.org/matter/dynamic-profile/view/1904041","19-1904041")</f>
        <v>0</v>
      </c>
      <c r="B269" t="s">
        <v>65</v>
      </c>
      <c r="C269" t="s">
        <v>115</v>
      </c>
      <c r="D269" t="s">
        <v>200</v>
      </c>
      <c r="E269" t="s">
        <v>202</v>
      </c>
      <c r="F269" t="s">
        <v>235</v>
      </c>
      <c r="G269" t="s">
        <v>202</v>
      </c>
      <c r="H269" t="s">
        <v>272</v>
      </c>
      <c r="I269" t="s">
        <v>202</v>
      </c>
      <c r="J269" t="s">
        <v>289</v>
      </c>
      <c r="K269" t="s">
        <v>292</v>
      </c>
      <c r="M269" t="s">
        <v>290</v>
      </c>
      <c r="N269" t="s">
        <v>202</v>
      </c>
      <c r="O269" t="s">
        <v>421</v>
      </c>
      <c r="P269" t="s">
        <v>427</v>
      </c>
      <c r="S269" t="s">
        <v>691</v>
      </c>
      <c r="T269" t="s">
        <v>1311</v>
      </c>
      <c r="U269" t="s">
        <v>251</v>
      </c>
      <c r="W269" t="s">
        <v>1876</v>
      </c>
      <c r="X269" t="s">
        <v>2126</v>
      </c>
      <c r="Z269" t="s">
        <v>3098</v>
      </c>
      <c r="AA269" t="s">
        <v>3135</v>
      </c>
      <c r="AB269">
        <v>10457</v>
      </c>
      <c r="AC269" t="s">
        <v>3143</v>
      </c>
      <c r="AD269" t="s">
        <v>3387</v>
      </c>
      <c r="AE269">
        <v>2</v>
      </c>
      <c r="AG269" t="s">
        <v>4030</v>
      </c>
      <c r="AH269" t="s">
        <v>291</v>
      </c>
      <c r="AI269" t="s">
        <v>291</v>
      </c>
      <c r="AK269" t="s">
        <v>4040</v>
      </c>
      <c r="AL269" t="s">
        <v>4046</v>
      </c>
      <c r="AM269">
        <v>0</v>
      </c>
      <c r="AN269">
        <v>1250</v>
      </c>
      <c r="AO269">
        <v>9.300000000000001</v>
      </c>
      <c r="AQ269" t="s">
        <v>4312</v>
      </c>
      <c r="AR269" t="s">
        <v>5218</v>
      </c>
      <c r="AS269">
        <v>21</v>
      </c>
      <c r="AU269">
        <v>1</v>
      </c>
      <c r="AV269">
        <v>0</v>
      </c>
      <c r="AW269">
        <v>199.84</v>
      </c>
      <c r="BC269">
        <v>24960</v>
      </c>
      <c r="BG269" t="s">
        <v>140</v>
      </c>
      <c r="BJ269" t="s">
        <v>5949</v>
      </c>
      <c r="BK269" t="s">
        <v>234</v>
      </c>
      <c r="BL269" t="s">
        <v>6056</v>
      </c>
    </row>
    <row r="270" spans="1:64">
      <c r="A270" s="1">
        <f>HYPERLINK("https://lsnyc.legalserver.org/matter/dynamic-profile/view/1904570","19-1904570")</f>
        <v>0</v>
      </c>
      <c r="B270" t="s">
        <v>65</v>
      </c>
      <c r="C270" t="s">
        <v>115</v>
      </c>
      <c r="D270" t="s">
        <v>200</v>
      </c>
      <c r="E270" t="s">
        <v>202</v>
      </c>
      <c r="F270" t="s">
        <v>207</v>
      </c>
      <c r="G270" t="s">
        <v>202</v>
      </c>
      <c r="H270" t="s">
        <v>272</v>
      </c>
      <c r="I270" t="s">
        <v>202</v>
      </c>
      <c r="J270" t="s">
        <v>289</v>
      </c>
      <c r="K270" t="s">
        <v>292</v>
      </c>
      <c r="M270" t="s">
        <v>290</v>
      </c>
      <c r="N270" t="s">
        <v>202</v>
      </c>
      <c r="O270" t="s">
        <v>421</v>
      </c>
      <c r="P270" t="s">
        <v>427</v>
      </c>
      <c r="S270" t="s">
        <v>692</v>
      </c>
      <c r="T270" t="s">
        <v>1394</v>
      </c>
      <c r="U270" t="s">
        <v>205</v>
      </c>
      <c r="W270" t="s">
        <v>1876</v>
      </c>
      <c r="X270" t="s">
        <v>2127</v>
      </c>
      <c r="Y270" t="s">
        <v>2902</v>
      </c>
      <c r="Z270" t="s">
        <v>3098</v>
      </c>
      <c r="AA270" t="s">
        <v>3135</v>
      </c>
      <c r="AB270">
        <v>10457</v>
      </c>
      <c r="AD270" t="s">
        <v>3388</v>
      </c>
      <c r="AE270">
        <v>10</v>
      </c>
      <c r="AG270" t="s">
        <v>4030</v>
      </c>
      <c r="AH270" t="s">
        <v>291</v>
      </c>
      <c r="AI270" t="s">
        <v>291</v>
      </c>
      <c r="AK270" t="s">
        <v>4040</v>
      </c>
      <c r="AL270" t="s">
        <v>4047</v>
      </c>
      <c r="AM270">
        <v>0</v>
      </c>
      <c r="AN270">
        <v>1201</v>
      </c>
      <c r="AO270">
        <v>7</v>
      </c>
      <c r="AQ270" t="s">
        <v>4313</v>
      </c>
      <c r="AR270" t="s">
        <v>5219</v>
      </c>
      <c r="AS270">
        <v>60</v>
      </c>
      <c r="AT270" t="s">
        <v>5838</v>
      </c>
      <c r="AU270">
        <v>2</v>
      </c>
      <c r="AV270">
        <v>0</v>
      </c>
      <c r="AW270">
        <v>155.99</v>
      </c>
      <c r="BB270" t="s">
        <v>1322</v>
      </c>
      <c r="BC270">
        <v>26377.56</v>
      </c>
      <c r="BF270" t="s">
        <v>5876</v>
      </c>
      <c r="BG270" t="s">
        <v>5898</v>
      </c>
      <c r="BJ270" t="s">
        <v>5962</v>
      </c>
      <c r="BK270" t="s">
        <v>262</v>
      </c>
      <c r="BL270" t="s">
        <v>6056</v>
      </c>
    </row>
    <row r="271" spans="1:64">
      <c r="A271" s="1">
        <f>HYPERLINK("https://lsnyc.legalserver.org/matter/dynamic-profile/view/1909358","19-1909358")</f>
        <v>0</v>
      </c>
      <c r="B271" t="s">
        <v>65</v>
      </c>
      <c r="C271" t="s">
        <v>115</v>
      </c>
      <c r="D271" t="s">
        <v>200</v>
      </c>
      <c r="E271" t="s">
        <v>201</v>
      </c>
      <c r="G271" t="s">
        <v>202</v>
      </c>
      <c r="H271" t="s">
        <v>272</v>
      </c>
      <c r="I271" t="s">
        <v>202</v>
      </c>
      <c r="J271" t="s">
        <v>289</v>
      </c>
      <c r="K271" t="s">
        <v>292</v>
      </c>
      <c r="M271" t="s">
        <v>290</v>
      </c>
      <c r="N271" t="s">
        <v>419</v>
      </c>
      <c r="P271" t="s">
        <v>427</v>
      </c>
      <c r="S271" t="s">
        <v>664</v>
      </c>
      <c r="T271" t="s">
        <v>1395</v>
      </c>
      <c r="U271" t="s">
        <v>263</v>
      </c>
      <c r="W271" t="s">
        <v>1876</v>
      </c>
      <c r="X271" t="s">
        <v>2128</v>
      </c>
      <c r="Y271" t="s">
        <v>2903</v>
      </c>
      <c r="Z271" t="s">
        <v>3098</v>
      </c>
      <c r="AA271" t="s">
        <v>3135</v>
      </c>
      <c r="AB271">
        <v>10467</v>
      </c>
      <c r="AC271" t="s">
        <v>3139</v>
      </c>
      <c r="AD271" t="s">
        <v>3389</v>
      </c>
      <c r="AE271">
        <v>4</v>
      </c>
      <c r="AG271" t="s">
        <v>4031</v>
      </c>
      <c r="AH271" t="s">
        <v>291</v>
      </c>
      <c r="AI271" t="s">
        <v>291</v>
      </c>
      <c r="AK271" t="s">
        <v>4040</v>
      </c>
      <c r="AM271">
        <v>0</v>
      </c>
      <c r="AN271">
        <v>1531</v>
      </c>
      <c r="AO271">
        <v>0</v>
      </c>
      <c r="AQ271" t="s">
        <v>4314</v>
      </c>
      <c r="AS271">
        <v>60</v>
      </c>
      <c r="AT271" t="s">
        <v>5838</v>
      </c>
      <c r="AU271">
        <v>2</v>
      </c>
      <c r="AV271">
        <v>1</v>
      </c>
      <c r="AW271">
        <v>159.44</v>
      </c>
      <c r="BB271" t="s">
        <v>5859</v>
      </c>
      <c r="BC271">
        <v>34008</v>
      </c>
      <c r="BG271" t="s">
        <v>140</v>
      </c>
      <c r="BJ271" t="s">
        <v>5949</v>
      </c>
      <c r="BL271" t="s">
        <v>6056</v>
      </c>
    </row>
    <row r="272" spans="1:64">
      <c r="A272" s="1">
        <f>HYPERLINK("https://lsnyc.legalserver.org/matter/dynamic-profile/view/1910007","19-1910007")</f>
        <v>0</v>
      </c>
      <c r="B272" t="s">
        <v>65</v>
      </c>
      <c r="C272" t="s">
        <v>115</v>
      </c>
      <c r="D272" t="s">
        <v>200</v>
      </c>
      <c r="E272" t="s">
        <v>201</v>
      </c>
      <c r="G272" t="s">
        <v>270</v>
      </c>
      <c r="I272" t="s">
        <v>202</v>
      </c>
      <c r="J272" t="s">
        <v>289</v>
      </c>
      <c r="K272" t="s">
        <v>292</v>
      </c>
      <c r="M272" t="s">
        <v>290</v>
      </c>
      <c r="N272" t="s">
        <v>419</v>
      </c>
      <c r="O272" t="s">
        <v>420</v>
      </c>
      <c r="P272" t="s">
        <v>427</v>
      </c>
      <c r="S272" t="s">
        <v>693</v>
      </c>
      <c r="T272" t="s">
        <v>1396</v>
      </c>
      <c r="U272" t="s">
        <v>243</v>
      </c>
      <c r="W272" t="s">
        <v>1876</v>
      </c>
      <c r="X272" t="s">
        <v>2129</v>
      </c>
      <c r="Z272" t="s">
        <v>3098</v>
      </c>
      <c r="AA272" t="s">
        <v>3135</v>
      </c>
      <c r="AB272">
        <v>10457</v>
      </c>
      <c r="AC272" t="s">
        <v>3136</v>
      </c>
      <c r="AD272" t="s">
        <v>3390</v>
      </c>
      <c r="AE272">
        <v>20</v>
      </c>
      <c r="AG272" t="s">
        <v>4030</v>
      </c>
      <c r="AH272" t="s">
        <v>291</v>
      </c>
      <c r="AI272" t="s">
        <v>291</v>
      </c>
      <c r="AK272" t="s">
        <v>4040</v>
      </c>
      <c r="AM272">
        <v>0</v>
      </c>
      <c r="AN272">
        <v>1036</v>
      </c>
      <c r="AO272">
        <v>0.5</v>
      </c>
      <c r="AQ272" t="s">
        <v>4315</v>
      </c>
      <c r="AS272">
        <v>36</v>
      </c>
      <c r="AT272" t="s">
        <v>5836</v>
      </c>
      <c r="AU272">
        <v>1</v>
      </c>
      <c r="AV272">
        <v>0</v>
      </c>
      <c r="AW272">
        <v>230.02</v>
      </c>
      <c r="BA272" t="s">
        <v>329</v>
      </c>
      <c r="BB272" t="s">
        <v>1322</v>
      </c>
      <c r="BC272">
        <v>28730</v>
      </c>
      <c r="BF272" t="s">
        <v>5875</v>
      </c>
      <c r="BG272" t="s">
        <v>5904</v>
      </c>
      <c r="BJ272" t="s">
        <v>5949</v>
      </c>
      <c r="BK272" t="s">
        <v>243</v>
      </c>
      <c r="BL272" t="s">
        <v>6056</v>
      </c>
    </row>
    <row r="273" spans="1:64">
      <c r="A273" s="1">
        <f>HYPERLINK("https://lsnyc.legalserver.org/matter/dynamic-profile/view/1908504","19-1908504")</f>
        <v>0</v>
      </c>
      <c r="B273" t="s">
        <v>65</v>
      </c>
      <c r="C273" t="s">
        <v>115</v>
      </c>
      <c r="D273" t="s">
        <v>200</v>
      </c>
      <c r="E273" t="s">
        <v>202</v>
      </c>
      <c r="F273" t="s">
        <v>236</v>
      </c>
      <c r="G273" t="s">
        <v>202</v>
      </c>
      <c r="H273" t="s">
        <v>272</v>
      </c>
      <c r="I273" t="s">
        <v>202</v>
      </c>
      <c r="J273" t="s">
        <v>289</v>
      </c>
      <c r="K273" t="s">
        <v>292</v>
      </c>
      <c r="M273" t="s">
        <v>290</v>
      </c>
      <c r="N273" t="s">
        <v>202</v>
      </c>
      <c r="O273" t="s">
        <v>421</v>
      </c>
      <c r="P273" t="s">
        <v>427</v>
      </c>
      <c r="S273" t="s">
        <v>694</v>
      </c>
      <c r="T273" t="s">
        <v>1017</v>
      </c>
      <c r="U273" t="s">
        <v>237</v>
      </c>
      <c r="W273" t="s">
        <v>1876</v>
      </c>
      <c r="X273" t="s">
        <v>2130</v>
      </c>
      <c r="Y273" t="s">
        <v>2854</v>
      </c>
      <c r="Z273" t="s">
        <v>3098</v>
      </c>
      <c r="AA273" t="s">
        <v>3135</v>
      </c>
      <c r="AB273">
        <v>10454</v>
      </c>
      <c r="AC273" t="s">
        <v>3146</v>
      </c>
      <c r="AD273" t="s">
        <v>3391</v>
      </c>
      <c r="AE273">
        <v>32</v>
      </c>
      <c r="AG273" t="s">
        <v>4031</v>
      </c>
      <c r="AH273" t="s">
        <v>291</v>
      </c>
      <c r="AI273" t="s">
        <v>291</v>
      </c>
      <c r="AK273" t="s">
        <v>4040</v>
      </c>
      <c r="AM273">
        <v>0</v>
      </c>
      <c r="AN273">
        <v>128</v>
      </c>
      <c r="AO273">
        <v>6.75</v>
      </c>
      <c r="AQ273" t="s">
        <v>4316</v>
      </c>
      <c r="AR273" t="s">
        <v>5220</v>
      </c>
      <c r="AS273">
        <v>191</v>
      </c>
      <c r="AT273" t="s">
        <v>5836</v>
      </c>
      <c r="AU273">
        <v>1</v>
      </c>
      <c r="AV273">
        <v>3</v>
      </c>
      <c r="AW273">
        <v>39.19</v>
      </c>
      <c r="BB273" t="s">
        <v>1322</v>
      </c>
      <c r="BC273">
        <v>10092</v>
      </c>
      <c r="BG273" t="s">
        <v>5900</v>
      </c>
      <c r="BJ273" t="s">
        <v>6001</v>
      </c>
      <c r="BK273" t="s">
        <v>236</v>
      </c>
      <c r="BL273" t="s">
        <v>6056</v>
      </c>
    </row>
    <row r="274" spans="1:64">
      <c r="A274" s="1">
        <f>HYPERLINK("https://lsnyc.legalserver.org/matter/dynamic-profile/view/1907684","19-1907684")</f>
        <v>0</v>
      </c>
      <c r="B274" t="s">
        <v>65</v>
      </c>
      <c r="C274" t="s">
        <v>115</v>
      </c>
      <c r="D274" t="s">
        <v>200</v>
      </c>
      <c r="E274" t="s">
        <v>202</v>
      </c>
      <c r="F274" t="s">
        <v>224</v>
      </c>
      <c r="G274" t="s">
        <v>202</v>
      </c>
      <c r="H274" t="s">
        <v>272</v>
      </c>
      <c r="I274" t="s">
        <v>202</v>
      </c>
      <c r="J274" t="s">
        <v>289</v>
      </c>
      <c r="K274" t="s">
        <v>292</v>
      </c>
      <c r="M274" t="s">
        <v>290</v>
      </c>
      <c r="N274" t="s">
        <v>202</v>
      </c>
      <c r="O274" t="s">
        <v>421</v>
      </c>
      <c r="P274" t="s">
        <v>427</v>
      </c>
      <c r="S274" t="s">
        <v>675</v>
      </c>
      <c r="T274" t="s">
        <v>1181</v>
      </c>
      <c r="U274" t="s">
        <v>217</v>
      </c>
      <c r="W274" t="s">
        <v>1876</v>
      </c>
      <c r="X274" t="s">
        <v>2131</v>
      </c>
      <c r="Y274" t="s">
        <v>2889</v>
      </c>
      <c r="Z274" t="s">
        <v>3098</v>
      </c>
      <c r="AA274" t="s">
        <v>3135</v>
      </c>
      <c r="AB274">
        <v>10468</v>
      </c>
      <c r="AC274" t="s">
        <v>3144</v>
      </c>
      <c r="AD274" t="s">
        <v>3392</v>
      </c>
      <c r="AE274">
        <v>26</v>
      </c>
      <c r="AG274" t="s">
        <v>4030</v>
      </c>
      <c r="AH274" t="s">
        <v>291</v>
      </c>
      <c r="AI274" t="s">
        <v>291</v>
      </c>
      <c r="AK274" t="s">
        <v>4040</v>
      </c>
      <c r="AM274">
        <v>0</v>
      </c>
      <c r="AN274">
        <v>1269</v>
      </c>
      <c r="AO274">
        <v>0</v>
      </c>
      <c r="AQ274" t="s">
        <v>4317</v>
      </c>
      <c r="AR274" t="s">
        <v>5221</v>
      </c>
      <c r="AS274">
        <v>49</v>
      </c>
      <c r="AU274">
        <v>2</v>
      </c>
      <c r="AV274">
        <v>0</v>
      </c>
      <c r="AW274">
        <v>131.99</v>
      </c>
      <c r="BB274" t="s">
        <v>1322</v>
      </c>
      <c r="BC274">
        <v>22320</v>
      </c>
      <c r="BG274" t="s">
        <v>140</v>
      </c>
      <c r="BJ274" t="s">
        <v>5956</v>
      </c>
      <c r="BL274" t="s">
        <v>6056</v>
      </c>
    </row>
    <row r="275" spans="1:64">
      <c r="A275" s="1">
        <f>HYPERLINK("https://lsnyc.legalserver.org/matter/dynamic-profile/view/1907610","19-1907610")</f>
        <v>0</v>
      </c>
      <c r="B275" t="s">
        <v>65</v>
      </c>
      <c r="C275" t="s">
        <v>113</v>
      </c>
      <c r="D275" t="s">
        <v>200</v>
      </c>
      <c r="E275" t="s">
        <v>201</v>
      </c>
      <c r="G275" t="s">
        <v>202</v>
      </c>
      <c r="H275" t="s">
        <v>271</v>
      </c>
      <c r="I275" t="s">
        <v>202</v>
      </c>
      <c r="J275" t="s">
        <v>289</v>
      </c>
      <c r="K275" t="s">
        <v>292</v>
      </c>
      <c r="M275" t="s">
        <v>290</v>
      </c>
      <c r="N275" t="s">
        <v>419</v>
      </c>
      <c r="P275" t="s">
        <v>427</v>
      </c>
      <c r="S275" t="s">
        <v>695</v>
      </c>
      <c r="T275" t="s">
        <v>1397</v>
      </c>
      <c r="U275" t="s">
        <v>254</v>
      </c>
      <c r="W275" t="s">
        <v>1876</v>
      </c>
      <c r="X275" t="s">
        <v>2132</v>
      </c>
      <c r="Y275">
        <v>3</v>
      </c>
      <c r="Z275" t="s">
        <v>3098</v>
      </c>
      <c r="AA275" t="s">
        <v>3135</v>
      </c>
      <c r="AB275">
        <v>10467</v>
      </c>
      <c r="AD275" t="s">
        <v>3393</v>
      </c>
      <c r="AE275">
        <v>1</v>
      </c>
      <c r="AG275" t="s">
        <v>4030</v>
      </c>
      <c r="AH275" t="s">
        <v>291</v>
      </c>
      <c r="AI275" t="s">
        <v>291</v>
      </c>
      <c r="AK275" t="s">
        <v>4040</v>
      </c>
      <c r="AL275" t="s">
        <v>4046</v>
      </c>
      <c r="AM275">
        <v>0</v>
      </c>
      <c r="AN275">
        <v>2300</v>
      </c>
      <c r="AO275">
        <v>0</v>
      </c>
      <c r="AQ275" t="s">
        <v>4318</v>
      </c>
      <c r="AR275" t="s">
        <v>5222</v>
      </c>
      <c r="AS275">
        <v>3</v>
      </c>
      <c r="AU275">
        <v>1</v>
      </c>
      <c r="AV275">
        <v>0</v>
      </c>
      <c r="AW275">
        <v>74.08</v>
      </c>
      <c r="BC275">
        <v>9252</v>
      </c>
      <c r="BG275" t="s">
        <v>140</v>
      </c>
      <c r="BJ275" t="s">
        <v>5959</v>
      </c>
      <c r="BL275" t="s">
        <v>6056</v>
      </c>
    </row>
    <row r="276" spans="1:64">
      <c r="A276" s="1">
        <f>HYPERLINK("https://lsnyc.legalserver.org/matter/dynamic-profile/view/1905942","19-1905942")</f>
        <v>0</v>
      </c>
      <c r="B276" t="s">
        <v>65</v>
      </c>
      <c r="C276" t="s">
        <v>113</v>
      </c>
      <c r="D276" t="s">
        <v>200</v>
      </c>
      <c r="E276" t="s">
        <v>202</v>
      </c>
      <c r="F276" t="s">
        <v>237</v>
      </c>
      <c r="G276" t="s">
        <v>202</v>
      </c>
      <c r="H276" t="s">
        <v>271</v>
      </c>
      <c r="I276" t="s">
        <v>202</v>
      </c>
      <c r="J276" t="s">
        <v>289</v>
      </c>
      <c r="K276" t="s">
        <v>292</v>
      </c>
      <c r="M276" t="s">
        <v>290</v>
      </c>
      <c r="N276" t="s">
        <v>202</v>
      </c>
      <c r="O276" t="s">
        <v>421</v>
      </c>
      <c r="P276" t="s">
        <v>427</v>
      </c>
      <c r="S276" t="s">
        <v>696</v>
      </c>
      <c r="T276" t="s">
        <v>1398</v>
      </c>
      <c r="U276" t="s">
        <v>250</v>
      </c>
      <c r="W276" t="s">
        <v>1876</v>
      </c>
      <c r="X276" t="s">
        <v>2133</v>
      </c>
      <c r="Y276">
        <v>24</v>
      </c>
      <c r="Z276" t="s">
        <v>3098</v>
      </c>
      <c r="AA276" t="s">
        <v>3135</v>
      </c>
      <c r="AB276">
        <v>10468</v>
      </c>
      <c r="AC276" t="s">
        <v>3143</v>
      </c>
      <c r="AD276" t="s">
        <v>3394</v>
      </c>
      <c r="AE276">
        <v>30</v>
      </c>
      <c r="AG276" t="s">
        <v>4030</v>
      </c>
      <c r="AH276" t="s">
        <v>291</v>
      </c>
      <c r="AI276" t="s">
        <v>291</v>
      </c>
      <c r="AK276" t="s">
        <v>4040</v>
      </c>
      <c r="AL276" t="s">
        <v>4046</v>
      </c>
      <c r="AM276">
        <v>0</v>
      </c>
      <c r="AN276">
        <v>1126.22</v>
      </c>
      <c r="AO276">
        <v>8</v>
      </c>
      <c r="AQ276" t="s">
        <v>4319</v>
      </c>
      <c r="AR276" t="s">
        <v>5223</v>
      </c>
      <c r="AS276">
        <v>38</v>
      </c>
      <c r="AT276" t="s">
        <v>5838</v>
      </c>
      <c r="AU276">
        <v>3</v>
      </c>
      <c r="AV276">
        <v>0</v>
      </c>
      <c r="AW276">
        <v>255.98</v>
      </c>
      <c r="AX276" t="s">
        <v>228</v>
      </c>
      <c r="AY276" t="s">
        <v>5849</v>
      </c>
      <c r="BA276" t="s">
        <v>329</v>
      </c>
      <c r="BB276" t="s">
        <v>1322</v>
      </c>
      <c r="BC276">
        <v>54600</v>
      </c>
      <c r="BG276" t="s">
        <v>140</v>
      </c>
      <c r="BJ276" t="s">
        <v>5949</v>
      </c>
      <c r="BK276" t="s">
        <v>237</v>
      </c>
      <c r="BL276" t="s">
        <v>6056</v>
      </c>
    </row>
    <row r="277" spans="1:64">
      <c r="A277" s="1">
        <f>HYPERLINK("https://lsnyc.legalserver.org/matter/dynamic-profile/view/1906401","19-1906401")</f>
        <v>0</v>
      </c>
      <c r="B277" t="s">
        <v>65</v>
      </c>
      <c r="C277" t="s">
        <v>113</v>
      </c>
      <c r="D277" t="s">
        <v>200</v>
      </c>
      <c r="E277" t="s">
        <v>202</v>
      </c>
      <c r="F277" t="s">
        <v>207</v>
      </c>
      <c r="G277" t="s">
        <v>202</v>
      </c>
      <c r="H277" t="s">
        <v>271</v>
      </c>
      <c r="I277" t="s">
        <v>202</v>
      </c>
      <c r="J277" t="s">
        <v>289</v>
      </c>
      <c r="K277" t="s">
        <v>292</v>
      </c>
      <c r="M277" t="s">
        <v>290</v>
      </c>
      <c r="N277" t="s">
        <v>202</v>
      </c>
      <c r="O277" t="s">
        <v>421</v>
      </c>
      <c r="P277" t="s">
        <v>427</v>
      </c>
      <c r="S277" t="s">
        <v>516</v>
      </c>
      <c r="T277" t="s">
        <v>1399</v>
      </c>
      <c r="U277" t="s">
        <v>207</v>
      </c>
      <c r="W277" t="s">
        <v>1876</v>
      </c>
      <c r="X277" t="s">
        <v>2134</v>
      </c>
      <c r="Y277" t="s">
        <v>2904</v>
      </c>
      <c r="Z277" t="s">
        <v>3098</v>
      </c>
      <c r="AA277" t="s">
        <v>3135</v>
      </c>
      <c r="AB277">
        <v>10459</v>
      </c>
      <c r="AC277" t="s">
        <v>3139</v>
      </c>
      <c r="AD277" t="s">
        <v>3395</v>
      </c>
      <c r="AE277">
        <v>6</v>
      </c>
      <c r="AG277" t="s">
        <v>4031</v>
      </c>
      <c r="AH277" t="s">
        <v>291</v>
      </c>
      <c r="AI277" t="s">
        <v>291</v>
      </c>
      <c r="AK277" t="s">
        <v>4040</v>
      </c>
      <c r="AL277" t="s">
        <v>4046</v>
      </c>
      <c r="AM277">
        <v>0</v>
      </c>
      <c r="AN277">
        <v>797.63</v>
      </c>
      <c r="AO277">
        <v>2.1</v>
      </c>
      <c r="AQ277" t="s">
        <v>4320</v>
      </c>
      <c r="AR277" t="s">
        <v>5224</v>
      </c>
      <c r="AS277">
        <v>123</v>
      </c>
      <c r="AT277" t="s">
        <v>5838</v>
      </c>
      <c r="AU277">
        <v>1</v>
      </c>
      <c r="AV277">
        <v>0</v>
      </c>
      <c r="AW277">
        <v>0</v>
      </c>
      <c r="BB277" t="s">
        <v>1322</v>
      </c>
      <c r="BC277">
        <v>0</v>
      </c>
      <c r="BG277" t="s">
        <v>140</v>
      </c>
      <c r="BJ277" t="s">
        <v>5945</v>
      </c>
      <c r="BK277" t="s">
        <v>235</v>
      </c>
      <c r="BL277" t="s">
        <v>6056</v>
      </c>
    </row>
    <row r="278" spans="1:64">
      <c r="A278" s="1">
        <f>HYPERLINK("https://lsnyc.legalserver.org/matter/dynamic-profile/view/1910401","19-1910401")</f>
        <v>0</v>
      </c>
      <c r="B278" t="s">
        <v>65</v>
      </c>
      <c r="C278" t="s">
        <v>116</v>
      </c>
      <c r="D278" t="s">
        <v>200</v>
      </c>
      <c r="E278" t="s">
        <v>201</v>
      </c>
      <c r="G278" t="s">
        <v>202</v>
      </c>
      <c r="H278" t="s">
        <v>271</v>
      </c>
      <c r="I278" t="s">
        <v>288</v>
      </c>
      <c r="J278" t="s">
        <v>291</v>
      </c>
      <c r="K278" t="s">
        <v>292</v>
      </c>
      <c r="M278" t="s">
        <v>290</v>
      </c>
      <c r="N278" t="s">
        <v>419</v>
      </c>
      <c r="P278" t="s">
        <v>427</v>
      </c>
      <c r="S278" t="s">
        <v>697</v>
      </c>
      <c r="T278" t="s">
        <v>1400</v>
      </c>
      <c r="U278" t="s">
        <v>266</v>
      </c>
      <c r="W278" t="s">
        <v>1876</v>
      </c>
      <c r="X278" t="s">
        <v>2135</v>
      </c>
      <c r="Y278" t="s">
        <v>2905</v>
      </c>
      <c r="Z278" t="s">
        <v>3098</v>
      </c>
      <c r="AA278" t="s">
        <v>3135</v>
      </c>
      <c r="AB278">
        <v>10469</v>
      </c>
      <c r="AC278" t="s">
        <v>3136</v>
      </c>
      <c r="AD278" t="s">
        <v>3396</v>
      </c>
      <c r="AE278">
        <v>13</v>
      </c>
      <c r="AG278" t="s">
        <v>4031</v>
      </c>
      <c r="AH278" t="s">
        <v>291</v>
      </c>
      <c r="AI278" t="s">
        <v>291</v>
      </c>
      <c r="AK278" t="s">
        <v>4040</v>
      </c>
      <c r="AM278">
        <v>0</v>
      </c>
      <c r="AN278">
        <v>0</v>
      </c>
      <c r="AO278">
        <v>0</v>
      </c>
      <c r="AQ278" t="s">
        <v>4321</v>
      </c>
      <c r="AS278">
        <v>2</v>
      </c>
      <c r="AT278" t="s">
        <v>5842</v>
      </c>
      <c r="AU278">
        <v>1</v>
      </c>
      <c r="AV278">
        <v>2</v>
      </c>
      <c r="AW278">
        <v>0</v>
      </c>
      <c r="BB278" t="s">
        <v>1322</v>
      </c>
      <c r="BC278">
        <v>0</v>
      </c>
      <c r="BG278" t="s">
        <v>140</v>
      </c>
      <c r="BJ278" t="s">
        <v>5945</v>
      </c>
      <c r="BL278" t="s">
        <v>329</v>
      </c>
    </row>
    <row r="279" spans="1:64">
      <c r="A279" s="1">
        <f>HYPERLINK("https://lsnyc.legalserver.org/matter/dynamic-profile/view/1909165","19-1909165")</f>
        <v>0</v>
      </c>
      <c r="B279" t="s">
        <v>65</v>
      </c>
      <c r="C279" t="s">
        <v>113</v>
      </c>
      <c r="D279" t="s">
        <v>200</v>
      </c>
      <c r="E279" t="s">
        <v>201</v>
      </c>
      <c r="G279" t="s">
        <v>202</v>
      </c>
      <c r="H279" t="s">
        <v>272</v>
      </c>
      <c r="I279" t="s">
        <v>202</v>
      </c>
      <c r="J279" t="s">
        <v>289</v>
      </c>
      <c r="K279" t="s">
        <v>202</v>
      </c>
      <c r="L279" t="s">
        <v>336</v>
      </c>
      <c r="M279" t="s">
        <v>290</v>
      </c>
      <c r="N279" t="s">
        <v>419</v>
      </c>
      <c r="P279" t="s">
        <v>427</v>
      </c>
      <c r="S279" t="s">
        <v>698</v>
      </c>
      <c r="T279" t="s">
        <v>1401</v>
      </c>
      <c r="U279" t="s">
        <v>228</v>
      </c>
      <c r="W279" t="s">
        <v>1876</v>
      </c>
      <c r="X279" t="s">
        <v>2136</v>
      </c>
      <c r="Y279">
        <v>4</v>
      </c>
      <c r="Z279" t="s">
        <v>3098</v>
      </c>
      <c r="AA279" t="s">
        <v>3135</v>
      </c>
      <c r="AB279">
        <v>10468</v>
      </c>
      <c r="AC279" t="s">
        <v>3144</v>
      </c>
      <c r="AD279" t="s">
        <v>3397</v>
      </c>
      <c r="AE279">
        <v>4</v>
      </c>
      <c r="AG279" t="s">
        <v>4030</v>
      </c>
      <c r="AH279" t="s">
        <v>291</v>
      </c>
      <c r="AI279" t="s">
        <v>291</v>
      </c>
      <c r="AK279" t="s">
        <v>4040</v>
      </c>
      <c r="AM279">
        <v>0</v>
      </c>
      <c r="AN279">
        <v>1117</v>
      </c>
      <c r="AO279">
        <v>0.5</v>
      </c>
      <c r="AQ279" t="s">
        <v>4322</v>
      </c>
      <c r="AR279" t="s">
        <v>5225</v>
      </c>
      <c r="AS279">
        <v>39</v>
      </c>
      <c r="AU279">
        <v>1</v>
      </c>
      <c r="AV279">
        <v>2</v>
      </c>
      <c r="AW279">
        <v>15.6</v>
      </c>
      <c r="BB279" t="s">
        <v>5859</v>
      </c>
      <c r="BC279">
        <v>3328</v>
      </c>
      <c r="BG279" t="s">
        <v>5905</v>
      </c>
      <c r="BJ279" t="s">
        <v>5951</v>
      </c>
      <c r="BK279" t="s">
        <v>228</v>
      </c>
      <c r="BL279" t="s">
        <v>6057</v>
      </c>
    </row>
    <row r="280" spans="1:64">
      <c r="A280" s="1">
        <f>HYPERLINK("https://lsnyc.legalserver.org/matter/dynamic-profile/view/1908027","19-1908027")</f>
        <v>0</v>
      </c>
      <c r="B280" t="s">
        <v>65</v>
      </c>
      <c r="C280" t="s">
        <v>117</v>
      </c>
      <c r="D280" t="s">
        <v>200</v>
      </c>
      <c r="E280" t="s">
        <v>201</v>
      </c>
      <c r="G280" t="s">
        <v>202</v>
      </c>
      <c r="H280" t="s">
        <v>272</v>
      </c>
      <c r="I280" t="s">
        <v>202</v>
      </c>
      <c r="J280" t="s">
        <v>289</v>
      </c>
      <c r="K280" t="s">
        <v>292</v>
      </c>
      <c r="M280" t="s">
        <v>290</v>
      </c>
      <c r="N280" t="s">
        <v>202</v>
      </c>
      <c r="O280" t="s">
        <v>421</v>
      </c>
      <c r="P280" t="s">
        <v>427</v>
      </c>
      <c r="S280" t="s">
        <v>699</v>
      </c>
      <c r="T280" t="s">
        <v>1402</v>
      </c>
      <c r="U280" t="s">
        <v>221</v>
      </c>
      <c r="W280" t="s">
        <v>1876</v>
      </c>
      <c r="X280" t="s">
        <v>2137</v>
      </c>
      <c r="Y280" t="s">
        <v>2906</v>
      </c>
      <c r="Z280" t="s">
        <v>3098</v>
      </c>
      <c r="AA280" t="s">
        <v>3135</v>
      </c>
      <c r="AB280">
        <v>10467</v>
      </c>
      <c r="AC280" t="s">
        <v>3140</v>
      </c>
      <c r="AD280" t="s">
        <v>3398</v>
      </c>
      <c r="AE280">
        <v>27</v>
      </c>
      <c r="AG280" t="s">
        <v>4030</v>
      </c>
      <c r="AH280" t="s">
        <v>291</v>
      </c>
      <c r="AI280" t="s">
        <v>291</v>
      </c>
      <c r="AK280" t="s">
        <v>4040</v>
      </c>
      <c r="AM280">
        <v>0</v>
      </c>
      <c r="AN280">
        <v>1333.64</v>
      </c>
      <c r="AO280">
        <v>3</v>
      </c>
      <c r="AQ280" t="s">
        <v>4323</v>
      </c>
      <c r="AR280" t="s">
        <v>5226</v>
      </c>
      <c r="AS280">
        <v>48</v>
      </c>
      <c r="AT280" t="s">
        <v>5838</v>
      </c>
      <c r="AU280">
        <v>4</v>
      </c>
      <c r="AV280">
        <v>0</v>
      </c>
      <c r="AW280">
        <v>54.34</v>
      </c>
      <c r="BA280" t="s">
        <v>329</v>
      </c>
      <c r="BB280" t="s">
        <v>1322</v>
      </c>
      <c r="BC280">
        <v>13992</v>
      </c>
      <c r="BG280" t="s">
        <v>5904</v>
      </c>
      <c r="BJ280" t="s">
        <v>6002</v>
      </c>
      <c r="BK280" t="s">
        <v>206</v>
      </c>
      <c r="BL280" t="s">
        <v>6056</v>
      </c>
    </row>
    <row r="281" spans="1:64">
      <c r="A281" s="1">
        <f>HYPERLINK("https://lsnyc.legalserver.org/matter/dynamic-profile/view/1909524","19-1909524")</f>
        <v>0</v>
      </c>
      <c r="B281" t="s">
        <v>65</v>
      </c>
      <c r="C281" t="s">
        <v>117</v>
      </c>
      <c r="D281" t="s">
        <v>200</v>
      </c>
      <c r="E281" t="s">
        <v>201</v>
      </c>
      <c r="G281" t="s">
        <v>202</v>
      </c>
      <c r="H281" t="s">
        <v>272</v>
      </c>
      <c r="I281" t="s">
        <v>202</v>
      </c>
      <c r="J281" t="s">
        <v>289</v>
      </c>
      <c r="K281" t="s">
        <v>292</v>
      </c>
      <c r="M281" t="s">
        <v>290</v>
      </c>
      <c r="N281" t="s">
        <v>202</v>
      </c>
      <c r="O281" t="s">
        <v>421</v>
      </c>
      <c r="P281" t="s">
        <v>427</v>
      </c>
      <c r="S281" t="s">
        <v>700</v>
      </c>
      <c r="T281" t="s">
        <v>1403</v>
      </c>
      <c r="U281" t="s">
        <v>230</v>
      </c>
      <c r="W281" t="s">
        <v>1876</v>
      </c>
      <c r="X281" t="s">
        <v>2138</v>
      </c>
      <c r="Y281" t="s">
        <v>2853</v>
      </c>
      <c r="Z281" t="s">
        <v>3098</v>
      </c>
      <c r="AA281" t="s">
        <v>3135</v>
      </c>
      <c r="AB281">
        <v>10457</v>
      </c>
      <c r="AC281" t="s">
        <v>3136</v>
      </c>
      <c r="AD281" t="s">
        <v>3399</v>
      </c>
      <c r="AE281">
        <v>20</v>
      </c>
      <c r="AG281" t="s">
        <v>4030</v>
      </c>
      <c r="AH281" t="s">
        <v>291</v>
      </c>
      <c r="AI281" t="s">
        <v>291</v>
      </c>
      <c r="AK281" t="s">
        <v>4040</v>
      </c>
      <c r="AL281" t="s">
        <v>4046</v>
      </c>
      <c r="AM281">
        <v>0</v>
      </c>
      <c r="AN281">
        <v>204</v>
      </c>
      <c r="AO281">
        <v>2.5</v>
      </c>
      <c r="AQ281" t="s">
        <v>4324</v>
      </c>
      <c r="AR281" t="s">
        <v>5227</v>
      </c>
      <c r="AS281">
        <v>73</v>
      </c>
      <c r="AT281" t="s">
        <v>5838</v>
      </c>
      <c r="AU281">
        <v>1</v>
      </c>
      <c r="AV281">
        <v>0</v>
      </c>
      <c r="AW281">
        <v>89.93000000000001</v>
      </c>
      <c r="BA281" t="s">
        <v>5850</v>
      </c>
      <c r="BB281" t="s">
        <v>1322</v>
      </c>
      <c r="BC281">
        <v>11232</v>
      </c>
      <c r="BG281" t="s">
        <v>5904</v>
      </c>
      <c r="BJ281" t="s">
        <v>5949</v>
      </c>
      <c r="BK281" t="s">
        <v>264</v>
      </c>
      <c r="BL281" t="s">
        <v>6056</v>
      </c>
    </row>
    <row r="282" spans="1:64">
      <c r="A282" s="1">
        <f>HYPERLINK("https://lsnyc.legalserver.org/matter/dynamic-profile/view/1906683","19-1906683")</f>
        <v>0</v>
      </c>
      <c r="B282" t="s">
        <v>65</v>
      </c>
      <c r="C282" t="s">
        <v>118</v>
      </c>
      <c r="D282" t="s">
        <v>200</v>
      </c>
      <c r="E282" t="s">
        <v>201</v>
      </c>
      <c r="G282" t="s">
        <v>270</v>
      </c>
      <c r="I282" t="s">
        <v>288</v>
      </c>
      <c r="J282" t="s">
        <v>290</v>
      </c>
      <c r="K282" t="s">
        <v>292</v>
      </c>
      <c r="M282" t="s">
        <v>290</v>
      </c>
      <c r="N282" t="s">
        <v>202</v>
      </c>
      <c r="O282" t="s">
        <v>421</v>
      </c>
      <c r="P282" t="s">
        <v>427</v>
      </c>
      <c r="S282" t="s">
        <v>701</v>
      </c>
      <c r="T282" t="s">
        <v>1404</v>
      </c>
      <c r="U282" t="s">
        <v>241</v>
      </c>
      <c r="W282" t="s">
        <v>1876</v>
      </c>
      <c r="X282" t="s">
        <v>2139</v>
      </c>
      <c r="Y282" t="s">
        <v>2907</v>
      </c>
      <c r="Z282" t="s">
        <v>3098</v>
      </c>
      <c r="AA282" t="s">
        <v>3135</v>
      </c>
      <c r="AB282">
        <v>10462</v>
      </c>
      <c r="AE282">
        <v>0</v>
      </c>
      <c r="AG282" t="s">
        <v>4031</v>
      </c>
      <c r="AH282" t="s">
        <v>291</v>
      </c>
      <c r="AK282" t="s">
        <v>4043</v>
      </c>
      <c r="AM282">
        <v>0</v>
      </c>
      <c r="AN282">
        <v>0</v>
      </c>
      <c r="AO282">
        <v>2</v>
      </c>
      <c r="AQ282" t="s">
        <v>4325</v>
      </c>
      <c r="AR282" t="s">
        <v>5228</v>
      </c>
      <c r="AS282">
        <v>0</v>
      </c>
      <c r="AU282">
        <v>2</v>
      </c>
      <c r="AV282">
        <v>0</v>
      </c>
      <c r="AW282">
        <v>165.42</v>
      </c>
      <c r="BB282" t="s">
        <v>1322</v>
      </c>
      <c r="BC282">
        <v>27972</v>
      </c>
      <c r="BG282" t="s">
        <v>5899</v>
      </c>
      <c r="BJ282" t="s">
        <v>5997</v>
      </c>
      <c r="BK282" t="s">
        <v>264</v>
      </c>
    </row>
    <row r="283" spans="1:64">
      <c r="A283" s="1">
        <f>HYPERLINK("https://lsnyc.legalserver.org/matter/dynamic-profile/view/1910205","19-1910205")</f>
        <v>0</v>
      </c>
      <c r="B283" t="s">
        <v>65</v>
      </c>
      <c r="C283" t="s">
        <v>113</v>
      </c>
      <c r="D283" t="s">
        <v>200</v>
      </c>
      <c r="E283" t="s">
        <v>201</v>
      </c>
      <c r="G283" t="s">
        <v>202</v>
      </c>
      <c r="H283" t="s">
        <v>272</v>
      </c>
      <c r="I283" t="s">
        <v>288</v>
      </c>
      <c r="J283" t="s">
        <v>290</v>
      </c>
      <c r="K283" t="s">
        <v>202</v>
      </c>
      <c r="L283" t="s">
        <v>337</v>
      </c>
      <c r="M283" t="s">
        <v>290</v>
      </c>
      <c r="N283" t="s">
        <v>202</v>
      </c>
      <c r="O283" t="s">
        <v>421</v>
      </c>
      <c r="P283" t="s">
        <v>427</v>
      </c>
      <c r="S283" t="s">
        <v>702</v>
      </c>
      <c r="T283" t="s">
        <v>1405</v>
      </c>
      <c r="U283" t="s">
        <v>259</v>
      </c>
      <c r="W283" t="s">
        <v>1876</v>
      </c>
      <c r="X283" t="s">
        <v>2112</v>
      </c>
      <c r="Y283" t="s">
        <v>2908</v>
      </c>
      <c r="Z283" t="s">
        <v>3098</v>
      </c>
      <c r="AA283" t="s">
        <v>3135</v>
      </c>
      <c r="AB283">
        <v>10457</v>
      </c>
      <c r="AC283" t="s">
        <v>3144</v>
      </c>
      <c r="AD283" t="s">
        <v>3400</v>
      </c>
      <c r="AE283">
        <v>1</v>
      </c>
      <c r="AG283" t="s">
        <v>4030</v>
      </c>
      <c r="AH283" t="s">
        <v>291</v>
      </c>
      <c r="AI283" t="s">
        <v>289</v>
      </c>
      <c r="AK283" t="s">
        <v>4040</v>
      </c>
      <c r="AL283" t="s">
        <v>4046</v>
      </c>
      <c r="AM283">
        <v>0</v>
      </c>
      <c r="AN283">
        <v>1550</v>
      </c>
      <c r="AO283">
        <v>0</v>
      </c>
      <c r="AQ283" t="s">
        <v>4326</v>
      </c>
      <c r="AR283" t="s">
        <v>5229</v>
      </c>
      <c r="AS283">
        <v>0</v>
      </c>
      <c r="AU283">
        <v>1</v>
      </c>
      <c r="AV283">
        <v>1</v>
      </c>
      <c r="AW283">
        <v>46.13</v>
      </c>
      <c r="AY283" t="s">
        <v>5849</v>
      </c>
      <c r="BA283" t="s">
        <v>5853</v>
      </c>
      <c r="BB283" t="s">
        <v>5859</v>
      </c>
      <c r="BC283">
        <v>7800</v>
      </c>
      <c r="BG283" t="s">
        <v>5905</v>
      </c>
      <c r="BJ283" t="s">
        <v>5951</v>
      </c>
      <c r="BL283" t="s">
        <v>6056</v>
      </c>
    </row>
    <row r="284" spans="1:64">
      <c r="A284" s="1">
        <f>HYPERLINK("https://lsnyc.legalserver.org/matter/dynamic-profile/view/1910382","19-1910382")</f>
        <v>0</v>
      </c>
      <c r="B284" t="s">
        <v>65</v>
      </c>
      <c r="C284" t="s">
        <v>119</v>
      </c>
      <c r="D284" t="s">
        <v>200</v>
      </c>
      <c r="E284" t="s">
        <v>201</v>
      </c>
      <c r="G284" t="s">
        <v>202</v>
      </c>
      <c r="H284" t="s">
        <v>272</v>
      </c>
      <c r="I284" t="s">
        <v>202</v>
      </c>
      <c r="J284" t="s">
        <v>289</v>
      </c>
      <c r="K284" t="s">
        <v>292</v>
      </c>
      <c r="M284" t="s">
        <v>290</v>
      </c>
      <c r="N284" t="s">
        <v>202</v>
      </c>
      <c r="O284" t="s">
        <v>421</v>
      </c>
      <c r="P284" t="s">
        <v>427</v>
      </c>
      <c r="S284" t="s">
        <v>703</v>
      </c>
      <c r="T284" t="s">
        <v>1406</v>
      </c>
      <c r="U284" t="s">
        <v>243</v>
      </c>
      <c r="W284" t="s">
        <v>1876</v>
      </c>
      <c r="X284" t="s">
        <v>2140</v>
      </c>
      <c r="Y284" t="s">
        <v>2844</v>
      </c>
      <c r="Z284" t="s">
        <v>3098</v>
      </c>
      <c r="AA284" t="s">
        <v>3135</v>
      </c>
      <c r="AB284">
        <v>10467</v>
      </c>
      <c r="AC284" t="s">
        <v>3139</v>
      </c>
      <c r="AD284" t="s">
        <v>3401</v>
      </c>
      <c r="AE284">
        <v>0</v>
      </c>
      <c r="AG284" t="s">
        <v>4030</v>
      </c>
      <c r="AH284" t="s">
        <v>291</v>
      </c>
      <c r="AI284" t="s">
        <v>291</v>
      </c>
      <c r="AK284" t="s">
        <v>4040</v>
      </c>
      <c r="AM284">
        <v>0</v>
      </c>
      <c r="AN284">
        <v>1300</v>
      </c>
      <c r="AO284">
        <v>0</v>
      </c>
      <c r="AQ284" t="s">
        <v>4327</v>
      </c>
      <c r="AR284" t="s">
        <v>5230</v>
      </c>
      <c r="AS284">
        <v>0</v>
      </c>
      <c r="AT284" t="s">
        <v>5836</v>
      </c>
      <c r="AU284">
        <v>1</v>
      </c>
      <c r="AV284">
        <v>1</v>
      </c>
      <c r="AW284">
        <v>46.98</v>
      </c>
      <c r="BA284" t="s">
        <v>329</v>
      </c>
      <c r="BB284" t="s">
        <v>5859</v>
      </c>
      <c r="BC284">
        <v>7944</v>
      </c>
      <c r="BG284" t="s">
        <v>5906</v>
      </c>
      <c r="BJ284" t="s">
        <v>5959</v>
      </c>
      <c r="BL284" t="s">
        <v>6056</v>
      </c>
    </row>
    <row r="285" spans="1:64">
      <c r="A285" s="1">
        <f>HYPERLINK("https://lsnyc.legalserver.org/matter/dynamic-profile/view/1908885","19-1908885")</f>
        <v>0</v>
      </c>
      <c r="B285" t="s">
        <v>65</v>
      </c>
      <c r="C285" t="s">
        <v>119</v>
      </c>
      <c r="D285" t="s">
        <v>200</v>
      </c>
      <c r="E285" t="s">
        <v>202</v>
      </c>
      <c r="F285" t="s">
        <v>238</v>
      </c>
      <c r="G285" t="s">
        <v>202</v>
      </c>
      <c r="H285" t="s">
        <v>271</v>
      </c>
      <c r="I285" t="s">
        <v>202</v>
      </c>
      <c r="J285" t="s">
        <v>289</v>
      </c>
      <c r="K285" t="s">
        <v>292</v>
      </c>
      <c r="M285" t="s">
        <v>290</v>
      </c>
      <c r="N285" t="s">
        <v>202</v>
      </c>
      <c r="O285" t="s">
        <v>421</v>
      </c>
      <c r="P285" t="s">
        <v>427</v>
      </c>
      <c r="S285" t="s">
        <v>704</v>
      </c>
      <c r="T285" t="s">
        <v>1407</v>
      </c>
      <c r="U285" t="s">
        <v>238</v>
      </c>
      <c r="W285" t="s">
        <v>1876</v>
      </c>
      <c r="X285" t="s">
        <v>2141</v>
      </c>
      <c r="Z285" t="s">
        <v>3098</v>
      </c>
      <c r="AA285" t="s">
        <v>3135</v>
      </c>
      <c r="AB285">
        <v>10453</v>
      </c>
      <c r="AD285" t="s">
        <v>3402</v>
      </c>
      <c r="AE285">
        <v>11</v>
      </c>
      <c r="AG285" t="s">
        <v>4031</v>
      </c>
      <c r="AH285" t="s">
        <v>291</v>
      </c>
      <c r="AI285" t="s">
        <v>291</v>
      </c>
      <c r="AK285" t="s">
        <v>4040</v>
      </c>
      <c r="AM285">
        <v>0</v>
      </c>
      <c r="AN285">
        <v>600</v>
      </c>
      <c r="AO285">
        <v>2.7</v>
      </c>
      <c r="AQ285" t="s">
        <v>4328</v>
      </c>
      <c r="AR285" t="s">
        <v>5231</v>
      </c>
      <c r="AS285">
        <v>0</v>
      </c>
      <c r="AT285" t="s">
        <v>5835</v>
      </c>
      <c r="AU285">
        <v>1</v>
      </c>
      <c r="AV285">
        <v>0</v>
      </c>
      <c r="AW285">
        <v>145.72</v>
      </c>
      <c r="BA285" t="s">
        <v>329</v>
      </c>
      <c r="BB285" t="s">
        <v>1322</v>
      </c>
      <c r="BC285">
        <v>18200</v>
      </c>
      <c r="BG285" t="s">
        <v>5898</v>
      </c>
      <c r="BJ285" t="s">
        <v>5949</v>
      </c>
      <c r="BK285" t="s">
        <v>264</v>
      </c>
      <c r="BL285" t="s">
        <v>6056</v>
      </c>
    </row>
    <row r="286" spans="1:64">
      <c r="A286" s="1">
        <f>HYPERLINK("https://lsnyc.legalserver.org/matter/dynamic-profile/view/1904775","19-1904775")</f>
        <v>0</v>
      </c>
      <c r="B286" t="s">
        <v>65</v>
      </c>
      <c r="C286" t="s">
        <v>105</v>
      </c>
      <c r="D286" t="s">
        <v>200</v>
      </c>
      <c r="E286" t="s">
        <v>201</v>
      </c>
      <c r="G286" t="s">
        <v>202</v>
      </c>
      <c r="H286" t="s">
        <v>271</v>
      </c>
      <c r="I286" t="s">
        <v>202</v>
      </c>
      <c r="J286" t="s">
        <v>289</v>
      </c>
      <c r="K286" t="s">
        <v>202</v>
      </c>
      <c r="L286" t="s">
        <v>338</v>
      </c>
      <c r="M286" t="s">
        <v>290</v>
      </c>
      <c r="N286" t="s">
        <v>202</v>
      </c>
      <c r="O286" t="s">
        <v>422</v>
      </c>
      <c r="P286" t="s">
        <v>427</v>
      </c>
      <c r="S286" t="s">
        <v>705</v>
      </c>
      <c r="T286" t="s">
        <v>1245</v>
      </c>
      <c r="U286" t="s">
        <v>211</v>
      </c>
      <c r="W286" t="s">
        <v>1876</v>
      </c>
      <c r="X286" t="s">
        <v>2142</v>
      </c>
      <c r="Y286" t="s">
        <v>2909</v>
      </c>
      <c r="Z286" t="s">
        <v>3098</v>
      </c>
      <c r="AA286" t="s">
        <v>3135</v>
      </c>
      <c r="AB286">
        <v>10460</v>
      </c>
      <c r="AC286" t="s">
        <v>3136</v>
      </c>
      <c r="AD286" t="s">
        <v>3403</v>
      </c>
      <c r="AE286">
        <v>0</v>
      </c>
      <c r="AG286" t="s">
        <v>4031</v>
      </c>
      <c r="AH286" t="s">
        <v>291</v>
      </c>
      <c r="AK286" t="s">
        <v>4040</v>
      </c>
      <c r="AL286" t="s">
        <v>4046</v>
      </c>
      <c r="AM286">
        <v>0</v>
      </c>
      <c r="AN286">
        <v>378</v>
      </c>
      <c r="AO286">
        <v>7.7</v>
      </c>
      <c r="AQ286" t="s">
        <v>4329</v>
      </c>
      <c r="AR286" t="s">
        <v>5232</v>
      </c>
      <c r="AS286">
        <v>0</v>
      </c>
      <c r="AT286" t="s">
        <v>5837</v>
      </c>
      <c r="AU286">
        <v>1</v>
      </c>
      <c r="AV286">
        <v>2</v>
      </c>
      <c r="AW286">
        <v>84.84</v>
      </c>
      <c r="BB286" t="s">
        <v>1322</v>
      </c>
      <c r="BC286">
        <v>18096</v>
      </c>
      <c r="BG286" t="s">
        <v>5902</v>
      </c>
      <c r="BJ286" t="s">
        <v>5949</v>
      </c>
      <c r="BK286" t="s">
        <v>219</v>
      </c>
      <c r="BL286" t="s">
        <v>6057</v>
      </c>
    </row>
    <row r="287" spans="1:64">
      <c r="A287" s="1">
        <f>HYPERLINK("https://lsnyc.legalserver.org/matter/dynamic-profile/view/1908474","19-1908474")</f>
        <v>0</v>
      </c>
      <c r="B287" t="s">
        <v>65</v>
      </c>
      <c r="C287" t="s">
        <v>105</v>
      </c>
      <c r="D287" t="s">
        <v>200</v>
      </c>
      <c r="E287" t="s">
        <v>201</v>
      </c>
      <c r="G287" t="s">
        <v>202</v>
      </c>
      <c r="H287" t="s">
        <v>272</v>
      </c>
      <c r="I287" t="s">
        <v>288</v>
      </c>
      <c r="J287" t="s">
        <v>290</v>
      </c>
      <c r="K287" t="s">
        <v>292</v>
      </c>
      <c r="M287" t="s">
        <v>290</v>
      </c>
      <c r="N287" t="s">
        <v>419</v>
      </c>
      <c r="P287" t="s">
        <v>427</v>
      </c>
      <c r="S287" t="s">
        <v>706</v>
      </c>
      <c r="T287" t="s">
        <v>1408</v>
      </c>
      <c r="U287" t="s">
        <v>237</v>
      </c>
      <c r="W287" t="s">
        <v>1876</v>
      </c>
      <c r="X287" t="s">
        <v>2143</v>
      </c>
      <c r="Y287" t="s">
        <v>2910</v>
      </c>
      <c r="Z287" t="s">
        <v>3098</v>
      </c>
      <c r="AA287" t="s">
        <v>3135</v>
      </c>
      <c r="AB287">
        <v>10462</v>
      </c>
      <c r="AD287" t="s">
        <v>3404</v>
      </c>
      <c r="AE287">
        <v>25</v>
      </c>
      <c r="AG287" t="s">
        <v>4030</v>
      </c>
      <c r="AH287" t="s">
        <v>291</v>
      </c>
      <c r="AK287" t="s">
        <v>4040</v>
      </c>
      <c r="AM287">
        <v>0</v>
      </c>
      <c r="AN287">
        <v>995</v>
      </c>
      <c r="AO287">
        <v>1</v>
      </c>
      <c r="AQ287" t="s">
        <v>4330</v>
      </c>
      <c r="AS287">
        <v>0</v>
      </c>
      <c r="AU287">
        <v>2</v>
      </c>
      <c r="AV287">
        <v>0</v>
      </c>
      <c r="AW287">
        <v>107.63</v>
      </c>
      <c r="BB287" t="s">
        <v>5859</v>
      </c>
      <c r="BC287">
        <v>18200</v>
      </c>
      <c r="BG287" t="s">
        <v>5898</v>
      </c>
      <c r="BJ287" t="s">
        <v>5949</v>
      </c>
      <c r="BK287" t="s">
        <v>238</v>
      </c>
    </row>
    <row r="288" spans="1:64">
      <c r="A288" s="1">
        <f>HYPERLINK("https://lsnyc.legalserver.org/matter/dynamic-profile/view/1909665","19-1909665")</f>
        <v>0</v>
      </c>
      <c r="B288" t="s">
        <v>65</v>
      </c>
      <c r="C288" t="s">
        <v>110</v>
      </c>
      <c r="D288" t="s">
        <v>200</v>
      </c>
      <c r="E288" t="s">
        <v>201</v>
      </c>
      <c r="G288" t="s">
        <v>202</v>
      </c>
      <c r="H288" t="s">
        <v>272</v>
      </c>
      <c r="I288" t="s">
        <v>202</v>
      </c>
      <c r="J288" t="s">
        <v>289</v>
      </c>
      <c r="K288" t="s">
        <v>292</v>
      </c>
      <c r="M288" t="s">
        <v>290</v>
      </c>
      <c r="N288" t="s">
        <v>419</v>
      </c>
      <c r="P288" t="s">
        <v>427</v>
      </c>
      <c r="S288" t="s">
        <v>707</v>
      </c>
      <c r="T288" t="s">
        <v>1409</v>
      </c>
      <c r="U288" t="s">
        <v>252</v>
      </c>
      <c r="W288" t="s">
        <v>1876</v>
      </c>
      <c r="X288" t="s">
        <v>2144</v>
      </c>
      <c r="Y288" t="s">
        <v>2865</v>
      </c>
      <c r="Z288" t="s">
        <v>3098</v>
      </c>
      <c r="AA288" t="s">
        <v>3135</v>
      </c>
      <c r="AB288">
        <v>10467</v>
      </c>
      <c r="AC288" t="s">
        <v>3136</v>
      </c>
      <c r="AD288" t="s">
        <v>3405</v>
      </c>
      <c r="AE288">
        <v>1</v>
      </c>
      <c r="AG288" t="s">
        <v>4030</v>
      </c>
      <c r="AH288" t="s">
        <v>291</v>
      </c>
      <c r="AI288" t="s">
        <v>291</v>
      </c>
      <c r="AK288" t="s">
        <v>4040</v>
      </c>
      <c r="AM288">
        <v>0</v>
      </c>
      <c r="AN288">
        <v>1421</v>
      </c>
      <c r="AO288">
        <v>0</v>
      </c>
      <c r="AQ288" t="s">
        <v>4331</v>
      </c>
      <c r="AR288" t="s">
        <v>5233</v>
      </c>
      <c r="AS288">
        <v>52</v>
      </c>
      <c r="AT288" t="s">
        <v>5838</v>
      </c>
      <c r="AU288">
        <v>1</v>
      </c>
      <c r="AV288">
        <v>2</v>
      </c>
      <c r="AW288">
        <v>124.86</v>
      </c>
      <c r="BA288" t="s">
        <v>329</v>
      </c>
      <c r="BB288" t="s">
        <v>1322</v>
      </c>
      <c r="BC288">
        <v>26632</v>
      </c>
      <c r="BG288" t="s">
        <v>138</v>
      </c>
      <c r="BJ288" t="s">
        <v>5949</v>
      </c>
      <c r="BL288" t="s">
        <v>6056</v>
      </c>
    </row>
    <row r="289" spans="1:64">
      <c r="A289" s="1">
        <f>HYPERLINK("https://lsnyc.legalserver.org/matter/dynamic-profile/view/1908520","19-1908520")</f>
        <v>0</v>
      </c>
      <c r="B289" t="s">
        <v>65</v>
      </c>
      <c r="C289" t="s">
        <v>110</v>
      </c>
      <c r="D289" t="s">
        <v>200</v>
      </c>
      <c r="E289" t="s">
        <v>201</v>
      </c>
      <c r="G289" t="s">
        <v>202</v>
      </c>
      <c r="H289" t="s">
        <v>272</v>
      </c>
      <c r="I289" t="s">
        <v>202</v>
      </c>
      <c r="J289" t="s">
        <v>289</v>
      </c>
      <c r="K289" t="s">
        <v>292</v>
      </c>
      <c r="M289" t="s">
        <v>290</v>
      </c>
      <c r="N289" t="s">
        <v>202</v>
      </c>
      <c r="O289" t="s">
        <v>421</v>
      </c>
      <c r="P289" t="s">
        <v>427</v>
      </c>
      <c r="S289" t="s">
        <v>538</v>
      </c>
      <c r="T289" t="s">
        <v>1217</v>
      </c>
      <c r="U289" t="s">
        <v>223</v>
      </c>
      <c r="W289" t="s">
        <v>1876</v>
      </c>
      <c r="X289" t="s">
        <v>2145</v>
      </c>
      <c r="Y289">
        <v>1</v>
      </c>
      <c r="Z289" t="s">
        <v>3098</v>
      </c>
      <c r="AA289" t="s">
        <v>3135</v>
      </c>
      <c r="AB289">
        <v>10462</v>
      </c>
      <c r="AC289" t="s">
        <v>3136</v>
      </c>
      <c r="AD289" t="s">
        <v>3406</v>
      </c>
      <c r="AE289">
        <v>1</v>
      </c>
      <c r="AG289" t="s">
        <v>4030</v>
      </c>
      <c r="AH289" t="s">
        <v>291</v>
      </c>
      <c r="AI289" t="s">
        <v>291</v>
      </c>
      <c r="AK289" t="s">
        <v>4040</v>
      </c>
      <c r="AM289">
        <v>0</v>
      </c>
      <c r="AN289">
        <v>1700</v>
      </c>
      <c r="AO289">
        <v>0</v>
      </c>
      <c r="AQ289" t="s">
        <v>4332</v>
      </c>
      <c r="AR289" t="s">
        <v>5234</v>
      </c>
      <c r="AS289">
        <v>3</v>
      </c>
      <c r="AU289">
        <v>2</v>
      </c>
      <c r="AV289">
        <v>1</v>
      </c>
      <c r="AW289">
        <v>140.65</v>
      </c>
      <c r="BA289" t="s">
        <v>329</v>
      </c>
      <c r="BB289" t="s">
        <v>1322</v>
      </c>
      <c r="BC289">
        <v>30000</v>
      </c>
      <c r="BG289" t="s">
        <v>138</v>
      </c>
      <c r="BJ289" t="s">
        <v>5949</v>
      </c>
      <c r="BL289" t="s">
        <v>6056</v>
      </c>
    </row>
    <row r="290" spans="1:64">
      <c r="A290" s="1">
        <f>HYPERLINK("https://lsnyc.legalserver.org/matter/dynamic-profile/view/1906903","19-1906903")</f>
        <v>0</v>
      </c>
      <c r="B290" t="s">
        <v>65</v>
      </c>
      <c r="C290" t="s">
        <v>120</v>
      </c>
      <c r="D290" t="s">
        <v>200</v>
      </c>
      <c r="E290" t="s">
        <v>202</v>
      </c>
      <c r="F290" t="s">
        <v>239</v>
      </c>
      <c r="G290" t="s">
        <v>202</v>
      </c>
      <c r="H290" t="s">
        <v>272</v>
      </c>
      <c r="I290" t="s">
        <v>202</v>
      </c>
      <c r="J290" t="s">
        <v>289</v>
      </c>
      <c r="K290" t="s">
        <v>292</v>
      </c>
      <c r="M290" t="s">
        <v>290</v>
      </c>
      <c r="N290" t="s">
        <v>202</v>
      </c>
      <c r="O290" t="s">
        <v>422</v>
      </c>
      <c r="P290" t="s">
        <v>428</v>
      </c>
      <c r="S290" t="s">
        <v>661</v>
      </c>
      <c r="T290" t="s">
        <v>1410</v>
      </c>
      <c r="U290" t="s">
        <v>239</v>
      </c>
      <c r="V290" t="s">
        <v>239</v>
      </c>
      <c r="W290" t="s">
        <v>1877</v>
      </c>
      <c r="X290" t="s">
        <v>2146</v>
      </c>
      <c r="Y290" t="s">
        <v>2911</v>
      </c>
      <c r="Z290" t="s">
        <v>3098</v>
      </c>
      <c r="AA290" t="s">
        <v>3135</v>
      </c>
      <c r="AB290">
        <v>10457</v>
      </c>
      <c r="AC290" t="s">
        <v>3143</v>
      </c>
      <c r="AD290" t="s">
        <v>3407</v>
      </c>
      <c r="AE290">
        <v>11</v>
      </c>
      <c r="AF290" t="s">
        <v>4023</v>
      </c>
      <c r="AG290" t="s">
        <v>4030</v>
      </c>
      <c r="AH290" t="s">
        <v>291</v>
      </c>
      <c r="AI290" t="s">
        <v>291</v>
      </c>
      <c r="AK290" t="s">
        <v>4040</v>
      </c>
      <c r="AL290" t="s">
        <v>4046</v>
      </c>
      <c r="AM290">
        <v>0</v>
      </c>
      <c r="AN290">
        <v>995</v>
      </c>
      <c r="AO290">
        <v>0.5</v>
      </c>
      <c r="AP290" t="s">
        <v>4052</v>
      </c>
      <c r="AQ290" t="s">
        <v>4333</v>
      </c>
      <c r="AR290" t="s">
        <v>5235</v>
      </c>
      <c r="AS290">
        <v>21</v>
      </c>
      <c r="AT290" t="s">
        <v>5838</v>
      </c>
      <c r="AU290">
        <v>1</v>
      </c>
      <c r="AV290">
        <v>0</v>
      </c>
      <c r="AW290">
        <v>82.43000000000001</v>
      </c>
      <c r="BA290" t="s">
        <v>5856</v>
      </c>
      <c r="BB290" t="s">
        <v>1322</v>
      </c>
      <c r="BC290">
        <v>10296</v>
      </c>
      <c r="BF290" t="s">
        <v>5877</v>
      </c>
      <c r="BG290" t="s">
        <v>140</v>
      </c>
      <c r="BJ290" t="s">
        <v>5959</v>
      </c>
      <c r="BK290" t="s">
        <v>240</v>
      </c>
      <c r="BL290" t="s">
        <v>6056</v>
      </c>
    </row>
    <row r="291" spans="1:64">
      <c r="A291" s="1">
        <f>HYPERLINK("https://lsnyc.legalserver.org/matter/dynamic-profile/view/1906907","19-1906907")</f>
        <v>0</v>
      </c>
      <c r="B291" t="s">
        <v>65</v>
      </c>
      <c r="C291" t="s">
        <v>120</v>
      </c>
      <c r="D291" t="s">
        <v>200</v>
      </c>
      <c r="E291" t="s">
        <v>202</v>
      </c>
      <c r="F291" t="s">
        <v>240</v>
      </c>
      <c r="G291" t="s">
        <v>202</v>
      </c>
      <c r="H291" t="s">
        <v>271</v>
      </c>
      <c r="I291" t="s">
        <v>202</v>
      </c>
      <c r="J291" t="s">
        <v>289</v>
      </c>
      <c r="K291" t="s">
        <v>292</v>
      </c>
      <c r="M291" t="s">
        <v>290</v>
      </c>
      <c r="N291" t="s">
        <v>202</v>
      </c>
      <c r="O291" t="s">
        <v>421</v>
      </c>
      <c r="P291" t="s">
        <v>202</v>
      </c>
      <c r="Q291" t="s">
        <v>430</v>
      </c>
      <c r="R291" t="s">
        <v>446</v>
      </c>
      <c r="S291" t="s">
        <v>708</v>
      </c>
      <c r="T291" t="s">
        <v>1227</v>
      </c>
      <c r="U291" t="s">
        <v>239</v>
      </c>
      <c r="V291" t="s">
        <v>266</v>
      </c>
      <c r="W291" t="s">
        <v>1877</v>
      </c>
      <c r="X291" t="s">
        <v>2147</v>
      </c>
      <c r="Y291" t="s">
        <v>2912</v>
      </c>
      <c r="Z291" t="s">
        <v>3098</v>
      </c>
      <c r="AA291" t="s">
        <v>3135</v>
      </c>
      <c r="AB291">
        <v>10457</v>
      </c>
      <c r="AC291" t="s">
        <v>3143</v>
      </c>
      <c r="AD291" t="s">
        <v>3408</v>
      </c>
      <c r="AE291">
        <v>9</v>
      </c>
      <c r="AF291" t="s">
        <v>4025</v>
      </c>
      <c r="AG291" t="s">
        <v>4030</v>
      </c>
      <c r="AH291" t="s">
        <v>291</v>
      </c>
      <c r="AI291" t="s">
        <v>291</v>
      </c>
      <c r="AK291" t="s">
        <v>4040</v>
      </c>
      <c r="AL291" t="s">
        <v>4046</v>
      </c>
      <c r="AM291">
        <v>0</v>
      </c>
      <c r="AN291">
        <v>1130</v>
      </c>
      <c r="AO291">
        <v>0.8</v>
      </c>
      <c r="AP291" t="s">
        <v>4054</v>
      </c>
      <c r="AQ291" t="s">
        <v>4334</v>
      </c>
      <c r="AR291" t="s">
        <v>5236</v>
      </c>
      <c r="AS291">
        <v>90</v>
      </c>
      <c r="AT291" t="s">
        <v>5838</v>
      </c>
      <c r="AU291">
        <v>1</v>
      </c>
      <c r="AV291">
        <v>2</v>
      </c>
      <c r="AW291">
        <v>230.66</v>
      </c>
      <c r="AX291" t="s">
        <v>228</v>
      </c>
      <c r="AY291" t="s">
        <v>5849</v>
      </c>
      <c r="BA291" t="s">
        <v>329</v>
      </c>
      <c r="BB291" t="s">
        <v>5859</v>
      </c>
      <c r="BC291">
        <v>49200</v>
      </c>
      <c r="BG291" t="s">
        <v>140</v>
      </c>
      <c r="BI291" t="s">
        <v>3143</v>
      </c>
      <c r="BJ291" t="s">
        <v>5949</v>
      </c>
      <c r="BK291" t="s">
        <v>240</v>
      </c>
      <c r="BL291" t="s">
        <v>6056</v>
      </c>
    </row>
    <row r="292" spans="1:64">
      <c r="A292" s="1">
        <f>HYPERLINK("https://lsnyc.legalserver.org/matter/dynamic-profile/view/1908833","19-1908833")</f>
        <v>0</v>
      </c>
      <c r="B292" t="s">
        <v>65</v>
      </c>
      <c r="C292" t="s">
        <v>121</v>
      </c>
      <c r="D292" t="s">
        <v>200</v>
      </c>
      <c r="E292" t="s">
        <v>202</v>
      </c>
      <c r="F292" t="s">
        <v>219</v>
      </c>
      <c r="G292" t="s">
        <v>202</v>
      </c>
      <c r="H292" t="s">
        <v>272</v>
      </c>
      <c r="I292" t="s">
        <v>202</v>
      </c>
      <c r="J292" t="s">
        <v>289</v>
      </c>
      <c r="K292" t="s">
        <v>202</v>
      </c>
      <c r="L292">
        <v>37673841</v>
      </c>
      <c r="M292" t="s">
        <v>290</v>
      </c>
      <c r="N292" t="s">
        <v>202</v>
      </c>
      <c r="O292" t="s">
        <v>422</v>
      </c>
      <c r="P292" t="s">
        <v>428</v>
      </c>
      <c r="S292" t="s">
        <v>709</v>
      </c>
      <c r="T292" t="s">
        <v>1411</v>
      </c>
      <c r="U292" t="s">
        <v>219</v>
      </c>
      <c r="V292" t="s">
        <v>228</v>
      </c>
      <c r="W292" t="s">
        <v>1877</v>
      </c>
      <c r="X292" t="s">
        <v>2148</v>
      </c>
      <c r="Y292" t="s">
        <v>2815</v>
      </c>
      <c r="Z292" t="s">
        <v>3098</v>
      </c>
      <c r="AA292" t="s">
        <v>3135</v>
      </c>
      <c r="AB292">
        <v>10455</v>
      </c>
      <c r="AC292" t="s">
        <v>3136</v>
      </c>
      <c r="AD292" t="s">
        <v>3409</v>
      </c>
      <c r="AE292">
        <v>3</v>
      </c>
      <c r="AF292" t="s">
        <v>4023</v>
      </c>
      <c r="AG292" t="s">
        <v>4031</v>
      </c>
      <c r="AH292" t="s">
        <v>291</v>
      </c>
      <c r="AI292" t="s">
        <v>291</v>
      </c>
      <c r="AK292" t="s">
        <v>4040</v>
      </c>
      <c r="AL292" t="s">
        <v>4047</v>
      </c>
      <c r="AM292">
        <v>0</v>
      </c>
      <c r="AN292">
        <v>1322</v>
      </c>
      <c r="AO292">
        <v>0.5</v>
      </c>
      <c r="AP292" t="s">
        <v>4052</v>
      </c>
      <c r="AQ292" t="s">
        <v>4335</v>
      </c>
      <c r="AS292">
        <v>8</v>
      </c>
      <c r="AT292" t="s">
        <v>5835</v>
      </c>
      <c r="AU292">
        <v>1</v>
      </c>
      <c r="AV292">
        <v>1</v>
      </c>
      <c r="AW292">
        <v>86.09999999999999</v>
      </c>
      <c r="BA292" t="s">
        <v>329</v>
      </c>
      <c r="BB292" t="s">
        <v>1322</v>
      </c>
      <c r="BC292">
        <v>14560</v>
      </c>
      <c r="BG292" t="s">
        <v>140</v>
      </c>
      <c r="BJ292" t="s">
        <v>5949</v>
      </c>
      <c r="BK292" t="s">
        <v>228</v>
      </c>
      <c r="BL292" t="s">
        <v>6056</v>
      </c>
    </row>
    <row r="293" spans="1:64">
      <c r="A293" s="1">
        <f>HYPERLINK("https://lsnyc.legalserver.org/matter/dynamic-profile/view/1910254","19-1910254")</f>
        <v>0</v>
      </c>
      <c r="B293" t="s">
        <v>65</v>
      </c>
      <c r="C293" t="s">
        <v>121</v>
      </c>
      <c r="D293" t="s">
        <v>200</v>
      </c>
      <c r="E293" t="s">
        <v>201</v>
      </c>
      <c r="G293" t="s">
        <v>202</v>
      </c>
      <c r="H293" t="s">
        <v>271</v>
      </c>
      <c r="I293" t="s">
        <v>202</v>
      </c>
      <c r="J293" t="s">
        <v>289</v>
      </c>
      <c r="K293" t="s">
        <v>292</v>
      </c>
      <c r="M293" t="s">
        <v>290</v>
      </c>
      <c r="N293" t="s">
        <v>202</v>
      </c>
      <c r="O293" t="s">
        <v>422</v>
      </c>
      <c r="P293" t="s">
        <v>427</v>
      </c>
      <c r="S293" t="s">
        <v>710</v>
      </c>
      <c r="T293" t="s">
        <v>1412</v>
      </c>
      <c r="U293" t="s">
        <v>259</v>
      </c>
      <c r="W293" t="s">
        <v>1876</v>
      </c>
      <c r="X293" t="s">
        <v>2149</v>
      </c>
      <c r="Y293" t="s">
        <v>2824</v>
      </c>
      <c r="Z293" t="s">
        <v>3098</v>
      </c>
      <c r="AA293" t="s">
        <v>3135</v>
      </c>
      <c r="AB293">
        <v>10455</v>
      </c>
      <c r="AC293" t="s">
        <v>3139</v>
      </c>
      <c r="AD293" t="s">
        <v>3410</v>
      </c>
      <c r="AE293">
        <v>9</v>
      </c>
      <c r="AG293" t="s">
        <v>4031</v>
      </c>
      <c r="AH293" t="s">
        <v>291</v>
      </c>
      <c r="AI293" t="s">
        <v>291</v>
      </c>
      <c r="AK293" t="s">
        <v>4040</v>
      </c>
      <c r="AM293">
        <v>0</v>
      </c>
      <c r="AN293">
        <v>0</v>
      </c>
      <c r="AO293">
        <v>0</v>
      </c>
      <c r="AQ293" t="s">
        <v>4336</v>
      </c>
      <c r="AR293" t="s">
        <v>5237</v>
      </c>
      <c r="AS293">
        <v>2</v>
      </c>
      <c r="AT293" t="s">
        <v>5835</v>
      </c>
      <c r="AU293">
        <v>1</v>
      </c>
      <c r="AV293">
        <v>3</v>
      </c>
      <c r="AW293">
        <v>60.58</v>
      </c>
      <c r="BB293" t="s">
        <v>1322</v>
      </c>
      <c r="BC293">
        <v>15600</v>
      </c>
      <c r="BG293" t="s">
        <v>140</v>
      </c>
      <c r="BJ293" t="s">
        <v>5949</v>
      </c>
      <c r="BL293" t="s">
        <v>6056</v>
      </c>
    </row>
    <row r="294" spans="1:64">
      <c r="A294" s="1">
        <f>HYPERLINK("https://lsnyc.legalserver.org/matter/dynamic-profile/view/1907549","19-1907549")</f>
        <v>0</v>
      </c>
      <c r="B294" t="s">
        <v>65</v>
      </c>
      <c r="C294" t="s">
        <v>112</v>
      </c>
      <c r="D294" t="s">
        <v>200</v>
      </c>
      <c r="E294" t="s">
        <v>201</v>
      </c>
      <c r="G294" t="s">
        <v>202</v>
      </c>
      <c r="H294" t="s">
        <v>271</v>
      </c>
      <c r="I294" t="s">
        <v>202</v>
      </c>
      <c r="J294" t="s">
        <v>289</v>
      </c>
      <c r="K294" t="s">
        <v>292</v>
      </c>
      <c r="M294" t="s">
        <v>290</v>
      </c>
      <c r="N294" t="s">
        <v>202</v>
      </c>
      <c r="O294" t="s">
        <v>421</v>
      </c>
      <c r="P294" t="s">
        <v>427</v>
      </c>
      <c r="S294" t="s">
        <v>652</v>
      </c>
      <c r="T294" t="s">
        <v>1413</v>
      </c>
      <c r="U294" t="s">
        <v>254</v>
      </c>
      <c r="W294" t="s">
        <v>1876</v>
      </c>
      <c r="X294" t="s">
        <v>2150</v>
      </c>
      <c r="Y294">
        <v>1</v>
      </c>
      <c r="Z294" t="s">
        <v>3098</v>
      </c>
      <c r="AA294" t="s">
        <v>3135</v>
      </c>
      <c r="AB294">
        <v>10461</v>
      </c>
      <c r="AC294" t="s">
        <v>3140</v>
      </c>
      <c r="AD294" t="s">
        <v>3411</v>
      </c>
      <c r="AE294">
        <v>8</v>
      </c>
      <c r="AG294" t="s">
        <v>4031</v>
      </c>
      <c r="AH294" t="s">
        <v>291</v>
      </c>
      <c r="AI294" t="s">
        <v>291</v>
      </c>
      <c r="AK294" t="s">
        <v>4040</v>
      </c>
      <c r="AM294">
        <v>0</v>
      </c>
      <c r="AN294">
        <v>1275</v>
      </c>
      <c r="AO294">
        <v>5</v>
      </c>
      <c r="AQ294" t="s">
        <v>4337</v>
      </c>
      <c r="AR294" t="s">
        <v>5238</v>
      </c>
      <c r="AS294">
        <v>2</v>
      </c>
      <c r="AT294" t="s">
        <v>5835</v>
      </c>
      <c r="AU294">
        <v>1</v>
      </c>
      <c r="AV294">
        <v>0</v>
      </c>
      <c r="AW294">
        <v>81.18000000000001</v>
      </c>
      <c r="BA294" t="s">
        <v>329</v>
      </c>
      <c r="BB294" t="s">
        <v>1322</v>
      </c>
      <c r="BC294">
        <v>10140</v>
      </c>
      <c r="BG294" t="s">
        <v>5901</v>
      </c>
      <c r="BJ294" t="s">
        <v>5950</v>
      </c>
      <c r="BK294" t="s">
        <v>259</v>
      </c>
      <c r="BL294" t="s">
        <v>6056</v>
      </c>
    </row>
    <row r="295" spans="1:64">
      <c r="A295" s="1">
        <f>HYPERLINK("https://lsnyc.legalserver.org/matter/dynamic-profile/view/1907265","19-1907265")</f>
        <v>0</v>
      </c>
      <c r="B295" t="s">
        <v>65</v>
      </c>
      <c r="C295" t="s">
        <v>122</v>
      </c>
      <c r="D295" t="s">
        <v>200</v>
      </c>
      <c r="E295" t="s">
        <v>201</v>
      </c>
      <c r="G295" t="s">
        <v>202</v>
      </c>
      <c r="H295" t="s">
        <v>272</v>
      </c>
      <c r="I295" t="s">
        <v>288</v>
      </c>
      <c r="J295" t="s">
        <v>290</v>
      </c>
      <c r="K295" t="s">
        <v>292</v>
      </c>
      <c r="M295" t="s">
        <v>290</v>
      </c>
      <c r="N295" t="s">
        <v>419</v>
      </c>
      <c r="P295" t="s">
        <v>427</v>
      </c>
      <c r="S295" t="s">
        <v>553</v>
      </c>
      <c r="T295" t="s">
        <v>1393</v>
      </c>
      <c r="U295" t="s">
        <v>235</v>
      </c>
      <c r="W295" t="s">
        <v>1876</v>
      </c>
      <c r="X295" t="s">
        <v>2151</v>
      </c>
      <c r="Y295" t="s">
        <v>2809</v>
      </c>
      <c r="Z295" t="s">
        <v>3098</v>
      </c>
      <c r="AA295" t="s">
        <v>3135</v>
      </c>
      <c r="AB295">
        <v>10462</v>
      </c>
      <c r="AC295" t="s">
        <v>3136</v>
      </c>
      <c r="AD295" t="s">
        <v>3412</v>
      </c>
      <c r="AE295">
        <v>20</v>
      </c>
      <c r="AG295" t="s">
        <v>4031</v>
      </c>
      <c r="AH295" t="s">
        <v>291</v>
      </c>
      <c r="AI295" t="s">
        <v>291</v>
      </c>
      <c r="AJ295" t="s">
        <v>4039</v>
      </c>
      <c r="AK295" t="s">
        <v>4044</v>
      </c>
      <c r="AM295">
        <v>0</v>
      </c>
      <c r="AN295">
        <v>1067</v>
      </c>
      <c r="AO295">
        <v>0</v>
      </c>
      <c r="AQ295" t="s">
        <v>4338</v>
      </c>
      <c r="AR295" t="s">
        <v>5239</v>
      </c>
      <c r="AS295">
        <v>81</v>
      </c>
      <c r="AT295" t="s">
        <v>5838</v>
      </c>
      <c r="AU295">
        <v>2</v>
      </c>
      <c r="AV295">
        <v>2</v>
      </c>
      <c r="AW295">
        <v>237.67</v>
      </c>
      <c r="BB295" t="s">
        <v>1322</v>
      </c>
      <c r="BC295">
        <v>61200</v>
      </c>
      <c r="BG295" t="s">
        <v>5898</v>
      </c>
      <c r="BJ295" t="s">
        <v>5949</v>
      </c>
    </row>
    <row r="296" spans="1:64">
      <c r="A296" s="1">
        <f>HYPERLINK("https://lsnyc.legalserver.org/matter/dynamic-profile/view/1904776","19-1904776")</f>
        <v>0</v>
      </c>
      <c r="B296" t="s">
        <v>65</v>
      </c>
      <c r="C296" t="s">
        <v>122</v>
      </c>
      <c r="D296" t="s">
        <v>200</v>
      </c>
      <c r="E296" t="s">
        <v>202</v>
      </c>
      <c r="F296" t="s">
        <v>211</v>
      </c>
      <c r="G296" t="s">
        <v>202</v>
      </c>
      <c r="H296" t="s">
        <v>272</v>
      </c>
      <c r="I296" t="s">
        <v>202</v>
      </c>
      <c r="J296" t="s">
        <v>289</v>
      </c>
      <c r="K296" t="s">
        <v>292</v>
      </c>
      <c r="M296" t="s">
        <v>290</v>
      </c>
      <c r="N296" t="s">
        <v>202</v>
      </c>
      <c r="O296" t="s">
        <v>421</v>
      </c>
      <c r="P296" t="s">
        <v>427</v>
      </c>
      <c r="S296" t="s">
        <v>711</v>
      </c>
      <c r="T296" t="s">
        <v>1233</v>
      </c>
      <c r="U296" t="s">
        <v>211</v>
      </c>
      <c r="W296" t="s">
        <v>1876</v>
      </c>
      <c r="X296" t="s">
        <v>2152</v>
      </c>
      <c r="Y296" t="s">
        <v>2830</v>
      </c>
      <c r="Z296" t="s">
        <v>3098</v>
      </c>
      <c r="AA296" t="s">
        <v>3135</v>
      </c>
      <c r="AB296">
        <v>10460</v>
      </c>
      <c r="AC296" t="s">
        <v>3140</v>
      </c>
      <c r="AD296" t="s">
        <v>3413</v>
      </c>
      <c r="AE296">
        <v>5</v>
      </c>
      <c r="AG296" t="s">
        <v>4031</v>
      </c>
      <c r="AH296" t="s">
        <v>291</v>
      </c>
      <c r="AI296" t="s">
        <v>291</v>
      </c>
      <c r="AK296" t="s">
        <v>4040</v>
      </c>
      <c r="AL296" t="s">
        <v>4047</v>
      </c>
      <c r="AM296">
        <v>0</v>
      </c>
      <c r="AN296">
        <v>908</v>
      </c>
      <c r="AO296">
        <v>11.75</v>
      </c>
      <c r="AQ296" t="s">
        <v>4339</v>
      </c>
      <c r="AR296" t="s">
        <v>5240</v>
      </c>
      <c r="AS296">
        <v>84</v>
      </c>
      <c r="AT296" t="s">
        <v>5838</v>
      </c>
      <c r="AU296">
        <v>1</v>
      </c>
      <c r="AV296">
        <v>0</v>
      </c>
      <c r="AW296">
        <v>186.1</v>
      </c>
      <c r="BA296" t="s">
        <v>5850</v>
      </c>
      <c r="BB296" t="s">
        <v>1322</v>
      </c>
      <c r="BC296">
        <v>23244</v>
      </c>
      <c r="BG296" t="s">
        <v>5904</v>
      </c>
      <c r="BJ296" t="s">
        <v>5946</v>
      </c>
      <c r="BK296" t="s">
        <v>222</v>
      </c>
      <c r="BL296" t="s">
        <v>6056</v>
      </c>
    </row>
    <row r="297" spans="1:64">
      <c r="A297" s="1">
        <f>HYPERLINK("https://lsnyc.legalserver.org/matter/dynamic-profile/view/1903916","19-1903916")</f>
        <v>0</v>
      </c>
      <c r="B297" t="s">
        <v>65</v>
      </c>
      <c r="C297" t="s">
        <v>122</v>
      </c>
      <c r="D297" t="s">
        <v>200</v>
      </c>
      <c r="E297" t="s">
        <v>202</v>
      </c>
      <c r="F297" t="s">
        <v>204</v>
      </c>
      <c r="G297" t="s">
        <v>202</v>
      </c>
      <c r="H297" t="s">
        <v>272</v>
      </c>
      <c r="I297" t="s">
        <v>202</v>
      </c>
      <c r="J297" t="s">
        <v>289</v>
      </c>
      <c r="K297" t="s">
        <v>292</v>
      </c>
      <c r="M297" t="s">
        <v>290</v>
      </c>
      <c r="N297" t="s">
        <v>202</v>
      </c>
      <c r="O297" t="s">
        <v>421</v>
      </c>
      <c r="P297" t="s">
        <v>427</v>
      </c>
      <c r="S297" t="s">
        <v>712</v>
      </c>
      <c r="T297" t="s">
        <v>1414</v>
      </c>
      <c r="U297" t="s">
        <v>229</v>
      </c>
      <c r="W297" t="s">
        <v>1876</v>
      </c>
      <c r="X297" t="s">
        <v>2153</v>
      </c>
      <c r="Y297" t="s">
        <v>2913</v>
      </c>
      <c r="Z297" t="s">
        <v>3098</v>
      </c>
      <c r="AA297" t="s">
        <v>3135</v>
      </c>
      <c r="AB297">
        <v>10457</v>
      </c>
      <c r="AC297" t="s">
        <v>3136</v>
      </c>
      <c r="AD297" t="s">
        <v>3414</v>
      </c>
      <c r="AE297">
        <v>18</v>
      </c>
      <c r="AG297" t="s">
        <v>4030</v>
      </c>
      <c r="AH297" t="s">
        <v>291</v>
      </c>
      <c r="AI297" t="s">
        <v>291</v>
      </c>
      <c r="AK297" t="s">
        <v>4040</v>
      </c>
      <c r="AL297" t="s">
        <v>4046</v>
      </c>
      <c r="AM297">
        <v>0</v>
      </c>
      <c r="AN297">
        <v>1621</v>
      </c>
      <c r="AO297">
        <v>5.4</v>
      </c>
      <c r="AQ297" t="s">
        <v>4340</v>
      </c>
      <c r="AR297" t="s">
        <v>5241</v>
      </c>
      <c r="AS297">
        <v>120</v>
      </c>
      <c r="AT297" t="s">
        <v>5838</v>
      </c>
      <c r="AU297">
        <v>3</v>
      </c>
      <c r="AV297">
        <v>1</v>
      </c>
      <c r="AW297">
        <v>7.67</v>
      </c>
      <c r="BA297" t="s">
        <v>329</v>
      </c>
      <c r="BB297" t="s">
        <v>1322</v>
      </c>
      <c r="BC297">
        <v>1976</v>
      </c>
      <c r="BG297" t="s">
        <v>140</v>
      </c>
      <c r="BJ297" t="s">
        <v>5948</v>
      </c>
      <c r="BK297" t="s">
        <v>267</v>
      </c>
      <c r="BL297" t="s">
        <v>6056</v>
      </c>
    </row>
    <row r="298" spans="1:64">
      <c r="A298" s="1">
        <f>HYPERLINK("https://lsnyc.legalserver.org/matter/dynamic-profile/view/1904816","19-1904816")</f>
        <v>0</v>
      </c>
      <c r="B298" t="s">
        <v>65</v>
      </c>
      <c r="C298" t="s">
        <v>122</v>
      </c>
      <c r="D298" t="s">
        <v>200</v>
      </c>
      <c r="E298" t="s">
        <v>202</v>
      </c>
      <c r="F298" t="s">
        <v>211</v>
      </c>
      <c r="G298" t="s">
        <v>202</v>
      </c>
      <c r="H298" t="s">
        <v>272</v>
      </c>
      <c r="I298" t="s">
        <v>202</v>
      </c>
      <c r="J298" t="s">
        <v>289</v>
      </c>
      <c r="K298" t="s">
        <v>202</v>
      </c>
      <c r="L298">
        <v>37661359</v>
      </c>
      <c r="M298" t="s">
        <v>290</v>
      </c>
      <c r="N298" t="s">
        <v>202</v>
      </c>
      <c r="O298" t="s">
        <v>422</v>
      </c>
      <c r="P298" t="s">
        <v>428</v>
      </c>
      <c r="S298" t="s">
        <v>713</v>
      </c>
      <c r="T298" t="s">
        <v>1415</v>
      </c>
      <c r="U298" t="s">
        <v>211</v>
      </c>
      <c r="V298" t="s">
        <v>232</v>
      </c>
      <c r="W298" t="s">
        <v>1877</v>
      </c>
      <c r="X298" t="s">
        <v>2154</v>
      </c>
      <c r="Z298" t="s">
        <v>3098</v>
      </c>
      <c r="AA298" t="s">
        <v>3135</v>
      </c>
      <c r="AB298">
        <v>10453</v>
      </c>
      <c r="AC298" t="s">
        <v>3138</v>
      </c>
      <c r="AD298" t="s">
        <v>3415</v>
      </c>
      <c r="AE298">
        <v>3</v>
      </c>
      <c r="AF298" t="s">
        <v>4023</v>
      </c>
      <c r="AG298" t="s">
        <v>4031</v>
      </c>
      <c r="AH298" t="s">
        <v>291</v>
      </c>
      <c r="AI298" t="s">
        <v>291</v>
      </c>
      <c r="AK298" t="s">
        <v>4040</v>
      </c>
      <c r="AL298" t="s">
        <v>4050</v>
      </c>
      <c r="AM298">
        <v>0</v>
      </c>
      <c r="AN298">
        <v>840</v>
      </c>
      <c r="AO298">
        <v>2.4</v>
      </c>
      <c r="AP298" t="s">
        <v>4052</v>
      </c>
      <c r="AQ298" t="s">
        <v>4341</v>
      </c>
      <c r="AR298" t="s">
        <v>5242</v>
      </c>
      <c r="AS298">
        <v>61</v>
      </c>
      <c r="AT298" t="s">
        <v>5838</v>
      </c>
      <c r="AU298">
        <v>1</v>
      </c>
      <c r="AV298">
        <v>0</v>
      </c>
      <c r="AW298">
        <v>0</v>
      </c>
      <c r="BA298" t="s">
        <v>329</v>
      </c>
      <c r="BB298" t="s">
        <v>1322</v>
      </c>
      <c r="BC298">
        <v>0</v>
      </c>
      <c r="BG298" t="s">
        <v>5900</v>
      </c>
      <c r="BJ298" t="s">
        <v>5965</v>
      </c>
      <c r="BK298" t="s">
        <v>242</v>
      </c>
      <c r="BL298" t="s">
        <v>6056</v>
      </c>
    </row>
    <row r="299" spans="1:64">
      <c r="A299" s="1">
        <f>HYPERLINK("https://lsnyc.legalserver.org/matter/dynamic-profile/view/1906657","19-1906657")</f>
        <v>0</v>
      </c>
      <c r="B299" t="s">
        <v>65</v>
      </c>
      <c r="C299" t="s">
        <v>122</v>
      </c>
      <c r="D299" t="s">
        <v>200</v>
      </c>
      <c r="E299" t="s">
        <v>202</v>
      </c>
      <c r="F299" t="s">
        <v>241</v>
      </c>
      <c r="G299" t="s">
        <v>202</v>
      </c>
      <c r="H299" t="s">
        <v>271</v>
      </c>
      <c r="I299" t="s">
        <v>202</v>
      </c>
      <c r="J299" t="s">
        <v>289</v>
      </c>
      <c r="K299" t="s">
        <v>292</v>
      </c>
      <c r="M299" t="s">
        <v>290</v>
      </c>
      <c r="N299" t="s">
        <v>202</v>
      </c>
      <c r="O299" t="s">
        <v>421</v>
      </c>
      <c r="P299" t="s">
        <v>202</v>
      </c>
      <c r="Q299" t="s">
        <v>430</v>
      </c>
      <c r="R299" t="s">
        <v>447</v>
      </c>
      <c r="S299" t="s">
        <v>537</v>
      </c>
      <c r="T299" t="s">
        <v>1311</v>
      </c>
      <c r="U299" t="s">
        <v>241</v>
      </c>
      <c r="W299" t="s">
        <v>1876</v>
      </c>
      <c r="X299" t="s">
        <v>2155</v>
      </c>
      <c r="Y299" t="s">
        <v>2914</v>
      </c>
      <c r="Z299" t="s">
        <v>3098</v>
      </c>
      <c r="AA299" t="s">
        <v>3135</v>
      </c>
      <c r="AB299">
        <v>10467</v>
      </c>
      <c r="AC299" t="s">
        <v>3136</v>
      </c>
      <c r="AD299" t="s">
        <v>3416</v>
      </c>
      <c r="AE299">
        <v>8</v>
      </c>
      <c r="AG299" t="s">
        <v>4030</v>
      </c>
      <c r="AH299" t="s">
        <v>291</v>
      </c>
      <c r="AI299" t="s">
        <v>291</v>
      </c>
      <c r="AK299" t="s">
        <v>4040</v>
      </c>
      <c r="AL299" t="s">
        <v>4046</v>
      </c>
      <c r="AM299">
        <v>0</v>
      </c>
      <c r="AN299">
        <v>1350</v>
      </c>
      <c r="AO299">
        <v>3</v>
      </c>
      <c r="AQ299" t="s">
        <v>4342</v>
      </c>
      <c r="AR299" t="s">
        <v>5243</v>
      </c>
      <c r="AS299">
        <v>4</v>
      </c>
      <c r="AT299" t="s">
        <v>5835</v>
      </c>
      <c r="AU299">
        <v>1</v>
      </c>
      <c r="AV299">
        <v>3</v>
      </c>
      <c r="AW299">
        <v>0</v>
      </c>
      <c r="BB299" t="s">
        <v>5859</v>
      </c>
      <c r="BC299">
        <v>0</v>
      </c>
      <c r="BG299" t="s">
        <v>5898</v>
      </c>
      <c r="BI299" t="s">
        <v>5933</v>
      </c>
      <c r="BJ299" t="s">
        <v>5965</v>
      </c>
      <c r="BK299" t="s">
        <v>263</v>
      </c>
      <c r="BL299" t="s">
        <v>6056</v>
      </c>
    </row>
    <row r="300" spans="1:64">
      <c r="A300" s="1">
        <f>HYPERLINK("https://lsnyc.legalserver.org/matter/dynamic-profile/view/1907107","19-1907107")</f>
        <v>0</v>
      </c>
      <c r="B300" t="s">
        <v>65</v>
      </c>
      <c r="C300" t="s">
        <v>122</v>
      </c>
      <c r="D300" t="s">
        <v>200</v>
      </c>
      <c r="E300" t="s">
        <v>201</v>
      </c>
      <c r="G300" t="s">
        <v>202</v>
      </c>
      <c r="H300" t="s">
        <v>271</v>
      </c>
      <c r="I300" t="s">
        <v>202</v>
      </c>
      <c r="J300" t="s">
        <v>289</v>
      </c>
      <c r="K300" t="s">
        <v>292</v>
      </c>
      <c r="M300" t="s">
        <v>290</v>
      </c>
      <c r="N300" t="s">
        <v>202</v>
      </c>
      <c r="O300" t="s">
        <v>421</v>
      </c>
      <c r="P300" t="s">
        <v>427</v>
      </c>
      <c r="S300" t="s">
        <v>714</v>
      </c>
      <c r="T300" t="s">
        <v>1217</v>
      </c>
      <c r="U300" t="s">
        <v>226</v>
      </c>
      <c r="W300" t="s">
        <v>1876</v>
      </c>
      <c r="X300" t="s">
        <v>2156</v>
      </c>
      <c r="Y300" t="s">
        <v>2915</v>
      </c>
      <c r="Z300" t="s">
        <v>3098</v>
      </c>
      <c r="AA300" t="s">
        <v>3135</v>
      </c>
      <c r="AB300">
        <v>10453</v>
      </c>
      <c r="AC300" t="s">
        <v>3141</v>
      </c>
      <c r="AD300" t="s">
        <v>3417</v>
      </c>
      <c r="AE300">
        <v>20</v>
      </c>
      <c r="AG300" t="s">
        <v>4031</v>
      </c>
      <c r="AH300" t="s">
        <v>291</v>
      </c>
      <c r="AI300" t="s">
        <v>291</v>
      </c>
      <c r="AK300" t="s">
        <v>4040</v>
      </c>
      <c r="AL300" t="s">
        <v>4047</v>
      </c>
      <c r="AM300">
        <v>0</v>
      </c>
      <c r="AN300">
        <v>1181.16</v>
      </c>
      <c r="AO300">
        <v>0</v>
      </c>
      <c r="AQ300" t="s">
        <v>4343</v>
      </c>
      <c r="AR300" t="s">
        <v>5244</v>
      </c>
      <c r="AS300">
        <v>0</v>
      </c>
      <c r="AT300" t="s">
        <v>5838</v>
      </c>
      <c r="AU300">
        <v>4</v>
      </c>
      <c r="AV300">
        <v>1</v>
      </c>
      <c r="AW300">
        <v>232.68</v>
      </c>
      <c r="BC300">
        <v>70200</v>
      </c>
      <c r="BF300" t="s">
        <v>5878</v>
      </c>
      <c r="BG300" t="s">
        <v>5898</v>
      </c>
      <c r="BJ300" t="s">
        <v>5949</v>
      </c>
      <c r="BL300" t="s">
        <v>6056</v>
      </c>
    </row>
    <row r="301" spans="1:64">
      <c r="A301" s="1">
        <f>HYPERLINK("https://lsnyc.legalserver.org/matter/dynamic-profile/view/1908986","19-1908986")</f>
        <v>0</v>
      </c>
      <c r="B301" t="s">
        <v>65</v>
      </c>
      <c r="C301" t="s">
        <v>122</v>
      </c>
      <c r="D301" t="s">
        <v>200</v>
      </c>
      <c r="E301" t="s">
        <v>202</v>
      </c>
      <c r="F301" t="s">
        <v>238</v>
      </c>
      <c r="G301" t="s">
        <v>202</v>
      </c>
      <c r="H301" t="s">
        <v>272</v>
      </c>
      <c r="I301" t="s">
        <v>202</v>
      </c>
      <c r="J301" t="s">
        <v>289</v>
      </c>
      <c r="K301" t="s">
        <v>292</v>
      </c>
      <c r="M301" t="s">
        <v>290</v>
      </c>
      <c r="N301" t="s">
        <v>202</v>
      </c>
      <c r="O301" t="s">
        <v>421</v>
      </c>
      <c r="P301" t="s">
        <v>427</v>
      </c>
      <c r="S301" t="s">
        <v>715</v>
      </c>
      <c r="T301" t="s">
        <v>1416</v>
      </c>
      <c r="U301" t="s">
        <v>238</v>
      </c>
      <c r="W301" t="s">
        <v>1876</v>
      </c>
      <c r="X301" t="s">
        <v>2157</v>
      </c>
      <c r="Y301" t="s">
        <v>2843</v>
      </c>
      <c r="Z301" t="s">
        <v>3098</v>
      </c>
      <c r="AA301" t="s">
        <v>3135</v>
      </c>
      <c r="AB301">
        <v>10467</v>
      </c>
      <c r="AC301" t="s">
        <v>3136</v>
      </c>
      <c r="AD301" t="s">
        <v>3418</v>
      </c>
      <c r="AE301">
        <v>3</v>
      </c>
      <c r="AG301" t="s">
        <v>4030</v>
      </c>
      <c r="AH301" t="s">
        <v>291</v>
      </c>
      <c r="AI301" t="s">
        <v>291</v>
      </c>
      <c r="AK301" t="s">
        <v>4040</v>
      </c>
      <c r="AL301" t="s">
        <v>4046</v>
      </c>
      <c r="AM301">
        <v>0</v>
      </c>
      <c r="AN301">
        <v>1150</v>
      </c>
      <c r="AO301">
        <v>0</v>
      </c>
      <c r="AQ301" t="s">
        <v>4344</v>
      </c>
      <c r="AR301" t="s">
        <v>5245</v>
      </c>
      <c r="AS301">
        <v>21</v>
      </c>
      <c r="AT301" t="s">
        <v>5838</v>
      </c>
      <c r="AU301">
        <v>2</v>
      </c>
      <c r="AV301">
        <v>2</v>
      </c>
      <c r="AW301">
        <v>153.79</v>
      </c>
      <c r="BB301" t="s">
        <v>5864</v>
      </c>
      <c r="BC301">
        <v>39600</v>
      </c>
      <c r="BG301" t="s">
        <v>140</v>
      </c>
      <c r="BJ301" t="s">
        <v>5949</v>
      </c>
      <c r="BL301" t="s">
        <v>6056</v>
      </c>
    </row>
    <row r="302" spans="1:64">
      <c r="A302" s="1">
        <f>HYPERLINK("https://lsnyc.legalserver.org/matter/dynamic-profile/view/1907388","19-1907388")</f>
        <v>0</v>
      </c>
      <c r="B302" t="s">
        <v>65</v>
      </c>
      <c r="C302" t="s">
        <v>122</v>
      </c>
      <c r="D302" t="s">
        <v>200</v>
      </c>
      <c r="E302" t="s">
        <v>201</v>
      </c>
      <c r="G302" t="s">
        <v>202</v>
      </c>
      <c r="H302" t="s">
        <v>272</v>
      </c>
      <c r="I302" t="s">
        <v>288</v>
      </c>
      <c r="J302" t="s">
        <v>290</v>
      </c>
      <c r="K302" t="s">
        <v>292</v>
      </c>
      <c r="M302" t="s">
        <v>290</v>
      </c>
      <c r="N302" t="s">
        <v>419</v>
      </c>
      <c r="O302" t="s">
        <v>420</v>
      </c>
      <c r="P302" t="s">
        <v>427</v>
      </c>
      <c r="S302" t="s">
        <v>716</v>
      </c>
      <c r="T302" t="s">
        <v>1417</v>
      </c>
      <c r="U302" t="s">
        <v>257</v>
      </c>
      <c r="W302" t="s">
        <v>1876</v>
      </c>
      <c r="X302" t="s">
        <v>2158</v>
      </c>
      <c r="Y302" t="s">
        <v>2828</v>
      </c>
      <c r="Z302" t="s">
        <v>3098</v>
      </c>
      <c r="AA302" t="s">
        <v>3135</v>
      </c>
      <c r="AB302">
        <v>10468</v>
      </c>
      <c r="AC302" t="s">
        <v>3140</v>
      </c>
      <c r="AD302" t="s">
        <v>3419</v>
      </c>
      <c r="AE302">
        <v>8</v>
      </c>
      <c r="AG302" t="s">
        <v>4030</v>
      </c>
      <c r="AH302" t="s">
        <v>291</v>
      </c>
      <c r="AI302" t="s">
        <v>291</v>
      </c>
      <c r="AK302" t="s">
        <v>4040</v>
      </c>
      <c r="AM302">
        <v>0</v>
      </c>
      <c r="AN302">
        <v>1117.22</v>
      </c>
      <c r="AO302">
        <v>0.2</v>
      </c>
      <c r="AQ302" t="s">
        <v>4345</v>
      </c>
      <c r="AR302" t="s">
        <v>5246</v>
      </c>
      <c r="AS302">
        <v>0</v>
      </c>
      <c r="AT302" t="s">
        <v>5838</v>
      </c>
      <c r="AU302">
        <v>1</v>
      </c>
      <c r="AV302">
        <v>1</v>
      </c>
      <c r="AW302">
        <v>100.53</v>
      </c>
      <c r="BB302" t="s">
        <v>1322</v>
      </c>
      <c r="BC302">
        <v>17000</v>
      </c>
      <c r="BG302" t="s">
        <v>5898</v>
      </c>
      <c r="BJ302" t="s">
        <v>5951</v>
      </c>
      <c r="BK302" t="s">
        <v>225</v>
      </c>
    </row>
    <row r="303" spans="1:64">
      <c r="A303" s="1">
        <f>HYPERLINK("https://lsnyc.legalserver.org/matter/dynamic-profile/view/1909147","19-1909147")</f>
        <v>0</v>
      </c>
      <c r="B303" t="s">
        <v>65</v>
      </c>
      <c r="C303" t="s">
        <v>110</v>
      </c>
      <c r="D303" t="s">
        <v>200</v>
      </c>
      <c r="E303" t="s">
        <v>201</v>
      </c>
      <c r="G303" t="s">
        <v>202</v>
      </c>
      <c r="H303" t="s">
        <v>271</v>
      </c>
      <c r="I303" t="s">
        <v>288</v>
      </c>
      <c r="J303" t="s">
        <v>291</v>
      </c>
      <c r="K303" t="s">
        <v>292</v>
      </c>
      <c r="M303" t="s">
        <v>290</v>
      </c>
      <c r="N303" t="s">
        <v>419</v>
      </c>
      <c r="P303" t="s">
        <v>427</v>
      </c>
      <c r="S303" t="s">
        <v>717</v>
      </c>
      <c r="T303" t="s">
        <v>1418</v>
      </c>
      <c r="U303" t="s">
        <v>228</v>
      </c>
      <c r="W303" t="s">
        <v>1876</v>
      </c>
      <c r="X303" t="s">
        <v>2159</v>
      </c>
      <c r="Y303" t="s">
        <v>2916</v>
      </c>
      <c r="Z303" t="s">
        <v>3098</v>
      </c>
      <c r="AA303" t="s">
        <v>3135</v>
      </c>
      <c r="AB303">
        <v>10465</v>
      </c>
      <c r="AC303" t="s">
        <v>3141</v>
      </c>
      <c r="AD303" t="s">
        <v>3420</v>
      </c>
      <c r="AE303">
        <v>3</v>
      </c>
      <c r="AG303" t="s">
        <v>4031</v>
      </c>
      <c r="AH303" t="s">
        <v>291</v>
      </c>
      <c r="AI303" t="s">
        <v>291</v>
      </c>
      <c r="AK303" t="s">
        <v>4040</v>
      </c>
      <c r="AM303">
        <v>0</v>
      </c>
      <c r="AN303">
        <v>900</v>
      </c>
      <c r="AO303">
        <v>0</v>
      </c>
      <c r="AQ303" t="s">
        <v>4346</v>
      </c>
      <c r="AR303" t="s">
        <v>5247</v>
      </c>
      <c r="AS303">
        <v>3</v>
      </c>
      <c r="AT303" t="s">
        <v>5842</v>
      </c>
      <c r="AU303">
        <v>1</v>
      </c>
      <c r="AV303">
        <v>2</v>
      </c>
      <c r="AW303">
        <v>0</v>
      </c>
      <c r="BB303" t="s">
        <v>1322</v>
      </c>
      <c r="BC303">
        <v>0</v>
      </c>
      <c r="BG303" t="s">
        <v>140</v>
      </c>
      <c r="BJ303" t="s">
        <v>5945</v>
      </c>
      <c r="BL303" t="s">
        <v>329</v>
      </c>
    </row>
    <row r="304" spans="1:64">
      <c r="A304" s="1">
        <f>HYPERLINK("https://lsnyc.legalserver.org/matter/dynamic-profile/view/1909667","19-1909667")</f>
        <v>0</v>
      </c>
      <c r="B304" t="s">
        <v>65</v>
      </c>
      <c r="C304" t="s">
        <v>123</v>
      </c>
      <c r="D304" t="s">
        <v>200</v>
      </c>
      <c r="E304" t="s">
        <v>201</v>
      </c>
      <c r="G304" t="s">
        <v>202</v>
      </c>
      <c r="H304" t="s">
        <v>272</v>
      </c>
      <c r="I304" t="s">
        <v>202</v>
      </c>
      <c r="J304" t="s">
        <v>289</v>
      </c>
      <c r="K304" t="s">
        <v>202</v>
      </c>
      <c r="L304" t="s">
        <v>339</v>
      </c>
      <c r="M304" t="s">
        <v>290</v>
      </c>
      <c r="N304" t="s">
        <v>202</v>
      </c>
      <c r="O304" t="s">
        <v>421</v>
      </c>
      <c r="P304" t="s">
        <v>427</v>
      </c>
      <c r="S304" t="s">
        <v>718</v>
      </c>
      <c r="T304" t="s">
        <v>1222</v>
      </c>
      <c r="U304" t="s">
        <v>222</v>
      </c>
      <c r="W304" t="s">
        <v>1876</v>
      </c>
      <c r="X304" t="s">
        <v>2160</v>
      </c>
      <c r="Z304" t="s">
        <v>3098</v>
      </c>
      <c r="AA304" t="s">
        <v>3135</v>
      </c>
      <c r="AB304">
        <v>10457</v>
      </c>
      <c r="AC304" t="s">
        <v>3136</v>
      </c>
      <c r="AD304" t="s">
        <v>3421</v>
      </c>
      <c r="AE304">
        <v>5</v>
      </c>
      <c r="AG304" t="s">
        <v>4030</v>
      </c>
      <c r="AH304" t="s">
        <v>291</v>
      </c>
      <c r="AI304" t="s">
        <v>291</v>
      </c>
      <c r="AK304" t="s">
        <v>4040</v>
      </c>
      <c r="AM304">
        <v>0</v>
      </c>
      <c r="AN304">
        <v>1112.26</v>
      </c>
      <c r="AO304">
        <v>1.7</v>
      </c>
      <c r="AQ304" t="s">
        <v>4347</v>
      </c>
      <c r="AR304" t="s">
        <v>5248</v>
      </c>
      <c r="AS304">
        <v>86</v>
      </c>
      <c r="AT304" t="s">
        <v>5838</v>
      </c>
      <c r="AU304">
        <v>2</v>
      </c>
      <c r="AV304">
        <v>0</v>
      </c>
      <c r="AW304">
        <v>60.32</v>
      </c>
      <c r="BA304" t="s">
        <v>3143</v>
      </c>
      <c r="BC304">
        <v>10200</v>
      </c>
      <c r="BG304" t="s">
        <v>5901</v>
      </c>
      <c r="BJ304" t="s">
        <v>5942</v>
      </c>
      <c r="BK304" t="s">
        <v>264</v>
      </c>
      <c r="BL304" t="s">
        <v>6056</v>
      </c>
    </row>
    <row r="305" spans="1:64">
      <c r="A305" s="1">
        <f>HYPERLINK("https://lsnyc.legalserver.org/matter/dynamic-profile/view/1908547","19-1908547")</f>
        <v>0</v>
      </c>
      <c r="B305" t="s">
        <v>65</v>
      </c>
      <c r="C305" t="s">
        <v>105</v>
      </c>
      <c r="D305" t="s">
        <v>200</v>
      </c>
      <c r="E305" t="s">
        <v>201</v>
      </c>
      <c r="G305" t="s">
        <v>202</v>
      </c>
      <c r="H305" t="s">
        <v>272</v>
      </c>
      <c r="I305" t="s">
        <v>288</v>
      </c>
      <c r="J305" t="s">
        <v>290</v>
      </c>
      <c r="K305" t="s">
        <v>292</v>
      </c>
      <c r="M305" t="s">
        <v>290</v>
      </c>
      <c r="N305" t="s">
        <v>202</v>
      </c>
      <c r="O305" t="s">
        <v>421</v>
      </c>
      <c r="P305" t="s">
        <v>427</v>
      </c>
      <c r="S305" t="s">
        <v>719</v>
      </c>
      <c r="T305" t="s">
        <v>1244</v>
      </c>
      <c r="U305" t="s">
        <v>237</v>
      </c>
      <c r="W305" t="s">
        <v>1876</v>
      </c>
      <c r="X305" t="s">
        <v>2161</v>
      </c>
      <c r="Y305" t="s">
        <v>2843</v>
      </c>
      <c r="Z305" t="s">
        <v>3098</v>
      </c>
      <c r="AA305" t="s">
        <v>3135</v>
      </c>
      <c r="AB305">
        <v>10468</v>
      </c>
      <c r="AD305" t="s">
        <v>3422</v>
      </c>
      <c r="AE305">
        <v>5</v>
      </c>
      <c r="AG305" t="s">
        <v>4030</v>
      </c>
      <c r="AH305" t="s">
        <v>291</v>
      </c>
      <c r="AK305" t="s">
        <v>4040</v>
      </c>
      <c r="AL305" t="s">
        <v>4046</v>
      </c>
      <c r="AM305">
        <v>0</v>
      </c>
      <c r="AN305">
        <v>1200</v>
      </c>
      <c r="AO305">
        <v>1.2</v>
      </c>
      <c r="AQ305" t="s">
        <v>4348</v>
      </c>
      <c r="AR305" t="s">
        <v>5249</v>
      </c>
      <c r="AS305">
        <v>0</v>
      </c>
      <c r="AT305" t="s">
        <v>5838</v>
      </c>
      <c r="AU305">
        <v>2</v>
      </c>
      <c r="AV305">
        <v>0</v>
      </c>
      <c r="AW305">
        <v>177.41</v>
      </c>
      <c r="BB305" t="s">
        <v>1322</v>
      </c>
      <c r="BC305">
        <v>30000</v>
      </c>
      <c r="BG305" t="s">
        <v>5898</v>
      </c>
      <c r="BJ305" t="s">
        <v>6003</v>
      </c>
      <c r="BK305" t="s">
        <v>238</v>
      </c>
    </row>
    <row r="306" spans="1:64">
      <c r="A306" s="1">
        <f>HYPERLINK("https://lsnyc.legalserver.org/matter/dynamic-profile/view/1905391","19-1905391")</f>
        <v>0</v>
      </c>
      <c r="B306" t="s">
        <v>65</v>
      </c>
      <c r="C306" t="s">
        <v>122</v>
      </c>
      <c r="D306" t="s">
        <v>200</v>
      </c>
      <c r="E306" t="s">
        <v>202</v>
      </c>
      <c r="F306" t="s">
        <v>242</v>
      </c>
      <c r="G306" t="s">
        <v>202</v>
      </c>
      <c r="H306" t="s">
        <v>272</v>
      </c>
      <c r="I306" t="s">
        <v>202</v>
      </c>
      <c r="J306" t="s">
        <v>289</v>
      </c>
      <c r="K306" t="s">
        <v>292</v>
      </c>
      <c r="M306" t="s">
        <v>290</v>
      </c>
      <c r="N306" t="s">
        <v>202</v>
      </c>
      <c r="O306" t="s">
        <v>421</v>
      </c>
      <c r="P306" t="s">
        <v>427</v>
      </c>
      <c r="S306" t="s">
        <v>567</v>
      </c>
      <c r="T306" t="s">
        <v>1419</v>
      </c>
      <c r="U306" t="s">
        <v>242</v>
      </c>
      <c r="W306" t="s">
        <v>1876</v>
      </c>
      <c r="X306" t="s">
        <v>2162</v>
      </c>
      <c r="Y306" t="s">
        <v>2822</v>
      </c>
      <c r="Z306" t="s">
        <v>3098</v>
      </c>
      <c r="AA306" t="s">
        <v>3135</v>
      </c>
      <c r="AB306">
        <v>10467</v>
      </c>
      <c r="AC306" t="s">
        <v>3136</v>
      </c>
      <c r="AD306" t="s">
        <v>3423</v>
      </c>
      <c r="AE306">
        <v>1</v>
      </c>
      <c r="AG306" t="s">
        <v>4030</v>
      </c>
      <c r="AH306" t="s">
        <v>291</v>
      </c>
      <c r="AI306" t="s">
        <v>291</v>
      </c>
      <c r="AK306" t="s">
        <v>4040</v>
      </c>
      <c r="AL306" t="s">
        <v>4049</v>
      </c>
      <c r="AM306">
        <v>0</v>
      </c>
      <c r="AN306">
        <v>1625</v>
      </c>
      <c r="AO306">
        <v>7.2</v>
      </c>
      <c r="AQ306" t="s">
        <v>4349</v>
      </c>
      <c r="AR306" t="s">
        <v>5250</v>
      </c>
      <c r="AS306">
        <v>60</v>
      </c>
      <c r="AT306" t="s">
        <v>5836</v>
      </c>
      <c r="AU306">
        <v>1</v>
      </c>
      <c r="AV306">
        <v>2</v>
      </c>
      <c r="AW306">
        <v>60.95</v>
      </c>
      <c r="BA306" t="s">
        <v>329</v>
      </c>
      <c r="BB306" t="s">
        <v>1322</v>
      </c>
      <c r="BC306">
        <v>13000</v>
      </c>
      <c r="BG306" t="s">
        <v>5900</v>
      </c>
      <c r="BJ306" t="s">
        <v>5949</v>
      </c>
      <c r="BK306" t="s">
        <v>263</v>
      </c>
      <c r="BL306" t="s">
        <v>6056</v>
      </c>
    </row>
    <row r="307" spans="1:64">
      <c r="A307" s="1">
        <f>HYPERLINK("https://lsnyc.legalserver.org/matter/dynamic-profile/view/1909856","19-1909856")</f>
        <v>0</v>
      </c>
      <c r="B307" t="s">
        <v>65</v>
      </c>
      <c r="C307" t="s">
        <v>124</v>
      </c>
      <c r="D307" t="s">
        <v>200</v>
      </c>
      <c r="E307" t="s">
        <v>201</v>
      </c>
      <c r="G307" t="s">
        <v>202</v>
      </c>
      <c r="H307" t="s">
        <v>272</v>
      </c>
      <c r="I307" t="s">
        <v>202</v>
      </c>
      <c r="J307" t="s">
        <v>289</v>
      </c>
      <c r="K307" t="s">
        <v>292</v>
      </c>
      <c r="M307" t="s">
        <v>290</v>
      </c>
      <c r="N307" t="s">
        <v>419</v>
      </c>
      <c r="P307" t="s">
        <v>427</v>
      </c>
      <c r="S307" t="s">
        <v>647</v>
      </c>
      <c r="T307" t="s">
        <v>1420</v>
      </c>
      <c r="U307" t="s">
        <v>267</v>
      </c>
      <c r="W307" t="s">
        <v>1876</v>
      </c>
      <c r="X307" t="s">
        <v>2163</v>
      </c>
      <c r="Y307">
        <v>85</v>
      </c>
      <c r="Z307" t="s">
        <v>3098</v>
      </c>
      <c r="AA307" t="s">
        <v>3135</v>
      </c>
      <c r="AB307">
        <v>10467</v>
      </c>
      <c r="AC307" t="s">
        <v>3139</v>
      </c>
      <c r="AD307" t="s">
        <v>3424</v>
      </c>
      <c r="AE307">
        <v>19</v>
      </c>
      <c r="AG307" t="s">
        <v>4030</v>
      </c>
      <c r="AH307" t="s">
        <v>291</v>
      </c>
      <c r="AI307" t="s">
        <v>291</v>
      </c>
      <c r="AK307" t="s">
        <v>4040</v>
      </c>
      <c r="AM307">
        <v>0</v>
      </c>
      <c r="AN307">
        <v>625</v>
      </c>
      <c r="AO307">
        <v>0</v>
      </c>
      <c r="AQ307" t="s">
        <v>4350</v>
      </c>
      <c r="AR307" t="s">
        <v>5251</v>
      </c>
      <c r="AS307">
        <v>121</v>
      </c>
      <c r="AT307" t="s">
        <v>5837</v>
      </c>
      <c r="AU307">
        <v>1</v>
      </c>
      <c r="AV307">
        <v>1</v>
      </c>
      <c r="AW307">
        <v>147.6</v>
      </c>
      <c r="BB307" t="s">
        <v>1322</v>
      </c>
      <c r="BC307">
        <v>24960</v>
      </c>
      <c r="BG307" t="s">
        <v>140</v>
      </c>
      <c r="BJ307" t="s">
        <v>5949</v>
      </c>
      <c r="BL307" t="s">
        <v>6056</v>
      </c>
    </row>
    <row r="308" spans="1:64">
      <c r="A308" s="1">
        <f>HYPERLINK("https://lsnyc.legalserver.org/matter/dynamic-profile/view/1910189","19-1910189")</f>
        <v>0</v>
      </c>
      <c r="B308" t="s">
        <v>65</v>
      </c>
      <c r="C308" t="s">
        <v>106</v>
      </c>
      <c r="D308" t="s">
        <v>200</v>
      </c>
      <c r="E308" t="s">
        <v>201</v>
      </c>
      <c r="G308" t="s">
        <v>202</v>
      </c>
      <c r="H308" t="s">
        <v>271</v>
      </c>
      <c r="I308" t="s">
        <v>202</v>
      </c>
      <c r="J308" t="s">
        <v>289</v>
      </c>
      <c r="K308" t="s">
        <v>292</v>
      </c>
      <c r="M308" t="s">
        <v>290</v>
      </c>
      <c r="N308" t="s">
        <v>202</v>
      </c>
      <c r="O308" t="s">
        <v>422</v>
      </c>
      <c r="P308" t="s">
        <v>427</v>
      </c>
      <c r="S308" t="s">
        <v>720</v>
      </c>
      <c r="T308" t="s">
        <v>1421</v>
      </c>
      <c r="U308" t="s">
        <v>259</v>
      </c>
      <c r="W308" t="s">
        <v>1876</v>
      </c>
      <c r="X308" t="s">
        <v>2164</v>
      </c>
      <c r="Y308" t="s">
        <v>2809</v>
      </c>
      <c r="Z308" t="s">
        <v>3098</v>
      </c>
      <c r="AA308" t="s">
        <v>3135</v>
      </c>
      <c r="AB308">
        <v>10460</v>
      </c>
      <c r="AC308" t="s">
        <v>3139</v>
      </c>
      <c r="AD308" t="s">
        <v>3425</v>
      </c>
      <c r="AE308">
        <v>4</v>
      </c>
      <c r="AG308" t="s">
        <v>4031</v>
      </c>
      <c r="AH308" t="s">
        <v>291</v>
      </c>
      <c r="AI308" t="s">
        <v>291</v>
      </c>
      <c r="AK308" t="s">
        <v>4040</v>
      </c>
      <c r="AM308">
        <v>0</v>
      </c>
      <c r="AN308">
        <v>1365</v>
      </c>
      <c r="AO308">
        <v>0</v>
      </c>
      <c r="AQ308" t="s">
        <v>4351</v>
      </c>
      <c r="AR308" t="s">
        <v>5252</v>
      </c>
      <c r="AS308">
        <v>238</v>
      </c>
      <c r="AT308" t="s">
        <v>5838</v>
      </c>
      <c r="AU308">
        <v>1</v>
      </c>
      <c r="AV308">
        <v>0</v>
      </c>
      <c r="AW308">
        <v>196.67</v>
      </c>
      <c r="BA308" t="s">
        <v>5850</v>
      </c>
      <c r="BB308" t="s">
        <v>1322</v>
      </c>
      <c r="BC308">
        <v>24564</v>
      </c>
      <c r="BG308" t="s">
        <v>140</v>
      </c>
      <c r="BJ308" t="s">
        <v>6004</v>
      </c>
      <c r="BL308" t="s">
        <v>6056</v>
      </c>
    </row>
    <row r="309" spans="1:64">
      <c r="A309" s="1">
        <f>HYPERLINK("https://lsnyc.legalserver.org/matter/dynamic-profile/view/1906479","19-1906479")</f>
        <v>0</v>
      </c>
      <c r="B309" t="s">
        <v>65</v>
      </c>
      <c r="C309" t="s">
        <v>124</v>
      </c>
      <c r="D309" t="s">
        <v>200</v>
      </c>
      <c r="E309" t="s">
        <v>201</v>
      </c>
      <c r="G309" t="s">
        <v>202</v>
      </c>
      <c r="H309" t="s">
        <v>272</v>
      </c>
      <c r="I309" t="s">
        <v>202</v>
      </c>
      <c r="J309" t="s">
        <v>289</v>
      </c>
      <c r="K309" t="s">
        <v>292</v>
      </c>
      <c r="M309" t="s">
        <v>290</v>
      </c>
      <c r="N309" t="s">
        <v>202</v>
      </c>
      <c r="O309" t="s">
        <v>421</v>
      </c>
      <c r="P309" t="s">
        <v>202</v>
      </c>
      <c r="Q309" t="s">
        <v>430</v>
      </c>
      <c r="R309" t="s">
        <v>448</v>
      </c>
      <c r="S309" t="s">
        <v>721</v>
      </c>
      <c r="T309" t="s">
        <v>1422</v>
      </c>
      <c r="U309" t="s">
        <v>253</v>
      </c>
      <c r="V309" t="s">
        <v>254</v>
      </c>
      <c r="W309" t="s">
        <v>1877</v>
      </c>
      <c r="X309" t="s">
        <v>2165</v>
      </c>
      <c r="Y309">
        <v>31</v>
      </c>
      <c r="Z309" t="s">
        <v>3098</v>
      </c>
      <c r="AA309" t="s">
        <v>3135</v>
      </c>
      <c r="AB309">
        <v>10457</v>
      </c>
      <c r="AC309" t="s">
        <v>3140</v>
      </c>
      <c r="AD309" t="s">
        <v>3426</v>
      </c>
      <c r="AE309">
        <v>6</v>
      </c>
      <c r="AF309" t="s">
        <v>4024</v>
      </c>
      <c r="AG309" t="s">
        <v>4030</v>
      </c>
      <c r="AH309" t="s">
        <v>291</v>
      </c>
      <c r="AI309" t="s">
        <v>291</v>
      </c>
      <c r="AK309" t="s">
        <v>4040</v>
      </c>
      <c r="AL309" t="s">
        <v>4046</v>
      </c>
      <c r="AM309">
        <v>0</v>
      </c>
      <c r="AN309">
        <v>274</v>
      </c>
      <c r="AO309">
        <v>0.1</v>
      </c>
      <c r="AP309" t="s">
        <v>4054</v>
      </c>
      <c r="AQ309" t="s">
        <v>4352</v>
      </c>
      <c r="AR309" t="s">
        <v>5253</v>
      </c>
      <c r="AS309">
        <v>33</v>
      </c>
      <c r="AT309" t="s">
        <v>5840</v>
      </c>
      <c r="AU309">
        <v>1</v>
      </c>
      <c r="AV309">
        <v>1</v>
      </c>
      <c r="AW309">
        <v>82.95999999999999</v>
      </c>
      <c r="BC309">
        <v>14028</v>
      </c>
      <c r="BG309" t="s">
        <v>5902</v>
      </c>
      <c r="BI309" t="s">
        <v>5936</v>
      </c>
      <c r="BJ309" t="s">
        <v>6005</v>
      </c>
      <c r="BK309" t="s">
        <v>254</v>
      </c>
      <c r="BL309" t="s">
        <v>6056</v>
      </c>
    </row>
    <row r="310" spans="1:64">
      <c r="A310" s="1">
        <f>HYPERLINK("https://lsnyc.legalserver.org/matter/dynamic-profile/view/1904932","19-1904932")</f>
        <v>0</v>
      </c>
      <c r="B310" t="s">
        <v>65</v>
      </c>
      <c r="C310" t="s">
        <v>106</v>
      </c>
      <c r="D310" t="s">
        <v>200</v>
      </c>
      <c r="E310" t="s">
        <v>202</v>
      </c>
      <c r="F310" t="s">
        <v>210</v>
      </c>
      <c r="G310" t="s">
        <v>202</v>
      </c>
      <c r="H310" t="s">
        <v>271</v>
      </c>
      <c r="I310" t="s">
        <v>202</v>
      </c>
      <c r="J310" t="s">
        <v>289</v>
      </c>
      <c r="K310" t="s">
        <v>292</v>
      </c>
      <c r="M310" t="s">
        <v>290</v>
      </c>
      <c r="N310" t="s">
        <v>202</v>
      </c>
      <c r="O310" t="s">
        <v>422</v>
      </c>
      <c r="P310" t="s">
        <v>428</v>
      </c>
      <c r="S310" t="s">
        <v>722</v>
      </c>
      <c r="T310" t="s">
        <v>1423</v>
      </c>
      <c r="U310" t="s">
        <v>245</v>
      </c>
      <c r="V310" t="s">
        <v>210</v>
      </c>
      <c r="W310" t="s">
        <v>1877</v>
      </c>
      <c r="X310" t="s">
        <v>2166</v>
      </c>
      <c r="Y310" t="s">
        <v>2806</v>
      </c>
      <c r="Z310" t="s">
        <v>3098</v>
      </c>
      <c r="AA310" t="s">
        <v>3135</v>
      </c>
      <c r="AB310">
        <v>10454</v>
      </c>
      <c r="AC310" t="s">
        <v>3141</v>
      </c>
      <c r="AD310" t="s">
        <v>3427</v>
      </c>
      <c r="AE310">
        <v>19</v>
      </c>
      <c r="AF310" t="s">
        <v>4023</v>
      </c>
      <c r="AG310" t="s">
        <v>4031</v>
      </c>
      <c r="AH310" t="s">
        <v>291</v>
      </c>
      <c r="AI310" t="s">
        <v>291</v>
      </c>
      <c r="AK310" t="s">
        <v>4040</v>
      </c>
      <c r="AL310" t="s">
        <v>4046</v>
      </c>
      <c r="AM310">
        <v>0</v>
      </c>
      <c r="AN310">
        <v>2462</v>
      </c>
      <c r="AO310">
        <v>0.5</v>
      </c>
      <c r="AP310" t="s">
        <v>4052</v>
      </c>
      <c r="AQ310" t="s">
        <v>4353</v>
      </c>
      <c r="AR310" t="s">
        <v>5254</v>
      </c>
      <c r="AS310">
        <v>24</v>
      </c>
      <c r="AT310" t="s">
        <v>5840</v>
      </c>
      <c r="AU310">
        <v>1</v>
      </c>
      <c r="AV310">
        <v>0</v>
      </c>
      <c r="AW310">
        <v>151.96</v>
      </c>
      <c r="BA310" t="s">
        <v>3143</v>
      </c>
      <c r="BB310" t="s">
        <v>1322</v>
      </c>
      <c r="BC310">
        <v>18980</v>
      </c>
      <c r="BG310" t="s">
        <v>140</v>
      </c>
      <c r="BJ310" t="s">
        <v>5949</v>
      </c>
      <c r="BK310" t="s">
        <v>210</v>
      </c>
      <c r="BL310" t="s">
        <v>6056</v>
      </c>
    </row>
    <row r="311" spans="1:64">
      <c r="A311" s="1">
        <f>HYPERLINK("https://lsnyc.legalserver.org/matter/dynamic-profile/view/1907978","19-1907978")</f>
        <v>0</v>
      </c>
      <c r="B311" t="s">
        <v>65</v>
      </c>
      <c r="C311" t="s">
        <v>106</v>
      </c>
      <c r="D311" t="s">
        <v>200</v>
      </c>
      <c r="E311" t="s">
        <v>201</v>
      </c>
      <c r="G311" t="s">
        <v>202</v>
      </c>
      <c r="H311" t="s">
        <v>272</v>
      </c>
      <c r="I311" t="s">
        <v>202</v>
      </c>
      <c r="J311" t="s">
        <v>289</v>
      </c>
      <c r="K311" t="s">
        <v>202</v>
      </c>
      <c r="L311">
        <v>12951359</v>
      </c>
      <c r="M311" t="s">
        <v>290</v>
      </c>
      <c r="N311" t="s">
        <v>202</v>
      </c>
      <c r="O311" t="s">
        <v>422</v>
      </c>
      <c r="P311" t="s">
        <v>427</v>
      </c>
      <c r="S311" t="s">
        <v>723</v>
      </c>
      <c r="T311" t="s">
        <v>1424</v>
      </c>
      <c r="U311" t="s">
        <v>247</v>
      </c>
      <c r="W311" t="s">
        <v>1876</v>
      </c>
      <c r="X311" t="s">
        <v>2167</v>
      </c>
      <c r="Y311" t="s">
        <v>2917</v>
      </c>
      <c r="Z311" t="s">
        <v>3098</v>
      </c>
      <c r="AA311" t="s">
        <v>3135</v>
      </c>
      <c r="AB311">
        <v>10455</v>
      </c>
      <c r="AC311" t="s">
        <v>3139</v>
      </c>
      <c r="AD311" t="s">
        <v>3428</v>
      </c>
      <c r="AE311">
        <v>4</v>
      </c>
      <c r="AG311" t="s">
        <v>4031</v>
      </c>
      <c r="AH311" t="s">
        <v>291</v>
      </c>
      <c r="AI311" t="s">
        <v>291</v>
      </c>
      <c r="AK311" t="s">
        <v>4040</v>
      </c>
      <c r="AM311">
        <v>0</v>
      </c>
      <c r="AN311">
        <v>934</v>
      </c>
      <c r="AO311">
        <v>0.4</v>
      </c>
      <c r="AQ311" t="s">
        <v>4354</v>
      </c>
      <c r="AR311" t="s">
        <v>5255</v>
      </c>
      <c r="AS311">
        <v>10</v>
      </c>
      <c r="AT311" t="s">
        <v>5838</v>
      </c>
      <c r="AU311">
        <v>1</v>
      </c>
      <c r="AV311">
        <v>2</v>
      </c>
      <c r="AW311">
        <v>94.01000000000001</v>
      </c>
      <c r="BA311" t="s">
        <v>5850</v>
      </c>
      <c r="BB311" t="s">
        <v>1322</v>
      </c>
      <c r="BC311">
        <v>20052</v>
      </c>
      <c r="BG311" t="s">
        <v>140</v>
      </c>
      <c r="BJ311" t="s">
        <v>6006</v>
      </c>
      <c r="BK311" t="s">
        <v>206</v>
      </c>
      <c r="BL311" t="s">
        <v>6056</v>
      </c>
    </row>
    <row r="312" spans="1:64">
      <c r="A312" s="1">
        <f>HYPERLINK("https://lsnyc.legalserver.org/matter/dynamic-profile/view/1905253","19-1905253")</f>
        <v>0</v>
      </c>
      <c r="B312" t="s">
        <v>65</v>
      </c>
      <c r="C312" t="s">
        <v>106</v>
      </c>
      <c r="D312" t="s">
        <v>200</v>
      </c>
      <c r="E312" t="s">
        <v>201</v>
      </c>
      <c r="G312" t="s">
        <v>202</v>
      </c>
      <c r="H312" t="s">
        <v>272</v>
      </c>
      <c r="I312" t="s">
        <v>202</v>
      </c>
      <c r="J312" t="s">
        <v>289</v>
      </c>
      <c r="K312" t="s">
        <v>292</v>
      </c>
      <c r="M312" t="s">
        <v>290</v>
      </c>
      <c r="N312" t="s">
        <v>202</v>
      </c>
      <c r="O312" t="s">
        <v>422</v>
      </c>
      <c r="P312" t="s">
        <v>428</v>
      </c>
      <c r="S312" t="s">
        <v>724</v>
      </c>
      <c r="T312" t="s">
        <v>1360</v>
      </c>
      <c r="U312" t="s">
        <v>231</v>
      </c>
      <c r="V312" t="s">
        <v>210</v>
      </c>
      <c r="W312" t="s">
        <v>1877</v>
      </c>
      <c r="X312" t="s">
        <v>2168</v>
      </c>
      <c r="Y312" t="s">
        <v>2918</v>
      </c>
      <c r="Z312" t="s">
        <v>3098</v>
      </c>
      <c r="AA312" t="s">
        <v>3135</v>
      </c>
      <c r="AB312">
        <v>10455</v>
      </c>
      <c r="AD312" t="s">
        <v>3429</v>
      </c>
      <c r="AE312">
        <v>3</v>
      </c>
      <c r="AF312" t="s">
        <v>4023</v>
      </c>
      <c r="AG312" t="s">
        <v>4031</v>
      </c>
      <c r="AH312" t="s">
        <v>291</v>
      </c>
      <c r="AI312" t="s">
        <v>291</v>
      </c>
      <c r="AK312" t="s">
        <v>4040</v>
      </c>
      <c r="AL312" t="s">
        <v>4047</v>
      </c>
      <c r="AM312">
        <v>0</v>
      </c>
      <c r="AN312">
        <v>1518</v>
      </c>
      <c r="AO312">
        <v>0.3</v>
      </c>
      <c r="AP312" t="s">
        <v>4052</v>
      </c>
      <c r="AQ312" t="s">
        <v>4355</v>
      </c>
      <c r="AS312">
        <v>49</v>
      </c>
      <c r="AU312">
        <v>3</v>
      </c>
      <c r="AV312">
        <v>0</v>
      </c>
      <c r="AW312">
        <v>16.88</v>
      </c>
      <c r="BB312" t="s">
        <v>5859</v>
      </c>
      <c r="BC312">
        <v>3600</v>
      </c>
      <c r="BF312" t="s">
        <v>5879</v>
      </c>
      <c r="BG312" t="s">
        <v>140</v>
      </c>
      <c r="BJ312" t="s">
        <v>5960</v>
      </c>
      <c r="BK312" t="s">
        <v>210</v>
      </c>
      <c r="BL312" t="s">
        <v>329</v>
      </c>
    </row>
    <row r="313" spans="1:64">
      <c r="A313" s="1">
        <f>HYPERLINK("https://lsnyc.legalserver.org/matter/dynamic-profile/view/1904633","19-1904633")</f>
        <v>0</v>
      </c>
      <c r="B313" t="s">
        <v>65</v>
      </c>
      <c r="C313" t="s">
        <v>106</v>
      </c>
      <c r="D313" t="s">
        <v>200</v>
      </c>
      <c r="E313" t="s">
        <v>202</v>
      </c>
      <c r="F313" t="s">
        <v>211</v>
      </c>
      <c r="G313" t="s">
        <v>202</v>
      </c>
      <c r="H313" t="s">
        <v>272</v>
      </c>
      <c r="I313" t="s">
        <v>202</v>
      </c>
      <c r="J313" t="s">
        <v>289</v>
      </c>
      <c r="K313" t="s">
        <v>292</v>
      </c>
      <c r="M313" t="s">
        <v>290</v>
      </c>
      <c r="N313" t="s">
        <v>202</v>
      </c>
      <c r="O313" t="s">
        <v>422</v>
      </c>
      <c r="P313" t="s">
        <v>428</v>
      </c>
      <c r="S313" t="s">
        <v>725</v>
      </c>
      <c r="T313" t="s">
        <v>1425</v>
      </c>
      <c r="U313" t="s">
        <v>246</v>
      </c>
      <c r="V313" t="s">
        <v>232</v>
      </c>
      <c r="W313" t="s">
        <v>1877</v>
      </c>
      <c r="X313" t="s">
        <v>2169</v>
      </c>
      <c r="Y313" t="s">
        <v>2824</v>
      </c>
      <c r="Z313" t="s">
        <v>3098</v>
      </c>
      <c r="AA313" t="s">
        <v>3135</v>
      </c>
      <c r="AB313">
        <v>10455</v>
      </c>
      <c r="AC313" t="s">
        <v>3136</v>
      </c>
      <c r="AD313" t="s">
        <v>3430</v>
      </c>
      <c r="AE313">
        <v>17</v>
      </c>
      <c r="AF313" t="s">
        <v>4023</v>
      </c>
      <c r="AG313" t="s">
        <v>4031</v>
      </c>
      <c r="AH313" t="s">
        <v>291</v>
      </c>
      <c r="AK313" t="s">
        <v>4040</v>
      </c>
      <c r="AL313" t="s">
        <v>4049</v>
      </c>
      <c r="AM313">
        <v>0</v>
      </c>
      <c r="AN313">
        <v>836.16</v>
      </c>
      <c r="AO313">
        <v>0.5</v>
      </c>
      <c r="AP313" t="s">
        <v>4052</v>
      </c>
      <c r="AQ313" t="s">
        <v>4356</v>
      </c>
      <c r="AR313" t="s">
        <v>5256</v>
      </c>
      <c r="AS313">
        <v>8</v>
      </c>
      <c r="AT313" t="s">
        <v>5843</v>
      </c>
      <c r="AU313">
        <v>3</v>
      </c>
      <c r="AV313">
        <v>0</v>
      </c>
      <c r="AW313">
        <v>13.31</v>
      </c>
      <c r="BB313" t="s">
        <v>1322</v>
      </c>
      <c r="BC313">
        <v>2838.72</v>
      </c>
      <c r="BG313" t="s">
        <v>5902</v>
      </c>
      <c r="BJ313" t="s">
        <v>5960</v>
      </c>
      <c r="BK313" t="s">
        <v>232</v>
      </c>
      <c r="BL313" t="s">
        <v>6056</v>
      </c>
    </row>
    <row r="314" spans="1:64">
      <c r="A314" s="1">
        <f>HYPERLINK("https://lsnyc.legalserver.org/matter/dynamic-profile/view/1906405","19-1906405")</f>
        <v>0</v>
      </c>
      <c r="B314" t="s">
        <v>65</v>
      </c>
      <c r="C314" t="s">
        <v>106</v>
      </c>
      <c r="D314" t="s">
        <v>200</v>
      </c>
      <c r="E314" t="s">
        <v>201</v>
      </c>
      <c r="G314" t="s">
        <v>202</v>
      </c>
      <c r="H314" t="s">
        <v>271</v>
      </c>
      <c r="I314" t="s">
        <v>202</v>
      </c>
      <c r="J314" t="s">
        <v>289</v>
      </c>
      <c r="K314" t="s">
        <v>292</v>
      </c>
      <c r="M314" t="s">
        <v>290</v>
      </c>
      <c r="N314" t="s">
        <v>202</v>
      </c>
      <c r="O314" t="s">
        <v>422</v>
      </c>
      <c r="P314" t="s">
        <v>428</v>
      </c>
      <c r="S314" t="s">
        <v>726</v>
      </c>
      <c r="T314" t="s">
        <v>1426</v>
      </c>
      <c r="U314" t="s">
        <v>207</v>
      </c>
      <c r="V314" t="s">
        <v>248</v>
      </c>
      <c r="W314" t="s">
        <v>1877</v>
      </c>
      <c r="X314" t="s">
        <v>2170</v>
      </c>
      <c r="Y314" t="s">
        <v>2800</v>
      </c>
      <c r="Z314" t="s">
        <v>3098</v>
      </c>
      <c r="AA314" t="s">
        <v>3135</v>
      </c>
      <c r="AB314">
        <v>10455</v>
      </c>
      <c r="AC314" t="s">
        <v>3139</v>
      </c>
      <c r="AD314" t="s">
        <v>3431</v>
      </c>
      <c r="AE314">
        <v>3</v>
      </c>
      <c r="AF314" t="s">
        <v>4023</v>
      </c>
      <c r="AG314" t="s">
        <v>4031</v>
      </c>
      <c r="AH314" t="s">
        <v>291</v>
      </c>
      <c r="AK314" t="s">
        <v>4040</v>
      </c>
      <c r="AL314" t="s">
        <v>4046</v>
      </c>
      <c r="AM314">
        <v>0</v>
      </c>
      <c r="AN314">
        <v>178</v>
      </c>
      <c r="AO314">
        <v>0.5</v>
      </c>
      <c r="AP314" t="s">
        <v>4052</v>
      </c>
      <c r="AQ314" t="s">
        <v>4357</v>
      </c>
      <c r="AR314" t="s">
        <v>5257</v>
      </c>
      <c r="AS314">
        <v>50</v>
      </c>
      <c r="AT314" t="s">
        <v>5840</v>
      </c>
      <c r="AU314">
        <v>2</v>
      </c>
      <c r="AV314">
        <v>0</v>
      </c>
      <c r="AW314">
        <v>60.75</v>
      </c>
      <c r="BA314" t="s">
        <v>3143</v>
      </c>
      <c r="BB314" t="s">
        <v>1322</v>
      </c>
      <c r="BC314">
        <v>10272</v>
      </c>
      <c r="BG314" t="s">
        <v>140</v>
      </c>
      <c r="BJ314" t="s">
        <v>5949</v>
      </c>
      <c r="BK314" t="s">
        <v>248</v>
      </c>
      <c r="BL314" t="s">
        <v>6056</v>
      </c>
    </row>
    <row r="315" spans="1:64">
      <c r="A315" s="1">
        <f>HYPERLINK("https://lsnyc.legalserver.org/matter/dynamic-profile/view/1904654","19-1904654")</f>
        <v>0</v>
      </c>
      <c r="B315" t="s">
        <v>65</v>
      </c>
      <c r="C315" t="s">
        <v>106</v>
      </c>
      <c r="D315" t="s">
        <v>200</v>
      </c>
      <c r="E315" t="s">
        <v>202</v>
      </c>
      <c r="F315" t="s">
        <v>207</v>
      </c>
      <c r="G315" t="s">
        <v>202</v>
      </c>
      <c r="H315" t="s">
        <v>271</v>
      </c>
      <c r="I315" t="s">
        <v>202</v>
      </c>
      <c r="J315" t="s">
        <v>289</v>
      </c>
      <c r="K315" t="s">
        <v>292</v>
      </c>
      <c r="M315" t="s">
        <v>290</v>
      </c>
      <c r="N315" t="s">
        <v>202</v>
      </c>
      <c r="O315" t="s">
        <v>422</v>
      </c>
      <c r="P315" t="s">
        <v>428</v>
      </c>
      <c r="S315" t="s">
        <v>727</v>
      </c>
      <c r="T315" t="s">
        <v>1427</v>
      </c>
      <c r="U315" t="s">
        <v>246</v>
      </c>
      <c r="V315" t="s">
        <v>260</v>
      </c>
      <c r="W315" t="s">
        <v>1877</v>
      </c>
      <c r="X315" t="s">
        <v>2171</v>
      </c>
      <c r="Y315">
        <v>325</v>
      </c>
      <c r="Z315" t="s">
        <v>3098</v>
      </c>
      <c r="AA315" t="s">
        <v>3135</v>
      </c>
      <c r="AB315">
        <v>10455</v>
      </c>
      <c r="AD315" t="s">
        <v>3432</v>
      </c>
      <c r="AE315">
        <v>1</v>
      </c>
      <c r="AF315" t="s">
        <v>4023</v>
      </c>
      <c r="AG315" t="s">
        <v>4031</v>
      </c>
      <c r="AH315" t="s">
        <v>291</v>
      </c>
      <c r="AK315" t="s">
        <v>4040</v>
      </c>
      <c r="AL315" t="s">
        <v>4046</v>
      </c>
      <c r="AM315">
        <v>0</v>
      </c>
      <c r="AN315">
        <v>1942.15</v>
      </c>
      <c r="AO315">
        <v>0.5</v>
      </c>
      <c r="AP315" t="s">
        <v>4052</v>
      </c>
      <c r="AQ315" t="s">
        <v>4358</v>
      </c>
      <c r="AR315" t="s">
        <v>5258</v>
      </c>
      <c r="AS315">
        <v>0</v>
      </c>
      <c r="AT315" t="s">
        <v>5844</v>
      </c>
      <c r="AU315">
        <v>1</v>
      </c>
      <c r="AV315">
        <v>0</v>
      </c>
      <c r="AW315">
        <v>67.34999999999999</v>
      </c>
      <c r="BB315" t="s">
        <v>1322</v>
      </c>
      <c r="BC315">
        <v>8412</v>
      </c>
      <c r="BG315" t="s">
        <v>5902</v>
      </c>
      <c r="BJ315" t="s">
        <v>5950</v>
      </c>
      <c r="BK315" t="s">
        <v>260</v>
      </c>
      <c r="BL315" t="s">
        <v>6056</v>
      </c>
    </row>
    <row r="316" spans="1:64">
      <c r="A316" s="1">
        <f>HYPERLINK("https://lsnyc.legalserver.org/matter/dynamic-profile/view/1908075","19-1908075")</f>
        <v>0</v>
      </c>
      <c r="B316" t="s">
        <v>65</v>
      </c>
      <c r="C316" t="s">
        <v>106</v>
      </c>
      <c r="D316" t="s">
        <v>200</v>
      </c>
      <c r="E316" t="s">
        <v>201</v>
      </c>
      <c r="G316" t="s">
        <v>202</v>
      </c>
      <c r="H316" t="s">
        <v>272</v>
      </c>
      <c r="I316" t="s">
        <v>288</v>
      </c>
      <c r="J316" t="s">
        <v>290</v>
      </c>
      <c r="K316" t="s">
        <v>292</v>
      </c>
      <c r="M316" t="s">
        <v>290</v>
      </c>
      <c r="N316" t="s">
        <v>202</v>
      </c>
      <c r="O316" t="s">
        <v>422</v>
      </c>
      <c r="P316" t="s">
        <v>428</v>
      </c>
      <c r="S316" t="s">
        <v>728</v>
      </c>
      <c r="T316" t="s">
        <v>1428</v>
      </c>
      <c r="U316" t="s">
        <v>221</v>
      </c>
      <c r="V316" t="s">
        <v>206</v>
      </c>
      <c r="W316" t="s">
        <v>1877</v>
      </c>
      <c r="X316" t="s">
        <v>2172</v>
      </c>
      <c r="Y316" t="s">
        <v>2919</v>
      </c>
      <c r="Z316" t="s">
        <v>3098</v>
      </c>
      <c r="AA316" t="s">
        <v>3135</v>
      </c>
      <c r="AB316">
        <v>10456</v>
      </c>
      <c r="AC316" t="s">
        <v>3139</v>
      </c>
      <c r="AD316" t="s">
        <v>3433</v>
      </c>
      <c r="AE316">
        <v>0</v>
      </c>
      <c r="AF316" t="s">
        <v>4023</v>
      </c>
      <c r="AG316" t="s">
        <v>4031</v>
      </c>
      <c r="AH316" t="s">
        <v>291</v>
      </c>
      <c r="AI316" t="s">
        <v>291</v>
      </c>
      <c r="AK316" t="s">
        <v>4040</v>
      </c>
      <c r="AL316" t="s">
        <v>4047</v>
      </c>
      <c r="AM316">
        <v>0</v>
      </c>
      <c r="AN316">
        <v>0</v>
      </c>
      <c r="AO316">
        <v>0.7</v>
      </c>
      <c r="AP316" t="s">
        <v>4052</v>
      </c>
      <c r="AQ316" t="s">
        <v>4359</v>
      </c>
      <c r="AS316">
        <v>0</v>
      </c>
      <c r="AU316">
        <v>1</v>
      </c>
      <c r="AV316">
        <v>0</v>
      </c>
      <c r="AW316">
        <v>0</v>
      </c>
      <c r="BB316" t="s">
        <v>5865</v>
      </c>
      <c r="BC316">
        <v>0</v>
      </c>
      <c r="BG316" t="s">
        <v>140</v>
      </c>
      <c r="BJ316" t="s">
        <v>5945</v>
      </c>
      <c r="BK316" t="s">
        <v>206</v>
      </c>
      <c r="BL316" t="s">
        <v>329</v>
      </c>
    </row>
    <row r="317" spans="1:64">
      <c r="A317" s="1">
        <f>HYPERLINK("https://lsnyc.legalserver.org/matter/dynamic-profile/view/1907403","19-1907403")</f>
        <v>0</v>
      </c>
      <c r="B317" t="s">
        <v>65</v>
      </c>
      <c r="C317" t="s">
        <v>106</v>
      </c>
      <c r="D317" t="s">
        <v>200</v>
      </c>
      <c r="E317" t="s">
        <v>201</v>
      </c>
      <c r="G317" t="s">
        <v>202</v>
      </c>
      <c r="H317" t="s">
        <v>278</v>
      </c>
      <c r="I317" t="s">
        <v>288</v>
      </c>
      <c r="J317" t="s">
        <v>291</v>
      </c>
      <c r="K317" t="s">
        <v>292</v>
      </c>
      <c r="M317" t="s">
        <v>290</v>
      </c>
      <c r="N317" t="s">
        <v>202</v>
      </c>
      <c r="O317" t="s">
        <v>422</v>
      </c>
      <c r="P317" t="s">
        <v>428</v>
      </c>
      <c r="S317" t="s">
        <v>729</v>
      </c>
      <c r="T317" t="s">
        <v>1429</v>
      </c>
      <c r="U317" t="s">
        <v>257</v>
      </c>
      <c r="V317" t="s">
        <v>217</v>
      </c>
      <c r="W317" t="s">
        <v>1877</v>
      </c>
      <c r="X317" t="s">
        <v>2173</v>
      </c>
      <c r="Y317" t="s">
        <v>2920</v>
      </c>
      <c r="Z317" t="s">
        <v>3098</v>
      </c>
      <c r="AA317" t="s">
        <v>3135</v>
      </c>
      <c r="AB317">
        <v>10456</v>
      </c>
      <c r="AC317" t="s">
        <v>3145</v>
      </c>
      <c r="AE317">
        <v>0</v>
      </c>
      <c r="AF317" t="s">
        <v>4023</v>
      </c>
      <c r="AG317" t="s">
        <v>4031</v>
      </c>
      <c r="AH317" t="s">
        <v>291</v>
      </c>
      <c r="AK317" t="s">
        <v>4040</v>
      </c>
      <c r="AM317">
        <v>0</v>
      </c>
      <c r="AN317">
        <v>0</v>
      </c>
      <c r="AO317">
        <v>1</v>
      </c>
      <c r="AP317" t="s">
        <v>4052</v>
      </c>
      <c r="AQ317" t="s">
        <v>4360</v>
      </c>
      <c r="AR317" t="s">
        <v>5259</v>
      </c>
      <c r="AS317">
        <v>0</v>
      </c>
      <c r="AU317">
        <v>1</v>
      </c>
      <c r="AV317">
        <v>2</v>
      </c>
      <c r="AW317">
        <v>60.95</v>
      </c>
      <c r="BB317" t="s">
        <v>1322</v>
      </c>
      <c r="BC317">
        <v>13000</v>
      </c>
      <c r="BG317" t="s">
        <v>5904</v>
      </c>
      <c r="BJ317" t="s">
        <v>5955</v>
      </c>
      <c r="BK317" t="s">
        <v>217</v>
      </c>
    </row>
    <row r="318" spans="1:64">
      <c r="A318" s="1">
        <f>HYPERLINK("https://lsnyc.legalserver.org/matter/dynamic-profile/view/1910239","19-1910239")</f>
        <v>0</v>
      </c>
      <c r="B318" t="s">
        <v>65</v>
      </c>
      <c r="C318" t="s">
        <v>106</v>
      </c>
      <c r="D318" t="s">
        <v>200</v>
      </c>
      <c r="E318" t="s">
        <v>201</v>
      </c>
      <c r="G318" t="s">
        <v>202</v>
      </c>
      <c r="H318" t="s">
        <v>271</v>
      </c>
      <c r="I318" t="s">
        <v>202</v>
      </c>
      <c r="J318" t="s">
        <v>289</v>
      </c>
      <c r="K318" t="s">
        <v>292</v>
      </c>
      <c r="M318" t="s">
        <v>290</v>
      </c>
      <c r="N318" t="s">
        <v>202</v>
      </c>
      <c r="O318" t="s">
        <v>422</v>
      </c>
      <c r="P318" t="s">
        <v>427</v>
      </c>
      <c r="S318" t="s">
        <v>730</v>
      </c>
      <c r="T318" t="s">
        <v>1430</v>
      </c>
      <c r="U318" t="s">
        <v>259</v>
      </c>
      <c r="W318" t="s">
        <v>1876</v>
      </c>
      <c r="X318" t="s">
        <v>2174</v>
      </c>
      <c r="Y318" t="s">
        <v>2921</v>
      </c>
      <c r="Z318" t="s">
        <v>3098</v>
      </c>
      <c r="AA318" t="s">
        <v>3135</v>
      </c>
      <c r="AB318">
        <v>10456</v>
      </c>
      <c r="AC318" t="s">
        <v>3139</v>
      </c>
      <c r="AD318" t="s">
        <v>3434</v>
      </c>
      <c r="AE318">
        <v>9</v>
      </c>
      <c r="AG318" t="s">
        <v>4031</v>
      </c>
      <c r="AH318" t="s">
        <v>291</v>
      </c>
      <c r="AI318" t="s">
        <v>291</v>
      </c>
      <c r="AK318" t="s">
        <v>4040</v>
      </c>
      <c r="AM318">
        <v>0</v>
      </c>
      <c r="AN318">
        <v>460</v>
      </c>
      <c r="AO318">
        <v>0</v>
      </c>
      <c r="AQ318" t="s">
        <v>4361</v>
      </c>
      <c r="AR318" t="s">
        <v>5260</v>
      </c>
      <c r="AS318">
        <v>129</v>
      </c>
      <c r="AT318" t="s">
        <v>5838</v>
      </c>
      <c r="AU318">
        <v>1</v>
      </c>
      <c r="AV318">
        <v>0</v>
      </c>
      <c r="AW318">
        <v>152.12</v>
      </c>
      <c r="BB318" t="s">
        <v>5865</v>
      </c>
      <c r="BC318">
        <v>19000</v>
      </c>
      <c r="BG318" t="s">
        <v>140</v>
      </c>
      <c r="BJ318" t="s">
        <v>5949</v>
      </c>
      <c r="BL318" t="s">
        <v>6056</v>
      </c>
    </row>
    <row r="319" spans="1:64">
      <c r="A319" s="1">
        <f>HYPERLINK("https://lsnyc.legalserver.org/matter/dynamic-profile/view/1908424","19-1908424")</f>
        <v>0</v>
      </c>
      <c r="B319" t="s">
        <v>65</v>
      </c>
      <c r="C319" t="s">
        <v>106</v>
      </c>
      <c r="D319" t="s">
        <v>200</v>
      </c>
      <c r="E319" t="s">
        <v>201</v>
      </c>
      <c r="G319" t="s">
        <v>202</v>
      </c>
      <c r="H319" t="s">
        <v>271</v>
      </c>
      <c r="I319" t="s">
        <v>202</v>
      </c>
      <c r="J319" t="s">
        <v>289</v>
      </c>
      <c r="K319" t="s">
        <v>292</v>
      </c>
      <c r="M319" t="s">
        <v>290</v>
      </c>
      <c r="N319" t="s">
        <v>202</v>
      </c>
      <c r="O319" t="s">
        <v>422</v>
      </c>
      <c r="P319" t="s">
        <v>427</v>
      </c>
      <c r="S319" t="s">
        <v>731</v>
      </c>
      <c r="T319" t="s">
        <v>1431</v>
      </c>
      <c r="U319" t="s">
        <v>218</v>
      </c>
      <c r="W319" t="s">
        <v>1876</v>
      </c>
      <c r="X319" t="s">
        <v>2175</v>
      </c>
      <c r="Y319" t="s">
        <v>2809</v>
      </c>
      <c r="Z319" t="s">
        <v>3098</v>
      </c>
      <c r="AA319" t="s">
        <v>3135</v>
      </c>
      <c r="AB319">
        <v>10454</v>
      </c>
      <c r="AC319" t="s">
        <v>3139</v>
      </c>
      <c r="AD319" t="s">
        <v>3435</v>
      </c>
      <c r="AE319">
        <v>11</v>
      </c>
      <c r="AG319" t="s">
        <v>4031</v>
      </c>
      <c r="AH319" t="s">
        <v>291</v>
      </c>
      <c r="AI319" t="s">
        <v>291</v>
      </c>
      <c r="AK319" t="s">
        <v>4040</v>
      </c>
      <c r="AM319">
        <v>0</v>
      </c>
      <c r="AN319">
        <v>0</v>
      </c>
      <c r="AO319">
        <v>1.1</v>
      </c>
      <c r="AQ319" t="s">
        <v>4362</v>
      </c>
      <c r="AS319">
        <v>0</v>
      </c>
      <c r="AT319" t="s">
        <v>5837</v>
      </c>
      <c r="AU319">
        <v>1</v>
      </c>
      <c r="AV319">
        <v>4</v>
      </c>
      <c r="AW319">
        <v>0</v>
      </c>
      <c r="BA319" t="s">
        <v>5850</v>
      </c>
      <c r="BB319" t="s">
        <v>1322</v>
      </c>
      <c r="BC319">
        <v>0</v>
      </c>
      <c r="BG319" t="s">
        <v>5904</v>
      </c>
      <c r="BJ319" t="s">
        <v>5945</v>
      </c>
      <c r="BK319" t="s">
        <v>230</v>
      </c>
      <c r="BL319" t="s">
        <v>6056</v>
      </c>
    </row>
    <row r="320" spans="1:64">
      <c r="A320" s="1">
        <f>HYPERLINK("https://lsnyc.legalserver.org/matter/dynamic-profile/view/1907117","19-1907117")</f>
        <v>0</v>
      </c>
      <c r="B320" t="s">
        <v>65</v>
      </c>
      <c r="C320" t="s">
        <v>106</v>
      </c>
      <c r="D320" t="s">
        <v>200</v>
      </c>
      <c r="E320" t="s">
        <v>202</v>
      </c>
      <c r="F320" t="s">
        <v>226</v>
      </c>
      <c r="G320" t="s">
        <v>202</v>
      </c>
      <c r="H320" t="s">
        <v>271</v>
      </c>
      <c r="I320" t="s">
        <v>202</v>
      </c>
      <c r="J320" t="s">
        <v>289</v>
      </c>
      <c r="K320" t="s">
        <v>292</v>
      </c>
      <c r="M320" t="s">
        <v>290</v>
      </c>
      <c r="N320" t="s">
        <v>202</v>
      </c>
      <c r="O320" t="s">
        <v>422</v>
      </c>
      <c r="P320" t="s">
        <v>428</v>
      </c>
      <c r="S320" t="s">
        <v>553</v>
      </c>
      <c r="T320" t="s">
        <v>1217</v>
      </c>
      <c r="U320" t="s">
        <v>226</v>
      </c>
      <c r="V320" t="s">
        <v>219</v>
      </c>
      <c r="W320" t="s">
        <v>1877</v>
      </c>
      <c r="X320" t="s">
        <v>2176</v>
      </c>
      <c r="Y320" t="s">
        <v>2922</v>
      </c>
      <c r="Z320" t="s">
        <v>3098</v>
      </c>
      <c r="AA320" t="s">
        <v>3135</v>
      </c>
      <c r="AB320">
        <v>10456</v>
      </c>
      <c r="AC320" t="s">
        <v>3136</v>
      </c>
      <c r="AD320" t="s">
        <v>3436</v>
      </c>
      <c r="AE320">
        <v>26</v>
      </c>
      <c r="AF320" t="s">
        <v>4023</v>
      </c>
      <c r="AG320" t="s">
        <v>4031</v>
      </c>
      <c r="AH320" t="s">
        <v>291</v>
      </c>
      <c r="AI320" t="s">
        <v>291</v>
      </c>
      <c r="AK320" t="s">
        <v>4040</v>
      </c>
      <c r="AL320" t="s">
        <v>4046</v>
      </c>
      <c r="AM320">
        <v>0</v>
      </c>
      <c r="AN320">
        <v>430</v>
      </c>
      <c r="AO320">
        <v>0.5</v>
      </c>
      <c r="AP320" t="s">
        <v>4052</v>
      </c>
      <c r="AQ320" t="s">
        <v>4363</v>
      </c>
      <c r="AS320">
        <v>0</v>
      </c>
      <c r="AT320" t="s">
        <v>5841</v>
      </c>
      <c r="AU320">
        <v>1</v>
      </c>
      <c r="AV320">
        <v>3</v>
      </c>
      <c r="AW320">
        <v>100.97</v>
      </c>
      <c r="BB320" t="s">
        <v>1322</v>
      </c>
      <c r="BC320">
        <v>26000</v>
      </c>
      <c r="BG320" t="s">
        <v>140</v>
      </c>
      <c r="BJ320" t="s">
        <v>5982</v>
      </c>
      <c r="BK320" t="s">
        <v>252</v>
      </c>
      <c r="BL320" t="s">
        <v>6056</v>
      </c>
    </row>
    <row r="321" spans="1:64">
      <c r="A321" s="1">
        <f>HYPERLINK("https://lsnyc.legalserver.org/matter/dynamic-profile/view/1903908","19-1903908")</f>
        <v>0</v>
      </c>
      <c r="B321" t="s">
        <v>65</v>
      </c>
      <c r="C321" t="s">
        <v>106</v>
      </c>
      <c r="D321" t="s">
        <v>200</v>
      </c>
      <c r="E321" t="s">
        <v>202</v>
      </c>
      <c r="F321" t="s">
        <v>229</v>
      </c>
      <c r="G321" t="s">
        <v>202</v>
      </c>
      <c r="H321" t="s">
        <v>271</v>
      </c>
      <c r="I321" t="s">
        <v>202</v>
      </c>
      <c r="J321" t="s">
        <v>289</v>
      </c>
      <c r="K321" t="s">
        <v>292</v>
      </c>
      <c r="M321" t="s">
        <v>290</v>
      </c>
      <c r="N321" t="s">
        <v>202</v>
      </c>
      <c r="O321" t="s">
        <v>422</v>
      </c>
      <c r="P321" t="s">
        <v>428</v>
      </c>
      <c r="S321" t="s">
        <v>732</v>
      </c>
      <c r="T321" t="s">
        <v>1432</v>
      </c>
      <c r="U321" t="s">
        <v>229</v>
      </c>
      <c r="V321" t="s">
        <v>232</v>
      </c>
      <c r="W321" t="s">
        <v>1877</v>
      </c>
      <c r="X321" t="s">
        <v>2177</v>
      </c>
      <c r="Z321" t="s">
        <v>3098</v>
      </c>
      <c r="AA321" t="s">
        <v>3135</v>
      </c>
      <c r="AB321">
        <v>10456</v>
      </c>
      <c r="AC321" t="s">
        <v>3143</v>
      </c>
      <c r="AD321" t="s">
        <v>3437</v>
      </c>
      <c r="AE321">
        <v>0</v>
      </c>
      <c r="AF321" t="s">
        <v>4023</v>
      </c>
      <c r="AG321" t="s">
        <v>4031</v>
      </c>
      <c r="AH321" t="s">
        <v>291</v>
      </c>
      <c r="AI321" t="s">
        <v>291</v>
      </c>
      <c r="AK321" t="s">
        <v>4040</v>
      </c>
      <c r="AL321" t="s">
        <v>4046</v>
      </c>
      <c r="AM321">
        <v>0</v>
      </c>
      <c r="AN321">
        <v>909.17</v>
      </c>
      <c r="AO321">
        <v>1.45</v>
      </c>
      <c r="AP321" t="s">
        <v>4052</v>
      </c>
      <c r="AQ321" t="s">
        <v>4364</v>
      </c>
      <c r="AR321" t="s">
        <v>5261</v>
      </c>
      <c r="AS321">
        <v>46</v>
      </c>
      <c r="AU321">
        <v>1</v>
      </c>
      <c r="AV321">
        <v>0</v>
      </c>
      <c r="AW321">
        <v>187.35</v>
      </c>
      <c r="BA321" t="s">
        <v>329</v>
      </c>
      <c r="BB321" t="s">
        <v>1322</v>
      </c>
      <c r="BC321">
        <v>23400</v>
      </c>
      <c r="BG321" t="s">
        <v>5904</v>
      </c>
      <c r="BJ321" t="s">
        <v>5949</v>
      </c>
      <c r="BK321" t="s">
        <v>232</v>
      </c>
      <c r="BL321" t="s">
        <v>6056</v>
      </c>
    </row>
    <row r="322" spans="1:64">
      <c r="A322" s="1">
        <f>HYPERLINK("https://lsnyc.legalserver.org/matter/dynamic-profile/view/1905513","19-1905513")</f>
        <v>0</v>
      </c>
      <c r="B322" t="s">
        <v>65</v>
      </c>
      <c r="C322" t="s">
        <v>106</v>
      </c>
      <c r="D322" t="s">
        <v>200</v>
      </c>
      <c r="E322" t="s">
        <v>201</v>
      </c>
      <c r="G322" t="s">
        <v>270</v>
      </c>
      <c r="I322" t="s">
        <v>202</v>
      </c>
      <c r="J322" t="s">
        <v>289</v>
      </c>
      <c r="K322" t="s">
        <v>292</v>
      </c>
      <c r="M322" t="s">
        <v>290</v>
      </c>
      <c r="N322" t="s">
        <v>202</v>
      </c>
      <c r="O322" t="s">
        <v>422</v>
      </c>
      <c r="P322" t="s">
        <v>428</v>
      </c>
      <c r="S322" t="s">
        <v>733</v>
      </c>
      <c r="T322" t="s">
        <v>1433</v>
      </c>
      <c r="U322" t="s">
        <v>242</v>
      </c>
      <c r="V322" t="s">
        <v>210</v>
      </c>
      <c r="W322" t="s">
        <v>1877</v>
      </c>
      <c r="X322" t="s">
        <v>2178</v>
      </c>
      <c r="Y322" t="s">
        <v>2923</v>
      </c>
      <c r="Z322" t="s">
        <v>3098</v>
      </c>
      <c r="AA322" t="s">
        <v>3135</v>
      </c>
      <c r="AB322">
        <v>10457</v>
      </c>
      <c r="AC322" t="s">
        <v>3139</v>
      </c>
      <c r="AE322">
        <v>10</v>
      </c>
      <c r="AF322" t="s">
        <v>4023</v>
      </c>
      <c r="AG322" t="s">
        <v>4030</v>
      </c>
      <c r="AH322" t="s">
        <v>291</v>
      </c>
      <c r="AK322" t="s">
        <v>4040</v>
      </c>
      <c r="AM322">
        <v>0</v>
      </c>
      <c r="AN322">
        <v>712.42</v>
      </c>
      <c r="AO322">
        <v>0.3</v>
      </c>
      <c r="AP322" t="s">
        <v>4052</v>
      </c>
      <c r="AQ322" t="s">
        <v>4365</v>
      </c>
      <c r="AR322" t="s">
        <v>5262</v>
      </c>
      <c r="AS322">
        <v>40</v>
      </c>
      <c r="AU322">
        <v>1</v>
      </c>
      <c r="AV322">
        <v>0</v>
      </c>
      <c r="AW322">
        <v>304.24</v>
      </c>
      <c r="BC322">
        <v>38000</v>
      </c>
      <c r="BG322" t="s">
        <v>140</v>
      </c>
      <c r="BJ322" t="s">
        <v>5949</v>
      </c>
      <c r="BK322" t="s">
        <v>210</v>
      </c>
      <c r="BL322" t="s">
        <v>6056</v>
      </c>
    </row>
    <row r="323" spans="1:64">
      <c r="A323" s="1">
        <f>HYPERLINK("https://lsnyc.legalserver.org/matter/dynamic-profile/view/1910225","19-1910225")</f>
        <v>0</v>
      </c>
      <c r="B323" t="s">
        <v>65</v>
      </c>
      <c r="C323" t="s">
        <v>106</v>
      </c>
      <c r="D323" t="s">
        <v>200</v>
      </c>
      <c r="E323" t="s">
        <v>201</v>
      </c>
      <c r="G323" t="s">
        <v>202</v>
      </c>
      <c r="H323" t="s">
        <v>272</v>
      </c>
      <c r="I323" t="s">
        <v>202</v>
      </c>
      <c r="J323" t="s">
        <v>289</v>
      </c>
      <c r="K323" t="s">
        <v>292</v>
      </c>
      <c r="M323" t="s">
        <v>290</v>
      </c>
      <c r="N323" t="s">
        <v>202</v>
      </c>
      <c r="O323" t="s">
        <v>422</v>
      </c>
      <c r="P323" t="s">
        <v>427</v>
      </c>
      <c r="S323" t="s">
        <v>734</v>
      </c>
      <c r="T323" t="s">
        <v>1434</v>
      </c>
      <c r="U323" t="s">
        <v>259</v>
      </c>
      <c r="W323" t="s">
        <v>1876</v>
      </c>
      <c r="X323" t="s">
        <v>2179</v>
      </c>
      <c r="Y323">
        <v>224</v>
      </c>
      <c r="Z323" t="s">
        <v>3098</v>
      </c>
      <c r="AA323" t="s">
        <v>3135</v>
      </c>
      <c r="AB323">
        <v>10458</v>
      </c>
      <c r="AC323" t="s">
        <v>3139</v>
      </c>
      <c r="AD323" t="s">
        <v>3438</v>
      </c>
      <c r="AE323">
        <v>24</v>
      </c>
      <c r="AG323" t="s">
        <v>4031</v>
      </c>
      <c r="AH323" t="s">
        <v>291</v>
      </c>
      <c r="AI323" t="s">
        <v>291</v>
      </c>
      <c r="AK323" t="s">
        <v>4040</v>
      </c>
      <c r="AM323">
        <v>0</v>
      </c>
      <c r="AN323">
        <v>911.22</v>
      </c>
      <c r="AO323">
        <v>0</v>
      </c>
      <c r="AQ323" t="s">
        <v>4366</v>
      </c>
      <c r="AS323">
        <v>166</v>
      </c>
      <c r="AT323" t="s">
        <v>5838</v>
      </c>
      <c r="AU323">
        <v>1</v>
      </c>
      <c r="AV323">
        <v>0</v>
      </c>
      <c r="AW323">
        <v>149.43</v>
      </c>
      <c r="BB323" t="s">
        <v>1322</v>
      </c>
      <c r="BC323">
        <v>18663.96</v>
      </c>
      <c r="BG323" t="s">
        <v>140</v>
      </c>
      <c r="BJ323" t="s">
        <v>5968</v>
      </c>
      <c r="BL323" t="s">
        <v>6056</v>
      </c>
    </row>
    <row r="324" spans="1:64">
      <c r="A324" s="1">
        <f>HYPERLINK("https://lsnyc.legalserver.org/matter/dynamic-profile/view/1909334","19-1909334")</f>
        <v>0</v>
      </c>
      <c r="B324" t="s">
        <v>65</v>
      </c>
      <c r="C324" t="s">
        <v>106</v>
      </c>
      <c r="D324" t="s">
        <v>200</v>
      </c>
      <c r="E324" t="s">
        <v>201</v>
      </c>
      <c r="G324" t="s">
        <v>202</v>
      </c>
      <c r="H324" t="s">
        <v>272</v>
      </c>
      <c r="I324" t="s">
        <v>202</v>
      </c>
      <c r="J324" t="s">
        <v>289</v>
      </c>
      <c r="K324" t="s">
        <v>292</v>
      </c>
      <c r="M324" t="s">
        <v>290</v>
      </c>
      <c r="N324" t="s">
        <v>202</v>
      </c>
      <c r="O324" t="s">
        <v>422</v>
      </c>
      <c r="P324" t="s">
        <v>427</v>
      </c>
      <c r="S324" t="s">
        <v>735</v>
      </c>
      <c r="T324" t="s">
        <v>1435</v>
      </c>
      <c r="U324" t="s">
        <v>263</v>
      </c>
      <c r="W324" t="s">
        <v>1876</v>
      </c>
      <c r="X324" t="s">
        <v>2180</v>
      </c>
      <c r="Y324" t="s">
        <v>2924</v>
      </c>
      <c r="Z324" t="s">
        <v>3098</v>
      </c>
      <c r="AA324" t="s">
        <v>3135</v>
      </c>
      <c r="AB324">
        <v>10458</v>
      </c>
      <c r="AC324" t="s">
        <v>3139</v>
      </c>
      <c r="AD324" t="s">
        <v>3439</v>
      </c>
      <c r="AE324">
        <v>6</v>
      </c>
      <c r="AG324" t="s">
        <v>4031</v>
      </c>
      <c r="AH324" t="s">
        <v>291</v>
      </c>
      <c r="AI324" t="s">
        <v>291</v>
      </c>
      <c r="AK324" t="s">
        <v>4040</v>
      </c>
      <c r="AM324">
        <v>0</v>
      </c>
      <c r="AN324">
        <v>1359.15</v>
      </c>
      <c r="AO324">
        <v>0</v>
      </c>
      <c r="AQ324" t="s">
        <v>4367</v>
      </c>
      <c r="AR324" t="s">
        <v>5263</v>
      </c>
      <c r="AS324">
        <v>9</v>
      </c>
      <c r="AT324" t="s">
        <v>5838</v>
      </c>
      <c r="AU324">
        <v>3</v>
      </c>
      <c r="AV324">
        <v>3</v>
      </c>
      <c r="AW324">
        <v>86.73</v>
      </c>
      <c r="BB324" t="s">
        <v>5859</v>
      </c>
      <c r="BC324">
        <v>30000</v>
      </c>
      <c r="BG324" t="s">
        <v>140</v>
      </c>
      <c r="BJ324" t="s">
        <v>5949</v>
      </c>
      <c r="BL324" t="s">
        <v>6056</v>
      </c>
    </row>
    <row r="325" spans="1:64">
      <c r="A325" s="1">
        <f>HYPERLINK("https://lsnyc.legalserver.org/matter/dynamic-profile/view/1908987","19-1908987")</f>
        <v>0</v>
      </c>
      <c r="B325" t="s">
        <v>65</v>
      </c>
      <c r="C325" t="s">
        <v>106</v>
      </c>
      <c r="D325" t="s">
        <v>200</v>
      </c>
      <c r="E325" t="s">
        <v>201</v>
      </c>
      <c r="G325" t="s">
        <v>202</v>
      </c>
      <c r="H325" t="s">
        <v>272</v>
      </c>
      <c r="I325" t="s">
        <v>288</v>
      </c>
      <c r="J325" t="s">
        <v>290</v>
      </c>
      <c r="K325" t="s">
        <v>292</v>
      </c>
      <c r="M325" t="s">
        <v>290</v>
      </c>
      <c r="N325" t="s">
        <v>202</v>
      </c>
      <c r="O325" t="s">
        <v>422</v>
      </c>
      <c r="P325" t="s">
        <v>428</v>
      </c>
      <c r="S325" t="s">
        <v>736</v>
      </c>
      <c r="T325" t="s">
        <v>1436</v>
      </c>
      <c r="U325" t="s">
        <v>238</v>
      </c>
      <c r="V325" t="s">
        <v>266</v>
      </c>
      <c r="W325" t="s">
        <v>1877</v>
      </c>
      <c r="X325" t="s">
        <v>2181</v>
      </c>
      <c r="Y325" t="s">
        <v>2925</v>
      </c>
      <c r="Z325" t="s">
        <v>3098</v>
      </c>
      <c r="AA325" t="s">
        <v>3135</v>
      </c>
      <c r="AB325">
        <v>10458</v>
      </c>
      <c r="AC325" t="s">
        <v>3144</v>
      </c>
      <c r="AE325">
        <v>2</v>
      </c>
      <c r="AF325" t="s">
        <v>4023</v>
      </c>
      <c r="AG325" t="s">
        <v>4031</v>
      </c>
      <c r="AH325" t="s">
        <v>291</v>
      </c>
      <c r="AK325" t="s">
        <v>4040</v>
      </c>
      <c r="AM325">
        <v>0</v>
      </c>
      <c r="AN325">
        <v>1200</v>
      </c>
      <c r="AO325">
        <v>0.5</v>
      </c>
      <c r="AP325" t="s">
        <v>4052</v>
      </c>
      <c r="AQ325" t="s">
        <v>4368</v>
      </c>
      <c r="AS325">
        <v>0</v>
      </c>
      <c r="AU325">
        <v>1</v>
      </c>
      <c r="AV325">
        <v>3</v>
      </c>
      <c r="AW325">
        <v>0</v>
      </c>
      <c r="AY325" t="s">
        <v>5849</v>
      </c>
      <c r="BA325" t="s">
        <v>5852</v>
      </c>
      <c r="BB325" t="s">
        <v>5859</v>
      </c>
      <c r="BC325">
        <v>0</v>
      </c>
      <c r="BG325" t="s">
        <v>5905</v>
      </c>
      <c r="BJ325" t="s">
        <v>5965</v>
      </c>
      <c r="BK325" t="s">
        <v>266</v>
      </c>
      <c r="BL325" t="s">
        <v>6056</v>
      </c>
    </row>
    <row r="326" spans="1:64">
      <c r="A326" s="1">
        <f>HYPERLINK("https://lsnyc.legalserver.org/matter/dynamic-profile/view/1908052","19-1908052")</f>
        <v>0</v>
      </c>
      <c r="B326" t="s">
        <v>65</v>
      </c>
      <c r="C326" t="s">
        <v>106</v>
      </c>
      <c r="D326" t="s">
        <v>200</v>
      </c>
      <c r="E326" t="s">
        <v>202</v>
      </c>
      <c r="F326" t="s">
        <v>243</v>
      </c>
      <c r="G326" t="s">
        <v>202</v>
      </c>
      <c r="H326" t="s">
        <v>272</v>
      </c>
      <c r="I326" t="s">
        <v>202</v>
      </c>
      <c r="J326" t="s">
        <v>289</v>
      </c>
      <c r="K326" t="s">
        <v>202</v>
      </c>
      <c r="L326" t="s">
        <v>340</v>
      </c>
      <c r="M326" t="s">
        <v>290</v>
      </c>
      <c r="N326" t="s">
        <v>202</v>
      </c>
      <c r="O326" t="s">
        <v>422</v>
      </c>
      <c r="P326" t="s">
        <v>428</v>
      </c>
      <c r="S326" t="s">
        <v>737</v>
      </c>
      <c r="T326" t="s">
        <v>1242</v>
      </c>
      <c r="U326" t="s">
        <v>221</v>
      </c>
      <c r="V326" t="s">
        <v>243</v>
      </c>
      <c r="W326" t="s">
        <v>1877</v>
      </c>
      <c r="X326" t="s">
        <v>2182</v>
      </c>
      <c r="Y326">
        <v>30</v>
      </c>
      <c r="Z326" t="s">
        <v>3098</v>
      </c>
      <c r="AA326" t="s">
        <v>3135</v>
      </c>
      <c r="AB326">
        <v>10458</v>
      </c>
      <c r="AC326" t="s">
        <v>3136</v>
      </c>
      <c r="AD326" t="s">
        <v>3440</v>
      </c>
      <c r="AE326">
        <v>1</v>
      </c>
      <c r="AF326" t="s">
        <v>4023</v>
      </c>
      <c r="AG326" t="s">
        <v>4031</v>
      </c>
      <c r="AH326" t="s">
        <v>291</v>
      </c>
      <c r="AI326" t="s">
        <v>291</v>
      </c>
      <c r="AK326" t="s">
        <v>4040</v>
      </c>
      <c r="AM326">
        <v>0</v>
      </c>
      <c r="AN326">
        <v>1827</v>
      </c>
      <c r="AO326">
        <v>0.5</v>
      </c>
      <c r="AP326" t="s">
        <v>4052</v>
      </c>
      <c r="AQ326" t="s">
        <v>4369</v>
      </c>
      <c r="AR326" t="s">
        <v>5264</v>
      </c>
      <c r="AS326">
        <v>30</v>
      </c>
      <c r="AT326" t="s">
        <v>5838</v>
      </c>
      <c r="AU326">
        <v>1</v>
      </c>
      <c r="AV326">
        <v>0</v>
      </c>
      <c r="AW326">
        <v>89.67</v>
      </c>
      <c r="BC326">
        <v>11200</v>
      </c>
      <c r="BG326" t="s">
        <v>140</v>
      </c>
      <c r="BJ326" t="s">
        <v>5949</v>
      </c>
      <c r="BK326" t="s">
        <v>243</v>
      </c>
      <c r="BL326" t="s">
        <v>6056</v>
      </c>
    </row>
    <row r="327" spans="1:64">
      <c r="A327" s="1">
        <f>HYPERLINK("https://lsnyc.legalserver.org/matter/dynamic-profile/view/1908054","19-1908054")</f>
        <v>0</v>
      </c>
      <c r="B327" t="s">
        <v>65</v>
      </c>
      <c r="C327" t="s">
        <v>106</v>
      </c>
      <c r="D327" t="s">
        <v>200</v>
      </c>
      <c r="E327" t="s">
        <v>201</v>
      </c>
      <c r="G327" t="s">
        <v>202</v>
      </c>
      <c r="H327" t="s">
        <v>271</v>
      </c>
      <c r="I327" t="s">
        <v>288</v>
      </c>
      <c r="J327" t="s">
        <v>291</v>
      </c>
      <c r="K327" t="s">
        <v>202</v>
      </c>
      <c r="L327" t="s">
        <v>341</v>
      </c>
      <c r="M327" t="s">
        <v>290</v>
      </c>
      <c r="N327" t="s">
        <v>202</v>
      </c>
      <c r="O327" t="s">
        <v>421</v>
      </c>
      <c r="P327" t="s">
        <v>427</v>
      </c>
      <c r="S327" t="s">
        <v>738</v>
      </c>
      <c r="T327" t="s">
        <v>1437</v>
      </c>
      <c r="U327" t="s">
        <v>221</v>
      </c>
      <c r="W327" t="s">
        <v>1876</v>
      </c>
      <c r="X327" t="s">
        <v>2183</v>
      </c>
      <c r="Y327" t="s">
        <v>2926</v>
      </c>
      <c r="Z327" t="s">
        <v>3098</v>
      </c>
      <c r="AA327" t="s">
        <v>3135</v>
      </c>
      <c r="AB327">
        <v>10454</v>
      </c>
      <c r="AC327" t="s">
        <v>3140</v>
      </c>
      <c r="AD327" t="s">
        <v>3441</v>
      </c>
      <c r="AE327">
        <v>4</v>
      </c>
      <c r="AG327" t="s">
        <v>4031</v>
      </c>
      <c r="AH327" t="s">
        <v>291</v>
      </c>
      <c r="AI327" t="s">
        <v>291</v>
      </c>
      <c r="AK327" t="s">
        <v>4040</v>
      </c>
      <c r="AL327" t="s">
        <v>4048</v>
      </c>
      <c r="AM327">
        <v>0</v>
      </c>
      <c r="AN327">
        <v>2097</v>
      </c>
      <c r="AO327">
        <v>6.5</v>
      </c>
      <c r="AQ327" t="s">
        <v>4370</v>
      </c>
      <c r="AR327" t="s">
        <v>5265</v>
      </c>
      <c r="AS327">
        <v>0</v>
      </c>
      <c r="AT327" t="s">
        <v>5838</v>
      </c>
      <c r="AU327">
        <v>2</v>
      </c>
      <c r="AV327">
        <v>2</v>
      </c>
      <c r="AW327">
        <v>70.61</v>
      </c>
      <c r="BA327" t="s">
        <v>5850</v>
      </c>
      <c r="BB327" t="s">
        <v>1322</v>
      </c>
      <c r="BC327">
        <v>18181</v>
      </c>
      <c r="BF327" t="s">
        <v>5880</v>
      </c>
      <c r="BG327" t="s">
        <v>5904</v>
      </c>
      <c r="BJ327" t="s">
        <v>5993</v>
      </c>
      <c r="BK327" t="s">
        <v>206</v>
      </c>
    </row>
    <row r="328" spans="1:64">
      <c r="A328" s="1">
        <f>HYPERLINK("https://lsnyc.legalserver.org/matter/dynamic-profile/view/1909096","19-1909096")</f>
        <v>0</v>
      </c>
      <c r="B328" t="s">
        <v>65</v>
      </c>
      <c r="C328" t="s">
        <v>106</v>
      </c>
      <c r="D328" t="s">
        <v>200</v>
      </c>
      <c r="E328" t="s">
        <v>201</v>
      </c>
      <c r="G328" t="s">
        <v>202</v>
      </c>
      <c r="H328" t="s">
        <v>271</v>
      </c>
      <c r="I328" t="s">
        <v>202</v>
      </c>
      <c r="J328" t="s">
        <v>289</v>
      </c>
      <c r="K328" t="s">
        <v>292</v>
      </c>
      <c r="M328" t="s">
        <v>290</v>
      </c>
      <c r="N328" t="s">
        <v>202</v>
      </c>
      <c r="O328" t="s">
        <v>422</v>
      </c>
      <c r="P328" t="s">
        <v>428</v>
      </c>
      <c r="S328" t="s">
        <v>739</v>
      </c>
      <c r="T328" t="s">
        <v>1438</v>
      </c>
      <c r="U328" t="s">
        <v>256</v>
      </c>
      <c r="V328" t="s">
        <v>266</v>
      </c>
      <c r="W328" t="s">
        <v>1877</v>
      </c>
      <c r="X328" t="s">
        <v>2184</v>
      </c>
      <c r="Y328" t="s">
        <v>2836</v>
      </c>
      <c r="Z328" t="s">
        <v>3098</v>
      </c>
      <c r="AA328" t="s">
        <v>3135</v>
      </c>
      <c r="AB328">
        <v>10453</v>
      </c>
      <c r="AC328" t="s">
        <v>3139</v>
      </c>
      <c r="AD328" t="s">
        <v>3442</v>
      </c>
      <c r="AE328">
        <v>1</v>
      </c>
      <c r="AF328" t="s">
        <v>4023</v>
      </c>
      <c r="AG328" t="s">
        <v>4031</v>
      </c>
      <c r="AH328" t="s">
        <v>291</v>
      </c>
      <c r="AI328" t="s">
        <v>291</v>
      </c>
      <c r="AK328" t="s">
        <v>4040</v>
      </c>
      <c r="AM328">
        <v>0</v>
      </c>
      <c r="AN328">
        <v>650</v>
      </c>
      <c r="AO328">
        <v>0.5</v>
      </c>
      <c r="AP328" t="s">
        <v>4052</v>
      </c>
      <c r="AQ328" t="s">
        <v>4371</v>
      </c>
      <c r="AR328" t="s">
        <v>5266</v>
      </c>
      <c r="AS328">
        <v>3</v>
      </c>
      <c r="AT328" t="s">
        <v>5835</v>
      </c>
      <c r="AU328">
        <v>1</v>
      </c>
      <c r="AV328">
        <v>0</v>
      </c>
      <c r="AW328">
        <v>0</v>
      </c>
      <c r="BB328" t="s">
        <v>1322</v>
      </c>
      <c r="BC328">
        <v>0</v>
      </c>
      <c r="BG328" t="s">
        <v>140</v>
      </c>
      <c r="BJ328" t="s">
        <v>5945</v>
      </c>
      <c r="BK328" t="s">
        <v>266</v>
      </c>
      <c r="BL328" t="s">
        <v>6056</v>
      </c>
    </row>
    <row r="329" spans="1:64">
      <c r="A329" s="1">
        <f>HYPERLINK("https://lsnyc.legalserver.org/matter/dynamic-profile/view/1905314","19-1905314")</f>
        <v>0</v>
      </c>
      <c r="B329" t="s">
        <v>65</v>
      </c>
      <c r="C329" t="s">
        <v>106</v>
      </c>
      <c r="D329" t="s">
        <v>200</v>
      </c>
      <c r="E329" t="s">
        <v>202</v>
      </c>
      <c r="F329" t="s">
        <v>210</v>
      </c>
      <c r="G329" t="s">
        <v>202</v>
      </c>
      <c r="H329" t="s">
        <v>272</v>
      </c>
      <c r="I329" t="s">
        <v>202</v>
      </c>
      <c r="J329" t="s">
        <v>289</v>
      </c>
      <c r="K329" t="s">
        <v>292</v>
      </c>
      <c r="M329" t="s">
        <v>290</v>
      </c>
      <c r="N329" t="s">
        <v>202</v>
      </c>
      <c r="O329" t="s">
        <v>422</v>
      </c>
      <c r="P329" t="s">
        <v>428</v>
      </c>
      <c r="S329" t="s">
        <v>740</v>
      </c>
      <c r="T329" t="s">
        <v>1439</v>
      </c>
      <c r="U329" t="s">
        <v>231</v>
      </c>
      <c r="V329" t="s">
        <v>210</v>
      </c>
      <c r="W329" t="s">
        <v>1877</v>
      </c>
      <c r="X329" t="s">
        <v>2185</v>
      </c>
      <c r="Z329" t="s">
        <v>3098</v>
      </c>
      <c r="AA329" t="s">
        <v>3135</v>
      </c>
      <c r="AB329">
        <v>10458</v>
      </c>
      <c r="AC329" t="s">
        <v>3139</v>
      </c>
      <c r="AD329" t="s">
        <v>3443</v>
      </c>
      <c r="AE329">
        <v>17</v>
      </c>
      <c r="AF329" t="s">
        <v>4023</v>
      </c>
      <c r="AG329" t="s">
        <v>4031</v>
      </c>
      <c r="AH329" t="s">
        <v>291</v>
      </c>
      <c r="AI329" t="s">
        <v>291</v>
      </c>
      <c r="AK329" t="s">
        <v>4040</v>
      </c>
      <c r="AL329" t="s">
        <v>4046</v>
      </c>
      <c r="AM329">
        <v>0</v>
      </c>
      <c r="AN329">
        <v>1054</v>
      </c>
      <c r="AO329">
        <v>0.5</v>
      </c>
      <c r="AP329" t="s">
        <v>4052</v>
      </c>
      <c r="AQ329" t="s">
        <v>4372</v>
      </c>
      <c r="AR329" t="s">
        <v>5267</v>
      </c>
      <c r="AS329">
        <v>51</v>
      </c>
      <c r="AT329" t="s">
        <v>5836</v>
      </c>
      <c r="AU329">
        <v>2</v>
      </c>
      <c r="AV329">
        <v>1</v>
      </c>
      <c r="AW329">
        <v>160.34</v>
      </c>
      <c r="BA329" t="s">
        <v>329</v>
      </c>
      <c r="BB329" t="s">
        <v>1322</v>
      </c>
      <c r="BC329">
        <v>34200</v>
      </c>
      <c r="BG329" t="s">
        <v>5900</v>
      </c>
      <c r="BJ329" t="s">
        <v>5949</v>
      </c>
      <c r="BK329" t="s">
        <v>210</v>
      </c>
      <c r="BL329" t="s">
        <v>6056</v>
      </c>
    </row>
    <row r="330" spans="1:64">
      <c r="A330" s="1">
        <f>HYPERLINK("https://lsnyc.legalserver.org/matter/dynamic-profile/view/1907111","19-1907111")</f>
        <v>0</v>
      </c>
      <c r="B330" t="s">
        <v>65</v>
      </c>
      <c r="C330" t="s">
        <v>106</v>
      </c>
      <c r="D330" t="s">
        <v>200</v>
      </c>
      <c r="E330" t="s">
        <v>202</v>
      </c>
      <c r="F330" t="s">
        <v>226</v>
      </c>
      <c r="G330" t="s">
        <v>202</v>
      </c>
      <c r="H330" t="s">
        <v>271</v>
      </c>
      <c r="I330" t="s">
        <v>202</v>
      </c>
      <c r="J330" t="s">
        <v>289</v>
      </c>
      <c r="K330" t="s">
        <v>292</v>
      </c>
      <c r="M330" t="s">
        <v>290</v>
      </c>
      <c r="N330" t="s">
        <v>202</v>
      </c>
      <c r="O330" t="s">
        <v>422</v>
      </c>
      <c r="P330" t="s">
        <v>428</v>
      </c>
      <c r="S330" t="s">
        <v>741</v>
      </c>
      <c r="T330" t="s">
        <v>1427</v>
      </c>
      <c r="U330" t="s">
        <v>226</v>
      </c>
      <c r="V330" t="s">
        <v>219</v>
      </c>
      <c r="W330" t="s">
        <v>1877</v>
      </c>
      <c r="X330" t="s">
        <v>2186</v>
      </c>
      <c r="Z330" t="s">
        <v>3098</v>
      </c>
      <c r="AA330" t="s">
        <v>3135</v>
      </c>
      <c r="AB330">
        <v>10456</v>
      </c>
      <c r="AC330" t="s">
        <v>3139</v>
      </c>
      <c r="AD330" t="s">
        <v>3444</v>
      </c>
      <c r="AE330">
        <v>27</v>
      </c>
      <c r="AF330" t="s">
        <v>4023</v>
      </c>
      <c r="AG330" t="s">
        <v>4031</v>
      </c>
      <c r="AH330" t="s">
        <v>291</v>
      </c>
      <c r="AI330" t="s">
        <v>291</v>
      </c>
      <c r="AK330" t="s">
        <v>4040</v>
      </c>
      <c r="AL330" t="s">
        <v>4046</v>
      </c>
      <c r="AM330">
        <v>0</v>
      </c>
      <c r="AN330">
        <v>783</v>
      </c>
      <c r="AO330">
        <v>0.5</v>
      </c>
      <c r="AP330" t="s">
        <v>4052</v>
      </c>
      <c r="AQ330" t="s">
        <v>4373</v>
      </c>
      <c r="AR330" t="s">
        <v>5268</v>
      </c>
      <c r="AS330">
        <v>30</v>
      </c>
      <c r="AU330">
        <v>2</v>
      </c>
      <c r="AV330">
        <v>0</v>
      </c>
      <c r="AW330">
        <v>65.29000000000001</v>
      </c>
      <c r="BB330" t="s">
        <v>1322</v>
      </c>
      <c r="BC330">
        <v>11040</v>
      </c>
      <c r="BG330" t="s">
        <v>140</v>
      </c>
      <c r="BJ330" t="s">
        <v>5966</v>
      </c>
      <c r="BK330" t="s">
        <v>252</v>
      </c>
      <c r="BL330" t="s">
        <v>6056</v>
      </c>
    </row>
    <row r="331" spans="1:64">
      <c r="A331" s="1">
        <f>HYPERLINK("https://lsnyc.legalserver.org/matter/dynamic-profile/view/1909473","19-1909473")</f>
        <v>0</v>
      </c>
      <c r="B331" t="s">
        <v>65</v>
      </c>
      <c r="C331" t="s">
        <v>106</v>
      </c>
      <c r="D331" t="s">
        <v>200</v>
      </c>
      <c r="E331" t="s">
        <v>201</v>
      </c>
      <c r="G331" t="s">
        <v>202</v>
      </c>
      <c r="H331" t="s">
        <v>271</v>
      </c>
      <c r="I331" t="s">
        <v>202</v>
      </c>
      <c r="J331" t="s">
        <v>289</v>
      </c>
      <c r="K331" t="s">
        <v>202</v>
      </c>
      <c r="L331" t="s">
        <v>342</v>
      </c>
      <c r="M331" t="s">
        <v>290</v>
      </c>
      <c r="N331" t="s">
        <v>202</v>
      </c>
      <c r="O331" t="s">
        <v>422</v>
      </c>
      <c r="P331" t="s">
        <v>428</v>
      </c>
      <c r="S331" t="s">
        <v>742</v>
      </c>
      <c r="T331" t="s">
        <v>1440</v>
      </c>
      <c r="U331" t="s">
        <v>230</v>
      </c>
      <c r="V331" t="s">
        <v>267</v>
      </c>
      <c r="W331" t="s">
        <v>1877</v>
      </c>
      <c r="X331" t="s">
        <v>2187</v>
      </c>
      <c r="Y331" t="s">
        <v>2809</v>
      </c>
      <c r="Z331" t="s">
        <v>3098</v>
      </c>
      <c r="AA331" t="s">
        <v>3135</v>
      </c>
      <c r="AB331">
        <v>10453</v>
      </c>
      <c r="AC331" t="s">
        <v>3140</v>
      </c>
      <c r="AD331" t="s">
        <v>3445</v>
      </c>
      <c r="AE331">
        <v>1</v>
      </c>
      <c r="AF331" t="s">
        <v>4023</v>
      </c>
      <c r="AG331" t="s">
        <v>4031</v>
      </c>
      <c r="AH331" t="s">
        <v>291</v>
      </c>
      <c r="AI331" t="s">
        <v>291</v>
      </c>
      <c r="AK331" t="s">
        <v>4040</v>
      </c>
      <c r="AL331" t="s">
        <v>4047</v>
      </c>
      <c r="AM331">
        <v>0</v>
      </c>
      <c r="AN331">
        <v>1385</v>
      </c>
      <c r="AO331">
        <v>1</v>
      </c>
      <c r="AP331" t="s">
        <v>4052</v>
      </c>
      <c r="AQ331" t="s">
        <v>4374</v>
      </c>
      <c r="AR331" t="s">
        <v>5269</v>
      </c>
      <c r="AS331">
        <v>29</v>
      </c>
      <c r="AT331" t="s">
        <v>5838</v>
      </c>
      <c r="AU331">
        <v>1</v>
      </c>
      <c r="AV331">
        <v>2</v>
      </c>
      <c r="AW331">
        <v>62.55</v>
      </c>
      <c r="BA331" t="s">
        <v>329</v>
      </c>
      <c r="BB331" t="s">
        <v>1322</v>
      </c>
      <c r="BC331">
        <v>13341.12</v>
      </c>
      <c r="BG331" t="s">
        <v>5904</v>
      </c>
      <c r="BJ331" t="s">
        <v>5949</v>
      </c>
      <c r="BK331" t="s">
        <v>267</v>
      </c>
      <c r="BL331" t="s">
        <v>6057</v>
      </c>
    </row>
    <row r="332" spans="1:64">
      <c r="A332" s="1">
        <f>HYPERLINK("https://lsnyc.legalserver.org/matter/dynamic-profile/view/1909506","19-1909506")</f>
        <v>0</v>
      </c>
      <c r="B332" t="s">
        <v>65</v>
      </c>
      <c r="C332" t="s">
        <v>106</v>
      </c>
      <c r="D332" t="s">
        <v>200</v>
      </c>
      <c r="E332" t="s">
        <v>201</v>
      </c>
      <c r="G332" t="s">
        <v>202</v>
      </c>
      <c r="H332" t="s">
        <v>273</v>
      </c>
      <c r="I332" t="s">
        <v>202</v>
      </c>
      <c r="J332" t="s">
        <v>289</v>
      </c>
      <c r="K332" t="s">
        <v>292</v>
      </c>
      <c r="M332" t="s">
        <v>290</v>
      </c>
      <c r="N332" t="s">
        <v>202</v>
      </c>
      <c r="O332" t="s">
        <v>421</v>
      </c>
      <c r="P332" t="s">
        <v>427</v>
      </c>
      <c r="S332" t="s">
        <v>743</v>
      </c>
      <c r="T332" t="s">
        <v>1441</v>
      </c>
      <c r="U332" t="s">
        <v>230</v>
      </c>
      <c r="W332" t="s">
        <v>1876</v>
      </c>
      <c r="X332" t="s">
        <v>2188</v>
      </c>
      <c r="Y332">
        <v>2</v>
      </c>
      <c r="Z332" t="s">
        <v>3098</v>
      </c>
      <c r="AA332" t="s">
        <v>3135</v>
      </c>
      <c r="AB332">
        <v>10459</v>
      </c>
      <c r="AC332" t="s">
        <v>3140</v>
      </c>
      <c r="AD332" t="s">
        <v>3446</v>
      </c>
      <c r="AE332">
        <v>14</v>
      </c>
      <c r="AG332" t="s">
        <v>4031</v>
      </c>
      <c r="AH332" t="s">
        <v>291</v>
      </c>
      <c r="AI332" t="s">
        <v>291</v>
      </c>
      <c r="AK332" t="s">
        <v>4040</v>
      </c>
      <c r="AL332" t="s">
        <v>4046</v>
      </c>
      <c r="AM332">
        <v>0</v>
      </c>
      <c r="AN332">
        <v>1100</v>
      </c>
      <c r="AO332">
        <v>0.5</v>
      </c>
      <c r="AQ332" t="s">
        <v>4375</v>
      </c>
      <c r="AR332" t="s">
        <v>5270</v>
      </c>
      <c r="AS332">
        <v>4</v>
      </c>
      <c r="AT332" t="s">
        <v>5835</v>
      </c>
      <c r="AU332">
        <v>1</v>
      </c>
      <c r="AV332">
        <v>1</v>
      </c>
      <c r="AW332">
        <v>0</v>
      </c>
      <c r="BA332" t="s">
        <v>329</v>
      </c>
      <c r="BB332" t="s">
        <v>1322</v>
      </c>
      <c r="BC332">
        <v>0</v>
      </c>
      <c r="BG332" t="s">
        <v>5904</v>
      </c>
      <c r="BJ332" t="s">
        <v>5945</v>
      </c>
      <c r="BK332" t="s">
        <v>230</v>
      </c>
      <c r="BL332" t="s">
        <v>6056</v>
      </c>
    </row>
    <row r="333" spans="1:64">
      <c r="A333" s="1">
        <f>HYPERLINK("https://lsnyc.legalserver.org/matter/dynamic-profile/view/1906825","19-1906825")</f>
        <v>0</v>
      </c>
      <c r="B333" t="s">
        <v>65</v>
      </c>
      <c r="C333" t="s">
        <v>106</v>
      </c>
      <c r="D333" t="s">
        <v>200</v>
      </c>
      <c r="E333" t="s">
        <v>201</v>
      </c>
      <c r="G333" t="s">
        <v>202</v>
      </c>
      <c r="H333" t="s">
        <v>271</v>
      </c>
      <c r="I333" t="s">
        <v>202</v>
      </c>
      <c r="J333" t="s">
        <v>289</v>
      </c>
      <c r="K333" t="s">
        <v>292</v>
      </c>
      <c r="M333" t="s">
        <v>290</v>
      </c>
      <c r="N333" t="s">
        <v>202</v>
      </c>
      <c r="O333" t="s">
        <v>422</v>
      </c>
      <c r="P333" t="s">
        <v>428</v>
      </c>
      <c r="S333" t="s">
        <v>744</v>
      </c>
      <c r="T333" t="s">
        <v>1442</v>
      </c>
      <c r="U333" t="s">
        <v>240</v>
      </c>
      <c r="V333" t="s">
        <v>248</v>
      </c>
      <c r="W333" t="s">
        <v>1877</v>
      </c>
      <c r="X333" t="s">
        <v>2189</v>
      </c>
      <c r="Y333" t="s">
        <v>2927</v>
      </c>
      <c r="Z333" t="s">
        <v>3098</v>
      </c>
      <c r="AA333" t="s">
        <v>3135</v>
      </c>
      <c r="AB333">
        <v>10467</v>
      </c>
      <c r="AC333" t="s">
        <v>3143</v>
      </c>
      <c r="AD333" t="s">
        <v>3447</v>
      </c>
      <c r="AE333">
        <v>1</v>
      </c>
      <c r="AF333" t="s">
        <v>4023</v>
      </c>
      <c r="AG333" t="s">
        <v>4030</v>
      </c>
      <c r="AH333" t="s">
        <v>291</v>
      </c>
      <c r="AI333" t="s">
        <v>291</v>
      </c>
      <c r="AK333" t="s">
        <v>4040</v>
      </c>
      <c r="AL333" t="s">
        <v>4046</v>
      </c>
      <c r="AM333">
        <v>0</v>
      </c>
      <c r="AN333">
        <v>1400</v>
      </c>
      <c r="AO333">
        <v>0.5</v>
      </c>
      <c r="AP333" t="s">
        <v>4052</v>
      </c>
      <c r="AQ333" t="s">
        <v>4376</v>
      </c>
      <c r="AR333" t="s">
        <v>5271</v>
      </c>
      <c r="AS333">
        <v>67</v>
      </c>
      <c r="AT333" t="s">
        <v>5838</v>
      </c>
      <c r="AU333">
        <v>2</v>
      </c>
      <c r="AV333">
        <v>0</v>
      </c>
      <c r="AW333">
        <v>508.57</v>
      </c>
      <c r="BB333" t="s">
        <v>1322</v>
      </c>
      <c r="BC333">
        <v>86000</v>
      </c>
      <c r="BG333" t="s">
        <v>140</v>
      </c>
      <c r="BJ333" t="s">
        <v>5949</v>
      </c>
      <c r="BK333" t="s">
        <v>248</v>
      </c>
      <c r="BL333" t="s">
        <v>6056</v>
      </c>
    </row>
    <row r="334" spans="1:64">
      <c r="A334" s="1">
        <f>HYPERLINK("https://lsnyc.legalserver.org/matter/dynamic-profile/view/1906345","19-1906345")</f>
        <v>0</v>
      </c>
      <c r="B334" t="s">
        <v>65</v>
      </c>
      <c r="C334" t="s">
        <v>106</v>
      </c>
      <c r="D334" t="s">
        <v>200</v>
      </c>
      <c r="E334" t="s">
        <v>201</v>
      </c>
      <c r="G334" t="s">
        <v>202</v>
      </c>
      <c r="H334" t="s">
        <v>272</v>
      </c>
      <c r="I334" t="s">
        <v>202</v>
      </c>
      <c r="J334" t="s">
        <v>289</v>
      </c>
      <c r="K334" t="s">
        <v>202</v>
      </c>
      <c r="L334" t="s">
        <v>343</v>
      </c>
      <c r="M334" t="s">
        <v>290</v>
      </c>
      <c r="N334" t="s">
        <v>202</v>
      </c>
      <c r="O334" t="s">
        <v>422</v>
      </c>
      <c r="P334" t="s">
        <v>428</v>
      </c>
      <c r="S334" t="s">
        <v>745</v>
      </c>
      <c r="T334" t="s">
        <v>1443</v>
      </c>
      <c r="U334" t="s">
        <v>249</v>
      </c>
      <c r="V334" t="s">
        <v>218</v>
      </c>
      <c r="W334" t="s">
        <v>1877</v>
      </c>
      <c r="X334" t="s">
        <v>2190</v>
      </c>
      <c r="Y334">
        <v>2</v>
      </c>
      <c r="Z334" t="s">
        <v>3098</v>
      </c>
      <c r="AA334" t="s">
        <v>3135</v>
      </c>
      <c r="AB334">
        <v>10469</v>
      </c>
      <c r="AD334" t="s">
        <v>3448</v>
      </c>
      <c r="AE334">
        <v>-1</v>
      </c>
      <c r="AF334" t="s">
        <v>4023</v>
      </c>
      <c r="AG334" t="s">
        <v>4031</v>
      </c>
      <c r="AH334" t="s">
        <v>291</v>
      </c>
      <c r="AI334" t="s">
        <v>291</v>
      </c>
      <c r="AK334" t="s">
        <v>4040</v>
      </c>
      <c r="AM334">
        <v>0</v>
      </c>
      <c r="AN334">
        <v>2250</v>
      </c>
      <c r="AO334">
        <v>1.1</v>
      </c>
      <c r="AP334" t="s">
        <v>4052</v>
      </c>
      <c r="AQ334" t="s">
        <v>4377</v>
      </c>
      <c r="AR334" t="s">
        <v>5272</v>
      </c>
      <c r="AS334">
        <v>0</v>
      </c>
      <c r="AT334" t="s">
        <v>5835</v>
      </c>
      <c r="AU334">
        <v>2</v>
      </c>
      <c r="AV334">
        <v>2</v>
      </c>
      <c r="AW334">
        <v>161.94</v>
      </c>
      <c r="BA334" t="s">
        <v>5857</v>
      </c>
      <c r="BB334" t="s">
        <v>1322</v>
      </c>
      <c r="BC334">
        <v>41700</v>
      </c>
      <c r="BF334" t="s">
        <v>5881</v>
      </c>
      <c r="BG334" t="s">
        <v>140</v>
      </c>
      <c r="BJ334" t="s">
        <v>5983</v>
      </c>
      <c r="BK334" t="s">
        <v>218</v>
      </c>
      <c r="BL334" t="s">
        <v>6056</v>
      </c>
    </row>
    <row r="335" spans="1:64">
      <c r="A335" s="1">
        <f>HYPERLINK("https://lsnyc.legalserver.org/matter/dynamic-profile/view/1904069","19-1904069")</f>
        <v>0</v>
      </c>
      <c r="B335" t="s">
        <v>65</v>
      </c>
      <c r="C335" t="s">
        <v>106</v>
      </c>
      <c r="D335" t="s">
        <v>200</v>
      </c>
      <c r="E335" t="s">
        <v>202</v>
      </c>
      <c r="F335" t="s">
        <v>231</v>
      </c>
      <c r="G335" t="s">
        <v>202</v>
      </c>
      <c r="H335" t="s">
        <v>272</v>
      </c>
      <c r="I335" t="s">
        <v>202</v>
      </c>
      <c r="J335" t="s">
        <v>289</v>
      </c>
      <c r="K335" t="s">
        <v>292</v>
      </c>
      <c r="M335" t="s">
        <v>290</v>
      </c>
      <c r="N335" t="s">
        <v>202</v>
      </c>
      <c r="O335" t="s">
        <v>422</v>
      </c>
      <c r="P335" t="s">
        <v>428</v>
      </c>
      <c r="S335" t="s">
        <v>746</v>
      </c>
      <c r="T335" t="s">
        <v>1444</v>
      </c>
      <c r="U335" t="s">
        <v>251</v>
      </c>
      <c r="V335" t="s">
        <v>231</v>
      </c>
      <c r="W335" t="s">
        <v>1877</v>
      </c>
      <c r="X335" t="s">
        <v>2191</v>
      </c>
      <c r="Y335" t="s">
        <v>2928</v>
      </c>
      <c r="Z335" t="s">
        <v>3098</v>
      </c>
      <c r="AA335" t="s">
        <v>3135</v>
      </c>
      <c r="AB335">
        <v>10473</v>
      </c>
      <c r="AC335" t="s">
        <v>3139</v>
      </c>
      <c r="AD335" t="s">
        <v>3449</v>
      </c>
      <c r="AE335">
        <v>29</v>
      </c>
      <c r="AF335" t="s">
        <v>4023</v>
      </c>
      <c r="AG335" t="s">
        <v>4031</v>
      </c>
      <c r="AH335" t="s">
        <v>291</v>
      </c>
      <c r="AI335" t="s">
        <v>291</v>
      </c>
      <c r="AK335" t="s">
        <v>4040</v>
      </c>
      <c r="AL335" t="s">
        <v>4046</v>
      </c>
      <c r="AM335">
        <v>0</v>
      </c>
      <c r="AN335">
        <v>231</v>
      </c>
      <c r="AO335">
        <v>1.5</v>
      </c>
      <c r="AP335" t="s">
        <v>4052</v>
      </c>
      <c r="AQ335" t="s">
        <v>4378</v>
      </c>
      <c r="AR335" t="s">
        <v>5273</v>
      </c>
      <c r="AS335">
        <v>54</v>
      </c>
      <c r="AT335" t="s">
        <v>5837</v>
      </c>
      <c r="AU335">
        <v>2</v>
      </c>
      <c r="AV335">
        <v>0</v>
      </c>
      <c r="AW335">
        <v>42.79</v>
      </c>
      <c r="BA335" t="s">
        <v>329</v>
      </c>
      <c r="BB335" t="s">
        <v>1322</v>
      </c>
      <c r="BC335">
        <v>7236.32</v>
      </c>
      <c r="BG335" t="s">
        <v>5904</v>
      </c>
      <c r="BJ335" t="s">
        <v>5951</v>
      </c>
      <c r="BK335" t="s">
        <v>231</v>
      </c>
      <c r="BL335" t="s">
        <v>6056</v>
      </c>
    </row>
    <row r="336" spans="1:64">
      <c r="A336" s="1">
        <f>HYPERLINK("https://lsnyc.legalserver.org/matter/dynamic-profile/view/1909535","19-1909535")</f>
        <v>0</v>
      </c>
      <c r="B336" t="s">
        <v>65</v>
      </c>
      <c r="C336" t="s">
        <v>106</v>
      </c>
      <c r="D336" t="s">
        <v>200</v>
      </c>
      <c r="E336" t="s">
        <v>201</v>
      </c>
      <c r="G336" t="s">
        <v>202</v>
      </c>
      <c r="H336" t="s">
        <v>272</v>
      </c>
      <c r="I336" t="s">
        <v>202</v>
      </c>
      <c r="J336" t="s">
        <v>289</v>
      </c>
      <c r="K336" t="s">
        <v>292</v>
      </c>
      <c r="M336" t="s">
        <v>290</v>
      </c>
      <c r="N336" t="s">
        <v>202</v>
      </c>
      <c r="O336" t="s">
        <v>422</v>
      </c>
      <c r="P336" t="s">
        <v>427</v>
      </c>
      <c r="S336" t="s">
        <v>747</v>
      </c>
      <c r="T336" t="s">
        <v>1445</v>
      </c>
      <c r="U336" t="s">
        <v>230</v>
      </c>
      <c r="W336" t="s">
        <v>1876</v>
      </c>
      <c r="X336" t="s">
        <v>2192</v>
      </c>
      <c r="Y336" t="s">
        <v>2929</v>
      </c>
      <c r="Z336" t="s">
        <v>3098</v>
      </c>
      <c r="AA336" t="s">
        <v>3135</v>
      </c>
      <c r="AB336">
        <v>10463</v>
      </c>
      <c r="AC336" t="s">
        <v>3139</v>
      </c>
      <c r="AD336" t="s">
        <v>3450</v>
      </c>
      <c r="AE336">
        <v>1</v>
      </c>
      <c r="AG336" t="s">
        <v>4031</v>
      </c>
      <c r="AH336" t="s">
        <v>291</v>
      </c>
      <c r="AI336" t="s">
        <v>291</v>
      </c>
      <c r="AK336" t="s">
        <v>4040</v>
      </c>
      <c r="AM336">
        <v>0</v>
      </c>
      <c r="AN336">
        <v>1501</v>
      </c>
      <c r="AO336">
        <v>0</v>
      </c>
      <c r="AQ336" t="s">
        <v>4379</v>
      </c>
      <c r="AR336" t="s">
        <v>5274</v>
      </c>
      <c r="AS336">
        <v>137</v>
      </c>
      <c r="AT336" t="s">
        <v>5838</v>
      </c>
      <c r="AU336">
        <v>1</v>
      </c>
      <c r="AV336">
        <v>1</v>
      </c>
      <c r="AW336">
        <v>83.26000000000001</v>
      </c>
      <c r="BB336" t="s">
        <v>1322</v>
      </c>
      <c r="BC336">
        <v>14079</v>
      </c>
      <c r="BG336" t="s">
        <v>140</v>
      </c>
      <c r="BJ336" t="s">
        <v>6007</v>
      </c>
      <c r="BL336" t="s">
        <v>6056</v>
      </c>
    </row>
    <row r="337" spans="1:64">
      <c r="A337" s="1">
        <f>HYPERLINK("https://lsnyc.legalserver.org/matter/dynamic-profile/view/1906485","19-1906485")</f>
        <v>0</v>
      </c>
      <c r="B337" t="s">
        <v>65</v>
      </c>
      <c r="C337" t="s">
        <v>106</v>
      </c>
      <c r="D337" t="s">
        <v>200</v>
      </c>
      <c r="E337" t="s">
        <v>202</v>
      </c>
      <c r="F337" t="s">
        <v>225</v>
      </c>
      <c r="G337" t="s">
        <v>202</v>
      </c>
      <c r="H337" t="s">
        <v>271</v>
      </c>
      <c r="I337" t="s">
        <v>202</v>
      </c>
      <c r="J337" t="s">
        <v>289</v>
      </c>
      <c r="K337" t="s">
        <v>292</v>
      </c>
      <c r="M337" t="s">
        <v>290</v>
      </c>
      <c r="N337" t="s">
        <v>202</v>
      </c>
      <c r="O337" t="s">
        <v>422</v>
      </c>
      <c r="P337" t="s">
        <v>428</v>
      </c>
      <c r="S337" t="s">
        <v>748</v>
      </c>
      <c r="T337" t="s">
        <v>1298</v>
      </c>
      <c r="U337" t="s">
        <v>253</v>
      </c>
      <c r="V337" t="s">
        <v>225</v>
      </c>
      <c r="W337" t="s">
        <v>1877</v>
      </c>
      <c r="X337" t="s">
        <v>2193</v>
      </c>
      <c r="Y337" t="s">
        <v>2783</v>
      </c>
      <c r="Z337" t="s">
        <v>3098</v>
      </c>
      <c r="AA337" t="s">
        <v>3135</v>
      </c>
      <c r="AB337">
        <v>10472</v>
      </c>
      <c r="AC337" t="s">
        <v>3139</v>
      </c>
      <c r="AD337" t="s">
        <v>3451</v>
      </c>
      <c r="AE337">
        <v>0</v>
      </c>
      <c r="AF337" t="s">
        <v>4023</v>
      </c>
      <c r="AG337" t="s">
        <v>4031</v>
      </c>
      <c r="AH337" t="s">
        <v>291</v>
      </c>
      <c r="AK337" t="s">
        <v>4040</v>
      </c>
      <c r="AL337" t="s">
        <v>4046</v>
      </c>
      <c r="AM337">
        <v>0</v>
      </c>
      <c r="AN337">
        <v>215</v>
      </c>
      <c r="AO337">
        <v>1.5</v>
      </c>
      <c r="AP337" t="s">
        <v>4052</v>
      </c>
      <c r="AQ337" t="s">
        <v>4380</v>
      </c>
      <c r="AR337" t="s">
        <v>5275</v>
      </c>
      <c r="AS337">
        <v>0</v>
      </c>
      <c r="AU337">
        <v>1</v>
      </c>
      <c r="AV337">
        <v>0</v>
      </c>
      <c r="AW337">
        <v>0</v>
      </c>
      <c r="BB337" t="s">
        <v>1322</v>
      </c>
      <c r="BC337">
        <v>0</v>
      </c>
      <c r="BG337" t="s">
        <v>140</v>
      </c>
      <c r="BJ337" t="s">
        <v>5945</v>
      </c>
      <c r="BK337" t="s">
        <v>225</v>
      </c>
      <c r="BL337" t="s">
        <v>6056</v>
      </c>
    </row>
    <row r="338" spans="1:64">
      <c r="A338" s="1">
        <f>HYPERLINK("https://lsnyc.legalserver.org/matter/dynamic-profile/view/1904221","19-1904221")</f>
        <v>0</v>
      </c>
      <c r="B338" t="s">
        <v>65</v>
      </c>
      <c r="C338" t="s">
        <v>106</v>
      </c>
      <c r="D338" t="s">
        <v>200</v>
      </c>
      <c r="E338" t="s">
        <v>202</v>
      </c>
      <c r="F338" t="s">
        <v>207</v>
      </c>
      <c r="G338" t="s">
        <v>202</v>
      </c>
      <c r="H338" t="s">
        <v>271</v>
      </c>
      <c r="I338" t="s">
        <v>202</v>
      </c>
      <c r="J338" t="s">
        <v>289</v>
      </c>
      <c r="K338" t="s">
        <v>292</v>
      </c>
      <c r="M338" t="s">
        <v>290</v>
      </c>
      <c r="N338" t="s">
        <v>202</v>
      </c>
      <c r="O338" t="s">
        <v>422</v>
      </c>
      <c r="P338" t="s">
        <v>428</v>
      </c>
      <c r="S338" t="s">
        <v>749</v>
      </c>
      <c r="T338" t="s">
        <v>1446</v>
      </c>
      <c r="U338" t="s">
        <v>204</v>
      </c>
      <c r="V338" t="s">
        <v>232</v>
      </c>
      <c r="W338" t="s">
        <v>1877</v>
      </c>
      <c r="X338" t="s">
        <v>2194</v>
      </c>
      <c r="Z338" t="s">
        <v>3098</v>
      </c>
      <c r="AA338" t="s">
        <v>3135</v>
      </c>
      <c r="AB338">
        <v>10475</v>
      </c>
      <c r="AC338" t="s">
        <v>3139</v>
      </c>
      <c r="AD338" t="s">
        <v>3452</v>
      </c>
      <c r="AE338">
        <v>0</v>
      </c>
      <c r="AF338" t="s">
        <v>4023</v>
      </c>
      <c r="AG338" t="s">
        <v>4031</v>
      </c>
      <c r="AH338" t="s">
        <v>291</v>
      </c>
      <c r="AI338" t="s">
        <v>291</v>
      </c>
      <c r="AK338" t="s">
        <v>4040</v>
      </c>
      <c r="AM338">
        <v>0</v>
      </c>
      <c r="AN338">
        <v>0</v>
      </c>
      <c r="AO338">
        <v>1</v>
      </c>
      <c r="AP338" t="s">
        <v>4052</v>
      </c>
      <c r="AQ338" t="s">
        <v>4381</v>
      </c>
      <c r="AR338" t="s">
        <v>5276</v>
      </c>
      <c r="AS338">
        <v>0</v>
      </c>
      <c r="AT338" t="s">
        <v>5845</v>
      </c>
      <c r="AU338">
        <v>1</v>
      </c>
      <c r="AV338">
        <v>0</v>
      </c>
      <c r="AW338">
        <v>0</v>
      </c>
      <c r="BB338" t="s">
        <v>1322</v>
      </c>
      <c r="BC338">
        <v>0</v>
      </c>
      <c r="BG338" t="s">
        <v>5904</v>
      </c>
      <c r="BJ338" t="s">
        <v>5965</v>
      </c>
      <c r="BK338" t="s">
        <v>232</v>
      </c>
      <c r="BL338" t="s">
        <v>6056</v>
      </c>
    </row>
    <row r="339" spans="1:64">
      <c r="A339" s="1">
        <f>HYPERLINK("https://lsnyc.legalserver.org/matter/dynamic-profile/view/1905500","19-1905500")</f>
        <v>0</v>
      </c>
      <c r="B339" t="s">
        <v>65</v>
      </c>
      <c r="C339" t="s">
        <v>106</v>
      </c>
      <c r="D339" t="s">
        <v>200</v>
      </c>
      <c r="E339" t="s">
        <v>202</v>
      </c>
      <c r="F339" t="s">
        <v>207</v>
      </c>
      <c r="G339" t="s">
        <v>202</v>
      </c>
      <c r="H339" t="s">
        <v>272</v>
      </c>
      <c r="I339" t="s">
        <v>202</v>
      </c>
      <c r="J339" t="s">
        <v>289</v>
      </c>
      <c r="K339" t="s">
        <v>292</v>
      </c>
      <c r="M339" t="s">
        <v>290</v>
      </c>
      <c r="N339" t="s">
        <v>202</v>
      </c>
      <c r="O339" t="s">
        <v>422</v>
      </c>
      <c r="P339" t="s">
        <v>428</v>
      </c>
      <c r="S339" t="s">
        <v>548</v>
      </c>
      <c r="T339" t="s">
        <v>1447</v>
      </c>
      <c r="U339" t="s">
        <v>242</v>
      </c>
      <c r="V339" t="s">
        <v>247</v>
      </c>
      <c r="W339" t="s">
        <v>1877</v>
      </c>
      <c r="X339" t="s">
        <v>2195</v>
      </c>
      <c r="Y339" t="s">
        <v>2785</v>
      </c>
      <c r="Z339" t="s">
        <v>3098</v>
      </c>
      <c r="AA339" t="s">
        <v>3135</v>
      </c>
      <c r="AB339">
        <v>10466</v>
      </c>
      <c r="AC339" t="s">
        <v>3139</v>
      </c>
      <c r="AD339" t="s">
        <v>3453</v>
      </c>
      <c r="AE339">
        <v>17</v>
      </c>
      <c r="AF339" t="s">
        <v>4023</v>
      </c>
      <c r="AG339" t="s">
        <v>4031</v>
      </c>
      <c r="AH339" t="s">
        <v>291</v>
      </c>
      <c r="AI339" t="s">
        <v>291</v>
      </c>
      <c r="AK339" t="s">
        <v>4040</v>
      </c>
      <c r="AL339" t="s">
        <v>4046</v>
      </c>
      <c r="AM339">
        <v>0</v>
      </c>
      <c r="AN339">
        <v>1398.51</v>
      </c>
      <c r="AO339">
        <v>0.5</v>
      </c>
      <c r="AP339" t="s">
        <v>4052</v>
      </c>
      <c r="AQ339" t="s">
        <v>4382</v>
      </c>
      <c r="AR339" t="s">
        <v>5277</v>
      </c>
      <c r="AS339">
        <v>50</v>
      </c>
      <c r="AT339" t="s">
        <v>5838</v>
      </c>
      <c r="AU339">
        <v>3</v>
      </c>
      <c r="AV339">
        <v>1</v>
      </c>
      <c r="AW339">
        <v>134.21</v>
      </c>
      <c r="BB339" t="s">
        <v>1322</v>
      </c>
      <c r="BC339">
        <v>34560</v>
      </c>
      <c r="BG339" t="s">
        <v>140</v>
      </c>
      <c r="BJ339" t="s">
        <v>6008</v>
      </c>
      <c r="BK339" t="s">
        <v>239</v>
      </c>
      <c r="BL339" t="s">
        <v>6056</v>
      </c>
    </row>
    <row r="340" spans="1:64">
      <c r="A340" s="1">
        <f>HYPERLINK("https://lsnyc.legalserver.org/matter/dynamic-profile/view/1907103","19-1907103")</f>
        <v>0</v>
      </c>
      <c r="B340" t="s">
        <v>65</v>
      </c>
      <c r="C340" t="s">
        <v>106</v>
      </c>
      <c r="D340" t="s">
        <v>200</v>
      </c>
      <c r="E340" t="s">
        <v>202</v>
      </c>
      <c r="F340" t="s">
        <v>218</v>
      </c>
      <c r="G340" t="s">
        <v>202</v>
      </c>
      <c r="H340" t="s">
        <v>272</v>
      </c>
      <c r="I340" t="s">
        <v>202</v>
      </c>
      <c r="J340" t="s">
        <v>289</v>
      </c>
      <c r="K340" t="s">
        <v>202</v>
      </c>
      <c r="L340" t="s">
        <v>344</v>
      </c>
      <c r="M340" t="s">
        <v>290</v>
      </c>
      <c r="N340" t="s">
        <v>202</v>
      </c>
      <c r="O340" t="s">
        <v>422</v>
      </c>
      <c r="P340" t="s">
        <v>428</v>
      </c>
      <c r="S340" t="s">
        <v>750</v>
      </c>
      <c r="T340" t="s">
        <v>1448</v>
      </c>
      <c r="U340" t="s">
        <v>226</v>
      </c>
      <c r="V340" t="s">
        <v>218</v>
      </c>
      <c r="W340" t="s">
        <v>1877</v>
      </c>
      <c r="X340" t="s">
        <v>2196</v>
      </c>
      <c r="Z340" t="s">
        <v>3098</v>
      </c>
      <c r="AA340" t="s">
        <v>3135</v>
      </c>
      <c r="AB340">
        <v>10472</v>
      </c>
      <c r="AC340" t="s">
        <v>3139</v>
      </c>
      <c r="AD340" t="s">
        <v>3454</v>
      </c>
      <c r="AE340">
        <v>0</v>
      </c>
      <c r="AF340" t="s">
        <v>4023</v>
      </c>
      <c r="AG340" t="s">
        <v>4031</v>
      </c>
      <c r="AH340" t="s">
        <v>291</v>
      </c>
      <c r="AI340" t="s">
        <v>291</v>
      </c>
      <c r="AK340" t="s">
        <v>4040</v>
      </c>
      <c r="AM340">
        <v>0</v>
      </c>
      <c r="AN340">
        <v>990</v>
      </c>
      <c r="AO340">
        <v>0.5</v>
      </c>
      <c r="AP340" t="s">
        <v>4052</v>
      </c>
      <c r="AQ340" t="s">
        <v>4383</v>
      </c>
      <c r="AR340" t="s">
        <v>5278</v>
      </c>
      <c r="AS340">
        <v>67</v>
      </c>
      <c r="AT340" t="s">
        <v>5838</v>
      </c>
      <c r="AU340">
        <v>1</v>
      </c>
      <c r="AV340">
        <v>2</v>
      </c>
      <c r="AW340">
        <v>189.97</v>
      </c>
      <c r="BA340" t="s">
        <v>5850</v>
      </c>
      <c r="BB340" t="s">
        <v>1322</v>
      </c>
      <c r="BC340">
        <v>40520</v>
      </c>
      <c r="BG340" t="s">
        <v>140</v>
      </c>
      <c r="BJ340" t="s">
        <v>5962</v>
      </c>
      <c r="BK340" t="s">
        <v>218</v>
      </c>
      <c r="BL340" t="s">
        <v>6056</v>
      </c>
    </row>
    <row r="341" spans="1:64">
      <c r="A341" s="1">
        <f>HYPERLINK("https://lsnyc.legalserver.org/matter/dynamic-profile/view/1908773","19-1908773")</f>
        <v>0</v>
      </c>
      <c r="B341" t="s">
        <v>65</v>
      </c>
      <c r="C341" t="s">
        <v>106</v>
      </c>
      <c r="D341" t="s">
        <v>200</v>
      </c>
      <c r="E341" t="s">
        <v>202</v>
      </c>
      <c r="F341" t="s">
        <v>219</v>
      </c>
      <c r="G341" t="s">
        <v>202</v>
      </c>
      <c r="H341" t="s">
        <v>271</v>
      </c>
      <c r="I341" t="s">
        <v>202</v>
      </c>
      <c r="J341" t="s">
        <v>289</v>
      </c>
      <c r="K341" t="s">
        <v>292</v>
      </c>
      <c r="M341" t="s">
        <v>290</v>
      </c>
      <c r="N341" t="s">
        <v>202</v>
      </c>
      <c r="O341" t="s">
        <v>422</v>
      </c>
      <c r="P341" t="s">
        <v>428</v>
      </c>
      <c r="S341" t="s">
        <v>751</v>
      </c>
      <c r="T341" t="s">
        <v>1449</v>
      </c>
      <c r="U341" t="s">
        <v>219</v>
      </c>
      <c r="V341" t="s">
        <v>243</v>
      </c>
      <c r="W341" t="s">
        <v>1877</v>
      </c>
      <c r="X341" t="s">
        <v>2197</v>
      </c>
      <c r="Y341" t="s">
        <v>2930</v>
      </c>
      <c r="Z341" t="s">
        <v>3098</v>
      </c>
      <c r="AA341" t="s">
        <v>3135</v>
      </c>
      <c r="AB341">
        <v>10466</v>
      </c>
      <c r="AC341" t="s">
        <v>3139</v>
      </c>
      <c r="AE341">
        <v>2</v>
      </c>
      <c r="AF341" t="s">
        <v>4023</v>
      </c>
      <c r="AG341" t="s">
        <v>4031</v>
      </c>
      <c r="AH341" t="s">
        <v>291</v>
      </c>
      <c r="AI341" t="s">
        <v>291</v>
      </c>
      <c r="AK341" t="s">
        <v>4040</v>
      </c>
      <c r="AM341">
        <v>0</v>
      </c>
      <c r="AN341">
        <v>1300</v>
      </c>
      <c r="AO341">
        <v>0.9</v>
      </c>
      <c r="AP341" t="s">
        <v>4052</v>
      </c>
      <c r="AQ341" t="s">
        <v>4384</v>
      </c>
      <c r="AR341" t="s">
        <v>5279</v>
      </c>
      <c r="AS341">
        <v>2</v>
      </c>
      <c r="AT341" t="s">
        <v>5835</v>
      </c>
      <c r="AU341">
        <v>2</v>
      </c>
      <c r="AV341">
        <v>0</v>
      </c>
      <c r="AW341">
        <v>123.64</v>
      </c>
      <c r="BA341" t="s">
        <v>5850</v>
      </c>
      <c r="BB341" t="s">
        <v>1322</v>
      </c>
      <c r="BC341">
        <v>20907.24</v>
      </c>
      <c r="BG341" t="s">
        <v>5899</v>
      </c>
      <c r="BJ341" t="s">
        <v>6009</v>
      </c>
      <c r="BK341" t="s">
        <v>243</v>
      </c>
      <c r="BL341" t="s">
        <v>6056</v>
      </c>
    </row>
    <row r="342" spans="1:64">
      <c r="A342" s="1">
        <f>HYPERLINK("https://lsnyc.legalserver.org/matter/dynamic-profile/view/1907539","19-1907539")</f>
        <v>0</v>
      </c>
      <c r="B342" t="s">
        <v>65</v>
      </c>
      <c r="C342" t="s">
        <v>106</v>
      </c>
      <c r="D342" t="s">
        <v>200</v>
      </c>
      <c r="E342" t="s">
        <v>203</v>
      </c>
      <c r="F342" t="s">
        <v>244</v>
      </c>
      <c r="G342" t="s">
        <v>202</v>
      </c>
      <c r="H342" t="s">
        <v>271</v>
      </c>
      <c r="I342" t="s">
        <v>202</v>
      </c>
      <c r="J342" t="s">
        <v>289</v>
      </c>
      <c r="K342" t="s">
        <v>292</v>
      </c>
      <c r="M342" t="s">
        <v>290</v>
      </c>
      <c r="N342" t="s">
        <v>202</v>
      </c>
      <c r="O342" t="s">
        <v>422</v>
      </c>
      <c r="P342" t="s">
        <v>427</v>
      </c>
      <c r="S342" t="s">
        <v>752</v>
      </c>
      <c r="T342" t="s">
        <v>1379</v>
      </c>
      <c r="U342" t="s">
        <v>254</v>
      </c>
      <c r="W342" t="s">
        <v>1876</v>
      </c>
      <c r="X342" t="s">
        <v>2198</v>
      </c>
      <c r="Z342" t="s">
        <v>3098</v>
      </c>
      <c r="AA342" t="s">
        <v>3135</v>
      </c>
      <c r="AB342">
        <v>10466</v>
      </c>
      <c r="AC342" t="s">
        <v>3139</v>
      </c>
      <c r="AD342" t="s">
        <v>3455</v>
      </c>
      <c r="AE342">
        <v>-1</v>
      </c>
      <c r="AG342" t="s">
        <v>4031</v>
      </c>
      <c r="AH342" t="s">
        <v>291</v>
      </c>
      <c r="AI342" t="s">
        <v>291</v>
      </c>
      <c r="AK342" t="s">
        <v>4040</v>
      </c>
      <c r="AL342" t="s">
        <v>4049</v>
      </c>
      <c r="AM342">
        <v>0</v>
      </c>
      <c r="AN342">
        <v>800</v>
      </c>
      <c r="AO342">
        <v>0.6</v>
      </c>
      <c r="AQ342" t="s">
        <v>4385</v>
      </c>
      <c r="AR342" t="s">
        <v>5280</v>
      </c>
      <c r="AS342">
        <v>0</v>
      </c>
      <c r="AT342" t="s">
        <v>5835</v>
      </c>
      <c r="AU342">
        <v>2</v>
      </c>
      <c r="AV342">
        <v>2</v>
      </c>
      <c r="AW342">
        <v>9.23</v>
      </c>
      <c r="BB342" t="s">
        <v>5859</v>
      </c>
      <c r="BC342">
        <v>2376</v>
      </c>
      <c r="BG342" t="s">
        <v>5905</v>
      </c>
      <c r="BJ342" t="s">
        <v>5953</v>
      </c>
      <c r="BK342" t="s">
        <v>206</v>
      </c>
      <c r="BL342" t="s">
        <v>6056</v>
      </c>
    </row>
    <row r="343" spans="1:64">
      <c r="A343" s="1">
        <f>HYPERLINK("https://lsnyc.legalserver.org/matter/dynamic-profile/view/1909628","19-1909628")</f>
        <v>0</v>
      </c>
      <c r="B343" t="s">
        <v>65</v>
      </c>
      <c r="C343" t="s">
        <v>106</v>
      </c>
      <c r="D343" t="s">
        <v>200</v>
      </c>
      <c r="E343" t="s">
        <v>201</v>
      </c>
      <c r="G343" t="s">
        <v>202</v>
      </c>
      <c r="H343" t="s">
        <v>271</v>
      </c>
      <c r="I343" t="s">
        <v>202</v>
      </c>
      <c r="J343" t="s">
        <v>289</v>
      </c>
      <c r="K343" t="s">
        <v>292</v>
      </c>
      <c r="M343" t="s">
        <v>290</v>
      </c>
      <c r="N343" t="s">
        <v>202</v>
      </c>
      <c r="O343" t="s">
        <v>422</v>
      </c>
      <c r="P343" t="s">
        <v>427</v>
      </c>
      <c r="S343" t="s">
        <v>610</v>
      </c>
      <c r="T343" t="s">
        <v>776</v>
      </c>
      <c r="U343" t="s">
        <v>222</v>
      </c>
      <c r="W343" t="s">
        <v>1876</v>
      </c>
      <c r="X343" t="s">
        <v>2199</v>
      </c>
      <c r="Y343" t="s">
        <v>2931</v>
      </c>
      <c r="Z343" t="s">
        <v>3098</v>
      </c>
      <c r="AA343" t="s">
        <v>3135</v>
      </c>
      <c r="AB343">
        <v>10460</v>
      </c>
      <c r="AC343" t="s">
        <v>3139</v>
      </c>
      <c r="AD343" t="s">
        <v>3456</v>
      </c>
      <c r="AE343">
        <v>2</v>
      </c>
      <c r="AG343" t="s">
        <v>4031</v>
      </c>
      <c r="AH343" t="s">
        <v>291</v>
      </c>
      <c r="AI343" t="s">
        <v>291</v>
      </c>
      <c r="AK343" t="s">
        <v>4040</v>
      </c>
      <c r="AM343">
        <v>0</v>
      </c>
      <c r="AN343">
        <v>257</v>
      </c>
      <c r="AO343">
        <v>0</v>
      </c>
      <c r="AQ343" t="s">
        <v>4386</v>
      </c>
      <c r="AR343" t="s">
        <v>5281</v>
      </c>
      <c r="AS343">
        <v>237</v>
      </c>
      <c r="AT343" t="s">
        <v>5837</v>
      </c>
      <c r="AU343">
        <v>1</v>
      </c>
      <c r="AV343">
        <v>0</v>
      </c>
      <c r="AW343">
        <v>74.08</v>
      </c>
      <c r="BB343" t="s">
        <v>1322</v>
      </c>
      <c r="BC343">
        <v>9252</v>
      </c>
      <c r="BG343" t="s">
        <v>140</v>
      </c>
      <c r="BJ343" t="s">
        <v>5959</v>
      </c>
      <c r="BL343" t="s">
        <v>6056</v>
      </c>
    </row>
    <row r="344" spans="1:64">
      <c r="A344" s="1">
        <f>HYPERLINK("https://lsnyc.legalserver.org/matter/dynamic-profile/view/1907447","19-1907447")</f>
        <v>0</v>
      </c>
      <c r="B344" t="s">
        <v>65</v>
      </c>
      <c r="C344" t="s">
        <v>106</v>
      </c>
      <c r="D344" t="s">
        <v>200</v>
      </c>
      <c r="E344" t="s">
        <v>202</v>
      </c>
      <c r="F344" t="s">
        <v>220</v>
      </c>
      <c r="G344" t="s">
        <v>202</v>
      </c>
      <c r="H344" t="s">
        <v>271</v>
      </c>
      <c r="I344" t="s">
        <v>202</v>
      </c>
      <c r="J344" t="s">
        <v>289</v>
      </c>
      <c r="K344" t="s">
        <v>292</v>
      </c>
      <c r="M344" t="s">
        <v>290</v>
      </c>
      <c r="N344" t="s">
        <v>202</v>
      </c>
      <c r="O344" t="s">
        <v>422</v>
      </c>
      <c r="P344" t="s">
        <v>428</v>
      </c>
      <c r="S344" t="s">
        <v>554</v>
      </c>
      <c r="T344" t="s">
        <v>1450</v>
      </c>
      <c r="U344" t="s">
        <v>220</v>
      </c>
      <c r="V344" t="s">
        <v>219</v>
      </c>
      <c r="W344" t="s">
        <v>1877</v>
      </c>
      <c r="X344" t="s">
        <v>2200</v>
      </c>
      <c r="Y344">
        <v>3</v>
      </c>
      <c r="Z344" t="s">
        <v>3098</v>
      </c>
      <c r="AA344" t="s">
        <v>3135</v>
      </c>
      <c r="AB344">
        <v>10466</v>
      </c>
      <c r="AC344" t="s">
        <v>3139</v>
      </c>
      <c r="AD344" t="s">
        <v>3457</v>
      </c>
      <c r="AE344">
        <v>5</v>
      </c>
      <c r="AF344" t="s">
        <v>4023</v>
      </c>
      <c r="AG344" t="s">
        <v>4031</v>
      </c>
      <c r="AH344" t="s">
        <v>291</v>
      </c>
      <c r="AI344" t="s">
        <v>291</v>
      </c>
      <c r="AK344" t="s">
        <v>4040</v>
      </c>
      <c r="AM344">
        <v>0</v>
      </c>
      <c r="AN344">
        <v>1100</v>
      </c>
      <c r="AO344">
        <v>0.5</v>
      </c>
      <c r="AP344" t="s">
        <v>4052</v>
      </c>
      <c r="AQ344" t="s">
        <v>4387</v>
      </c>
      <c r="AR344" t="s">
        <v>5282</v>
      </c>
      <c r="AS344">
        <v>6</v>
      </c>
      <c r="AT344" t="s">
        <v>5835</v>
      </c>
      <c r="AU344">
        <v>1</v>
      </c>
      <c r="AV344">
        <v>0</v>
      </c>
      <c r="AW344">
        <v>90.31</v>
      </c>
      <c r="BB344" t="s">
        <v>1322</v>
      </c>
      <c r="BC344">
        <v>11280</v>
      </c>
      <c r="BG344" t="s">
        <v>140</v>
      </c>
      <c r="BJ344" t="s">
        <v>5968</v>
      </c>
      <c r="BK344" t="s">
        <v>219</v>
      </c>
      <c r="BL344" t="s">
        <v>6056</v>
      </c>
    </row>
    <row r="345" spans="1:64">
      <c r="A345" s="1">
        <f>HYPERLINK("https://lsnyc.legalserver.org/matter/dynamic-profile/view/1908842","19-1908842")</f>
        <v>0</v>
      </c>
      <c r="B345" t="s">
        <v>65</v>
      </c>
      <c r="C345" t="s">
        <v>106</v>
      </c>
      <c r="D345" t="s">
        <v>200</v>
      </c>
      <c r="E345" t="s">
        <v>201</v>
      </c>
      <c r="G345" t="s">
        <v>202</v>
      </c>
      <c r="H345" t="s">
        <v>272</v>
      </c>
      <c r="I345" t="s">
        <v>202</v>
      </c>
      <c r="J345" t="s">
        <v>289</v>
      </c>
      <c r="K345" t="s">
        <v>292</v>
      </c>
      <c r="M345" t="s">
        <v>290</v>
      </c>
      <c r="N345" t="s">
        <v>202</v>
      </c>
      <c r="O345" t="s">
        <v>422</v>
      </c>
      <c r="P345" t="s">
        <v>428</v>
      </c>
      <c r="S345" t="s">
        <v>637</v>
      </c>
      <c r="T345" t="s">
        <v>1451</v>
      </c>
      <c r="U345" t="s">
        <v>219</v>
      </c>
      <c r="V345" t="s">
        <v>267</v>
      </c>
      <c r="W345" t="s">
        <v>1877</v>
      </c>
      <c r="X345" t="s">
        <v>2201</v>
      </c>
      <c r="Y345" t="s">
        <v>2889</v>
      </c>
      <c r="Z345" t="s">
        <v>3098</v>
      </c>
      <c r="AA345" t="s">
        <v>3135</v>
      </c>
      <c r="AB345">
        <v>10471</v>
      </c>
      <c r="AC345" t="s">
        <v>3136</v>
      </c>
      <c r="AD345" t="s">
        <v>3458</v>
      </c>
      <c r="AE345">
        <v>11</v>
      </c>
      <c r="AF345" t="s">
        <v>4023</v>
      </c>
      <c r="AG345" t="s">
        <v>4031</v>
      </c>
      <c r="AH345" t="s">
        <v>291</v>
      </c>
      <c r="AI345" t="s">
        <v>291</v>
      </c>
      <c r="AK345" t="s">
        <v>4040</v>
      </c>
      <c r="AL345" t="s">
        <v>4046</v>
      </c>
      <c r="AM345">
        <v>0</v>
      </c>
      <c r="AN345">
        <v>1800</v>
      </c>
      <c r="AO345">
        <v>0.6</v>
      </c>
      <c r="AP345" t="s">
        <v>4052</v>
      </c>
      <c r="AQ345" t="s">
        <v>4388</v>
      </c>
      <c r="AR345" t="s">
        <v>5283</v>
      </c>
      <c r="AS345">
        <v>61</v>
      </c>
      <c r="AT345" t="s">
        <v>5845</v>
      </c>
      <c r="AU345">
        <v>3</v>
      </c>
      <c r="AV345">
        <v>5</v>
      </c>
      <c r="AW345">
        <v>115.13</v>
      </c>
      <c r="BB345" t="s">
        <v>1322</v>
      </c>
      <c r="BC345">
        <v>50000</v>
      </c>
      <c r="BG345" t="s">
        <v>140</v>
      </c>
      <c r="BJ345" t="s">
        <v>6010</v>
      </c>
      <c r="BK345" t="s">
        <v>267</v>
      </c>
      <c r="BL345" t="s">
        <v>6056</v>
      </c>
    </row>
    <row r="346" spans="1:64">
      <c r="A346" s="1">
        <f>HYPERLINK("https://lsnyc.legalserver.org/matter/dynamic-profile/view/1904917","19-1904917")</f>
        <v>0</v>
      </c>
      <c r="B346" t="s">
        <v>65</v>
      </c>
      <c r="C346" t="s">
        <v>106</v>
      </c>
      <c r="D346" t="s">
        <v>200</v>
      </c>
      <c r="E346" t="s">
        <v>202</v>
      </c>
      <c r="F346" t="s">
        <v>245</v>
      </c>
      <c r="G346" t="s">
        <v>202</v>
      </c>
      <c r="H346" t="s">
        <v>271</v>
      </c>
      <c r="I346" t="s">
        <v>202</v>
      </c>
      <c r="J346" t="s">
        <v>289</v>
      </c>
      <c r="K346" t="s">
        <v>292</v>
      </c>
      <c r="M346" t="s">
        <v>290</v>
      </c>
      <c r="N346" t="s">
        <v>202</v>
      </c>
      <c r="O346" t="s">
        <v>422</v>
      </c>
      <c r="P346" t="s">
        <v>428</v>
      </c>
      <c r="S346" t="s">
        <v>753</v>
      </c>
      <c r="T346" t="s">
        <v>1452</v>
      </c>
      <c r="U346" t="s">
        <v>245</v>
      </c>
      <c r="V346" t="s">
        <v>214</v>
      </c>
      <c r="W346" t="s">
        <v>1877</v>
      </c>
      <c r="X346" t="s">
        <v>2202</v>
      </c>
      <c r="Y346" t="s">
        <v>2783</v>
      </c>
      <c r="Z346" t="s">
        <v>3098</v>
      </c>
      <c r="AA346" t="s">
        <v>3135</v>
      </c>
      <c r="AB346">
        <v>10463</v>
      </c>
      <c r="AC346" t="s">
        <v>3139</v>
      </c>
      <c r="AD346" t="s">
        <v>3459</v>
      </c>
      <c r="AE346">
        <v>25</v>
      </c>
      <c r="AF346" t="s">
        <v>4023</v>
      </c>
      <c r="AG346" t="s">
        <v>4031</v>
      </c>
      <c r="AH346" t="s">
        <v>291</v>
      </c>
      <c r="AI346" t="s">
        <v>291</v>
      </c>
      <c r="AK346" t="s">
        <v>4040</v>
      </c>
      <c r="AL346" t="s">
        <v>4046</v>
      </c>
      <c r="AM346">
        <v>0</v>
      </c>
      <c r="AN346">
        <v>1160</v>
      </c>
      <c r="AO346">
        <v>3.5</v>
      </c>
      <c r="AP346" t="s">
        <v>4052</v>
      </c>
      <c r="AQ346" t="s">
        <v>4389</v>
      </c>
      <c r="AS346">
        <v>110</v>
      </c>
      <c r="AT346" t="s">
        <v>5834</v>
      </c>
      <c r="AU346">
        <v>1</v>
      </c>
      <c r="AV346">
        <v>0</v>
      </c>
      <c r="AW346">
        <v>86.47</v>
      </c>
      <c r="BC346">
        <v>10800</v>
      </c>
      <c r="BG346" t="s">
        <v>140</v>
      </c>
      <c r="BJ346" t="s">
        <v>5950</v>
      </c>
      <c r="BK346" t="s">
        <v>231</v>
      </c>
      <c r="BL346" t="s">
        <v>6056</v>
      </c>
    </row>
    <row r="347" spans="1:64">
      <c r="A347" s="1">
        <f>HYPERLINK("https://lsnyc.legalserver.org/matter/dynamic-profile/view/1906298","19-1906298")</f>
        <v>0</v>
      </c>
      <c r="B347" t="s">
        <v>65</v>
      </c>
      <c r="C347" t="s">
        <v>106</v>
      </c>
      <c r="D347" t="s">
        <v>200</v>
      </c>
      <c r="E347" t="s">
        <v>202</v>
      </c>
      <c r="F347" t="s">
        <v>225</v>
      </c>
      <c r="G347" t="s">
        <v>202</v>
      </c>
      <c r="H347" t="s">
        <v>271</v>
      </c>
      <c r="I347" t="s">
        <v>202</v>
      </c>
      <c r="J347" t="s">
        <v>289</v>
      </c>
      <c r="K347" t="s">
        <v>292</v>
      </c>
      <c r="M347" t="s">
        <v>290</v>
      </c>
      <c r="N347" t="s">
        <v>202</v>
      </c>
      <c r="O347" t="s">
        <v>422</v>
      </c>
      <c r="P347" t="s">
        <v>428</v>
      </c>
      <c r="S347" t="s">
        <v>735</v>
      </c>
      <c r="T347" t="s">
        <v>1453</v>
      </c>
      <c r="U347" t="s">
        <v>249</v>
      </c>
      <c r="V347" t="s">
        <v>225</v>
      </c>
      <c r="W347" t="s">
        <v>1877</v>
      </c>
      <c r="X347" t="s">
        <v>2203</v>
      </c>
      <c r="Y347">
        <v>2</v>
      </c>
      <c r="Z347" t="s">
        <v>3098</v>
      </c>
      <c r="AA347" t="s">
        <v>3135</v>
      </c>
      <c r="AB347">
        <v>10463</v>
      </c>
      <c r="AD347" t="s">
        <v>3460</v>
      </c>
      <c r="AE347">
        <v>7</v>
      </c>
      <c r="AF347" t="s">
        <v>4023</v>
      </c>
      <c r="AG347" t="s">
        <v>4031</v>
      </c>
      <c r="AH347" t="s">
        <v>291</v>
      </c>
      <c r="AI347" t="s">
        <v>291</v>
      </c>
      <c r="AK347" t="s">
        <v>4040</v>
      </c>
      <c r="AL347" t="s">
        <v>4046</v>
      </c>
      <c r="AM347">
        <v>0</v>
      </c>
      <c r="AN347">
        <v>1783</v>
      </c>
      <c r="AO347">
        <v>0.8</v>
      </c>
      <c r="AP347" t="s">
        <v>4052</v>
      </c>
      <c r="AQ347" t="s">
        <v>4390</v>
      </c>
      <c r="AR347" t="s">
        <v>5284</v>
      </c>
      <c r="AS347">
        <v>0</v>
      </c>
      <c r="AU347">
        <v>5</v>
      </c>
      <c r="AV347">
        <v>0</v>
      </c>
      <c r="AW347">
        <v>68.84</v>
      </c>
      <c r="BA347" t="s">
        <v>5850</v>
      </c>
      <c r="BB347" t="s">
        <v>1322</v>
      </c>
      <c r="BC347">
        <v>20768.36</v>
      </c>
      <c r="BG347" t="s">
        <v>140</v>
      </c>
      <c r="BJ347" t="s">
        <v>5949</v>
      </c>
      <c r="BK347" t="s">
        <v>225</v>
      </c>
      <c r="BL347" t="s">
        <v>6056</v>
      </c>
    </row>
    <row r="348" spans="1:64">
      <c r="A348" s="1">
        <f>HYPERLINK("https://lsnyc.legalserver.org/matter/dynamic-profile/view/1905491","19-1905491")</f>
        <v>0</v>
      </c>
      <c r="B348" t="s">
        <v>65</v>
      </c>
      <c r="C348" t="s">
        <v>106</v>
      </c>
      <c r="D348" t="s">
        <v>200</v>
      </c>
      <c r="E348" t="s">
        <v>201</v>
      </c>
      <c r="G348" t="s">
        <v>270</v>
      </c>
      <c r="I348" t="s">
        <v>202</v>
      </c>
      <c r="J348" t="s">
        <v>289</v>
      </c>
      <c r="K348" t="s">
        <v>292</v>
      </c>
      <c r="M348" t="s">
        <v>290</v>
      </c>
      <c r="N348" t="s">
        <v>202</v>
      </c>
      <c r="O348" t="s">
        <v>422</v>
      </c>
      <c r="P348" t="s">
        <v>428</v>
      </c>
      <c r="S348" t="s">
        <v>573</v>
      </c>
      <c r="T348" t="s">
        <v>1454</v>
      </c>
      <c r="U348" t="s">
        <v>242</v>
      </c>
      <c r="V348" t="s">
        <v>210</v>
      </c>
      <c r="W348" t="s">
        <v>1877</v>
      </c>
      <c r="X348" t="s">
        <v>2204</v>
      </c>
      <c r="Y348" t="s">
        <v>2932</v>
      </c>
      <c r="Z348" t="s">
        <v>3098</v>
      </c>
      <c r="AA348" t="s">
        <v>3135</v>
      </c>
      <c r="AB348">
        <v>10468</v>
      </c>
      <c r="AE348">
        <v>9</v>
      </c>
      <c r="AF348" t="s">
        <v>4023</v>
      </c>
      <c r="AG348" t="s">
        <v>4030</v>
      </c>
      <c r="AH348" t="s">
        <v>291</v>
      </c>
      <c r="AK348" t="s">
        <v>4040</v>
      </c>
      <c r="AM348">
        <v>0</v>
      </c>
      <c r="AN348">
        <v>1160</v>
      </c>
      <c r="AO348">
        <v>0.2</v>
      </c>
      <c r="AP348" t="s">
        <v>4052</v>
      </c>
      <c r="AQ348" t="s">
        <v>4391</v>
      </c>
      <c r="AS348">
        <v>0</v>
      </c>
      <c r="AU348">
        <v>2</v>
      </c>
      <c r="AV348">
        <v>1</v>
      </c>
      <c r="AW348">
        <v>248.48</v>
      </c>
      <c r="BB348" t="s">
        <v>5859</v>
      </c>
      <c r="BC348">
        <v>53000</v>
      </c>
      <c r="BG348" t="s">
        <v>5902</v>
      </c>
      <c r="BJ348" t="s">
        <v>5949</v>
      </c>
      <c r="BK348" t="s">
        <v>210</v>
      </c>
    </row>
    <row r="349" spans="1:64">
      <c r="A349" s="1">
        <f>HYPERLINK("https://lsnyc.legalserver.org/matter/dynamic-profile/view/1908335","19-1908335")</f>
        <v>0</v>
      </c>
      <c r="B349" t="s">
        <v>65</v>
      </c>
      <c r="C349" t="s">
        <v>106</v>
      </c>
      <c r="D349" t="s">
        <v>200</v>
      </c>
      <c r="E349" t="s">
        <v>201</v>
      </c>
      <c r="G349" t="s">
        <v>202</v>
      </c>
      <c r="H349" t="s">
        <v>272</v>
      </c>
      <c r="I349" t="s">
        <v>202</v>
      </c>
      <c r="J349" t="s">
        <v>289</v>
      </c>
      <c r="K349" t="s">
        <v>292</v>
      </c>
      <c r="M349" t="s">
        <v>290</v>
      </c>
      <c r="N349" t="s">
        <v>202</v>
      </c>
      <c r="O349" t="s">
        <v>422</v>
      </c>
      <c r="P349" t="s">
        <v>428</v>
      </c>
      <c r="S349" t="s">
        <v>518</v>
      </c>
      <c r="T349" t="s">
        <v>1455</v>
      </c>
      <c r="U349" t="s">
        <v>225</v>
      </c>
      <c r="V349" t="s">
        <v>218</v>
      </c>
      <c r="W349" t="s">
        <v>1877</v>
      </c>
      <c r="X349" t="s">
        <v>2205</v>
      </c>
      <c r="Y349" t="s">
        <v>2933</v>
      </c>
      <c r="Z349" t="s">
        <v>3098</v>
      </c>
      <c r="AA349" t="s">
        <v>3135</v>
      </c>
      <c r="AB349">
        <v>10470</v>
      </c>
      <c r="AC349" t="s">
        <v>3145</v>
      </c>
      <c r="AD349" t="s">
        <v>3461</v>
      </c>
      <c r="AE349">
        <v>0</v>
      </c>
      <c r="AF349" t="s">
        <v>4023</v>
      </c>
      <c r="AG349" t="s">
        <v>4031</v>
      </c>
      <c r="AH349" t="s">
        <v>291</v>
      </c>
      <c r="AK349" t="s">
        <v>4040</v>
      </c>
      <c r="AL349" t="s">
        <v>4046</v>
      </c>
      <c r="AM349">
        <v>0</v>
      </c>
      <c r="AN349">
        <v>0</v>
      </c>
      <c r="AO349">
        <v>0.5</v>
      </c>
      <c r="AP349" t="s">
        <v>4052</v>
      </c>
      <c r="AQ349" t="s">
        <v>4392</v>
      </c>
      <c r="AS349">
        <v>0</v>
      </c>
      <c r="AU349">
        <v>1</v>
      </c>
      <c r="AV349">
        <v>2</v>
      </c>
      <c r="AW349">
        <v>79.7</v>
      </c>
      <c r="BB349" t="s">
        <v>1322</v>
      </c>
      <c r="BC349">
        <v>17000</v>
      </c>
      <c r="BG349" t="s">
        <v>5902</v>
      </c>
      <c r="BJ349" t="s">
        <v>5949</v>
      </c>
      <c r="BK349" t="s">
        <v>218</v>
      </c>
    </row>
    <row r="350" spans="1:64">
      <c r="A350" s="1">
        <f>HYPERLINK("https://lsnyc.legalserver.org/matter/dynamic-profile/view/1903784","19-1903784")</f>
        <v>0</v>
      </c>
      <c r="B350" t="s">
        <v>65</v>
      </c>
      <c r="C350" t="s">
        <v>106</v>
      </c>
      <c r="D350" t="s">
        <v>200</v>
      </c>
      <c r="E350" t="s">
        <v>202</v>
      </c>
      <c r="F350" t="s">
        <v>229</v>
      </c>
      <c r="G350" t="s">
        <v>202</v>
      </c>
      <c r="H350" t="s">
        <v>271</v>
      </c>
      <c r="I350" t="s">
        <v>202</v>
      </c>
      <c r="J350" t="s">
        <v>289</v>
      </c>
      <c r="K350" t="s">
        <v>292</v>
      </c>
      <c r="M350" t="s">
        <v>290</v>
      </c>
      <c r="N350" t="s">
        <v>202</v>
      </c>
      <c r="O350" t="s">
        <v>422</v>
      </c>
      <c r="P350" t="s">
        <v>428</v>
      </c>
      <c r="S350" t="s">
        <v>754</v>
      </c>
      <c r="T350" t="s">
        <v>1456</v>
      </c>
      <c r="U350" t="s">
        <v>229</v>
      </c>
      <c r="V350" t="s">
        <v>214</v>
      </c>
      <c r="W350" t="s">
        <v>1877</v>
      </c>
      <c r="X350" t="s">
        <v>2206</v>
      </c>
      <c r="Y350">
        <v>1</v>
      </c>
      <c r="Z350" t="s">
        <v>3098</v>
      </c>
      <c r="AA350" t="s">
        <v>3135</v>
      </c>
      <c r="AB350">
        <v>10472</v>
      </c>
      <c r="AC350" t="s">
        <v>3139</v>
      </c>
      <c r="AD350" t="s">
        <v>3462</v>
      </c>
      <c r="AE350">
        <v>3</v>
      </c>
      <c r="AF350" t="s">
        <v>4023</v>
      </c>
      <c r="AG350" t="s">
        <v>4031</v>
      </c>
      <c r="AH350" t="s">
        <v>291</v>
      </c>
      <c r="AI350" t="s">
        <v>291</v>
      </c>
      <c r="AK350" t="s">
        <v>4040</v>
      </c>
      <c r="AL350" t="s">
        <v>4046</v>
      </c>
      <c r="AM350">
        <v>0</v>
      </c>
      <c r="AN350">
        <v>1950</v>
      </c>
      <c r="AO350">
        <v>1.1</v>
      </c>
      <c r="AP350" t="s">
        <v>4052</v>
      </c>
      <c r="AQ350" t="s">
        <v>4393</v>
      </c>
      <c r="AR350" t="s">
        <v>5285</v>
      </c>
      <c r="AS350">
        <v>2</v>
      </c>
      <c r="AT350" t="s">
        <v>5835</v>
      </c>
      <c r="AU350">
        <v>2</v>
      </c>
      <c r="AV350">
        <v>2</v>
      </c>
      <c r="AW350">
        <v>155.34</v>
      </c>
      <c r="BA350" t="s">
        <v>5850</v>
      </c>
      <c r="BB350" t="s">
        <v>1322</v>
      </c>
      <c r="BC350">
        <v>40000</v>
      </c>
      <c r="BG350" t="s">
        <v>5904</v>
      </c>
      <c r="BJ350" t="s">
        <v>5949</v>
      </c>
      <c r="BK350" t="s">
        <v>214</v>
      </c>
      <c r="BL350" t="s">
        <v>6056</v>
      </c>
    </row>
    <row r="351" spans="1:64">
      <c r="A351" s="1">
        <f>HYPERLINK("https://lsnyc.legalserver.org/matter/dynamic-profile/view/1909036","19-1909036")</f>
        <v>0</v>
      </c>
      <c r="B351" t="s">
        <v>65</v>
      </c>
      <c r="C351" t="s">
        <v>106</v>
      </c>
      <c r="D351" t="s">
        <v>200</v>
      </c>
      <c r="E351" t="s">
        <v>201</v>
      </c>
      <c r="G351" t="s">
        <v>270</v>
      </c>
      <c r="I351" t="s">
        <v>288</v>
      </c>
      <c r="J351" t="s">
        <v>290</v>
      </c>
      <c r="K351" t="s">
        <v>292</v>
      </c>
      <c r="M351" t="s">
        <v>290</v>
      </c>
      <c r="N351" t="s">
        <v>202</v>
      </c>
      <c r="O351" t="s">
        <v>422</v>
      </c>
      <c r="P351" t="s">
        <v>427</v>
      </c>
      <c r="S351" t="s">
        <v>755</v>
      </c>
      <c r="T351" t="s">
        <v>1457</v>
      </c>
      <c r="U351" t="s">
        <v>256</v>
      </c>
      <c r="W351" t="s">
        <v>1876</v>
      </c>
      <c r="X351" t="s">
        <v>2207</v>
      </c>
      <c r="Y351" t="s">
        <v>2783</v>
      </c>
      <c r="Z351" t="s">
        <v>3098</v>
      </c>
      <c r="AA351" t="s">
        <v>3135</v>
      </c>
      <c r="AB351">
        <v>10473</v>
      </c>
      <c r="AC351" t="s">
        <v>3144</v>
      </c>
      <c r="AE351">
        <v>11</v>
      </c>
      <c r="AG351" t="s">
        <v>4031</v>
      </c>
      <c r="AH351" t="s">
        <v>291</v>
      </c>
      <c r="AK351" t="s">
        <v>4040</v>
      </c>
      <c r="AM351">
        <v>0</v>
      </c>
      <c r="AN351">
        <v>0</v>
      </c>
      <c r="AO351">
        <v>0</v>
      </c>
      <c r="AQ351" t="s">
        <v>4394</v>
      </c>
      <c r="AR351" t="s">
        <v>5286</v>
      </c>
      <c r="AS351">
        <v>0</v>
      </c>
      <c r="AU351">
        <v>3</v>
      </c>
      <c r="AV351">
        <v>1</v>
      </c>
      <c r="AW351">
        <v>0</v>
      </c>
      <c r="BB351" t="s">
        <v>1322</v>
      </c>
      <c r="BC351">
        <v>0</v>
      </c>
      <c r="BG351" t="s">
        <v>5905</v>
      </c>
      <c r="BJ351" t="s">
        <v>5945</v>
      </c>
    </row>
    <row r="352" spans="1:64">
      <c r="A352" s="1">
        <f>HYPERLINK("https://lsnyc.legalserver.org/matter/dynamic-profile/view/1909267","19-1909267")</f>
        <v>0</v>
      </c>
      <c r="B352" t="s">
        <v>65</v>
      </c>
      <c r="C352" t="s">
        <v>106</v>
      </c>
      <c r="D352" t="s">
        <v>200</v>
      </c>
      <c r="E352" t="s">
        <v>201</v>
      </c>
      <c r="G352" t="s">
        <v>202</v>
      </c>
      <c r="H352" t="s">
        <v>272</v>
      </c>
      <c r="I352" t="s">
        <v>202</v>
      </c>
      <c r="J352" t="s">
        <v>289</v>
      </c>
      <c r="K352" t="s">
        <v>292</v>
      </c>
      <c r="M352" t="s">
        <v>290</v>
      </c>
      <c r="N352" t="s">
        <v>202</v>
      </c>
      <c r="O352" t="s">
        <v>422</v>
      </c>
      <c r="P352" t="s">
        <v>427</v>
      </c>
      <c r="S352" t="s">
        <v>685</v>
      </c>
      <c r="T352" t="s">
        <v>1371</v>
      </c>
      <c r="U352" t="s">
        <v>263</v>
      </c>
      <c r="W352" t="s">
        <v>1876</v>
      </c>
      <c r="X352" t="s">
        <v>2208</v>
      </c>
      <c r="Y352" t="s">
        <v>2833</v>
      </c>
      <c r="Z352" t="s">
        <v>3098</v>
      </c>
      <c r="AA352" t="s">
        <v>3135</v>
      </c>
      <c r="AB352">
        <v>10473</v>
      </c>
      <c r="AC352" t="s">
        <v>3136</v>
      </c>
      <c r="AD352" t="s">
        <v>3463</v>
      </c>
      <c r="AE352">
        <v>0</v>
      </c>
      <c r="AG352" t="s">
        <v>4031</v>
      </c>
      <c r="AH352" t="s">
        <v>291</v>
      </c>
      <c r="AI352" t="s">
        <v>291</v>
      </c>
      <c r="AK352" t="s">
        <v>4040</v>
      </c>
      <c r="AM352">
        <v>0</v>
      </c>
      <c r="AN352">
        <v>1016</v>
      </c>
      <c r="AO352">
        <v>0</v>
      </c>
      <c r="AQ352" t="s">
        <v>4395</v>
      </c>
      <c r="AR352" t="s">
        <v>5287</v>
      </c>
      <c r="AS352">
        <v>59</v>
      </c>
      <c r="AT352" t="s">
        <v>5837</v>
      </c>
      <c r="AU352">
        <v>2</v>
      </c>
      <c r="AV352">
        <v>1</v>
      </c>
      <c r="AW352">
        <v>146.27</v>
      </c>
      <c r="BC352">
        <v>31200</v>
      </c>
      <c r="BG352" t="s">
        <v>140</v>
      </c>
      <c r="BJ352" t="s">
        <v>5949</v>
      </c>
      <c r="BL352" t="s">
        <v>6056</v>
      </c>
    </row>
    <row r="353" spans="1:64">
      <c r="A353" s="1">
        <f>HYPERLINK("https://lsnyc.legalserver.org/matter/dynamic-profile/view/1909622","19-1909622")</f>
        <v>0</v>
      </c>
      <c r="B353" t="s">
        <v>65</v>
      </c>
      <c r="C353" t="s">
        <v>106</v>
      </c>
      <c r="D353" t="s">
        <v>200</v>
      </c>
      <c r="E353" t="s">
        <v>201</v>
      </c>
      <c r="G353" t="s">
        <v>202</v>
      </c>
      <c r="H353" t="s">
        <v>271</v>
      </c>
      <c r="I353" t="s">
        <v>202</v>
      </c>
      <c r="J353" t="s">
        <v>289</v>
      </c>
      <c r="K353" t="s">
        <v>292</v>
      </c>
      <c r="M353" t="s">
        <v>290</v>
      </c>
      <c r="N353" t="s">
        <v>202</v>
      </c>
      <c r="O353" t="s">
        <v>422</v>
      </c>
      <c r="P353" t="s">
        <v>427</v>
      </c>
      <c r="S353" t="s">
        <v>756</v>
      </c>
      <c r="T353" t="s">
        <v>1458</v>
      </c>
      <c r="U353" t="s">
        <v>222</v>
      </c>
      <c r="W353" t="s">
        <v>1876</v>
      </c>
      <c r="X353" t="s">
        <v>2209</v>
      </c>
      <c r="Z353" t="s">
        <v>3098</v>
      </c>
      <c r="AA353" t="s">
        <v>3135</v>
      </c>
      <c r="AB353">
        <v>10475</v>
      </c>
      <c r="AC353" t="s">
        <v>3139</v>
      </c>
      <c r="AD353" t="s">
        <v>3464</v>
      </c>
      <c r="AE353">
        <v>20</v>
      </c>
      <c r="AG353" t="s">
        <v>4031</v>
      </c>
      <c r="AH353" t="s">
        <v>291</v>
      </c>
      <c r="AI353" t="s">
        <v>291</v>
      </c>
      <c r="AK353" t="s">
        <v>4040</v>
      </c>
      <c r="AM353">
        <v>0</v>
      </c>
      <c r="AN353">
        <v>900</v>
      </c>
      <c r="AO353">
        <v>0</v>
      </c>
      <c r="AQ353" t="s">
        <v>4396</v>
      </c>
      <c r="AR353" t="s">
        <v>5288</v>
      </c>
      <c r="AS353">
        <v>216</v>
      </c>
      <c r="AT353" t="s">
        <v>5834</v>
      </c>
      <c r="AU353">
        <v>1</v>
      </c>
      <c r="AV353">
        <v>0</v>
      </c>
      <c r="AW353">
        <v>187.35</v>
      </c>
      <c r="BB353" t="s">
        <v>1322</v>
      </c>
      <c r="BC353">
        <v>23400</v>
      </c>
      <c r="BG353" t="s">
        <v>140</v>
      </c>
      <c r="BJ353" t="s">
        <v>5949</v>
      </c>
      <c r="BL353" t="s">
        <v>6056</v>
      </c>
    </row>
    <row r="354" spans="1:64">
      <c r="A354" s="1">
        <f>HYPERLINK("https://lsnyc.legalserver.org/matter/dynamic-profile/view/1908060","19-1908060")</f>
        <v>0</v>
      </c>
      <c r="B354" t="s">
        <v>65</v>
      </c>
      <c r="C354" t="s">
        <v>106</v>
      </c>
      <c r="D354" t="s">
        <v>200</v>
      </c>
      <c r="E354" t="s">
        <v>202</v>
      </c>
      <c r="F354" t="s">
        <v>216</v>
      </c>
      <c r="G354" t="s">
        <v>202</v>
      </c>
      <c r="H354" t="s">
        <v>272</v>
      </c>
      <c r="I354" t="s">
        <v>202</v>
      </c>
      <c r="J354" t="s">
        <v>289</v>
      </c>
      <c r="K354" t="s">
        <v>292</v>
      </c>
      <c r="M354" t="s">
        <v>290</v>
      </c>
      <c r="N354" t="s">
        <v>202</v>
      </c>
      <c r="O354" t="s">
        <v>421</v>
      </c>
      <c r="P354" t="s">
        <v>427</v>
      </c>
      <c r="S354" t="s">
        <v>757</v>
      </c>
      <c r="T354" t="s">
        <v>1459</v>
      </c>
      <c r="U354" t="s">
        <v>221</v>
      </c>
      <c r="W354" t="s">
        <v>1876</v>
      </c>
      <c r="X354" t="s">
        <v>2210</v>
      </c>
      <c r="Y354" t="s">
        <v>2934</v>
      </c>
      <c r="Z354" t="s">
        <v>3098</v>
      </c>
      <c r="AA354" t="s">
        <v>3135</v>
      </c>
      <c r="AB354">
        <v>10466</v>
      </c>
      <c r="AC354" t="s">
        <v>3144</v>
      </c>
      <c r="AD354" t="s">
        <v>3465</v>
      </c>
      <c r="AE354">
        <v>0</v>
      </c>
      <c r="AG354" t="s">
        <v>4031</v>
      </c>
      <c r="AH354" t="s">
        <v>291</v>
      </c>
      <c r="AI354" t="s">
        <v>291</v>
      </c>
      <c r="AK354" t="s">
        <v>4040</v>
      </c>
      <c r="AM354">
        <v>0</v>
      </c>
      <c r="AN354">
        <v>0</v>
      </c>
      <c r="AO354">
        <v>2.6</v>
      </c>
      <c r="AQ354" t="s">
        <v>4397</v>
      </c>
      <c r="AR354" t="s">
        <v>5289</v>
      </c>
      <c r="AS354">
        <v>0</v>
      </c>
      <c r="AU354">
        <v>1</v>
      </c>
      <c r="AV354">
        <v>0</v>
      </c>
      <c r="AW354">
        <v>166.53</v>
      </c>
      <c r="BB354" t="s">
        <v>1322</v>
      </c>
      <c r="BC354">
        <v>20800</v>
      </c>
      <c r="BG354" t="s">
        <v>140</v>
      </c>
      <c r="BJ354" t="s">
        <v>5949</v>
      </c>
      <c r="BK354" t="s">
        <v>216</v>
      </c>
      <c r="BL354" t="s">
        <v>6056</v>
      </c>
    </row>
    <row r="355" spans="1:64">
      <c r="A355" s="1">
        <f>HYPERLINK("https://lsnyc.legalserver.org/matter/dynamic-profile/view/1906476","19-1906476")</f>
        <v>0</v>
      </c>
      <c r="B355" t="s">
        <v>65</v>
      </c>
      <c r="C355" t="s">
        <v>124</v>
      </c>
      <c r="D355" t="s">
        <v>200</v>
      </c>
      <c r="E355" t="s">
        <v>201</v>
      </c>
      <c r="G355" t="s">
        <v>202</v>
      </c>
      <c r="H355" t="s">
        <v>271</v>
      </c>
      <c r="I355" t="s">
        <v>288</v>
      </c>
      <c r="J355" t="s">
        <v>290</v>
      </c>
      <c r="K355" t="s">
        <v>292</v>
      </c>
      <c r="M355" t="s">
        <v>290</v>
      </c>
      <c r="N355" t="s">
        <v>202</v>
      </c>
      <c r="O355" t="s">
        <v>421</v>
      </c>
      <c r="P355" t="s">
        <v>427</v>
      </c>
      <c r="S355" t="s">
        <v>758</v>
      </c>
      <c r="T355" t="s">
        <v>1305</v>
      </c>
      <c r="U355" t="s">
        <v>253</v>
      </c>
      <c r="W355" t="s">
        <v>1876</v>
      </c>
      <c r="X355" t="s">
        <v>2211</v>
      </c>
      <c r="Y355" t="s">
        <v>2889</v>
      </c>
      <c r="Z355" t="s">
        <v>3098</v>
      </c>
      <c r="AA355" t="s">
        <v>3135</v>
      </c>
      <c r="AB355">
        <v>10460</v>
      </c>
      <c r="AC355" t="s">
        <v>3140</v>
      </c>
      <c r="AD355" t="s">
        <v>3466</v>
      </c>
      <c r="AE355">
        <v>32</v>
      </c>
      <c r="AG355" t="s">
        <v>4031</v>
      </c>
      <c r="AH355" t="s">
        <v>291</v>
      </c>
      <c r="AI355" t="s">
        <v>291</v>
      </c>
      <c r="AK355" t="s">
        <v>4040</v>
      </c>
      <c r="AL355" t="s">
        <v>4046</v>
      </c>
      <c r="AM355">
        <v>0</v>
      </c>
      <c r="AN355">
        <v>162</v>
      </c>
      <c r="AO355">
        <v>3</v>
      </c>
      <c r="AQ355" t="s">
        <v>4398</v>
      </c>
      <c r="AR355" t="s">
        <v>5290</v>
      </c>
      <c r="AS355">
        <v>0</v>
      </c>
      <c r="AT355" t="s">
        <v>5840</v>
      </c>
      <c r="AU355">
        <v>1</v>
      </c>
      <c r="AV355">
        <v>0</v>
      </c>
      <c r="AW355">
        <v>54.19</v>
      </c>
      <c r="BB355" t="s">
        <v>1322</v>
      </c>
      <c r="BC355">
        <v>6768</v>
      </c>
      <c r="BG355" t="s">
        <v>5902</v>
      </c>
      <c r="BJ355" t="s">
        <v>5959</v>
      </c>
      <c r="BK355" t="s">
        <v>238</v>
      </c>
    </row>
    <row r="356" spans="1:64">
      <c r="A356" s="1">
        <f>HYPERLINK("https://lsnyc.legalserver.org/matter/dynamic-profile/view/1909310","19-1909310")</f>
        <v>0</v>
      </c>
      <c r="B356" t="s">
        <v>65</v>
      </c>
      <c r="C356" t="s">
        <v>106</v>
      </c>
      <c r="D356" t="s">
        <v>200</v>
      </c>
      <c r="E356" t="s">
        <v>201</v>
      </c>
      <c r="G356" t="s">
        <v>202</v>
      </c>
      <c r="H356" t="s">
        <v>272</v>
      </c>
      <c r="I356" t="s">
        <v>202</v>
      </c>
      <c r="J356" t="s">
        <v>289</v>
      </c>
      <c r="K356" t="s">
        <v>292</v>
      </c>
      <c r="M356" t="s">
        <v>290</v>
      </c>
      <c r="N356" t="s">
        <v>202</v>
      </c>
      <c r="O356" t="s">
        <v>422</v>
      </c>
      <c r="P356" t="s">
        <v>427</v>
      </c>
      <c r="S356" t="s">
        <v>759</v>
      </c>
      <c r="T356" t="s">
        <v>1460</v>
      </c>
      <c r="U356" t="s">
        <v>263</v>
      </c>
      <c r="W356" t="s">
        <v>1876</v>
      </c>
      <c r="X356" t="s">
        <v>2212</v>
      </c>
      <c r="Y356">
        <v>512</v>
      </c>
      <c r="Z356" t="s">
        <v>3098</v>
      </c>
      <c r="AA356" t="s">
        <v>3135</v>
      </c>
      <c r="AB356">
        <v>10451</v>
      </c>
      <c r="AC356" t="s">
        <v>3139</v>
      </c>
      <c r="AD356" t="s">
        <v>3467</v>
      </c>
      <c r="AE356">
        <v>0</v>
      </c>
      <c r="AG356" t="s">
        <v>4031</v>
      </c>
      <c r="AH356" t="s">
        <v>291</v>
      </c>
      <c r="AI356" t="s">
        <v>291</v>
      </c>
      <c r="AK356" t="s">
        <v>4040</v>
      </c>
      <c r="AM356">
        <v>0</v>
      </c>
      <c r="AN356">
        <v>1100</v>
      </c>
      <c r="AO356">
        <v>0.3</v>
      </c>
      <c r="AQ356" t="s">
        <v>4399</v>
      </c>
      <c r="AS356">
        <v>152</v>
      </c>
      <c r="AT356" t="s">
        <v>5842</v>
      </c>
      <c r="AU356">
        <v>1</v>
      </c>
      <c r="AV356">
        <v>0</v>
      </c>
      <c r="AW356">
        <v>96.08</v>
      </c>
      <c r="BB356" t="s">
        <v>1322</v>
      </c>
      <c r="BC356">
        <v>12000</v>
      </c>
      <c r="BG356" t="s">
        <v>140</v>
      </c>
      <c r="BJ356" t="s">
        <v>5949</v>
      </c>
      <c r="BK356" t="s">
        <v>243</v>
      </c>
      <c r="BL356" t="s">
        <v>6056</v>
      </c>
    </row>
    <row r="357" spans="1:64">
      <c r="A357" s="1">
        <f>HYPERLINK("https://lsnyc.legalserver.org/matter/dynamic-profile/view/1905899","19-1905899")</f>
        <v>0</v>
      </c>
      <c r="B357" t="s">
        <v>65</v>
      </c>
      <c r="C357" t="s">
        <v>106</v>
      </c>
      <c r="D357" t="s">
        <v>200</v>
      </c>
      <c r="E357" t="s">
        <v>202</v>
      </c>
      <c r="F357" t="s">
        <v>217</v>
      </c>
      <c r="G357" t="s">
        <v>202</v>
      </c>
      <c r="H357" t="s">
        <v>272</v>
      </c>
      <c r="I357" t="s">
        <v>202</v>
      </c>
      <c r="J357" t="s">
        <v>289</v>
      </c>
      <c r="K357" t="s">
        <v>292</v>
      </c>
      <c r="M357" t="s">
        <v>290</v>
      </c>
      <c r="N357" t="s">
        <v>202</v>
      </c>
      <c r="O357" t="s">
        <v>422</v>
      </c>
      <c r="P357" t="s">
        <v>428</v>
      </c>
      <c r="S357" t="s">
        <v>760</v>
      </c>
      <c r="T357" t="s">
        <v>1461</v>
      </c>
      <c r="U357" t="s">
        <v>262</v>
      </c>
      <c r="V357" t="s">
        <v>217</v>
      </c>
      <c r="W357" t="s">
        <v>1877</v>
      </c>
      <c r="X357" t="s">
        <v>2213</v>
      </c>
      <c r="Y357" t="s">
        <v>2935</v>
      </c>
      <c r="Z357" t="s">
        <v>3098</v>
      </c>
      <c r="AA357" t="s">
        <v>3135</v>
      </c>
      <c r="AB357">
        <v>10451</v>
      </c>
      <c r="AC357" t="s">
        <v>3138</v>
      </c>
      <c r="AD357" t="s">
        <v>3468</v>
      </c>
      <c r="AE357">
        <v>24</v>
      </c>
      <c r="AF357" t="s">
        <v>4023</v>
      </c>
      <c r="AG357" t="s">
        <v>4031</v>
      </c>
      <c r="AH357" t="s">
        <v>291</v>
      </c>
      <c r="AI357" t="s">
        <v>291</v>
      </c>
      <c r="AK357" t="s">
        <v>4041</v>
      </c>
      <c r="AL357" t="s">
        <v>4047</v>
      </c>
      <c r="AM357">
        <v>0</v>
      </c>
      <c r="AN357">
        <v>234</v>
      </c>
      <c r="AO357">
        <v>0.5</v>
      </c>
      <c r="AP357" t="s">
        <v>4052</v>
      </c>
      <c r="AQ357" t="s">
        <v>4400</v>
      </c>
      <c r="AR357" t="s">
        <v>5291</v>
      </c>
      <c r="AS357">
        <v>477</v>
      </c>
      <c r="AT357" t="s">
        <v>5837</v>
      </c>
      <c r="AU357">
        <v>1</v>
      </c>
      <c r="AV357">
        <v>0</v>
      </c>
      <c r="AW357">
        <v>72.42</v>
      </c>
      <c r="BA357" t="s">
        <v>329</v>
      </c>
      <c r="BB357" t="s">
        <v>1322</v>
      </c>
      <c r="BC357">
        <v>9045</v>
      </c>
      <c r="BG357" t="s">
        <v>5901</v>
      </c>
      <c r="BJ357" t="s">
        <v>5955</v>
      </c>
      <c r="BK357" t="s">
        <v>217</v>
      </c>
      <c r="BL357" t="s">
        <v>6056</v>
      </c>
    </row>
    <row r="358" spans="1:64">
      <c r="A358" s="1">
        <f>HYPERLINK("https://lsnyc.legalserver.org/matter/dynamic-profile/view/1907069","19-1907069")</f>
        <v>0</v>
      </c>
      <c r="B358" t="s">
        <v>65</v>
      </c>
      <c r="C358" t="s">
        <v>106</v>
      </c>
      <c r="D358" t="s">
        <v>200</v>
      </c>
      <c r="E358" t="s">
        <v>202</v>
      </c>
      <c r="F358" t="s">
        <v>226</v>
      </c>
      <c r="G358" t="s">
        <v>202</v>
      </c>
      <c r="H358" t="s">
        <v>271</v>
      </c>
      <c r="I358" t="s">
        <v>202</v>
      </c>
      <c r="J358" t="s">
        <v>289</v>
      </c>
      <c r="K358" t="s">
        <v>292</v>
      </c>
      <c r="M358" t="s">
        <v>290</v>
      </c>
      <c r="N358" t="s">
        <v>202</v>
      </c>
      <c r="O358" t="s">
        <v>422</v>
      </c>
      <c r="P358" t="s">
        <v>428</v>
      </c>
      <c r="S358" t="s">
        <v>761</v>
      </c>
      <c r="T358" t="s">
        <v>1462</v>
      </c>
      <c r="U358" t="s">
        <v>226</v>
      </c>
      <c r="V358" t="s">
        <v>213</v>
      </c>
      <c r="W358" t="s">
        <v>1877</v>
      </c>
      <c r="X358" t="s">
        <v>2214</v>
      </c>
      <c r="Y358">
        <v>4</v>
      </c>
      <c r="Z358" t="s">
        <v>3098</v>
      </c>
      <c r="AA358" t="s">
        <v>3135</v>
      </c>
      <c r="AB358">
        <v>10460</v>
      </c>
      <c r="AC358" t="s">
        <v>3139</v>
      </c>
      <c r="AD358" t="s">
        <v>3469</v>
      </c>
      <c r="AE358">
        <v>10</v>
      </c>
      <c r="AF358" t="s">
        <v>4023</v>
      </c>
      <c r="AG358" t="s">
        <v>4031</v>
      </c>
      <c r="AH358" t="s">
        <v>291</v>
      </c>
      <c r="AI358" t="s">
        <v>291</v>
      </c>
      <c r="AK358" t="s">
        <v>4040</v>
      </c>
      <c r="AM358">
        <v>0</v>
      </c>
      <c r="AN358">
        <v>1543.84</v>
      </c>
      <c r="AO358">
        <v>1</v>
      </c>
      <c r="AP358" t="s">
        <v>4052</v>
      </c>
      <c r="AQ358" t="s">
        <v>4401</v>
      </c>
      <c r="AR358" t="s">
        <v>5292</v>
      </c>
      <c r="AS358">
        <v>4</v>
      </c>
      <c r="AT358" t="s">
        <v>5835</v>
      </c>
      <c r="AU358">
        <v>1</v>
      </c>
      <c r="AV358">
        <v>1</v>
      </c>
      <c r="AW358">
        <v>77.42</v>
      </c>
      <c r="BA358" t="s">
        <v>5850</v>
      </c>
      <c r="BB358" t="s">
        <v>1322</v>
      </c>
      <c r="BC358">
        <v>13092</v>
      </c>
      <c r="BG358" t="s">
        <v>140</v>
      </c>
      <c r="BJ358" t="s">
        <v>6000</v>
      </c>
      <c r="BK358" t="s">
        <v>213</v>
      </c>
      <c r="BL358" t="s">
        <v>6056</v>
      </c>
    </row>
    <row r="359" spans="1:64">
      <c r="A359" s="1">
        <f>HYPERLINK("https://lsnyc.legalserver.org/matter/dynamic-profile/view/1904413","19-1904413")</f>
        <v>0</v>
      </c>
      <c r="B359" t="s">
        <v>65</v>
      </c>
      <c r="C359" t="s">
        <v>106</v>
      </c>
      <c r="D359" t="s">
        <v>200</v>
      </c>
      <c r="E359" t="s">
        <v>201</v>
      </c>
      <c r="G359" t="s">
        <v>202</v>
      </c>
      <c r="H359" t="s">
        <v>272</v>
      </c>
      <c r="I359" t="s">
        <v>202</v>
      </c>
      <c r="J359" t="s">
        <v>289</v>
      </c>
      <c r="K359" t="s">
        <v>292</v>
      </c>
      <c r="M359" t="s">
        <v>290</v>
      </c>
      <c r="N359" t="s">
        <v>202</v>
      </c>
      <c r="O359" t="s">
        <v>422</v>
      </c>
      <c r="P359" t="s">
        <v>428</v>
      </c>
      <c r="S359" t="s">
        <v>762</v>
      </c>
      <c r="T359" t="s">
        <v>1463</v>
      </c>
      <c r="U359" t="s">
        <v>204</v>
      </c>
      <c r="V359" t="s">
        <v>232</v>
      </c>
      <c r="W359" t="s">
        <v>1877</v>
      </c>
      <c r="X359" t="s">
        <v>2215</v>
      </c>
      <c r="Y359">
        <v>2</v>
      </c>
      <c r="Z359" t="s">
        <v>3098</v>
      </c>
      <c r="AA359" t="s">
        <v>3135</v>
      </c>
      <c r="AB359">
        <v>10461</v>
      </c>
      <c r="AC359" t="s">
        <v>3139</v>
      </c>
      <c r="AD359" t="s">
        <v>3470</v>
      </c>
      <c r="AE359">
        <v>1</v>
      </c>
      <c r="AF359" t="s">
        <v>4023</v>
      </c>
      <c r="AG359" t="s">
        <v>4031</v>
      </c>
      <c r="AH359" t="s">
        <v>291</v>
      </c>
      <c r="AK359" t="s">
        <v>4040</v>
      </c>
      <c r="AL359" t="s">
        <v>4047</v>
      </c>
      <c r="AM359">
        <v>0</v>
      </c>
      <c r="AN359">
        <v>1900</v>
      </c>
      <c r="AO359">
        <v>0.4</v>
      </c>
      <c r="AP359" t="s">
        <v>4052</v>
      </c>
      <c r="AQ359" t="s">
        <v>4402</v>
      </c>
      <c r="AR359" t="s">
        <v>5293</v>
      </c>
      <c r="AS359">
        <v>3</v>
      </c>
      <c r="AT359" t="s">
        <v>5835</v>
      </c>
      <c r="AU359">
        <v>2</v>
      </c>
      <c r="AV359">
        <v>1</v>
      </c>
      <c r="AW359">
        <v>48.76</v>
      </c>
      <c r="BB359" t="s">
        <v>1322</v>
      </c>
      <c r="BC359">
        <v>10400</v>
      </c>
      <c r="BG359" t="s">
        <v>5902</v>
      </c>
      <c r="BJ359" t="s">
        <v>5949</v>
      </c>
      <c r="BK359" t="s">
        <v>232</v>
      </c>
      <c r="BL359" t="s">
        <v>6056</v>
      </c>
    </row>
    <row r="360" spans="1:64">
      <c r="A360" s="1">
        <f>HYPERLINK("https://lsnyc.legalserver.org/matter/dynamic-profile/view/1907033","19-1907033")</f>
        <v>0</v>
      </c>
      <c r="B360" t="s">
        <v>65</v>
      </c>
      <c r="C360" t="s">
        <v>106</v>
      </c>
      <c r="D360" t="s">
        <v>200</v>
      </c>
      <c r="E360" t="s">
        <v>201</v>
      </c>
      <c r="G360" t="s">
        <v>202</v>
      </c>
      <c r="H360" t="s">
        <v>272</v>
      </c>
      <c r="I360" t="s">
        <v>202</v>
      </c>
      <c r="J360" t="s">
        <v>289</v>
      </c>
      <c r="K360" t="s">
        <v>292</v>
      </c>
      <c r="M360" t="s">
        <v>290</v>
      </c>
      <c r="N360" t="s">
        <v>202</v>
      </c>
      <c r="O360" t="s">
        <v>422</v>
      </c>
      <c r="P360" t="s">
        <v>428</v>
      </c>
      <c r="S360" t="s">
        <v>763</v>
      </c>
      <c r="T360" t="s">
        <v>887</v>
      </c>
      <c r="U360" t="s">
        <v>226</v>
      </c>
      <c r="V360" t="s">
        <v>267</v>
      </c>
      <c r="W360" t="s">
        <v>1877</v>
      </c>
      <c r="X360" t="s">
        <v>2216</v>
      </c>
      <c r="Y360" t="s">
        <v>2936</v>
      </c>
      <c r="Z360" t="s">
        <v>3098</v>
      </c>
      <c r="AA360" t="s">
        <v>3135</v>
      </c>
      <c r="AB360">
        <v>10473</v>
      </c>
      <c r="AC360" t="s">
        <v>3139</v>
      </c>
      <c r="AD360" t="s">
        <v>3471</v>
      </c>
      <c r="AE360">
        <v>11</v>
      </c>
      <c r="AF360" t="s">
        <v>4023</v>
      </c>
      <c r="AG360" t="s">
        <v>4031</v>
      </c>
      <c r="AH360" t="s">
        <v>291</v>
      </c>
      <c r="AI360" t="s">
        <v>291</v>
      </c>
      <c r="AK360" t="s">
        <v>4040</v>
      </c>
      <c r="AL360" t="s">
        <v>4046</v>
      </c>
      <c r="AM360">
        <v>0</v>
      </c>
      <c r="AN360">
        <v>1485.31</v>
      </c>
      <c r="AO360">
        <v>2.1</v>
      </c>
      <c r="AP360" t="s">
        <v>4052</v>
      </c>
      <c r="AQ360" t="s">
        <v>4403</v>
      </c>
      <c r="AR360" t="s">
        <v>5294</v>
      </c>
      <c r="AS360">
        <v>154</v>
      </c>
      <c r="AT360" t="s">
        <v>5838</v>
      </c>
      <c r="AU360">
        <v>1</v>
      </c>
      <c r="AV360">
        <v>0</v>
      </c>
      <c r="AW360">
        <v>164.04</v>
      </c>
      <c r="BB360" t="s">
        <v>1322</v>
      </c>
      <c r="BC360">
        <v>20488</v>
      </c>
      <c r="BG360" t="s">
        <v>140</v>
      </c>
      <c r="BJ360" t="s">
        <v>5949</v>
      </c>
      <c r="BK360" t="s">
        <v>267</v>
      </c>
      <c r="BL360" t="s">
        <v>6056</v>
      </c>
    </row>
    <row r="361" spans="1:64">
      <c r="A361" s="1">
        <f>HYPERLINK("https://lsnyc.legalserver.org/matter/dynamic-profile/view/1909254","19-1909254")</f>
        <v>0</v>
      </c>
      <c r="B361" t="s">
        <v>65</v>
      </c>
      <c r="C361" t="s">
        <v>106</v>
      </c>
      <c r="D361" t="s">
        <v>200</v>
      </c>
      <c r="E361" t="s">
        <v>201</v>
      </c>
      <c r="G361" t="s">
        <v>202</v>
      </c>
      <c r="H361" t="s">
        <v>272</v>
      </c>
      <c r="I361" t="s">
        <v>202</v>
      </c>
      <c r="J361" t="s">
        <v>289</v>
      </c>
      <c r="K361" t="s">
        <v>292</v>
      </c>
      <c r="M361" t="s">
        <v>290</v>
      </c>
      <c r="N361" t="s">
        <v>202</v>
      </c>
      <c r="O361" t="s">
        <v>422</v>
      </c>
      <c r="P361" t="s">
        <v>427</v>
      </c>
      <c r="S361" t="s">
        <v>764</v>
      </c>
      <c r="T361" t="s">
        <v>1464</v>
      </c>
      <c r="U361" t="s">
        <v>263</v>
      </c>
      <c r="W361" t="s">
        <v>1876</v>
      </c>
      <c r="X361" t="s">
        <v>2217</v>
      </c>
      <c r="Z361" t="s">
        <v>3098</v>
      </c>
      <c r="AA361" t="s">
        <v>3135</v>
      </c>
      <c r="AB361">
        <v>10470</v>
      </c>
      <c r="AC361" t="s">
        <v>3139</v>
      </c>
      <c r="AD361" t="s">
        <v>3472</v>
      </c>
      <c r="AE361">
        <v>1</v>
      </c>
      <c r="AG361" t="s">
        <v>4031</v>
      </c>
      <c r="AH361" t="s">
        <v>291</v>
      </c>
      <c r="AI361" t="s">
        <v>291</v>
      </c>
      <c r="AK361" t="s">
        <v>4040</v>
      </c>
      <c r="AM361">
        <v>0</v>
      </c>
      <c r="AN361">
        <v>1956</v>
      </c>
      <c r="AO361">
        <v>0</v>
      </c>
      <c r="AQ361" t="s">
        <v>4404</v>
      </c>
      <c r="AR361" t="s">
        <v>5295</v>
      </c>
      <c r="AS361">
        <v>3</v>
      </c>
      <c r="AT361" t="s">
        <v>5836</v>
      </c>
      <c r="AU361">
        <v>3</v>
      </c>
      <c r="AV361">
        <v>2</v>
      </c>
      <c r="AW361">
        <v>103.41</v>
      </c>
      <c r="BA361" t="s">
        <v>5858</v>
      </c>
      <c r="BB361" t="s">
        <v>1322</v>
      </c>
      <c r="BC361">
        <v>31200</v>
      </c>
      <c r="BG361" t="s">
        <v>5900</v>
      </c>
      <c r="BJ361" t="s">
        <v>5949</v>
      </c>
      <c r="BL361" t="s">
        <v>6056</v>
      </c>
    </row>
    <row r="362" spans="1:64">
      <c r="A362" s="1">
        <f>HYPERLINK("https://lsnyc.legalserver.org/matter/dynamic-profile/view/1904361","19-1904361")</f>
        <v>0</v>
      </c>
      <c r="B362" t="s">
        <v>65</v>
      </c>
      <c r="C362" t="s">
        <v>106</v>
      </c>
      <c r="D362" t="s">
        <v>200</v>
      </c>
      <c r="E362" t="s">
        <v>202</v>
      </c>
      <c r="F362" t="s">
        <v>207</v>
      </c>
      <c r="G362" t="s">
        <v>202</v>
      </c>
      <c r="H362" t="s">
        <v>272</v>
      </c>
      <c r="I362" t="s">
        <v>202</v>
      </c>
      <c r="J362" t="s">
        <v>289</v>
      </c>
      <c r="K362" t="s">
        <v>292</v>
      </c>
      <c r="M362" t="s">
        <v>290</v>
      </c>
      <c r="N362" t="s">
        <v>202</v>
      </c>
      <c r="O362" t="s">
        <v>422</v>
      </c>
      <c r="P362" t="s">
        <v>428</v>
      </c>
      <c r="S362" t="s">
        <v>765</v>
      </c>
      <c r="T362" t="s">
        <v>1465</v>
      </c>
      <c r="U362" t="s">
        <v>233</v>
      </c>
      <c r="V362" t="s">
        <v>240</v>
      </c>
      <c r="W362" t="s">
        <v>1877</v>
      </c>
      <c r="X362" t="s">
        <v>2218</v>
      </c>
      <c r="Y362" t="s">
        <v>2937</v>
      </c>
      <c r="Z362" t="s">
        <v>3098</v>
      </c>
      <c r="AA362" t="s">
        <v>3135</v>
      </c>
      <c r="AB362">
        <v>10467</v>
      </c>
      <c r="AC362" t="s">
        <v>3139</v>
      </c>
      <c r="AD362" t="s">
        <v>3473</v>
      </c>
      <c r="AE362">
        <v>0</v>
      </c>
      <c r="AF362" t="s">
        <v>4023</v>
      </c>
      <c r="AG362" t="s">
        <v>4030</v>
      </c>
      <c r="AH362" t="s">
        <v>291</v>
      </c>
      <c r="AI362" t="s">
        <v>291</v>
      </c>
      <c r="AK362" t="s">
        <v>4040</v>
      </c>
      <c r="AM362">
        <v>0</v>
      </c>
      <c r="AN362">
        <v>1380</v>
      </c>
      <c r="AO362">
        <v>0.6</v>
      </c>
      <c r="AP362" t="s">
        <v>4052</v>
      </c>
      <c r="AQ362" t="s">
        <v>4405</v>
      </c>
      <c r="AR362" t="s">
        <v>5296</v>
      </c>
      <c r="AS362">
        <v>40</v>
      </c>
      <c r="AT362" t="s">
        <v>5836</v>
      </c>
      <c r="AU362">
        <v>2</v>
      </c>
      <c r="AV362">
        <v>1</v>
      </c>
      <c r="AW362">
        <v>245.66</v>
      </c>
      <c r="BA362" t="s">
        <v>329</v>
      </c>
      <c r="BB362" t="s">
        <v>1322</v>
      </c>
      <c r="BC362">
        <v>52400</v>
      </c>
      <c r="BF362" t="s">
        <v>5882</v>
      </c>
      <c r="BG362" t="s">
        <v>5900</v>
      </c>
      <c r="BJ362" t="s">
        <v>5962</v>
      </c>
      <c r="BK362" t="s">
        <v>260</v>
      </c>
      <c r="BL362" t="s">
        <v>6056</v>
      </c>
    </row>
    <row r="363" spans="1:64">
      <c r="A363" s="1">
        <f>HYPERLINK("https://lsnyc.legalserver.org/matter/dynamic-profile/view/1909196","19-1909196")</f>
        <v>0</v>
      </c>
      <c r="B363" t="s">
        <v>65</v>
      </c>
      <c r="C363" t="s">
        <v>106</v>
      </c>
      <c r="D363" t="s">
        <v>200</v>
      </c>
      <c r="E363" t="s">
        <v>201</v>
      </c>
      <c r="G363" t="s">
        <v>202</v>
      </c>
      <c r="H363" t="s">
        <v>271</v>
      </c>
      <c r="I363" t="s">
        <v>202</v>
      </c>
      <c r="J363" t="s">
        <v>289</v>
      </c>
      <c r="K363" t="s">
        <v>292</v>
      </c>
      <c r="M363" t="s">
        <v>290</v>
      </c>
      <c r="N363" t="s">
        <v>202</v>
      </c>
      <c r="O363" t="s">
        <v>422</v>
      </c>
      <c r="P363" t="s">
        <v>427</v>
      </c>
      <c r="S363" t="s">
        <v>538</v>
      </c>
      <c r="T363" t="s">
        <v>1436</v>
      </c>
      <c r="U363" t="s">
        <v>228</v>
      </c>
      <c r="W363" t="s">
        <v>1876</v>
      </c>
      <c r="X363" t="s">
        <v>2219</v>
      </c>
      <c r="Y363" t="s">
        <v>2938</v>
      </c>
      <c r="Z363" t="s">
        <v>3098</v>
      </c>
      <c r="AA363" t="s">
        <v>3135</v>
      </c>
      <c r="AB363">
        <v>10466</v>
      </c>
      <c r="AC363" t="s">
        <v>3136</v>
      </c>
      <c r="AD363" t="s">
        <v>3474</v>
      </c>
      <c r="AE363">
        <v>2</v>
      </c>
      <c r="AG363" t="s">
        <v>4031</v>
      </c>
      <c r="AH363" t="s">
        <v>291</v>
      </c>
      <c r="AI363" t="s">
        <v>291</v>
      </c>
      <c r="AK363" t="s">
        <v>4040</v>
      </c>
      <c r="AM363">
        <v>0</v>
      </c>
      <c r="AN363">
        <v>800</v>
      </c>
      <c r="AO363">
        <v>0</v>
      </c>
      <c r="AQ363" t="s">
        <v>4406</v>
      </c>
      <c r="AR363" t="s">
        <v>5297</v>
      </c>
      <c r="AS363">
        <v>6</v>
      </c>
      <c r="AT363" t="s">
        <v>5835</v>
      </c>
      <c r="AU363">
        <v>1</v>
      </c>
      <c r="AV363">
        <v>0</v>
      </c>
      <c r="AW363">
        <v>24.98</v>
      </c>
      <c r="BA363" t="s">
        <v>5856</v>
      </c>
      <c r="BB363" t="s">
        <v>5859</v>
      </c>
      <c r="BC363">
        <v>3120</v>
      </c>
      <c r="BG363" t="s">
        <v>140</v>
      </c>
      <c r="BJ363" t="s">
        <v>5948</v>
      </c>
      <c r="BL363" t="s">
        <v>6056</v>
      </c>
    </row>
    <row r="364" spans="1:64">
      <c r="A364" s="1">
        <f>HYPERLINK("https://lsnyc.legalserver.org/matter/dynamic-profile/view/1907552","19-1907552")</f>
        <v>0</v>
      </c>
      <c r="B364" t="s">
        <v>65</v>
      </c>
      <c r="C364" t="s">
        <v>106</v>
      </c>
      <c r="D364" t="s">
        <v>200</v>
      </c>
      <c r="E364" t="s">
        <v>201</v>
      </c>
      <c r="G364" t="s">
        <v>202</v>
      </c>
      <c r="H364" t="s">
        <v>272</v>
      </c>
      <c r="I364" t="s">
        <v>202</v>
      </c>
      <c r="J364" t="s">
        <v>289</v>
      </c>
      <c r="K364" t="s">
        <v>292</v>
      </c>
      <c r="M364" t="s">
        <v>290</v>
      </c>
      <c r="N364" t="s">
        <v>202</v>
      </c>
      <c r="O364" t="s">
        <v>422</v>
      </c>
      <c r="P364" t="s">
        <v>428</v>
      </c>
      <c r="S364" t="s">
        <v>766</v>
      </c>
      <c r="T364" t="s">
        <v>1409</v>
      </c>
      <c r="U364" t="s">
        <v>254</v>
      </c>
      <c r="V364" t="s">
        <v>206</v>
      </c>
      <c r="W364" t="s">
        <v>1877</v>
      </c>
      <c r="X364" t="s">
        <v>2220</v>
      </c>
      <c r="Y364" t="s">
        <v>2828</v>
      </c>
      <c r="Z364" t="s">
        <v>3098</v>
      </c>
      <c r="AA364" t="s">
        <v>3135</v>
      </c>
      <c r="AB364">
        <v>10459</v>
      </c>
      <c r="AC364" t="s">
        <v>3144</v>
      </c>
      <c r="AE364">
        <v>5</v>
      </c>
      <c r="AF364" t="s">
        <v>4023</v>
      </c>
      <c r="AG364" t="s">
        <v>4031</v>
      </c>
      <c r="AH364" t="s">
        <v>291</v>
      </c>
      <c r="AI364" t="s">
        <v>289</v>
      </c>
      <c r="AK364" t="s">
        <v>4040</v>
      </c>
      <c r="AM364">
        <v>0</v>
      </c>
      <c r="AN364">
        <v>525.67</v>
      </c>
      <c r="AO364">
        <v>0.7</v>
      </c>
      <c r="AP364" t="s">
        <v>4052</v>
      </c>
      <c r="AQ364" t="s">
        <v>4407</v>
      </c>
      <c r="AR364" t="s">
        <v>5298</v>
      </c>
      <c r="AS364">
        <v>0</v>
      </c>
      <c r="AT364" t="s">
        <v>5837</v>
      </c>
      <c r="AU364">
        <v>1</v>
      </c>
      <c r="AV364">
        <v>0</v>
      </c>
      <c r="AW364">
        <v>76.86</v>
      </c>
      <c r="BB364" t="s">
        <v>5859</v>
      </c>
      <c r="BC364">
        <v>9600</v>
      </c>
      <c r="BG364" t="s">
        <v>5905</v>
      </c>
      <c r="BJ364" t="s">
        <v>5959</v>
      </c>
      <c r="BK364" t="s">
        <v>206</v>
      </c>
    </row>
    <row r="365" spans="1:64">
      <c r="A365" s="1">
        <f>HYPERLINK("https://lsnyc.legalserver.org/matter/dynamic-profile/view/1908380","19-1908380")</f>
        <v>0</v>
      </c>
      <c r="B365" t="s">
        <v>65</v>
      </c>
      <c r="C365" t="s">
        <v>106</v>
      </c>
      <c r="D365" t="s">
        <v>200</v>
      </c>
      <c r="E365" t="s">
        <v>202</v>
      </c>
      <c r="F365" t="s">
        <v>224</v>
      </c>
      <c r="G365" t="s">
        <v>202</v>
      </c>
      <c r="H365" t="s">
        <v>271</v>
      </c>
      <c r="I365" t="s">
        <v>202</v>
      </c>
      <c r="J365" t="s">
        <v>289</v>
      </c>
      <c r="K365" t="s">
        <v>292</v>
      </c>
      <c r="M365" t="s">
        <v>290</v>
      </c>
      <c r="N365" t="s">
        <v>202</v>
      </c>
      <c r="O365" t="s">
        <v>422</v>
      </c>
      <c r="P365" t="s">
        <v>428</v>
      </c>
      <c r="S365" t="s">
        <v>767</v>
      </c>
      <c r="T365" t="s">
        <v>1466</v>
      </c>
      <c r="U365" t="s">
        <v>218</v>
      </c>
      <c r="V365" t="s">
        <v>222</v>
      </c>
      <c r="W365" t="s">
        <v>1877</v>
      </c>
      <c r="X365" t="s">
        <v>2221</v>
      </c>
      <c r="Z365" t="s">
        <v>3098</v>
      </c>
      <c r="AA365" t="s">
        <v>3135</v>
      </c>
      <c r="AB365">
        <v>10461</v>
      </c>
      <c r="AC365" t="s">
        <v>3139</v>
      </c>
      <c r="AD365" t="s">
        <v>3475</v>
      </c>
      <c r="AE365">
        <v>42</v>
      </c>
      <c r="AF365" t="s">
        <v>4023</v>
      </c>
      <c r="AG365" t="s">
        <v>4031</v>
      </c>
      <c r="AH365" t="s">
        <v>291</v>
      </c>
      <c r="AI365" t="s">
        <v>291</v>
      </c>
      <c r="AK365" t="s">
        <v>4040</v>
      </c>
      <c r="AL365" t="s">
        <v>4047</v>
      </c>
      <c r="AM365">
        <v>0</v>
      </c>
      <c r="AN365">
        <v>0</v>
      </c>
      <c r="AO365">
        <v>2.4</v>
      </c>
      <c r="AP365" t="s">
        <v>4052</v>
      </c>
      <c r="AQ365" t="s">
        <v>4408</v>
      </c>
      <c r="AR365" t="s">
        <v>5299</v>
      </c>
      <c r="AS365">
        <v>2</v>
      </c>
      <c r="AT365" t="s">
        <v>5835</v>
      </c>
      <c r="AU365">
        <v>1</v>
      </c>
      <c r="AV365">
        <v>0</v>
      </c>
      <c r="AW365">
        <v>105.68</v>
      </c>
      <c r="BA365" t="s">
        <v>329</v>
      </c>
      <c r="BB365" t="s">
        <v>5866</v>
      </c>
      <c r="BC365">
        <v>13200</v>
      </c>
      <c r="BG365" t="s">
        <v>5904</v>
      </c>
      <c r="BJ365" t="s">
        <v>5944</v>
      </c>
      <c r="BK365" t="s">
        <v>222</v>
      </c>
      <c r="BL365" t="s">
        <v>6056</v>
      </c>
    </row>
    <row r="366" spans="1:64">
      <c r="A366" s="1">
        <f>HYPERLINK("https://lsnyc.legalserver.org/matter/dynamic-profile/view/1907051","19-1907051")</f>
        <v>0</v>
      </c>
      <c r="B366" t="s">
        <v>65</v>
      </c>
      <c r="C366" t="s">
        <v>106</v>
      </c>
      <c r="D366" t="s">
        <v>200</v>
      </c>
      <c r="E366" t="s">
        <v>201</v>
      </c>
      <c r="G366" t="s">
        <v>202</v>
      </c>
      <c r="H366" t="s">
        <v>271</v>
      </c>
      <c r="I366" t="s">
        <v>202</v>
      </c>
      <c r="J366" t="s">
        <v>289</v>
      </c>
      <c r="K366" t="s">
        <v>292</v>
      </c>
      <c r="M366" t="s">
        <v>290</v>
      </c>
      <c r="N366" t="s">
        <v>202</v>
      </c>
      <c r="O366" t="s">
        <v>422</v>
      </c>
      <c r="P366" t="s">
        <v>428</v>
      </c>
      <c r="S366" t="s">
        <v>768</v>
      </c>
      <c r="T366" t="s">
        <v>1467</v>
      </c>
      <c r="U366" t="s">
        <v>226</v>
      </c>
      <c r="V366" t="s">
        <v>218</v>
      </c>
      <c r="W366" t="s">
        <v>1877</v>
      </c>
      <c r="X366" t="s">
        <v>2222</v>
      </c>
      <c r="Y366" t="s">
        <v>2787</v>
      </c>
      <c r="Z366" t="s">
        <v>3098</v>
      </c>
      <c r="AA366" t="s">
        <v>3135</v>
      </c>
      <c r="AB366">
        <v>10458</v>
      </c>
      <c r="AC366" t="s">
        <v>3139</v>
      </c>
      <c r="AD366" t="s">
        <v>3476</v>
      </c>
      <c r="AE366">
        <v>4</v>
      </c>
      <c r="AF366" t="s">
        <v>4023</v>
      </c>
      <c r="AG366" t="s">
        <v>4031</v>
      </c>
      <c r="AH366" t="s">
        <v>291</v>
      </c>
      <c r="AI366" t="s">
        <v>291</v>
      </c>
      <c r="AK366" t="s">
        <v>4040</v>
      </c>
      <c r="AM366">
        <v>0</v>
      </c>
      <c r="AN366">
        <v>886</v>
      </c>
      <c r="AO366">
        <v>0.5</v>
      </c>
      <c r="AP366" t="s">
        <v>4052</v>
      </c>
      <c r="AQ366" t="s">
        <v>4409</v>
      </c>
      <c r="AR366" t="s">
        <v>5300</v>
      </c>
      <c r="AS366">
        <v>32</v>
      </c>
      <c r="AT366" t="s">
        <v>5838</v>
      </c>
      <c r="AU366">
        <v>1</v>
      </c>
      <c r="AV366">
        <v>0</v>
      </c>
      <c r="AW366">
        <v>283.11</v>
      </c>
      <c r="BB366" t="s">
        <v>1322</v>
      </c>
      <c r="BC366">
        <v>35360</v>
      </c>
      <c r="BG366" t="s">
        <v>140</v>
      </c>
      <c r="BJ366" t="s">
        <v>5949</v>
      </c>
      <c r="BK366" t="s">
        <v>218</v>
      </c>
      <c r="BL366" t="s">
        <v>6056</v>
      </c>
    </row>
    <row r="367" spans="1:64">
      <c r="A367" s="1">
        <f>HYPERLINK("https://lsnyc.legalserver.org/matter/dynamic-profile/view/1908827","19-1908827")</f>
        <v>0</v>
      </c>
      <c r="B367" t="s">
        <v>65</v>
      </c>
      <c r="C367" t="s">
        <v>106</v>
      </c>
      <c r="D367" t="s">
        <v>200</v>
      </c>
      <c r="E367" t="s">
        <v>201</v>
      </c>
      <c r="G367" t="s">
        <v>202</v>
      </c>
      <c r="H367" t="s">
        <v>272</v>
      </c>
      <c r="I367" t="s">
        <v>202</v>
      </c>
      <c r="J367" t="s">
        <v>289</v>
      </c>
      <c r="K367" t="s">
        <v>202</v>
      </c>
      <c r="L367" t="s">
        <v>345</v>
      </c>
      <c r="M367" t="s">
        <v>290</v>
      </c>
      <c r="N367" t="s">
        <v>202</v>
      </c>
      <c r="O367" t="s">
        <v>422</v>
      </c>
      <c r="P367" t="s">
        <v>427</v>
      </c>
      <c r="S367" t="s">
        <v>769</v>
      </c>
      <c r="T367" t="s">
        <v>1468</v>
      </c>
      <c r="U367" t="s">
        <v>219</v>
      </c>
      <c r="W367" t="s">
        <v>1876</v>
      </c>
      <c r="X367" t="s">
        <v>2223</v>
      </c>
      <c r="Y367" t="s">
        <v>2939</v>
      </c>
      <c r="Z367" t="s">
        <v>3098</v>
      </c>
      <c r="AA367" t="s">
        <v>3135</v>
      </c>
      <c r="AB367">
        <v>10459</v>
      </c>
      <c r="AC367" t="s">
        <v>3144</v>
      </c>
      <c r="AD367" t="s">
        <v>3477</v>
      </c>
      <c r="AE367">
        <v>1</v>
      </c>
      <c r="AG367" t="s">
        <v>4031</v>
      </c>
      <c r="AH367" t="s">
        <v>291</v>
      </c>
      <c r="AI367" t="s">
        <v>291</v>
      </c>
      <c r="AK367" t="s">
        <v>4040</v>
      </c>
      <c r="AM367">
        <v>0</v>
      </c>
      <c r="AN367">
        <v>1802</v>
      </c>
      <c r="AO367">
        <v>0.5</v>
      </c>
      <c r="AQ367" t="s">
        <v>4410</v>
      </c>
      <c r="AR367" t="s">
        <v>5301</v>
      </c>
      <c r="AS367">
        <v>5</v>
      </c>
      <c r="AU367">
        <v>1</v>
      </c>
      <c r="AV367">
        <v>2</v>
      </c>
      <c r="AW367">
        <v>46.88</v>
      </c>
      <c r="BA367" t="s">
        <v>5852</v>
      </c>
      <c r="BB367" t="s">
        <v>1322</v>
      </c>
      <c r="BC367">
        <v>10000</v>
      </c>
      <c r="BG367" t="s">
        <v>140</v>
      </c>
      <c r="BJ367" t="s">
        <v>5949</v>
      </c>
      <c r="BK367" t="s">
        <v>266</v>
      </c>
      <c r="BL367" t="s">
        <v>6056</v>
      </c>
    </row>
    <row r="368" spans="1:64">
      <c r="A368" s="1">
        <f>HYPERLINK("https://lsnyc.legalserver.org/matter/dynamic-profile/view/1907045","19-1907045")</f>
        <v>0</v>
      </c>
      <c r="B368" t="s">
        <v>65</v>
      </c>
      <c r="C368" t="s">
        <v>106</v>
      </c>
      <c r="D368" t="s">
        <v>200</v>
      </c>
      <c r="E368" t="s">
        <v>202</v>
      </c>
      <c r="F368" t="s">
        <v>226</v>
      </c>
      <c r="G368" t="s">
        <v>202</v>
      </c>
      <c r="H368" t="s">
        <v>271</v>
      </c>
      <c r="I368" t="s">
        <v>202</v>
      </c>
      <c r="J368" t="s">
        <v>289</v>
      </c>
      <c r="K368" t="s">
        <v>202</v>
      </c>
      <c r="L368" t="s">
        <v>346</v>
      </c>
      <c r="M368" t="s">
        <v>290</v>
      </c>
      <c r="N368" t="s">
        <v>202</v>
      </c>
      <c r="O368" t="s">
        <v>422</v>
      </c>
      <c r="P368" t="s">
        <v>428</v>
      </c>
      <c r="S368" t="s">
        <v>770</v>
      </c>
      <c r="T368" t="s">
        <v>1465</v>
      </c>
      <c r="U368" t="s">
        <v>226</v>
      </c>
      <c r="V368" t="s">
        <v>247</v>
      </c>
      <c r="W368" t="s">
        <v>1877</v>
      </c>
      <c r="X368" t="s">
        <v>2224</v>
      </c>
      <c r="Y368" t="s">
        <v>2865</v>
      </c>
      <c r="Z368" t="s">
        <v>3098</v>
      </c>
      <c r="AA368" t="s">
        <v>3135</v>
      </c>
      <c r="AB368">
        <v>10459</v>
      </c>
      <c r="AD368" t="s">
        <v>3478</v>
      </c>
      <c r="AE368">
        <v>14</v>
      </c>
      <c r="AF368" t="s">
        <v>4023</v>
      </c>
      <c r="AG368" t="s">
        <v>4031</v>
      </c>
      <c r="AH368" t="s">
        <v>291</v>
      </c>
      <c r="AI368" t="s">
        <v>289</v>
      </c>
      <c r="AK368" t="s">
        <v>4040</v>
      </c>
      <c r="AL368" t="s">
        <v>4051</v>
      </c>
      <c r="AM368">
        <v>0</v>
      </c>
      <c r="AN368">
        <v>826</v>
      </c>
      <c r="AO368">
        <v>0.8</v>
      </c>
      <c r="AP368" t="s">
        <v>4052</v>
      </c>
      <c r="AQ368" t="s">
        <v>4411</v>
      </c>
      <c r="AR368" t="s">
        <v>5302</v>
      </c>
      <c r="AS368">
        <v>27</v>
      </c>
      <c r="AT368" t="s">
        <v>5838</v>
      </c>
      <c r="AU368">
        <v>1</v>
      </c>
      <c r="AV368">
        <v>3</v>
      </c>
      <c r="AW368">
        <v>168.95</v>
      </c>
      <c r="BA368" t="s">
        <v>329</v>
      </c>
      <c r="BB368" t="s">
        <v>1322</v>
      </c>
      <c r="BC368">
        <v>43504</v>
      </c>
      <c r="BG368" t="s">
        <v>140</v>
      </c>
      <c r="BJ368" t="s">
        <v>5962</v>
      </c>
      <c r="BK368" t="s">
        <v>247</v>
      </c>
      <c r="BL368" t="s">
        <v>6056</v>
      </c>
    </row>
    <row r="369" spans="1:64">
      <c r="A369" s="1">
        <f>HYPERLINK("https://lsnyc.legalserver.org/matter/dynamic-profile/view/1905872","19-1905872")</f>
        <v>0</v>
      </c>
      <c r="B369" t="s">
        <v>65</v>
      </c>
      <c r="C369" t="s">
        <v>106</v>
      </c>
      <c r="D369" t="s">
        <v>200</v>
      </c>
      <c r="E369" t="s">
        <v>202</v>
      </c>
      <c r="F369" t="s">
        <v>220</v>
      </c>
      <c r="G369" t="s">
        <v>202</v>
      </c>
      <c r="H369" t="s">
        <v>271</v>
      </c>
      <c r="I369" t="s">
        <v>202</v>
      </c>
      <c r="J369" t="s">
        <v>289</v>
      </c>
      <c r="K369" t="s">
        <v>292</v>
      </c>
      <c r="M369" t="s">
        <v>290</v>
      </c>
      <c r="N369" t="s">
        <v>202</v>
      </c>
      <c r="O369" t="s">
        <v>421</v>
      </c>
      <c r="P369" t="s">
        <v>427</v>
      </c>
      <c r="S369" t="s">
        <v>743</v>
      </c>
      <c r="T369" t="s">
        <v>1441</v>
      </c>
      <c r="U369" t="s">
        <v>260</v>
      </c>
      <c r="W369" t="s">
        <v>1876</v>
      </c>
      <c r="X369" t="s">
        <v>2188</v>
      </c>
      <c r="Y369">
        <v>2</v>
      </c>
      <c r="Z369" t="s">
        <v>3098</v>
      </c>
      <c r="AA369" t="s">
        <v>3135</v>
      </c>
      <c r="AB369">
        <v>10459</v>
      </c>
      <c r="AC369" t="s">
        <v>3139</v>
      </c>
      <c r="AD369" t="s">
        <v>3479</v>
      </c>
      <c r="AE369">
        <v>14</v>
      </c>
      <c r="AG369" t="s">
        <v>4031</v>
      </c>
      <c r="AH369" t="s">
        <v>291</v>
      </c>
      <c r="AI369" t="s">
        <v>291</v>
      </c>
      <c r="AK369" t="s">
        <v>4040</v>
      </c>
      <c r="AL369" t="s">
        <v>4046</v>
      </c>
      <c r="AM369">
        <v>0</v>
      </c>
      <c r="AN369">
        <v>1100</v>
      </c>
      <c r="AO369">
        <v>10.7</v>
      </c>
      <c r="AQ369" t="s">
        <v>4375</v>
      </c>
      <c r="AR369" t="s">
        <v>5270</v>
      </c>
      <c r="AS369">
        <v>4</v>
      </c>
      <c r="AT369" t="s">
        <v>5835</v>
      </c>
      <c r="AU369">
        <v>1</v>
      </c>
      <c r="AV369">
        <v>1</v>
      </c>
      <c r="AW369">
        <v>0</v>
      </c>
      <c r="BA369" t="s">
        <v>329</v>
      </c>
      <c r="BB369" t="s">
        <v>1322</v>
      </c>
      <c r="BC369">
        <v>0</v>
      </c>
      <c r="BG369" t="s">
        <v>138</v>
      </c>
      <c r="BJ369" t="s">
        <v>5945</v>
      </c>
      <c r="BK369" t="s">
        <v>259</v>
      </c>
      <c r="BL369" t="s">
        <v>6056</v>
      </c>
    </row>
    <row r="370" spans="1:64">
      <c r="A370" s="1">
        <f>HYPERLINK("https://lsnyc.legalserver.org/matter/dynamic-profile/view/1903574","19-1903574")</f>
        <v>0</v>
      </c>
      <c r="B370" t="s">
        <v>65</v>
      </c>
      <c r="C370" t="s">
        <v>106</v>
      </c>
      <c r="D370" t="s">
        <v>200</v>
      </c>
      <c r="E370" t="s">
        <v>202</v>
      </c>
      <c r="F370" t="s">
        <v>246</v>
      </c>
      <c r="G370" t="s">
        <v>202</v>
      </c>
      <c r="H370" t="s">
        <v>272</v>
      </c>
      <c r="I370" t="s">
        <v>202</v>
      </c>
      <c r="J370" t="s">
        <v>289</v>
      </c>
      <c r="K370" t="s">
        <v>292</v>
      </c>
      <c r="M370" t="s">
        <v>290</v>
      </c>
      <c r="N370" t="s">
        <v>202</v>
      </c>
      <c r="O370" t="s">
        <v>422</v>
      </c>
      <c r="P370" t="s">
        <v>428</v>
      </c>
      <c r="S370" t="s">
        <v>771</v>
      </c>
      <c r="T370" t="s">
        <v>1469</v>
      </c>
      <c r="U370" t="s">
        <v>246</v>
      </c>
      <c r="V370" t="s">
        <v>240</v>
      </c>
      <c r="W370" t="s">
        <v>1877</v>
      </c>
      <c r="X370" t="s">
        <v>2225</v>
      </c>
      <c r="Z370" t="s">
        <v>3098</v>
      </c>
      <c r="AA370" t="s">
        <v>3135</v>
      </c>
      <c r="AB370">
        <v>10458</v>
      </c>
      <c r="AC370" t="s">
        <v>3141</v>
      </c>
      <c r="AD370" t="s">
        <v>3480</v>
      </c>
      <c r="AE370">
        <v>2</v>
      </c>
      <c r="AF370" t="s">
        <v>4023</v>
      </c>
      <c r="AG370" t="s">
        <v>4031</v>
      </c>
      <c r="AH370" t="s">
        <v>291</v>
      </c>
      <c r="AI370" t="s">
        <v>291</v>
      </c>
      <c r="AK370" t="s">
        <v>4040</v>
      </c>
      <c r="AL370" t="s">
        <v>4046</v>
      </c>
      <c r="AM370">
        <v>0</v>
      </c>
      <c r="AN370">
        <v>1451.92</v>
      </c>
      <c r="AO370">
        <v>0.6</v>
      </c>
      <c r="AP370" t="s">
        <v>4052</v>
      </c>
      <c r="AQ370" t="s">
        <v>4412</v>
      </c>
      <c r="AR370" t="s">
        <v>5303</v>
      </c>
      <c r="AS370">
        <v>44</v>
      </c>
      <c r="AT370" t="s">
        <v>5838</v>
      </c>
      <c r="AU370">
        <v>0</v>
      </c>
      <c r="AV370">
        <v>3</v>
      </c>
      <c r="AW370">
        <v>42.19</v>
      </c>
      <c r="BA370" t="s">
        <v>5853</v>
      </c>
      <c r="BB370" t="s">
        <v>1322</v>
      </c>
      <c r="BC370">
        <v>9000</v>
      </c>
      <c r="BG370" t="s">
        <v>5907</v>
      </c>
      <c r="BJ370" t="s">
        <v>5968</v>
      </c>
      <c r="BK370" t="s">
        <v>260</v>
      </c>
      <c r="BL370" t="s">
        <v>6056</v>
      </c>
    </row>
    <row r="371" spans="1:64">
      <c r="A371" s="1">
        <f>HYPERLINK("https://lsnyc.legalserver.org/matter/dynamic-profile/view/1903941","19-1903941")</f>
        <v>0</v>
      </c>
      <c r="B371" t="s">
        <v>65</v>
      </c>
      <c r="C371" t="s">
        <v>106</v>
      </c>
      <c r="D371" t="s">
        <v>200</v>
      </c>
      <c r="E371" t="s">
        <v>202</v>
      </c>
      <c r="F371" t="s">
        <v>229</v>
      </c>
      <c r="G371" t="s">
        <v>202</v>
      </c>
      <c r="H371" t="s">
        <v>271</v>
      </c>
      <c r="I371" t="s">
        <v>202</v>
      </c>
      <c r="J371" t="s">
        <v>289</v>
      </c>
      <c r="K371" t="s">
        <v>292</v>
      </c>
      <c r="M371" t="s">
        <v>290</v>
      </c>
      <c r="N371" t="s">
        <v>202</v>
      </c>
      <c r="O371" t="s">
        <v>422</v>
      </c>
      <c r="P371" t="s">
        <v>428</v>
      </c>
      <c r="S371" t="s">
        <v>772</v>
      </c>
      <c r="T371" t="s">
        <v>1470</v>
      </c>
      <c r="U371" t="s">
        <v>229</v>
      </c>
      <c r="V371" t="s">
        <v>258</v>
      </c>
      <c r="W371" t="s">
        <v>1877</v>
      </c>
      <c r="X371" t="s">
        <v>2226</v>
      </c>
      <c r="Y371">
        <v>19</v>
      </c>
      <c r="Z371" t="s">
        <v>3098</v>
      </c>
      <c r="AA371" t="s">
        <v>3135</v>
      </c>
      <c r="AB371">
        <v>10459</v>
      </c>
      <c r="AC371" t="s">
        <v>3139</v>
      </c>
      <c r="AD371" t="s">
        <v>3481</v>
      </c>
      <c r="AE371">
        <v>33</v>
      </c>
      <c r="AF371" t="s">
        <v>4023</v>
      </c>
      <c r="AG371" t="s">
        <v>4031</v>
      </c>
      <c r="AH371" t="s">
        <v>291</v>
      </c>
      <c r="AI371" t="s">
        <v>291</v>
      </c>
      <c r="AK371" t="s">
        <v>4040</v>
      </c>
      <c r="AL371" t="s">
        <v>4046</v>
      </c>
      <c r="AM371">
        <v>0</v>
      </c>
      <c r="AN371">
        <v>383</v>
      </c>
      <c r="AO371">
        <v>4.05</v>
      </c>
      <c r="AP371" t="s">
        <v>4052</v>
      </c>
      <c r="AQ371" t="s">
        <v>4413</v>
      </c>
      <c r="AR371" t="s">
        <v>5304</v>
      </c>
      <c r="AS371">
        <v>20</v>
      </c>
      <c r="AT371" t="s">
        <v>5836</v>
      </c>
      <c r="AU371">
        <v>4</v>
      </c>
      <c r="AV371">
        <v>0</v>
      </c>
      <c r="AW371">
        <v>71.77</v>
      </c>
      <c r="BA371" t="s">
        <v>329</v>
      </c>
      <c r="BB371" t="s">
        <v>1322</v>
      </c>
      <c r="BC371">
        <v>18480</v>
      </c>
      <c r="BG371" t="s">
        <v>5904</v>
      </c>
      <c r="BJ371" t="s">
        <v>5959</v>
      </c>
      <c r="BK371" t="s">
        <v>258</v>
      </c>
      <c r="BL371" t="s">
        <v>6056</v>
      </c>
    </row>
    <row r="372" spans="1:64">
      <c r="A372" s="1">
        <f>HYPERLINK("https://lsnyc.legalserver.org/matter/dynamic-profile/view/1909514","19-1909514")</f>
        <v>0</v>
      </c>
      <c r="B372" t="s">
        <v>65</v>
      </c>
      <c r="C372" t="s">
        <v>106</v>
      </c>
      <c r="D372" t="s">
        <v>200</v>
      </c>
      <c r="E372" t="s">
        <v>201</v>
      </c>
      <c r="G372" t="s">
        <v>202</v>
      </c>
      <c r="H372" t="s">
        <v>272</v>
      </c>
      <c r="I372" t="s">
        <v>202</v>
      </c>
      <c r="J372" t="s">
        <v>289</v>
      </c>
      <c r="K372" t="s">
        <v>292</v>
      </c>
      <c r="M372" t="s">
        <v>290</v>
      </c>
      <c r="N372" t="s">
        <v>202</v>
      </c>
      <c r="O372" t="s">
        <v>422</v>
      </c>
      <c r="P372" t="s">
        <v>427</v>
      </c>
      <c r="S372" t="s">
        <v>773</v>
      </c>
      <c r="T372" t="s">
        <v>1471</v>
      </c>
      <c r="U372" t="s">
        <v>230</v>
      </c>
      <c r="W372" t="s">
        <v>1876</v>
      </c>
      <c r="X372" t="s">
        <v>2227</v>
      </c>
      <c r="Y372" t="s">
        <v>2940</v>
      </c>
      <c r="Z372" t="s">
        <v>3098</v>
      </c>
      <c r="AA372" t="s">
        <v>3135</v>
      </c>
      <c r="AB372">
        <v>10460</v>
      </c>
      <c r="AC372" t="s">
        <v>3139</v>
      </c>
      <c r="AD372" t="s">
        <v>3482</v>
      </c>
      <c r="AE372">
        <v>2</v>
      </c>
      <c r="AG372" t="s">
        <v>4031</v>
      </c>
      <c r="AH372" t="s">
        <v>291</v>
      </c>
      <c r="AI372" t="s">
        <v>291</v>
      </c>
      <c r="AK372" t="s">
        <v>4040</v>
      </c>
      <c r="AM372">
        <v>0</v>
      </c>
      <c r="AN372">
        <v>1211</v>
      </c>
      <c r="AO372">
        <v>0</v>
      </c>
      <c r="AQ372" t="s">
        <v>4414</v>
      </c>
      <c r="AR372" t="s">
        <v>5305</v>
      </c>
      <c r="AS372">
        <v>53</v>
      </c>
      <c r="AT372" t="s">
        <v>5838</v>
      </c>
      <c r="AU372">
        <v>2</v>
      </c>
      <c r="AV372">
        <v>2</v>
      </c>
      <c r="AW372">
        <v>86.12</v>
      </c>
      <c r="BA372" t="s">
        <v>5850</v>
      </c>
      <c r="BB372" t="s">
        <v>1322</v>
      </c>
      <c r="BC372">
        <v>22176</v>
      </c>
      <c r="BG372" t="s">
        <v>140</v>
      </c>
      <c r="BJ372" t="s">
        <v>5968</v>
      </c>
      <c r="BL372" t="s">
        <v>6056</v>
      </c>
    </row>
    <row r="373" spans="1:64">
      <c r="A373" s="1">
        <f>HYPERLINK("https://lsnyc.legalserver.org/matter/dynamic-profile/view/1909291","19-1909291")</f>
        <v>0</v>
      </c>
      <c r="B373" t="s">
        <v>65</v>
      </c>
      <c r="C373" t="s">
        <v>106</v>
      </c>
      <c r="D373" t="s">
        <v>200</v>
      </c>
      <c r="E373" t="s">
        <v>201</v>
      </c>
      <c r="G373" t="s">
        <v>202</v>
      </c>
      <c r="H373" t="s">
        <v>272</v>
      </c>
      <c r="I373" t="s">
        <v>288</v>
      </c>
      <c r="J373" t="s">
        <v>290</v>
      </c>
      <c r="K373" t="s">
        <v>202</v>
      </c>
      <c r="L373">
        <v>1257748</v>
      </c>
      <c r="M373" t="s">
        <v>290</v>
      </c>
      <c r="N373" t="s">
        <v>202</v>
      </c>
      <c r="O373" t="s">
        <v>422</v>
      </c>
      <c r="P373" t="s">
        <v>427</v>
      </c>
      <c r="S373" t="s">
        <v>774</v>
      </c>
      <c r="T373" t="s">
        <v>1472</v>
      </c>
      <c r="U373" t="s">
        <v>263</v>
      </c>
      <c r="W373" t="s">
        <v>1876</v>
      </c>
      <c r="X373" t="s">
        <v>2228</v>
      </c>
      <c r="Y373">
        <v>7</v>
      </c>
      <c r="Z373" t="s">
        <v>3098</v>
      </c>
      <c r="AA373" t="s">
        <v>3135</v>
      </c>
      <c r="AB373">
        <v>10460</v>
      </c>
      <c r="AC373" t="s">
        <v>3144</v>
      </c>
      <c r="AD373" t="s">
        <v>3483</v>
      </c>
      <c r="AE373">
        <v>3</v>
      </c>
      <c r="AG373" t="s">
        <v>4031</v>
      </c>
      <c r="AH373" t="s">
        <v>291</v>
      </c>
      <c r="AI373" t="s">
        <v>289</v>
      </c>
      <c r="AK373" t="s">
        <v>4040</v>
      </c>
      <c r="AM373">
        <v>0</v>
      </c>
      <c r="AN373">
        <v>596</v>
      </c>
      <c r="AO373">
        <v>0</v>
      </c>
      <c r="AQ373" t="s">
        <v>4415</v>
      </c>
      <c r="AR373" t="s">
        <v>5306</v>
      </c>
      <c r="AS373">
        <v>0</v>
      </c>
      <c r="AU373">
        <v>2</v>
      </c>
      <c r="AV373">
        <v>6</v>
      </c>
      <c r="AW373">
        <v>34.44</v>
      </c>
      <c r="AY373" t="s">
        <v>5849</v>
      </c>
      <c r="BA373" t="s">
        <v>5852</v>
      </c>
      <c r="BB373" t="s">
        <v>1322</v>
      </c>
      <c r="BC373">
        <v>14955.6</v>
      </c>
      <c r="BG373" t="s">
        <v>5905</v>
      </c>
      <c r="BJ373" t="s">
        <v>5953</v>
      </c>
      <c r="BL373" t="s">
        <v>6056</v>
      </c>
    </row>
    <row r="374" spans="1:64">
      <c r="A374" s="1">
        <f>HYPERLINK("https://lsnyc.legalserver.org/matter/dynamic-profile/view/1907455","19-1907455")</f>
        <v>0</v>
      </c>
      <c r="B374" t="s">
        <v>65</v>
      </c>
      <c r="C374" t="s">
        <v>106</v>
      </c>
      <c r="D374" t="s">
        <v>200</v>
      </c>
      <c r="E374" t="s">
        <v>201</v>
      </c>
      <c r="G374" t="s">
        <v>202</v>
      </c>
      <c r="H374" t="s">
        <v>272</v>
      </c>
      <c r="I374" t="s">
        <v>202</v>
      </c>
      <c r="J374" t="s">
        <v>289</v>
      </c>
      <c r="K374" t="s">
        <v>292</v>
      </c>
      <c r="M374" t="s">
        <v>290</v>
      </c>
      <c r="N374" t="s">
        <v>202</v>
      </c>
      <c r="O374" t="s">
        <v>422</v>
      </c>
      <c r="P374" t="s">
        <v>428</v>
      </c>
      <c r="S374" t="s">
        <v>775</v>
      </c>
      <c r="T374" t="s">
        <v>1311</v>
      </c>
      <c r="U374" t="s">
        <v>220</v>
      </c>
      <c r="V374" t="s">
        <v>243</v>
      </c>
      <c r="W374" t="s">
        <v>1877</v>
      </c>
      <c r="X374" t="s">
        <v>2229</v>
      </c>
      <c r="Y374" t="s">
        <v>2839</v>
      </c>
      <c r="Z374" t="s">
        <v>3098</v>
      </c>
      <c r="AA374" t="s">
        <v>3135</v>
      </c>
      <c r="AB374">
        <v>10474</v>
      </c>
      <c r="AC374" t="s">
        <v>3139</v>
      </c>
      <c r="AD374" t="s">
        <v>3484</v>
      </c>
      <c r="AE374">
        <v>13</v>
      </c>
      <c r="AF374" t="s">
        <v>4023</v>
      </c>
      <c r="AG374" t="s">
        <v>4031</v>
      </c>
      <c r="AH374" t="s">
        <v>291</v>
      </c>
      <c r="AI374" t="s">
        <v>291</v>
      </c>
      <c r="AK374" t="s">
        <v>4040</v>
      </c>
      <c r="AL374" t="s">
        <v>4046</v>
      </c>
      <c r="AM374">
        <v>0</v>
      </c>
      <c r="AN374">
        <v>900</v>
      </c>
      <c r="AO374">
        <v>0.9</v>
      </c>
      <c r="AP374" t="s">
        <v>4052</v>
      </c>
      <c r="AQ374" t="s">
        <v>4416</v>
      </c>
      <c r="AR374" t="s">
        <v>5307</v>
      </c>
      <c r="AS374">
        <v>22</v>
      </c>
      <c r="AT374" t="s">
        <v>5838</v>
      </c>
      <c r="AU374">
        <v>1</v>
      </c>
      <c r="AV374">
        <v>2</v>
      </c>
      <c r="AW374">
        <v>196.91</v>
      </c>
      <c r="BB374" t="s">
        <v>1322</v>
      </c>
      <c r="BC374">
        <v>42000</v>
      </c>
      <c r="BG374" t="s">
        <v>140</v>
      </c>
      <c r="BJ374" t="s">
        <v>5949</v>
      </c>
      <c r="BK374" t="s">
        <v>243</v>
      </c>
      <c r="BL374" t="s">
        <v>6056</v>
      </c>
    </row>
    <row r="375" spans="1:64">
      <c r="A375" s="1">
        <f>HYPERLINK("https://lsnyc.legalserver.org/matter/dynamic-profile/view/1906561","19-1906561")</f>
        <v>0</v>
      </c>
      <c r="B375" t="s">
        <v>65</v>
      </c>
      <c r="C375" t="s">
        <v>106</v>
      </c>
      <c r="D375" t="s">
        <v>200</v>
      </c>
      <c r="E375" t="s">
        <v>202</v>
      </c>
      <c r="F375" t="s">
        <v>241</v>
      </c>
      <c r="G375" t="s">
        <v>202</v>
      </c>
      <c r="H375" t="s">
        <v>271</v>
      </c>
      <c r="I375" t="s">
        <v>202</v>
      </c>
      <c r="J375" t="s">
        <v>289</v>
      </c>
      <c r="K375" t="s">
        <v>292</v>
      </c>
      <c r="M375" t="s">
        <v>290</v>
      </c>
      <c r="N375" t="s">
        <v>202</v>
      </c>
      <c r="O375" t="s">
        <v>422</v>
      </c>
      <c r="P375" t="s">
        <v>428</v>
      </c>
      <c r="S375" t="s">
        <v>776</v>
      </c>
      <c r="T375" t="s">
        <v>1465</v>
      </c>
      <c r="U375" t="s">
        <v>241</v>
      </c>
      <c r="V375" t="s">
        <v>219</v>
      </c>
      <c r="W375" t="s">
        <v>1877</v>
      </c>
      <c r="X375" t="s">
        <v>2076</v>
      </c>
      <c r="Y375">
        <v>2</v>
      </c>
      <c r="Z375" t="s">
        <v>3098</v>
      </c>
      <c r="AA375" t="s">
        <v>3135</v>
      </c>
      <c r="AB375">
        <v>10473</v>
      </c>
      <c r="AD375" t="s">
        <v>3337</v>
      </c>
      <c r="AE375">
        <v>1</v>
      </c>
      <c r="AF375" t="s">
        <v>4023</v>
      </c>
      <c r="AG375" t="s">
        <v>4031</v>
      </c>
      <c r="AH375" t="s">
        <v>291</v>
      </c>
      <c r="AK375" t="s">
        <v>4040</v>
      </c>
      <c r="AM375">
        <v>0</v>
      </c>
      <c r="AN375">
        <v>750</v>
      </c>
      <c r="AO375">
        <v>0.8</v>
      </c>
      <c r="AP375" t="s">
        <v>4052</v>
      </c>
      <c r="AQ375" t="s">
        <v>4417</v>
      </c>
      <c r="AR375" t="s">
        <v>5308</v>
      </c>
      <c r="AS375">
        <v>0</v>
      </c>
      <c r="AT375" t="s">
        <v>5842</v>
      </c>
      <c r="AU375">
        <v>1</v>
      </c>
      <c r="AV375">
        <v>0</v>
      </c>
      <c r="AW375">
        <v>81.18000000000001</v>
      </c>
      <c r="BA375" t="s">
        <v>5853</v>
      </c>
      <c r="BB375" t="s">
        <v>5859</v>
      </c>
      <c r="BC375">
        <v>10140</v>
      </c>
      <c r="BG375" t="s">
        <v>140</v>
      </c>
      <c r="BJ375" t="s">
        <v>6010</v>
      </c>
      <c r="BK375" t="s">
        <v>252</v>
      </c>
      <c r="BL375" t="s">
        <v>6056</v>
      </c>
    </row>
    <row r="376" spans="1:64">
      <c r="A376" s="1">
        <f>HYPERLINK("https://lsnyc.legalserver.org/matter/dynamic-profile/view/1904969","19-1904969")</f>
        <v>0</v>
      </c>
      <c r="B376" t="s">
        <v>65</v>
      </c>
      <c r="C376" t="s">
        <v>106</v>
      </c>
      <c r="D376" t="s">
        <v>200</v>
      </c>
      <c r="E376" t="s">
        <v>202</v>
      </c>
      <c r="F376" t="s">
        <v>210</v>
      </c>
      <c r="G376" t="s">
        <v>202</v>
      </c>
      <c r="H376" t="s">
        <v>271</v>
      </c>
      <c r="I376" t="s">
        <v>202</v>
      </c>
      <c r="J376" t="s">
        <v>289</v>
      </c>
      <c r="K376" t="s">
        <v>292</v>
      </c>
      <c r="M376" t="s">
        <v>290</v>
      </c>
      <c r="N376" t="s">
        <v>202</v>
      </c>
      <c r="O376" t="s">
        <v>422</v>
      </c>
      <c r="P376" t="s">
        <v>428</v>
      </c>
      <c r="S376" t="s">
        <v>777</v>
      </c>
      <c r="T376" t="s">
        <v>1244</v>
      </c>
      <c r="U376" t="s">
        <v>245</v>
      </c>
      <c r="V376" t="s">
        <v>240</v>
      </c>
      <c r="W376" t="s">
        <v>1877</v>
      </c>
      <c r="X376" t="s">
        <v>2230</v>
      </c>
      <c r="Z376" t="s">
        <v>3098</v>
      </c>
      <c r="AA376" t="s">
        <v>3135</v>
      </c>
      <c r="AB376">
        <v>10469</v>
      </c>
      <c r="AC376" t="s">
        <v>3139</v>
      </c>
      <c r="AD376" t="s">
        <v>3485</v>
      </c>
      <c r="AE376">
        <v>12</v>
      </c>
      <c r="AF376" t="s">
        <v>4023</v>
      </c>
      <c r="AG376" t="s">
        <v>4031</v>
      </c>
      <c r="AH376" t="s">
        <v>291</v>
      </c>
      <c r="AI376" t="s">
        <v>291</v>
      </c>
      <c r="AK376" t="s">
        <v>4040</v>
      </c>
      <c r="AL376" t="s">
        <v>4046</v>
      </c>
      <c r="AM376">
        <v>0</v>
      </c>
      <c r="AN376">
        <v>0</v>
      </c>
      <c r="AO376">
        <v>0.25</v>
      </c>
      <c r="AP376" t="s">
        <v>4052</v>
      </c>
      <c r="AQ376" t="s">
        <v>4418</v>
      </c>
      <c r="AR376" t="s">
        <v>5309</v>
      </c>
      <c r="AS376">
        <v>0</v>
      </c>
      <c r="AT376" t="s">
        <v>5835</v>
      </c>
      <c r="AU376">
        <v>2</v>
      </c>
      <c r="AV376">
        <v>0</v>
      </c>
      <c r="AW376">
        <v>85.16</v>
      </c>
      <c r="BB376" t="s">
        <v>1322</v>
      </c>
      <c r="BC376">
        <v>14400</v>
      </c>
      <c r="BG376" t="s">
        <v>140</v>
      </c>
      <c r="BJ376" t="s">
        <v>5959</v>
      </c>
      <c r="BK376" t="s">
        <v>210</v>
      </c>
      <c r="BL376" t="s">
        <v>6056</v>
      </c>
    </row>
    <row r="377" spans="1:64">
      <c r="A377" s="1">
        <f>HYPERLINK("https://lsnyc.legalserver.org/matter/dynamic-profile/view/1905320","19-1905320")</f>
        <v>0</v>
      </c>
      <c r="B377" t="s">
        <v>65</v>
      </c>
      <c r="C377" t="s">
        <v>125</v>
      </c>
      <c r="D377" t="s">
        <v>200</v>
      </c>
      <c r="E377" t="s">
        <v>201</v>
      </c>
      <c r="G377" t="s">
        <v>202</v>
      </c>
      <c r="H377" t="s">
        <v>272</v>
      </c>
      <c r="I377" t="s">
        <v>288</v>
      </c>
      <c r="J377" t="s">
        <v>291</v>
      </c>
      <c r="K377" t="s">
        <v>292</v>
      </c>
      <c r="M377" t="s">
        <v>290</v>
      </c>
      <c r="N377" t="s">
        <v>419</v>
      </c>
      <c r="P377" t="s">
        <v>427</v>
      </c>
      <c r="S377" t="s">
        <v>778</v>
      </c>
      <c r="T377" t="s">
        <v>1473</v>
      </c>
      <c r="U377" t="s">
        <v>231</v>
      </c>
      <c r="W377" t="s">
        <v>1876</v>
      </c>
      <c r="X377" t="s">
        <v>2231</v>
      </c>
      <c r="Y377" t="s">
        <v>2941</v>
      </c>
      <c r="Z377" t="s">
        <v>3098</v>
      </c>
      <c r="AA377" t="s">
        <v>3135</v>
      </c>
      <c r="AB377">
        <v>10467</v>
      </c>
      <c r="AD377" t="s">
        <v>3486</v>
      </c>
      <c r="AE377">
        <v>0</v>
      </c>
      <c r="AG377" t="s">
        <v>4030</v>
      </c>
      <c r="AH377" t="s">
        <v>291</v>
      </c>
      <c r="AI377" t="s">
        <v>291</v>
      </c>
      <c r="AK377" t="s">
        <v>4040</v>
      </c>
      <c r="AM377">
        <v>0</v>
      </c>
      <c r="AN377">
        <v>1201.06</v>
      </c>
      <c r="AO377">
        <v>0.4</v>
      </c>
      <c r="AQ377" t="s">
        <v>4419</v>
      </c>
      <c r="AS377">
        <v>54</v>
      </c>
      <c r="AU377">
        <v>1</v>
      </c>
      <c r="AV377">
        <v>0</v>
      </c>
      <c r="AW377">
        <v>76.86</v>
      </c>
      <c r="BB377" t="s">
        <v>1322</v>
      </c>
      <c r="BC377">
        <v>9600</v>
      </c>
      <c r="BF377" t="s">
        <v>5883</v>
      </c>
      <c r="BG377" t="s">
        <v>140</v>
      </c>
      <c r="BJ377" t="s">
        <v>5959</v>
      </c>
      <c r="BK377" t="s">
        <v>266</v>
      </c>
      <c r="BL377" t="s">
        <v>329</v>
      </c>
    </row>
    <row r="378" spans="1:64">
      <c r="A378" s="1">
        <f>HYPERLINK("https://lsnyc.legalserver.org/matter/dynamic-profile/view/1908373","19-1908373")</f>
        <v>0</v>
      </c>
      <c r="B378" t="s">
        <v>65</v>
      </c>
      <c r="C378" t="s">
        <v>106</v>
      </c>
      <c r="D378" t="s">
        <v>200</v>
      </c>
      <c r="E378" t="s">
        <v>201</v>
      </c>
      <c r="G378" t="s">
        <v>202</v>
      </c>
      <c r="H378" t="s">
        <v>271</v>
      </c>
      <c r="I378" t="s">
        <v>202</v>
      </c>
      <c r="J378" t="s">
        <v>289</v>
      </c>
      <c r="K378" t="s">
        <v>292</v>
      </c>
      <c r="M378" t="s">
        <v>290</v>
      </c>
      <c r="N378" t="s">
        <v>202</v>
      </c>
      <c r="O378" t="s">
        <v>422</v>
      </c>
      <c r="P378" t="s">
        <v>428</v>
      </c>
      <c r="S378" t="s">
        <v>779</v>
      </c>
      <c r="T378" t="s">
        <v>1474</v>
      </c>
      <c r="U378" t="s">
        <v>218</v>
      </c>
      <c r="V378" t="s">
        <v>206</v>
      </c>
      <c r="W378" t="s">
        <v>1877</v>
      </c>
      <c r="X378" t="s">
        <v>2232</v>
      </c>
      <c r="Y378" t="s">
        <v>2835</v>
      </c>
      <c r="Z378" t="s">
        <v>3098</v>
      </c>
      <c r="AA378" t="s">
        <v>3135</v>
      </c>
      <c r="AB378">
        <v>10458</v>
      </c>
      <c r="AC378" t="s">
        <v>3139</v>
      </c>
      <c r="AD378" t="s">
        <v>3487</v>
      </c>
      <c r="AE378">
        <v>12</v>
      </c>
      <c r="AF378" t="s">
        <v>4023</v>
      </c>
      <c r="AG378" t="s">
        <v>4031</v>
      </c>
      <c r="AH378" t="s">
        <v>291</v>
      </c>
      <c r="AI378" t="s">
        <v>291</v>
      </c>
      <c r="AK378" t="s">
        <v>4040</v>
      </c>
      <c r="AM378">
        <v>0</v>
      </c>
      <c r="AN378">
        <v>910.27</v>
      </c>
      <c r="AO378">
        <v>1.1</v>
      </c>
      <c r="AP378" t="s">
        <v>4052</v>
      </c>
      <c r="AQ378" t="s">
        <v>4420</v>
      </c>
      <c r="AS378">
        <v>6</v>
      </c>
      <c r="AT378" t="s">
        <v>5838</v>
      </c>
      <c r="AU378">
        <v>1</v>
      </c>
      <c r="AV378">
        <v>0</v>
      </c>
      <c r="AW378">
        <v>0</v>
      </c>
      <c r="BA378" t="s">
        <v>329</v>
      </c>
      <c r="BB378" t="s">
        <v>1322</v>
      </c>
      <c r="BC378">
        <v>0</v>
      </c>
      <c r="BG378" t="s">
        <v>5904</v>
      </c>
      <c r="BJ378" t="s">
        <v>5945</v>
      </c>
      <c r="BK378" t="s">
        <v>206</v>
      </c>
      <c r="BL378" t="s">
        <v>329</v>
      </c>
    </row>
    <row r="379" spans="1:64">
      <c r="A379" s="1">
        <f>HYPERLINK("https://lsnyc.legalserver.org/matter/dynamic-profile/view/1908791","19-1908791")</f>
        <v>0</v>
      </c>
      <c r="B379" t="s">
        <v>65</v>
      </c>
      <c r="C379" t="s">
        <v>106</v>
      </c>
      <c r="D379" t="s">
        <v>200</v>
      </c>
      <c r="E379" t="s">
        <v>201</v>
      </c>
      <c r="G379" t="s">
        <v>202</v>
      </c>
      <c r="H379" t="s">
        <v>272</v>
      </c>
      <c r="I379" t="s">
        <v>202</v>
      </c>
      <c r="J379" t="s">
        <v>289</v>
      </c>
      <c r="K379" t="s">
        <v>292</v>
      </c>
      <c r="M379" t="s">
        <v>290</v>
      </c>
      <c r="N379" t="s">
        <v>202</v>
      </c>
      <c r="O379" t="s">
        <v>422</v>
      </c>
      <c r="P379" t="s">
        <v>428</v>
      </c>
      <c r="S379" t="s">
        <v>780</v>
      </c>
      <c r="T379" t="s">
        <v>1475</v>
      </c>
      <c r="U379" t="s">
        <v>219</v>
      </c>
      <c r="V379" t="s">
        <v>230</v>
      </c>
      <c r="W379" t="s">
        <v>1877</v>
      </c>
      <c r="X379" t="s">
        <v>2233</v>
      </c>
      <c r="Y379" t="s">
        <v>2828</v>
      </c>
      <c r="Z379" t="s">
        <v>3098</v>
      </c>
      <c r="AA379" t="s">
        <v>3135</v>
      </c>
      <c r="AB379">
        <v>10451</v>
      </c>
      <c r="AC379" t="s">
        <v>3139</v>
      </c>
      <c r="AD379" t="s">
        <v>3488</v>
      </c>
      <c r="AE379">
        <v>0</v>
      </c>
      <c r="AF379" t="s">
        <v>4023</v>
      </c>
      <c r="AG379" t="s">
        <v>4031</v>
      </c>
      <c r="AH379" t="s">
        <v>291</v>
      </c>
      <c r="AI379" t="s">
        <v>291</v>
      </c>
      <c r="AK379" t="s">
        <v>4040</v>
      </c>
      <c r="AL379" t="s">
        <v>4046</v>
      </c>
      <c r="AM379">
        <v>0</v>
      </c>
      <c r="AN379">
        <v>638.64</v>
      </c>
      <c r="AO379">
        <v>0.8</v>
      </c>
      <c r="AP379" t="s">
        <v>4052</v>
      </c>
      <c r="AQ379" t="s">
        <v>4421</v>
      </c>
      <c r="AR379" t="s">
        <v>5310</v>
      </c>
      <c r="AS379">
        <v>0</v>
      </c>
      <c r="AT379" t="s">
        <v>5838</v>
      </c>
      <c r="AU379">
        <v>1</v>
      </c>
      <c r="AV379">
        <v>0</v>
      </c>
      <c r="AW379">
        <v>110.74</v>
      </c>
      <c r="BB379" t="s">
        <v>1322</v>
      </c>
      <c r="BC379">
        <v>13832</v>
      </c>
      <c r="BG379" t="s">
        <v>140</v>
      </c>
      <c r="BJ379" t="s">
        <v>5949</v>
      </c>
      <c r="BK379" t="s">
        <v>230</v>
      </c>
      <c r="BL379" t="s">
        <v>329</v>
      </c>
    </row>
    <row r="380" spans="1:64">
      <c r="A380" s="1">
        <f>HYPERLINK("https://lsnyc.legalserver.org/matter/dynamic-profile/view/1907521","19-1907521")</f>
        <v>0</v>
      </c>
      <c r="B380" t="s">
        <v>65</v>
      </c>
      <c r="C380" t="s">
        <v>106</v>
      </c>
      <c r="D380" t="s">
        <v>200</v>
      </c>
      <c r="E380" t="s">
        <v>202</v>
      </c>
      <c r="F380" t="s">
        <v>247</v>
      </c>
      <c r="G380" t="s">
        <v>202</v>
      </c>
      <c r="H380" t="s">
        <v>271</v>
      </c>
      <c r="I380" t="s">
        <v>202</v>
      </c>
      <c r="J380" t="s">
        <v>289</v>
      </c>
      <c r="K380" t="s">
        <v>292</v>
      </c>
      <c r="M380" t="s">
        <v>290</v>
      </c>
      <c r="N380" t="s">
        <v>202</v>
      </c>
      <c r="O380" t="s">
        <v>422</v>
      </c>
      <c r="P380" t="s">
        <v>428</v>
      </c>
      <c r="S380" t="s">
        <v>692</v>
      </c>
      <c r="T380" t="s">
        <v>1476</v>
      </c>
      <c r="U380" t="s">
        <v>220</v>
      </c>
      <c r="V380" t="s">
        <v>247</v>
      </c>
      <c r="W380" t="s">
        <v>1877</v>
      </c>
      <c r="X380" t="s">
        <v>2234</v>
      </c>
      <c r="Z380" t="s">
        <v>3098</v>
      </c>
      <c r="AA380" t="s">
        <v>3135</v>
      </c>
      <c r="AB380">
        <v>10460</v>
      </c>
      <c r="AC380" t="s">
        <v>3139</v>
      </c>
      <c r="AD380" t="s">
        <v>3489</v>
      </c>
      <c r="AE380">
        <v>2</v>
      </c>
      <c r="AF380" t="s">
        <v>4023</v>
      </c>
      <c r="AG380" t="s">
        <v>4031</v>
      </c>
      <c r="AH380" t="s">
        <v>291</v>
      </c>
      <c r="AI380" t="s">
        <v>291</v>
      </c>
      <c r="AK380" t="s">
        <v>4040</v>
      </c>
      <c r="AM380">
        <v>0</v>
      </c>
      <c r="AN380">
        <v>1083</v>
      </c>
      <c r="AO380">
        <v>0.5</v>
      </c>
      <c r="AP380" t="s">
        <v>4052</v>
      </c>
      <c r="AQ380" t="s">
        <v>4422</v>
      </c>
      <c r="AR380" t="s">
        <v>5311</v>
      </c>
      <c r="AS380">
        <v>240</v>
      </c>
      <c r="AT380" t="s">
        <v>5843</v>
      </c>
      <c r="AU380">
        <v>4</v>
      </c>
      <c r="AV380">
        <v>0</v>
      </c>
      <c r="AW380">
        <v>63</v>
      </c>
      <c r="BA380" t="s">
        <v>5850</v>
      </c>
      <c r="BB380" t="s">
        <v>1322</v>
      </c>
      <c r="BC380">
        <v>16222</v>
      </c>
      <c r="BG380" t="s">
        <v>140</v>
      </c>
      <c r="BJ380" t="s">
        <v>5967</v>
      </c>
      <c r="BK380" t="s">
        <v>247</v>
      </c>
      <c r="BL380" t="s">
        <v>6056</v>
      </c>
    </row>
    <row r="381" spans="1:64">
      <c r="A381" s="1">
        <f>HYPERLINK("https://lsnyc.legalserver.org/matter/dynamic-profile/view/1908857","19-1908857")</f>
        <v>0</v>
      </c>
      <c r="B381" t="s">
        <v>65</v>
      </c>
      <c r="C381" t="s">
        <v>106</v>
      </c>
      <c r="D381" t="s">
        <v>200</v>
      </c>
      <c r="E381" t="s">
        <v>202</v>
      </c>
      <c r="F381" t="s">
        <v>219</v>
      </c>
      <c r="G381" t="s">
        <v>202</v>
      </c>
      <c r="H381" t="s">
        <v>271</v>
      </c>
      <c r="I381" t="s">
        <v>202</v>
      </c>
      <c r="J381" t="s">
        <v>289</v>
      </c>
      <c r="K381" t="s">
        <v>292</v>
      </c>
      <c r="M381" t="s">
        <v>290</v>
      </c>
      <c r="N381" t="s">
        <v>202</v>
      </c>
      <c r="O381" t="s">
        <v>422</v>
      </c>
      <c r="P381" t="s">
        <v>427</v>
      </c>
      <c r="S381" t="s">
        <v>781</v>
      </c>
      <c r="T381" t="s">
        <v>1184</v>
      </c>
      <c r="U381" t="s">
        <v>219</v>
      </c>
      <c r="W381" t="s">
        <v>1876</v>
      </c>
      <c r="X381" t="s">
        <v>2235</v>
      </c>
      <c r="Y381" t="s">
        <v>2942</v>
      </c>
      <c r="Z381" t="s">
        <v>3098</v>
      </c>
      <c r="AA381" t="s">
        <v>3135</v>
      </c>
      <c r="AB381">
        <v>10460</v>
      </c>
      <c r="AC381" t="s">
        <v>3144</v>
      </c>
      <c r="AD381" t="s">
        <v>3490</v>
      </c>
      <c r="AE381">
        <v>2</v>
      </c>
      <c r="AG381" t="s">
        <v>4031</v>
      </c>
      <c r="AH381" t="s">
        <v>291</v>
      </c>
      <c r="AI381" t="s">
        <v>291</v>
      </c>
      <c r="AK381" t="s">
        <v>4040</v>
      </c>
      <c r="AM381">
        <v>0</v>
      </c>
      <c r="AN381">
        <v>915</v>
      </c>
      <c r="AO381">
        <v>0.7</v>
      </c>
      <c r="AQ381" t="s">
        <v>4423</v>
      </c>
      <c r="AR381" t="s">
        <v>5312</v>
      </c>
      <c r="AS381">
        <v>52</v>
      </c>
      <c r="AT381" t="s">
        <v>5838</v>
      </c>
      <c r="AU381">
        <v>1</v>
      </c>
      <c r="AV381">
        <v>1</v>
      </c>
      <c r="AW381">
        <v>72.03</v>
      </c>
      <c r="BA381" t="s">
        <v>3143</v>
      </c>
      <c r="BB381" t="s">
        <v>1322</v>
      </c>
      <c r="BC381">
        <v>12180</v>
      </c>
      <c r="BG381" t="s">
        <v>5900</v>
      </c>
      <c r="BJ381" t="s">
        <v>5949</v>
      </c>
      <c r="BK381" t="s">
        <v>228</v>
      </c>
      <c r="BL381" t="s">
        <v>6056</v>
      </c>
    </row>
    <row r="382" spans="1:64">
      <c r="A382" s="1">
        <f>HYPERLINK("https://lsnyc.legalserver.org/matter/dynamic-profile/view/1909570","19-1909570")</f>
        <v>0</v>
      </c>
      <c r="B382" t="s">
        <v>65</v>
      </c>
      <c r="C382" t="s">
        <v>106</v>
      </c>
      <c r="D382" t="s">
        <v>200</v>
      </c>
      <c r="E382" t="s">
        <v>201</v>
      </c>
      <c r="G382" t="s">
        <v>202</v>
      </c>
      <c r="H382" t="s">
        <v>271</v>
      </c>
      <c r="I382" t="s">
        <v>202</v>
      </c>
      <c r="J382" t="s">
        <v>289</v>
      </c>
      <c r="K382" t="s">
        <v>292</v>
      </c>
      <c r="M382" t="s">
        <v>290</v>
      </c>
      <c r="N382" t="s">
        <v>202</v>
      </c>
      <c r="O382" t="s">
        <v>422</v>
      </c>
      <c r="P382" t="s">
        <v>427</v>
      </c>
      <c r="S382" t="s">
        <v>782</v>
      </c>
      <c r="T382" t="s">
        <v>1477</v>
      </c>
      <c r="U382" t="s">
        <v>230</v>
      </c>
      <c r="W382" t="s">
        <v>1876</v>
      </c>
      <c r="X382" t="s">
        <v>2236</v>
      </c>
      <c r="Y382" t="s">
        <v>2943</v>
      </c>
      <c r="Z382" t="s">
        <v>3098</v>
      </c>
      <c r="AA382" t="s">
        <v>3135</v>
      </c>
      <c r="AB382">
        <v>10451</v>
      </c>
      <c r="AC382" t="s">
        <v>3136</v>
      </c>
      <c r="AD382" t="s">
        <v>3491</v>
      </c>
      <c r="AE382">
        <v>9</v>
      </c>
      <c r="AG382" t="s">
        <v>4031</v>
      </c>
      <c r="AH382" t="s">
        <v>291</v>
      </c>
      <c r="AI382" t="s">
        <v>291</v>
      </c>
      <c r="AK382" t="s">
        <v>4040</v>
      </c>
      <c r="AM382">
        <v>0</v>
      </c>
      <c r="AN382">
        <v>215</v>
      </c>
      <c r="AO382">
        <v>0</v>
      </c>
      <c r="AQ382" t="s">
        <v>4424</v>
      </c>
      <c r="AR382" t="s">
        <v>5313</v>
      </c>
      <c r="AS382">
        <v>0</v>
      </c>
      <c r="AT382" t="s">
        <v>5837</v>
      </c>
      <c r="AU382">
        <v>1</v>
      </c>
      <c r="AV382">
        <v>0</v>
      </c>
      <c r="AW382">
        <v>83.27</v>
      </c>
      <c r="BB382" t="s">
        <v>5859</v>
      </c>
      <c r="BC382">
        <v>10400</v>
      </c>
      <c r="BG382" t="s">
        <v>140</v>
      </c>
      <c r="BJ382" t="s">
        <v>5949</v>
      </c>
      <c r="BL382" t="s">
        <v>6056</v>
      </c>
    </row>
    <row r="383" spans="1:64">
      <c r="A383" s="1">
        <f>HYPERLINK("https://lsnyc.legalserver.org/matter/dynamic-profile/view/1906389","19-1906389")</f>
        <v>0</v>
      </c>
      <c r="B383" t="s">
        <v>65</v>
      </c>
      <c r="C383" t="s">
        <v>106</v>
      </c>
      <c r="D383" t="s">
        <v>200</v>
      </c>
      <c r="E383" t="s">
        <v>202</v>
      </c>
      <c r="F383" t="s">
        <v>248</v>
      </c>
      <c r="G383" t="s">
        <v>202</v>
      </c>
      <c r="H383" t="s">
        <v>271</v>
      </c>
      <c r="I383" t="s">
        <v>202</v>
      </c>
      <c r="J383" t="s">
        <v>289</v>
      </c>
      <c r="K383" t="s">
        <v>292</v>
      </c>
      <c r="M383" t="s">
        <v>290</v>
      </c>
      <c r="N383" t="s">
        <v>202</v>
      </c>
      <c r="O383" t="s">
        <v>422</v>
      </c>
      <c r="P383" t="s">
        <v>428</v>
      </c>
      <c r="S383" t="s">
        <v>783</v>
      </c>
      <c r="T383" t="s">
        <v>1250</v>
      </c>
      <c r="U383" t="s">
        <v>207</v>
      </c>
      <c r="V383" t="s">
        <v>248</v>
      </c>
      <c r="W383" t="s">
        <v>1877</v>
      </c>
      <c r="X383" t="s">
        <v>2237</v>
      </c>
      <c r="Y383" t="s">
        <v>2887</v>
      </c>
      <c r="Z383" t="s">
        <v>3098</v>
      </c>
      <c r="AA383" t="s">
        <v>3135</v>
      </c>
      <c r="AB383">
        <v>10451</v>
      </c>
      <c r="AD383" t="s">
        <v>3492</v>
      </c>
      <c r="AE383">
        <v>31</v>
      </c>
      <c r="AF383" t="s">
        <v>4023</v>
      </c>
      <c r="AG383" t="s">
        <v>4031</v>
      </c>
      <c r="AH383" t="s">
        <v>291</v>
      </c>
      <c r="AI383" t="s">
        <v>291</v>
      </c>
      <c r="AK383" t="s">
        <v>4041</v>
      </c>
      <c r="AL383" t="s">
        <v>4049</v>
      </c>
      <c r="AM383">
        <v>0</v>
      </c>
      <c r="AN383">
        <v>448</v>
      </c>
      <c r="AO383">
        <v>0.5</v>
      </c>
      <c r="AP383" t="s">
        <v>4052</v>
      </c>
      <c r="AQ383" t="s">
        <v>4425</v>
      </c>
      <c r="AS383">
        <v>0</v>
      </c>
      <c r="AT383" t="s">
        <v>5841</v>
      </c>
      <c r="AU383">
        <v>1</v>
      </c>
      <c r="AV383">
        <v>0</v>
      </c>
      <c r="AW383">
        <v>76.29000000000001</v>
      </c>
      <c r="BC383">
        <v>9528</v>
      </c>
      <c r="BG383" t="s">
        <v>140</v>
      </c>
      <c r="BJ383" t="s">
        <v>5959</v>
      </c>
      <c r="BK383" t="s">
        <v>248</v>
      </c>
      <c r="BL383" t="s">
        <v>6056</v>
      </c>
    </row>
    <row r="384" spans="1:64">
      <c r="A384" s="1">
        <f>HYPERLINK("https://lsnyc.legalserver.org/matter/dynamic-profile/view/1909350","19-1909350")</f>
        <v>0</v>
      </c>
      <c r="B384" t="s">
        <v>65</v>
      </c>
      <c r="C384" t="s">
        <v>106</v>
      </c>
      <c r="D384" t="s">
        <v>200</v>
      </c>
      <c r="E384" t="s">
        <v>201</v>
      </c>
      <c r="G384" t="s">
        <v>202</v>
      </c>
      <c r="H384" t="s">
        <v>272</v>
      </c>
      <c r="I384" t="s">
        <v>202</v>
      </c>
      <c r="J384" t="s">
        <v>289</v>
      </c>
      <c r="K384" t="s">
        <v>292</v>
      </c>
      <c r="M384" t="s">
        <v>290</v>
      </c>
      <c r="N384" t="s">
        <v>202</v>
      </c>
      <c r="O384" t="s">
        <v>422</v>
      </c>
      <c r="P384" t="s">
        <v>427</v>
      </c>
      <c r="S384" t="s">
        <v>784</v>
      </c>
      <c r="T384" t="s">
        <v>1478</v>
      </c>
      <c r="U384" t="s">
        <v>263</v>
      </c>
      <c r="W384" t="s">
        <v>1876</v>
      </c>
      <c r="X384" t="s">
        <v>2238</v>
      </c>
      <c r="Y384" t="s">
        <v>2834</v>
      </c>
      <c r="Z384" t="s">
        <v>3098</v>
      </c>
      <c r="AA384" t="s">
        <v>3135</v>
      </c>
      <c r="AB384">
        <v>10452</v>
      </c>
      <c r="AC384" t="s">
        <v>3139</v>
      </c>
      <c r="AD384" t="s">
        <v>3493</v>
      </c>
      <c r="AE384">
        <v>6</v>
      </c>
      <c r="AG384" t="s">
        <v>4031</v>
      </c>
      <c r="AH384" t="s">
        <v>291</v>
      </c>
      <c r="AI384" t="s">
        <v>291</v>
      </c>
      <c r="AK384" t="s">
        <v>4040</v>
      </c>
      <c r="AM384">
        <v>0</v>
      </c>
      <c r="AN384">
        <v>1530</v>
      </c>
      <c r="AO384">
        <v>0</v>
      </c>
      <c r="AQ384" t="s">
        <v>4426</v>
      </c>
      <c r="AR384" t="s">
        <v>5314</v>
      </c>
      <c r="AS384">
        <v>9</v>
      </c>
      <c r="AT384" t="s">
        <v>5838</v>
      </c>
      <c r="AU384">
        <v>1</v>
      </c>
      <c r="AV384">
        <v>5</v>
      </c>
      <c r="AW384">
        <v>95.34999999999999</v>
      </c>
      <c r="BA384" t="s">
        <v>5852</v>
      </c>
      <c r="BB384" t="s">
        <v>1322</v>
      </c>
      <c r="BC384">
        <v>32981</v>
      </c>
      <c r="BG384" t="s">
        <v>140</v>
      </c>
      <c r="BJ384" t="s">
        <v>5967</v>
      </c>
      <c r="BL384" t="s">
        <v>6056</v>
      </c>
    </row>
    <row r="385" spans="1:64">
      <c r="A385" s="1">
        <f>HYPERLINK("https://lsnyc.legalserver.org/matter/dynamic-profile/view/1907097","19-1907097")</f>
        <v>0</v>
      </c>
      <c r="B385" t="s">
        <v>65</v>
      </c>
      <c r="C385" t="s">
        <v>106</v>
      </c>
      <c r="D385" t="s">
        <v>200</v>
      </c>
      <c r="E385" t="s">
        <v>202</v>
      </c>
      <c r="F385" t="s">
        <v>226</v>
      </c>
      <c r="G385" t="s">
        <v>202</v>
      </c>
      <c r="H385" t="s">
        <v>272</v>
      </c>
      <c r="I385" t="s">
        <v>202</v>
      </c>
      <c r="J385" t="s">
        <v>289</v>
      </c>
      <c r="K385" t="s">
        <v>292</v>
      </c>
      <c r="M385" t="s">
        <v>290</v>
      </c>
      <c r="N385" t="s">
        <v>202</v>
      </c>
      <c r="O385" t="s">
        <v>422</v>
      </c>
      <c r="P385" t="s">
        <v>428</v>
      </c>
      <c r="S385" t="s">
        <v>785</v>
      </c>
      <c r="T385" t="s">
        <v>1479</v>
      </c>
      <c r="U385" t="s">
        <v>226</v>
      </c>
      <c r="V385" t="s">
        <v>238</v>
      </c>
      <c r="W385" t="s">
        <v>1877</v>
      </c>
      <c r="X385" t="s">
        <v>2239</v>
      </c>
      <c r="Y385" t="s">
        <v>2903</v>
      </c>
      <c r="Z385" t="s">
        <v>3098</v>
      </c>
      <c r="AA385" t="s">
        <v>3135</v>
      </c>
      <c r="AB385">
        <v>10452</v>
      </c>
      <c r="AC385" t="s">
        <v>3144</v>
      </c>
      <c r="AD385" t="s">
        <v>3494</v>
      </c>
      <c r="AE385">
        <v>23</v>
      </c>
      <c r="AF385" t="s">
        <v>4023</v>
      </c>
      <c r="AG385" t="s">
        <v>4031</v>
      </c>
      <c r="AH385" t="s">
        <v>291</v>
      </c>
      <c r="AI385" t="s">
        <v>291</v>
      </c>
      <c r="AK385" t="s">
        <v>4040</v>
      </c>
      <c r="AL385" t="s">
        <v>4051</v>
      </c>
      <c r="AM385">
        <v>0</v>
      </c>
      <c r="AN385">
        <v>1050</v>
      </c>
      <c r="AO385">
        <v>0.5</v>
      </c>
      <c r="AP385" t="s">
        <v>4052</v>
      </c>
      <c r="AQ385" t="s">
        <v>4427</v>
      </c>
      <c r="AS385">
        <v>54</v>
      </c>
      <c r="AT385" t="s">
        <v>5838</v>
      </c>
      <c r="AU385">
        <v>1</v>
      </c>
      <c r="AV385">
        <v>0</v>
      </c>
      <c r="AW385">
        <v>67.25</v>
      </c>
      <c r="BB385" t="s">
        <v>5859</v>
      </c>
      <c r="BC385">
        <v>8400</v>
      </c>
      <c r="BG385" t="s">
        <v>140</v>
      </c>
      <c r="BJ385" t="s">
        <v>5959</v>
      </c>
      <c r="BK385" t="s">
        <v>238</v>
      </c>
      <c r="BL385" t="s">
        <v>6056</v>
      </c>
    </row>
    <row r="386" spans="1:64">
      <c r="A386" s="1">
        <f>HYPERLINK("https://lsnyc.legalserver.org/matter/dynamic-profile/view/1906557","19-1906557")</f>
        <v>0</v>
      </c>
      <c r="B386" t="s">
        <v>65</v>
      </c>
      <c r="C386" t="s">
        <v>106</v>
      </c>
      <c r="D386" t="s">
        <v>200</v>
      </c>
      <c r="E386" t="s">
        <v>201</v>
      </c>
      <c r="G386" t="s">
        <v>202</v>
      </c>
      <c r="H386" t="s">
        <v>278</v>
      </c>
      <c r="I386" t="s">
        <v>202</v>
      </c>
      <c r="J386" t="s">
        <v>289</v>
      </c>
      <c r="K386" t="s">
        <v>292</v>
      </c>
      <c r="M386" t="s">
        <v>290</v>
      </c>
      <c r="N386" t="s">
        <v>202</v>
      </c>
      <c r="O386" t="s">
        <v>422</v>
      </c>
      <c r="P386" t="s">
        <v>428</v>
      </c>
      <c r="S386" t="s">
        <v>641</v>
      </c>
      <c r="T386" t="s">
        <v>1373</v>
      </c>
      <c r="U386" t="s">
        <v>253</v>
      </c>
      <c r="V386" t="s">
        <v>240</v>
      </c>
      <c r="W386" t="s">
        <v>1877</v>
      </c>
      <c r="X386" t="s">
        <v>2240</v>
      </c>
      <c r="Y386" t="s">
        <v>2785</v>
      </c>
      <c r="Z386" t="s">
        <v>3098</v>
      </c>
      <c r="AA386" t="s">
        <v>3135</v>
      </c>
      <c r="AB386">
        <v>10452</v>
      </c>
      <c r="AC386" t="s">
        <v>3147</v>
      </c>
      <c r="AD386" t="s">
        <v>394</v>
      </c>
      <c r="AE386">
        <v>51</v>
      </c>
      <c r="AF386" t="s">
        <v>4023</v>
      </c>
      <c r="AG386" t="s">
        <v>4031</v>
      </c>
      <c r="AH386" t="s">
        <v>291</v>
      </c>
      <c r="AK386" t="s">
        <v>4040</v>
      </c>
      <c r="AM386">
        <v>0</v>
      </c>
      <c r="AN386">
        <v>400</v>
      </c>
      <c r="AO386">
        <v>0.5</v>
      </c>
      <c r="AP386" t="s">
        <v>4052</v>
      </c>
      <c r="AQ386" t="s">
        <v>4428</v>
      </c>
      <c r="AS386">
        <v>36</v>
      </c>
      <c r="AT386" t="s">
        <v>5846</v>
      </c>
      <c r="AU386">
        <v>1</v>
      </c>
      <c r="AV386">
        <v>0</v>
      </c>
      <c r="AW386">
        <v>0</v>
      </c>
      <c r="BB386" t="s">
        <v>1322</v>
      </c>
      <c r="BC386">
        <v>0</v>
      </c>
      <c r="BG386" t="s">
        <v>140</v>
      </c>
      <c r="BJ386" t="s">
        <v>6011</v>
      </c>
      <c r="BK386" t="s">
        <v>240</v>
      </c>
      <c r="BL386" t="s">
        <v>329</v>
      </c>
    </row>
    <row r="387" spans="1:64">
      <c r="A387" s="1">
        <f>HYPERLINK("https://lsnyc.legalserver.org/matter/dynamic-profile/view/1908042","19-1908042")</f>
        <v>0</v>
      </c>
      <c r="B387" t="s">
        <v>65</v>
      </c>
      <c r="C387" t="s">
        <v>106</v>
      </c>
      <c r="D387" t="s">
        <v>200</v>
      </c>
      <c r="E387" t="s">
        <v>201</v>
      </c>
      <c r="G387" t="s">
        <v>202</v>
      </c>
      <c r="H387" t="s">
        <v>271</v>
      </c>
      <c r="I387" t="s">
        <v>202</v>
      </c>
      <c r="J387" t="s">
        <v>289</v>
      </c>
      <c r="K387" t="s">
        <v>292</v>
      </c>
      <c r="M387" t="s">
        <v>290</v>
      </c>
      <c r="N387" t="s">
        <v>202</v>
      </c>
      <c r="O387" t="s">
        <v>422</v>
      </c>
      <c r="P387" t="s">
        <v>428</v>
      </c>
      <c r="S387" t="s">
        <v>786</v>
      </c>
      <c r="T387" t="s">
        <v>1480</v>
      </c>
      <c r="U387" t="s">
        <v>221</v>
      </c>
      <c r="V387" t="s">
        <v>259</v>
      </c>
      <c r="W387" t="s">
        <v>1877</v>
      </c>
      <c r="X387" t="s">
        <v>2241</v>
      </c>
      <c r="Y387" t="s">
        <v>2944</v>
      </c>
      <c r="Z387" t="s">
        <v>3098</v>
      </c>
      <c r="AA387" t="s">
        <v>3135</v>
      </c>
      <c r="AB387">
        <v>10452</v>
      </c>
      <c r="AC387" t="s">
        <v>3139</v>
      </c>
      <c r="AD387" t="s">
        <v>3495</v>
      </c>
      <c r="AE387">
        <v>2</v>
      </c>
      <c r="AF387" t="s">
        <v>4023</v>
      </c>
      <c r="AG387" t="s">
        <v>4031</v>
      </c>
      <c r="AH387" t="s">
        <v>291</v>
      </c>
      <c r="AI387" t="s">
        <v>291</v>
      </c>
      <c r="AK387" t="s">
        <v>4040</v>
      </c>
      <c r="AL387" t="s">
        <v>4051</v>
      </c>
      <c r="AM387">
        <v>0</v>
      </c>
      <c r="AN387">
        <v>300</v>
      </c>
      <c r="AO387">
        <v>2.2</v>
      </c>
      <c r="AP387" t="s">
        <v>4052</v>
      </c>
      <c r="AQ387" t="s">
        <v>262</v>
      </c>
      <c r="AS387">
        <v>0</v>
      </c>
      <c r="AT387" t="s">
        <v>5846</v>
      </c>
      <c r="AU387">
        <v>1</v>
      </c>
      <c r="AV387">
        <v>0</v>
      </c>
      <c r="AW387">
        <v>72.06</v>
      </c>
      <c r="BA387" t="s">
        <v>329</v>
      </c>
      <c r="BB387" t="s">
        <v>1322</v>
      </c>
      <c r="BC387">
        <v>9000</v>
      </c>
      <c r="BG387" t="s">
        <v>140</v>
      </c>
      <c r="BJ387" t="s">
        <v>5959</v>
      </c>
      <c r="BK387" t="s">
        <v>206</v>
      </c>
      <c r="BL387" t="s">
        <v>6056</v>
      </c>
    </row>
    <row r="388" spans="1:64">
      <c r="A388" s="1">
        <f>HYPERLINK("https://lsnyc.legalserver.org/matter/dynamic-profile/view/1910160","19-1910160")</f>
        <v>0</v>
      </c>
      <c r="B388" t="s">
        <v>65</v>
      </c>
      <c r="C388" t="s">
        <v>106</v>
      </c>
      <c r="D388" t="s">
        <v>200</v>
      </c>
      <c r="E388" t="s">
        <v>201</v>
      </c>
      <c r="G388" t="s">
        <v>270</v>
      </c>
      <c r="I388" t="s">
        <v>288</v>
      </c>
      <c r="J388" t="s">
        <v>290</v>
      </c>
      <c r="K388" t="s">
        <v>292</v>
      </c>
      <c r="M388" t="s">
        <v>290</v>
      </c>
      <c r="N388" t="s">
        <v>419</v>
      </c>
      <c r="P388" t="s">
        <v>427</v>
      </c>
      <c r="S388" t="s">
        <v>787</v>
      </c>
      <c r="T388" t="s">
        <v>1481</v>
      </c>
      <c r="U388" t="s">
        <v>259</v>
      </c>
      <c r="W388" t="s">
        <v>1876</v>
      </c>
      <c r="X388" t="s">
        <v>2242</v>
      </c>
      <c r="Y388" t="s">
        <v>2828</v>
      </c>
      <c r="Z388" t="s">
        <v>3098</v>
      </c>
      <c r="AA388" t="s">
        <v>3135</v>
      </c>
      <c r="AB388">
        <v>10453</v>
      </c>
      <c r="AE388">
        <v>0</v>
      </c>
      <c r="AG388" t="s">
        <v>4030</v>
      </c>
      <c r="AH388" t="s">
        <v>291</v>
      </c>
      <c r="AK388" t="s">
        <v>4040</v>
      </c>
      <c r="AM388">
        <v>0</v>
      </c>
      <c r="AN388">
        <v>0</v>
      </c>
      <c r="AO388">
        <v>0</v>
      </c>
      <c r="AQ388" t="s">
        <v>4429</v>
      </c>
      <c r="AR388" t="s">
        <v>5315</v>
      </c>
      <c r="AS388">
        <v>0</v>
      </c>
      <c r="AU388">
        <v>1</v>
      </c>
      <c r="AV388">
        <v>0</v>
      </c>
      <c r="AW388">
        <v>101.59</v>
      </c>
      <c r="BB388" t="s">
        <v>1322</v>
      </c>
      <c r="BC388">
        <v>12688</v>
      </c>
      <c r="BG388" t="s">
        <v>5905</v>
      </c>
      <c r="BJ388" t="s">
        <v>5946</v>
      </c>
    </row>
    <row r="389" spans="1:64">
      <c r="A389" s="1">
        <f>HYPERLINK("https://lsnyc.legalserver.org/matter/dynamic-profile/view/1909668","19-1909668")</f>
        <v>0</v>
      </c>
      <c r="B389" t="s">
        <v>65</v>
      </c>
      <c r="C389" t="s">
        <v>106</v>
      </c>
      <c r="D389" t="s">
        <v>200</v>
      </c>
      <c r="E389" t="s">
        <v>201</v>
      </c>
      <c r="G389" t="s">
        <v>202</v>
      </c>
      <c r="H389" t="s">
        <v>272</v>
      </c>
      <c r="I389" t="s">
        <v>202</v>
      </c>
      <c r="J389" t="s">
        <v>289</v>
      </c>
      <c r="K389" t="s">
        <v>292</v>
      </c>
      <c r="M389" t="s">
        <v>290</v>
      </c>
      <c r="N389" t="s">
        <v>202</v>
      </c>
      <c r="O389" t="s">
        <v>422</v>
      </c>
      <c r="P389" t="s">
        <v>427</v>
      </c>
      <c r="S389" t="s">
        <v>788</v>
      </c>
      <c r="T389" t="s">
        <v>1436</v>
      </c>
      <c r="U389" t="s">
        <v>222</v>
      </c>
      <c r="W389" t="s">
        <v>1876</v>
      </c>
      <c r="X389" t="s">
        <v>2243</v>
      </c>
      <c r="Y389" t="s">
        <v>2917</v>
      </c>
      <c r="Z389" t="s">
        <v>3098</v>
      </c>
      <c r="AA389" t="s">
        <v>3135</v>
      </c>
      <c r="AB389">
        <v>10453</v>
      </c>
      <c r="AC389" t="s">
        <v>3139</v>
      </c>
      <c r="AD389" t="s">
        <v>3496</v>
      </c>
      <c r="AE389">
        <v>1</v>
      </c>
      <c r="AG389" t="s">
        <v>4031</v>
      </c>
      <c r="AH389" t="s">
        <v>291</v>
      </c>
      <c r="AI389" t="s">
        <v>291</v>
      </c>
      <c r="AK389" t="s">
        <v>4040</v>
      </c>
      <c r="AM389">
        <v>0</v>
      </c>
      <c r="AN389">
        <v>1500</v>
      </c>
      <c r="AO389">
        <v>0</v>
      </c>
      <c r="AQ389" t="s">
        <v>4430</v>
      </c>
      <c r="AS389">
        <v>49</v>
      </c>
      <c r="AT389" t="s">
        <v>5838</v>
      </c>
      <c r="AU389">
        <v>4</v>
      </c>
      <c r="AV389">
        <v>4</v>
      </c>
      <c r="AW389">
        <v>89.70999999999999</v>
      </c>
      <c r="BB389" t="s">
        <v>1322</v>
      </c>
      <c r="BC389">
        <v>38960</v>
      </c>
      <c r="BG389" t="s">
        <v>140</v>
      </c>
      <c r="BJ389" t="s">
        <v>5983</v>
      </c>
      <c r="BL389" t="s">
        <v>6056</v>
      </c>
    </row>
    <row r="390" spans="1:64">
      <c r="A390" s="1">
        <f>HYPERLINK("https://lsnyc.legalserver.org/matter/dynamic-profile/view/1909650","19-1909650")</f>
        <v>0</v>
      </c>
      <c r="B390" t="s">
        <v>65</v>
      </c>
      <c r="C390" t="s">
        <v>106</v>
      </c>
      <c r="D390" t="s">
        <v>200</v>
      </c>
      <c r="E390" t="s">
        <v>201</v>
      </c>
      <c r="G390" t="s">
        <v>202</v>
      </c>
      <c r="H390" t="s">
        <v>272</v>
      </c>
      <c r="I390" t="s">
        <v>202</v>
      </c>
      <c r="J390" t="s">
        <v>289</v>
      </c>
      <c r="K390" t="s">
        <v>292</v>
      </c>
      <c r="M390" t="s">
        <v>290</v>
      </c>
      <c r="N390" t="s">
        <v>202</v>
      </c>
      <c r="O390" t="s">
        <v>422</v>
      </c>
      <c r="P390" t="s">
        <v>427</v>
      </c>
      <c r="S390" t="s">
        <v>789</v>
      </c>
      <c r="T390" t="s">
        <v>1482</v>
      </c>
      <c r="U390" t="s">
        <v>222</v>
      </c>
      <c r="W390" t="s">
        <v>1876</v>
      </c>
      <c r="X390" t="s">
        <v>2244</v>
      </c>
      <c r="Y390" t="s">
        <v>2945</v>
      </c>
      <c r="Z390" t="s">
        <v>3098</v>
      </c>
      <c r="AA390" t="s">
        <v>3135</v>
      </c>
      <c r="AB390">
        <v>10453</v>
      </c>
      <c r="AC390" t="s">
        <v>3139</v>
      </c>
      <c r="AD390" t="s">
        <v>3497</v>
      </c>
      <c r="AE390">
        <v>15</v>
      </c>
      <c r="AG390" t="s">
        <v>4031</v>
      </c>
      <c r="AH390" t="s">
        <v>291</v>
      </c>
      <c r="AI390" t="s">
        <v>291</v>
      </c>
      <c r="AK390" t="s">
        <v>4040</v>
      </c>
      <c r="AM390">
        <v>0</v>
      </c>
      <c r="AN390">
        <v>1931</v>
      </c>
      <c r="AO390">
        <v>0</v>
      </c>
      <c r="AQ390" t="s">
        <v>4431</v>
      </c>
      <c r="AS390">
        <v>439</v>
      </c>
      <c r="AT390" t="s">
        <v>5843</v>
      </c>
      <c r="AU390">
        <v>1</v>
      </c>
      <c r="AV390">
        <v>3</v>
      </c>
      <c r="AW390">
        <v>53.87</v>
      </c>
      <c r="BB390" t="s">
        <v>1322</v>
      </c>
      <c r="BC390">
        <v>13872</v>
      </c>
      <c r="BG390" t="s">
        <v>140</v>
      </c>
      <c r="BJ390" t="s">
        <v>5961</v>
      </c>
      <c r="BL390" t="s">
        <v>6056</v>
      </c>
    </row>
    <row r="391" spans="1:64">
      <c r="A391" s="1">
        <f>HYPERLINK("https://lsnyc.legalserver.org/matter/dynamic-profile/view/1908808","19-1908808")</f>
        <v>0</v>
      </c>
      <c r="B391" t="s">
        <v>65</v>
      </c>
      <c r="C391" t="s">
        <v>106</v>
      </c>
      <c r="D391" t="s">
        <v>200</v>
      </c>
      <c r="E391" t="s">
        <v>201</v>
      </c>
      <c r="G391" t="s">
        <v>202</v>
      </c>
      <c r="H391" t="s">
        <v>271</v>
      </c>
      <c r="I391" t="s">
        <v>202</v>
      </c>
      <c r="J391" t="s">
        <v>289</v>
      </c>
      <c r="K391" t="s">
        <v>292</v>
      </c>
      <c r="M391" t="s">
        <v>290</v>
      </c>
      <c r="N391" t="s">
        <v>419</v>
      </c>
      <c r="P391" t="s">
        <v>427</v>
      </c>
      <c r="S391" t="s">
        <v>790</v>
      </c>
      <c r="T391" t="s">
        <v>1483</v>
      </c>
      <c r="U391" t="s">
        <v>219</v>
      </c>
      <c r="W391" t="s">
        <v>1876</v>
      </c>
      <c r="X391" t="s">
        <v>2245</v>
      </c>
      <c r="Y391" t="s">
        <v>2836</v>
      </c>
      <c r="Z391" t="s">
        <v>3098</v>
      </c>
      <c r="AA391" t="s">
        <v>3135</v>
      </c>
      <c r="AB391">
        <v>10460</v>
      </c>
      <c r="AC391" t="s">
        <v>3136</v>
      </c>
      <c r="AD391" t="s">
        <v>3498</v>
      </c>
      <c r="AE391">
        <v>1</v>
      </c>
      <c r="AG391" t="s">
        <v>4031</v>
      </c>
      <c r="AH391" t="s">
        <v>291</v>
      </c>
      <c r="AI391" t="s">
        <v>291</v>
      </c>
      <c r="AK391" t="s">
        <v>4040</v>
      </c>
      <c r="AL391" t="s">
        <v>4046</v>
      </c>
      <c r="AM391">
        <v>0</v>
      </c>
      <c r="AN391">
        <v>0</v>
      </c>
      <c r="AO391">
        <v>0</v>
      </c>
      <c r="AQ391" t="s">
        <v>4432</v>
      </c>
      <c r="AR391" t="s">
        <v>5316</v>
      </c>
      <c r="AS391">
        <v>0</v>
      </c>
      <c r="AT391" t="s">
        <v>5847</v>
      </c>
      <c r="AU391">
        <v>1</v>
      </c>
      <c r="AV391">
        <v>0</v>
      </c>
      <c r="AW391">
        <v>109.5</v>
      </c>
      <c r="BB391" t="s">
        <v>1322</v>
      </c>
      <c r="BC391">
        <v>13676</v>
      </c>
      <c r="BG391" t="s">
        <v>140</v>
      </c>
      <c r="BJ391" t="s">
        <v>5949</v>
      </c>
      <c r="BL391" t="s">
        <v>6056</v>
      </c>
    </row>
    <row r="392" spans="1:64">
      <c r="A392" s="1">
        <f>HYPERLINK("https://lsnyc.legalserver.org/matter/dynamic-profile/view/1909293","19-1909293")</f>
        <v>0</v>
      </c>
      <c r="B392" t="s">
        <v>65</v>
      </c>
      <c r="C392" t="s">
        <v>106</v>
      </c>
      <c r="D392" t="s">
        <v>200</v>
      </c>
      <c r="E392" t="s">
        <v>201</v>
      </c>
      <c r="G392" t="s">
        <v>202</v>
      </c>
      <c r="H392" t="s">
        <v>272</v>
      </c>
      <c r="I392" t="s">
        <v>202</v>
      </c>
      <c r="J392" t="s">
        <v>289</v>
      </c>
      <c r="K392" t="s">
        <v>292</v>
      </c>
      <c r="M392" t="s">
        <v>290</v>
      </c>
      <c r="N392" t="s">
        <v>202</v>
      </c>
      <c r="O392" t="s">
        <v>422</v>
      </c>
      <c r="P392" t="s">
        <v>427</v>
      </c>
      <c r="S392" t="s">
        <v>567</v>
      </c>
      <c r="T392" t="s">
        <v>1453</v>
      </c>
      <c r="U392" t="s">
        <v>263</v>
      </c>
      <c r="W392" t="s">
        <v>1876</v>
      </c>
      <c r="X392" t="s">
        <v>2246</v>
      </c>
      <c r="Z392" t="s">
        <v>3098</v>
      </c>
      <c r="AA392" t="s">
        <v>3135</v>
      </c>
      <c r="AB392">
        <v>10453</v>
      </c>
      <c r="AC392" t="s">
        <v>3144</v>
      </c>
      <c r="AD392" t="s">
        <v>3369</v>
      </c>
      <c r="AE392">
        <v>3</v>
      </c>
      <c r="AG392" t="s">
        <v>4031</v>
      </c>
      <c r="AH392" t="s">
        <v>291</v>
      </c>
      <c r="AI392" t="s">
        <v>291</v>
      </c>
      <c r="AK392" t="s">
        <v>4040</v>
      </c>
      <c r="AM392">
        <v>0</v>
      </c>
      <c r="AN392">
        <v>1428</v>
      </c>
      <c r="AO392">
        <v>0</v>
      </c>
      <c r="AQ392" t="s">
        <v>4433</v>
      </c>
      <c r="AR392" t="s">
        <v>5317</v>
      </c>
      <c r="AS392">
        <v>70</v>
      </c>
      <c r="AT392" t="s">
        <v>5838</v>
      </c>
      <c r="AU392">
        <v>1</v>
      </c>
      <c r="AV392">
        <v>2</v>
      </c>
      <c r="AW392">
        <v>0</v>
      </c>
      <c r="BB392" t="s">
        <v>5859</v>
      </c>
      <c r="BC392">
        <v>0</v>
      </c>
      <c r="BG392" t="s">
        <v>140</v>
      </c>
      <c r="BJ392" t="s">
        <v>5945</v>
      </c>
      <c r="BL392" t="s">
        <v>6056</v>
      </c>
    </row>
    <row r="393" spans="1:64">
      <c r="A393" s="1">
        <f>HYPERLINK("https://lsnyc.legalserver.org/matter/dynamic-profile/view/1906978","19-1906978")</f>
        <v>0</v>
      </c>
      <c r="B393" t="s">
        <v>65</v>
      </c>
      <c r="C393" t="s">
        <v>106</v>
      </c>
      <c r="D393" t="s">
        <v>200</v>
      </c>
      <c r="E393" t="s">
        <v>202</v>
      </c>
      <c r="F393" t="s">
        <v>217</v>
      </c>
      <c r="G393" t="s">
        <v>202</v>
      </c>
      <c r="H393" t="s">
        <v>272</v>
      </c>
      <c r="I393" t="s">
        <v>202</v>
      </c>
      <c r="J393" t="s">
        <v>289</v>
      </c>
      <c r="K393" t="s">
        <v>292</v>
      </c>
      <c r="M393" t="s">
        <v>290</v>
      </c>
      <c r="N393" t="s">
        <v>202</v>
      </c>
      <c r="O393" t="s">
        <v>422</v>
      </c>
      <c r="P393" t="s">
        <v>428</v>
      </c>
      <c r="S393" t="s">
        <v>791</v>
      </c>
      <c r="T393" t="s">
        <v>1484</v>
      </c>
      <c r="U393" t="s">
        <v>239</v>
      </c>
      <c r="V393" t="s">
        <v>217</v>
      </c>
      <c r="W393" t="s">
        <v>1877</v>
      </c>
      <c r="X393" t="s">
        <v>2247</v>
      </c>
      <c r="Y393" t="s">
        <v>2946</v>
      </c>
      <c r="Z393" t="s">
        <v>3098</v>
      </c>
      <c r="AA393" t="s">
        <v>3135</v>
      </c>
      <c r="AB393">
        <v>10453</v>
      </c>
      <c r="AC393" t="s">
        <v>3136</v>
      </c>
      <c r="AD393" t="s">
        <v>3499</v>
      </c>
      <c r="AE393">
        <v>12</v>
      </c>
      <c r="AF393" t="s">
        <v>4023</v>
      </c>
      <c r="AG393" t="s">
        <v>4031</v>
      </c>
      <c r="AH393" t="s">
        <v>291</v>
      </c>
      <c r="AI393" t="s">
        <v>291</v>
      </c>
      <c r="AK393" t="s">
        <v>4040</v>
      </c>
      <c r="AM393">
        <v>0</v>
      </c>
      <c r="AN393">
        <v>1050</v>
      </c>
      <c r="AO393">
        <v>0.5</v>
      </c>
      <c r="AP393" t="s">
        <v>4052</v>
      </c>
      <c r="AQ393" t="s">
        <v>4434</v>
      </c>
      <c r="AR393" t="s">
        <v>5318</v>
      </c>
      <c r="AS393">
        <v>0</v>
      </c>
      <c r="AU393">
        <v>1</v>
      </c>
      <c r="AV393">
        <v>1</v>
      </c>
      <c r="AW393">
        <v>107.63</v>
      </c>
      <c r="BB393" t="s">
        <v>5859</v>
      </c>
      <c r="BC393">
        <v>18200</v>
      </c>
      <c r="BG393" t="s">
        <v>140</v>
      </c>
      <c r="BJ393" t="s">
        <v>5949</v>
      </c>
      <c r="BK393" t="s">
        <v>217</v>
      </c>
      <c r="BL393" t="s">
        <v>6056</v>
      </c>
    </row>
    <row r="394" spans="1:64">
      <c r="A394" s="1">
        <f>HYPERLINK("https://lsnyc.legalserver.org/matter/dynamic-profile/view/1906548","19-1906548")</f>
        <v>0</v>
      </c>
      <c r="B394" t="s">
        <v>65</v>
      </c>
      <c r="C394" t="s">
        <v>106</v>
      </c>
      <c r="D394" t="s">
        <v>200</v>
      </c>
      <c r="E394" t="s">
        <v>202</v>
      </c>
      <c r="F394" t="s">
        <v>235</v>
      </c>
      <c r="G394" t="s">
        <v>202</v>
      </c>
      <c r="H394" t="s">
        <v>272</v>
      </c>
      <c r="I394" t="s">
        <v>202</v>
      </c>
      <c r="J394" t="s">
        <v>289</v>
      </c>
      <c r="K394" t="s">
        <v>292</v>
      </c>
      <c r="M394" t="s">
        <v>290</v>
      </c>
      <c r="N394" t="s">
        <v>202</v>
      </c>
      <c r="O394" t="s">
        <v>422</v>
      </c>
      <c r="P394" t="s">
        <v>428</v>
      </c>
      <c r="S394" t="s">
        <v>792</v>
      </c>
      <c r="T394" t="s">
        <v>1485</v>
      </c>
      <c r="U394" t="s">
        <v>253</v>
      </c>
      <c r="V394" t="s">
        <v>235</v>
      </c>
      <c r="W394" t="s">
        <v>1877</v>
      </c>
      <c r="X394" t="s">
        <v>2248</v>
      </c>
      <c r="Y394" t="s">
        <v>2917</v>
      </c>
      <c r="Z394" t="s">
        <v>3098</v>
      </c>
      <c r="AA394" t="s">
        <v>3135</v>
      </c>
      <c r="AB394">
        <v>10453</v>
      </c>
      <c r="AD394" t="s">
        <v>3500</v>
      </c>
      <c r="AE394">
        <v>14</v>
      </c>
      <c r="AF394" t="s">
        <v>4023</v>
      </c>
      <c r="AG394" t="s">
        <v>4031</v>
      </c>
      <c r="AH394" t="s">
        <v>291</v>
      </c>
      <c r="AI394" t="s">
        <v>291</v>
      </c>
      <c r="AK394" t="s">
        <v>4040</v>
      </c>
      <c r="AL394" t="s">
        <v>4047</v>
      </c>
      <c r="AM394">
        <v>0</v>
      </c>
      <c r="AN394">
        <v>1518</v>
      </c>
      <c r="AO394">
        <v>1.3</v>
      </c>
      <c r="AP394" t="s">
        <v>4052</v>
      </c>
      <c r="AQ394" t="s">
        <v>4435</v>
      </c>
      <c r="AS394">
        <v>39</v>
      </c>
      <c r="AU394">
        <v>1</v>
      </c>
      <c r="AV394">
        <v>3</v>
      </c>
      <c r="AW394">
        <v>18.17</v>
      </c>
      <c r="BB394" t="s">
        <v>1322</v>
      </c>
      <c r="BC394">
        <v>4680</v>
      </c>
      <c r="BG394" t="s">
        <v>140</v>
      </c>
      <c r="BJ394" t="s">
        <v>5966</v>
      </c>
      <c r="BK394" t="s">
        <v>235</v>
      </c>
      <c r="BL394" t="s">
        <v>6056</v>
      </c>
    </row>
    <row r="395" spans="1:64">
      <c r="A395" s="1">
        <f>HYPERLINK("https://lsnyc.legalserver.org/matter/dynamic-profile/view/1905909","19-1905909")</f>
        <v>0</v>
      </c>
      <c r="B395" t="s">
        <v>65</v>
      </c>
      <c r="C395" t="s">
        <v>106</v>
      </c>
      <c r="D395" t="s">
        <v>200</v>
      </c>
      <c r="E395" t="s">
        <v>202</v>
      </c>
      <c r="F395" t="s">
        <v>220</v>
      </c>
      <c r="G395" t="s">
        <v>202</v>
      </c>
      <c r="H395" t="s">
        <v>272</v>
      </c>
      <c r="I395" t="s">
        <v>202</v>
      </c>
      <c r="J395" t="s">
        <v>289</v>
      </c>
      <c r="K395" t="s">
        <v>292</v>
      </c>
      <c r="M395" t="s">
        <v>290</v>
      </c>
      <c r="N395" t="s">
        <v>202</v>
      </c>
      <c r="O395" t="s">
        <v>422</v>
      </c>
      <c r="P395" t="s">
        <v>428</v>
      </c>
      <c r="S395" t="s">
        <v>793</v>
      </c>
      <c r="T395" t="s">
        <v>1245</v>
      </c>
      <c r="U395" t="s">
        <v>262</v>
      </c>
      <c r="V395" t="s">
        <v>218</v>
      </c>
      <c r="W395" t="s">
        <v>1877</v>
      </c>
      <c r="X395" t="s">
        <v>2244</v>
      </c>
      <c r="Y395" t="s">
        <v>2947</v>
      </c>
      <c r="Z395" t="s">
        <v>3098</v>
      </c>
      <c r="AA395" t="s">
        <v>3135</v>
      </c>
      <c r="AB395">
        <v>10453</v>
      </c>
      <c r="AC395" t="s">
        <v>3139</v>
      </c>
      <c r="AD395" t="s">
        <v>3501</v>
      </c>
      <c r="AE395">
        <v>10</v>
      </c>
      <c r="AF395" t="s">
        <v>4023</v>
      </c>
      <c r="AG395" t="s">
        <v>4031</v>
      </c>
      <c r="AH395" t="s">
        <v>291</v>
      </c>
      <c r="AI395" t="s">
        <v>291</v>
      </c>
      <c r="AK395" t="s">
        <v>4040</v>
      </c>
      <c r="AL395" t="s">
        <v>4047</v>
      </c>
      <c r="AM395">
        <v>0</v>
      </c>
      <c r="AN395">
        <v>628</v>
      </c>
      <c r="AO395">
        <v>1.8</v>
      </c>
      <c r="AP395" t="s">
        <v>4052</v>
      </c>
      <c r="AQ395" t="s">
        <v>4436</v>
      </c>
      <c r="AR395" t="s">
        <v>5319</v>
      </c>
      <c r="AS395">
        <v>1660</v>
      </c>
      <c r="AT395" t="s">
        <v>5840</v>
      </c>
      <c r="AU395">
        <v>1</v>
      </c>
      <c r="AV395">
        <v>0</v>
      </c>
      <c r="AW395">
        <v>84.36</v>
      </c>
      <c r="BA395" t="s">
        <v>3143</v>
      </c>
      <c r="BB395" t="s">
        <v>1322</v>
      </c>
      <c r="BC395">
        <v>10536</v>
      </c>
      <c r="BG395" t="s">
        <v>5899</v>
      </c>
      <c r="BJ395" t="s">
        <v>5950</v>
      </c>
      <c r="BK395" t="s">
        <v>218</v>
      </c>
      <c r="BL395" t="s">
        <v>6056</v>
      </c>
    </row>
    <row r="396" spans="1:64">
      <c r="A396" s="1">
        <f>HYPERLINK("https://lsnyc.legalserver.org/matter/dynamic-profile/view/1905395","19-1905395")</f>
        <v>0</v>
      </c>
      <c r="B396" t="s">
        <v>65</v>
      </c>
      <c r="C396" t="s">
        <v>106</v>
      </c>
      <c r="D396" t="s">
        <v>200</v>
      </c>
      <c r="E396" t="s">
        <v>202</v>
      </c>
      <c r="F396" t="s">
        <v>249</v>
      </c>
      <c r="G396" t="s">
        <v>202</v>
      </c>
      <c r="H396" t="s">
        <v>272</v>
      </c>
      <c r="I396" t="s">
        <v>202</v>
      </c>
      <c r="J396" t="s">
        <v>289</v>
      </c>
      <c r="K396" t="s">
        <v>292</v>
      </c>
      <c r="M396" t="s">
        <v>290</v>
      </c>
      <c r="N396" t="s">
        <v>202</v>
      </c>
      <c r="O396" t="s">
        <v>422</v>
      </c>
      <c r="P396" t="s">
        <v>428</v>
      </c>
      <c r="S396" t="s">
        <v>794</v>
      </c>
      <c r="T396" t="s">
        <v>1486</v>
      </c>
      <c r="U396" t="s">
        <v>242</v>
      </c>
      <c r="V396" t="s">
        <v>249</v>
      </c>
      <c r="W396" t="s">
        <v>1877</v>
      </c>
      <c r="X396" t="s">
        <v>2249</v>
      </c>
      <c r="Z396" t="s">
        <v>3098</v>
      </c>
      <c r="AA396" t="s">
        <v>3135</v>
      </c>
      <c r="AB396">
        <v>10458</v>
      </c>
      <c r="AD396" t="s">
        <v>3502</v>
      </c>
      <c r="AE396">
        <v>4</v>
      </c>
      <c r="AF396" t="s">
        <v>4023</v>
      </c>
      <c r="AG396" t="s">
        <v>4031</v>
      </c>
      <c r="AH396" t="s">
        <v>291</v>
      </c>
      <c r="AI396" t="s">
        <v>291</v>
      </c>
      <c r="AK396" t="s">
        <v>4040</v>
      </c>
      <c r="AL396" t="s">
        <v>4046</v>
      </c>
      <c r="AM396">
        <v>0</v>
      </c>
      <c r="AN396">
        <v>1600</v>
      </c>
      <c r="AO396">
        <v>0.3</v>
      </c>
      <c r="AP396" t="s">
        <v>4052</v>
      </c>
      <c r="AQ396" t="s">
        <v>4437</v>
      </c>
      <c r="AS396">
        <v>56</v>
      </c>
      <c r="AT396" t="s">
        <v>5838</v>
      </c>
      <c r="AU396">
        <v>1</v>
      </c>
      <c r="AV396">
        <v>0</v>
      </c>
      <c r="AW396">
        <v>249.8</v>
      </c>
      <c r="BB396" t="s">
        <v>1322</v>
      </c>
      <c r="BC396">
        <v>31200</v>
      </c>
      <c r="BG396" t="s">
        <v>5902</v>
      </c>
      <c r="BJ396" t="s">
        <v>5949</v>
      </c>
      <c r="BK396" t="s">
        <v>249</v>
      </c>
      <c r="BL396" t="s">
        <v>6056</v>
      </c>
    </row>
    <row r="397" spans="1:64">
      <c r="A397" s="1">
        <f>HYPERLINK("https://lsnyc.legalserver.org/matter/dynamic-profile/view/1909567","19-1909567")</f>
        <v>0</v>
      </c>
      <c r="B397" t="s">
        <v>65</v>
      </c>
      <c r="C397" t="s">
        <v>106</v>
      </c>
      <c r="D397" t="s">
        <v>200</v>
      </c>
      <c r="E397" t="s">
        <v>201</v>
      </c>
      <c r="G397" t="s">
        <v>202</v>
      </c>
      <c r="H397" t="s">
        <v>271</v>
      </c>
      <c r="I397" t="s">
        <v>202</v>
      </c>
      <c r="J397" t="s">
        <v>289</v>
      </c>
      <c r="K397" t="s">
        <v>292</v>
      </c>
      <c r="M397" t="s">
        <v>290</v>
      </c>
      <c r="N397" t="s">
        <v>202</v>
      </c>
      <c r="O397" t="s">
        <v>422</v>
      </c>
      <c r="P397" t="s">
        <v>427</v>
      </c>
      <c r="S397" t="s">
        <v>769</v>
      </c>
      <c r="T397" t="s">
        <v>1339</v>
      </c>
      <c r="U397" t="s">
        <v>230</v>
      </c>
      <c r="W397" t="s">
        <v>1876</v>
      </c>
      <c r="X397" t="s">
        <v>2250</v>
      </c>
      <c r="Y397" t="s">
        <v>2807</v>
      </c>
      <c r="Z397" t="s">
        <v>3098</v>
      </c>
      <c r="AA397" t="s">
        <v>3135</v>
      </c>
      <c r="AB397">
        <v>10456</v>
      </c>
      <c r="AC397" t="s">
        <v>3139</v>
      </c>
      <c r="AD397" t="s">
        <v>3503</v>
      </c>
      <c r="AE397">
        <v>0</v>
      </c>
      <c r="AG397" t="s">
        <v>4031</v>
      </c>
      <c r="AH397" t="s">
        <v>291</v>
      </c>
      <c r="AI397" t="s">
        <v>291</v>
      </c>
      <c r="AK397" t="s">
        <v>4040</v>
      </c>
      <c r="AM397">
        <v>0</v>
      </c>
      <c r="AN397">
        <v>0</v>
      </c>
      <c r="AO397">
        <v>0</v>
      </c>
      <c r="AQ397" t="s">
        <v>4438</v>
      </c>
      <c r="AR397" t="s">
        <v>5320</v>
      </c>
      <c r="AS397">
        <v>35</v>
      </c>
      <c r="AT397" t="s">
        <v>5838</v>
      </c>
      <c r="AU397">
        <v>1</v>
      </c>
      <c r="AV397">
        <v>1</v>
      </c>
      <c r="AW397">
        <v>165.29</v>
      </c>
      <c r="BB397" t="s">
        <v>1322</v>
      </c>
      <c r="BC397">
        <v>27950</v>
      </c>
      <c r="BG397" t="s">
        <v>140</v>
      </c>
      <c r="BJ397" t="s">
        <v>5949</v>
      </c>
      <c r="BL397" t="s">
        <v>6056</v>
      </c>
    </row>
    <row r="398" spans="1:64">
      <c r="A398" s="1">
        <f>HYPERLINK("https://lsnyc.legalserver.org/matter/dynamic-profile/view/1909285","19-1909285")</f>
        <v>0</v>
      </c>
      <c r="B398" t="s">
        <v>65</v>
      </c>
      <c r="C398" t="s">
        <v>106</v>
      </c>
      <c r="D398" t="s">
        <v>200</v>
      </c>
      <c r="E398" t="s">
        <v>201</v>
      </c>
      <c r="G398" t="s">
        <v>202</v>
      </c>
      <c r="H398" t="s">
        <v>272</v>
      </c>
      <c r="I398" t="s">
        <v>202</v>
      </c>
      <c r="J398" t="s">
        <v>289</v>
      </c>
      <c r="K398" t="s">
        <v>292</v>
      </c>
      <c r="M398" t="s">
        <v>290</v>
      </c>
      <c r="N398" t="s">
        <v>202</v>
      </c>
      <c r="O398" t="s">
        <v>422</v>
      </c>
      <c r="P398" t="s">
        <v>427</v>
      </c>
      <c r="S398" t="s">
        <v>795</v>
      </c>
      <c r="T398" t="s">
        <v>1487</v>
      </c>
      <c r="U398" t="s">
        <v>263</v>
      </c>
      <c r="W398" t="s">
        <v>1876</v>
      </c>
      <c r="X398" t="s">
        <v>2251</v>
      </c>
      <c r="Y398" t="s">
        <v>2784</v>
      </c>
      <c r="Z398" t="s">
        <v>3098</v>
      </c>
      <c r="AA398" t="s">
        <v>3135</v>
      </c>
      <c r="AB398">
        <v>10460</v>
      </c>
      <c r="AC398" t="s">
        <v>3139</v>
      </c>
      <c r="AD398" t="s">
        <v>3504</v>
      </c>
      <c r="AE398">
        <v>26</v>
      </c>
      <c r="AG398" t="s">
        <v>4031</v>
      </c>
      <c r="AH398" t="s">
        <v>291</v>
      </c>
      <c r="AI398" t="s">
        <v>291</v>
      </c>
      <c r="AK398" t="s">
        <v>4040</v>
      </c>
      <c r="AM398">
        <v>0</v>
      </c>
      <c r="AN398">
        <v>163.01</v>
      </c>
      <c r="AO398">
        <v>0</v>
      </c>
      <c r="AQ398" t="s">
        <v>4439</v>
      </c>
      <c r="AR398" t="s">
        <v>5321</v>
      </c>
      <c r="AS398">
        <v>177</v>
      </c>
      <c r="AT398" t="s">
        <v>5847</v>
      </c>
      <c r="AU398">
        <v>1</v>
      </c>
      <c r="AV398">
        <v>0</v>
      </c>
      <c r="AW398">
        <v>52.04</v>
      </c>
      <c r="BB398" t="s">
        <v>1322</v>
      </c>
      <c r="BC398">
        <v>6500</v>
      </c>
      <c r="BG398" t="s">
        <v>140</v>
      </c>
      <c r="BJ398" t="s">
        <v>5949</v>
      </c>
      <c r="BL398" t="s">
        <v>6056</v>
      </c>
    </row>
    <row r="399" spans="1:64">
      <c r="A399" s="1">
        <f>HYPERLINK("https://lsnyc.legalserver.org/matter/dynamic-profile/view/1910180","19-1910180")</f>
        <v>0</v>
      </c>
      <c r="B399" t="s">
        <v>65</v>
      </c>
      <c r="C399" t="s">
        <v>106</v>
      </c>
      <c r="D399" t="s">
        <v>200</v>
      </c>
      <c r="E399" t="s">
        <v>201</v>
      </c>
      <c r="G399" t="s">
        <v>202</v>
      </c>
      <c r="H399" t="s">
        <v>272</v>
      </c>
      <c r="I399" t="s">
        <v>202</v>
      </c>
      <c r="J399" t="s">
        <v>289</v>
      </c>
      <c r="K399" t="s">
        <v>292</v>
      </c>
      <c r="M399" t="s">
        <v>290</v>
      </c>
      <c r="N399" t="s">
        <v>202</v>
      </c>
      <c r="O399" t="s">
        <v>422</v>
      </c>
      <c r="P399" t="s">
        <v>427</v>
      </c>
      <c r="S399" t="s">
        <v>796</v>
      </c>
      <c r="T399" t="s">
        <v>1488</v>
      </c>
      <c r="U399" t="s">
        <v>259</v>
      </c>
      <c r="W399" t="s">
        <v>1876</v>
      </c>
      <c r="X399" t="s">
        <v>2252</v>
      </c>
      <c r="Y399">
        <v>12</v>
      </c>
      <c r="Z399" t="s">
        <v>3098</v>
      </c>
      <c r="AA399" t="s">
        <v>3135</v>
      </c>
      <c r="AB399">
        <v>10459</v>
      </c>
      <c r="AC399" t="s">
        <v>3139</v>
      </c>
      <c r="AD399" t="s">
        <v>3505</v>
      </c>
      <c r="AE399">
        <v>55</v>
      </c>
      <c r="AG399" t="s">
        <v>4031</v>
      </c>
      <c r="AH399" t="s">
        <v>291</v>
      </c>
      <c r="AI399" t="s">
        <v>291</v>
      </c>
      <c r="AK399" t="s">
        <v>4040</v>
      </c>
      <c r="AM399">
        <v>0</v>
      </c>
      <c r="AN399">
        <v>757</v>
      </c>
      <c r="AO399">
        <v>0</v>
      </c>
      <c r="AQ399" t="s">
        <v>4440</v>
      </c>
      <c r="AR399" t="s">
        <v>5322</v>
      </c>
      <c r="AS399">
        <v>18</v>
      </c>
      <c r="AT399" t="s">
        <v>5838</v>
      </c>
      <c r="AU399">
        <v>1</v>
      </c>
      <c r="AV399">
        <v>0</v>
      </c>
      <c r="AW399">
        <v>128.11</v>
      </c>
      <c r="BB399" t="s">
        <v>1322</v>
      </c>
      <c r="BC399">
        <v>16001.52</v>
      </c>
      <c r="BG399" t="s">
        <v>140</v>
      </c>
      <c r="BJ399" t="s">
        <v>5968</v>
      </c>
      <c r="BL399" t="s">
        <v>6056</v>
      </c>
    </row>
    <row r="400" spans="1:64">
      <c r="A400" s="1">
        <f>HYPERLINK("https://lsnyc.legalserver.org/matter/dynamic-profile/view/1909175","19-1909175")</f>
        <v>0</v>
      </c>
      <c r="B400" t="s">
        <v>65</v>
      </c>
      <c r="C400" t="s">
        <v>106</v>
      </c>
      <c r="D400" t="s">
        <v>200</v>
      </c>
      <c r="E400" t="s">
        <v>201</v>
      </c>
      <c r="G400" t="s">
        <v>202</v>
      </c>
      <c r="H400" t="s">
        <v>271</v>
      </c>
      <c r="I400" t="s">
        <v>202</v>
      </c>
      <c r="J400" t="s">
        <v>289</v>
      </c>
      <c r="K400" t="s">
        <v>292</v>
      </c>
      <c r="M400" t="s">
        <v>290</v>
      </c>
      <c r="N400" t="s">
        <v>202</v>
      </c>
      <c r="O400" t="s">
        <v>422</v>
      </c>
      <c r="P400" t="s">
        <v>428</v>
      </c>
      <c r="S400" t="s">
        <v>476</v>
      </c>
      <c r="T400" t="s">
        <v>1489</v>
      </c>
      <c r="U400" t="s">
        <v>228</v>
      </c>
      <c r="V400" t="s">
        <v>243</v>
      </c>
      <c r="W400" t="s">
        <v>1877</v>
      </c>
      <c r="X400" t="s">
        <v>2253</v>
      </c>
      <c r="Y400">
        <v>405</v>
      </c>
      <c r="Z400" t="s">
        <v>3098</v>
      </c>
      <c r="AA400" t="s">
        <v>3135</v>
      </c>
      <c r="AB400">
        <v>10460</v>
      </c>
      <c r="AC400" t="s">
        <v>3144</v>
      </c>
      <c r="AD400" t="s">
        <v>3506</v>
      </c>
      <c r="AE400">
        <v>2</v>
      </c>
      <c r="AF400" t="s">
        <v>4023</v>
      </c>
      <c r="AG400" t="s">
        <v>4031</v>
      </c>
      <c r="AH400" t="s">
        <v>291</v>
      </c>
      <c r="AI400" t="s">
        <v>291</v>
      </c>
      <c r="AK400" t="s">
        <v>4040</v>
      </c>
      <c r="AM400">
        <v>0</v>
      </c>
      <c r="AN400">
        <v>0</v>
      </c>
      <c r="AO400">
        <v>1</v>
      </c>
      <c r="AP400" t="s">
        <v>4052</v>
      </c>
      <c r="AQ400" t="s">
        <v>4441</v>
      </c>
      <c r="AR400" t="s">
        <v>5323</v>
      </c>
      <c r="AS400">
        <v>47</v>
      </c>
      <c r="AT400" t="s">
        <v>5838</v>
      </c>
      <c r="AU400">
        <v>1</v>
      </c>
      <c r="AV400">
        <v>0</v>
      </c>
      <c r="AW400">
        <v>72.06</v>
      </c>
      <c r="BA400" t="s">
        <v>5850</v>
      </c>
      <c r="BB400" t="s">
        <v>1322</v>
      </c>
      <c r="BC400">
        <v>9000</v>
      </c>
      <c r="BG400" t="s">
        <v>140</v>
      </c>
      <c r="BJ400" t="s">
        <v>5959</v>
      </c>
      <c r="BK400" t="s">
        <v>243</v>
      </c>
      <c r="BL400" t="s">
        <v>6056</v>
      </c>
    </row>
    <row r="401" spans="1:64">
      <c r="A401" s="1">
        <f>HYPERLINK("https://lsnyc.legalserver.org/matter/dynamic-profile/view/1909086","19-1909086")</f>
        <v>0</v>
      </c>
      <c r="B401" t="s">
        <v>65</v>
      </c>
      <c r="C401" t="s">
        <v>106</v>
      </c>
      <c r="D401" t="s">
        <v>200</v>
      </c>
      <c r="E401" t="s">
        <v>201</v>
      </c>
      <c r="G401" t="s">
        <v>202</v>
      </c>
      <c r="H401" t="s">
        <v>272</v>
      </c>
      <c r="I401" t="s">
        <v>202</v>
      </c>
      <c r="J401" t="s">
        <v>289</v>
      </c>
      <c r="K401" t="s">
        <v>292</v>
      </c>
      <c r="M401" t="s">
        <v>290</v>
      </c>
      <c r="N401" t="s">
        <v>202</v>
      </c>
      <c r="O401" t="s">
        <v>422</v>
      </c>
      <c r="P401" t="s">
        <v>428</v>
      </c>
      <c r="S401" t="s">
        <v>797</v>
      </c>
      <c r="T401" t="s">
        <v>1409</v>
      </c>
      <c r="U401" t="s">
        <v>256</v>
      </c>
      <c r="V401" t="s">
        <v>266</v>
      </c>
      <c r="W401" t="s">
        <v>1877</v>
      </c>
      <c r="X401" t="s">
        <v>2254</v>
      </c>
      <c r="Y401" t="s">
        <v>2824</v>
      </c>
      <c r="Z401" t="s">
        <v>3098</v>
      </c>
      <c r="AA401" t="s">
        <v>3135</v>
      </c>
      <c r="AB401">
        <v>10459</v>
      </c>
      <c r="AC401" t="s">
        <v>3139</v>
      </c>
      <c r="AD401" t="s">
        <v>3507</v>
      </c>
      <c r="AE401">
        <v>11</v>
      </c>
      <c r="AF401" t="s">
        <v>4023</v>
      </c>
      <c r="AG401" t="s">
        <v>4031</v>
      </c>
      <c r="AH401" t="s">
        <v>291</v>
      </c>
      <c r="AI401" t="s">
        <v>291</v>
      </c>
      <c r="AK401" t="s">
        <v>4040</v>
      </c>
      <c r="AL401" t="s">
        <v>4049</v>
      </c>
      <c r="AM401">
        <v>0</v>
      </c>
      <c r="AN401">
        <v>1348</v>
      </c>
      <c r="AO401">
        <v>0.5</v>
      </c>
      <c r="AP401" t="s">
        <v>4052</v>
      </c>
      <c r="AQ401" t="s">
        <v>4442</v>
      </c>
      <c r="AR401" t="s">
        <v>5324</v>
      </c>
      <c r="AS401">
        <v>0</v>
      </c>
      <c r="AU401">
        <v>1</v>
      </c>
      <c r="AV401">
        <v>0</v>
      </c>
      <c r="AW401">
        <v>82.43000000000001</v>
      </c>
      <c r="BA401" t="s">
        <v>5850</v>
      </c>
      <c r="BB401" t="s">
        <v>1322</v>
      </c>
      <c r="BC401">
        <v>10296</v>
      </c>
      <c r="BG401" t="s">
        <v>140</v>
      </c>
      <c r="BJ401" t="s">
        <v>5959</v>
      </c>
      <c r="BK401" t="s">
        <v>266</v>
      </c>
      <c r="BL401" t="s">
        <v>6056</v>
      </c>
    </row>
    <row r="402" spans="1:64">
      <c r="A402" s="1">
        <f>HYPERLINK("https://lsnyc.legalserver.org/matter/dynamic-profile/view/1909113","19-1909113")</f>
        <v>0</v>
      </c>
      <c r="B402" t="s">
        <v>65</v>
      </c>
      <c r="C402" t="s">
        <v>106</v>
      </c>
      <c r="D402" t="s">
        <v>200</v>
      </c>
      <c r="E402" t="s">
        <v>201</v>
      </c>
      <c r="G402" t="s">
        <v>202</v>
      </c>
      <c r="H402" t="s">
        <v>272</v>
      </c>
      <c r="I402" t="s">
        <v>202</v>
      </c>
      <c r="J402" t="s">
        <v>289</v>
      </c>
      <c r="K402" t="s">
        <v>292</v>
      </c>
      <c r="M402" t="s">
        <v>290</v>
      </c>
      <c r="N402" t="s">
        <v>202</v>
      </c>
      <c r="O402" t="s">
        <v>422</v>
      </c>
      <c r="P402" t="s">
        <v>427</v>
      </c>
      <c r="S402" t="s">
        <v>798</v>
      </c>
      <c r="T402" t="s">
        <v>1490</v>
      </c>
      <c r="U402" t="s">
        <v>228</v>
      </c>
      <c r="W402" t="s">
        <v>1876</v>
      </c>
      <c r="X402" t="s">
        <v>2255</v>
      </c>
      <c r="Y402" t="s">
        <v>2948</v>
      </c>
      <c r="Z402" t="s">
        <v>3098</v>
      </c>
      <c r="AA402" t="s">
        <v>3135</v>
      </c>
      <c r="AB402">
        <v>10453</v>
      </c>
      <c r="AC402" t="s">
        <v>3136</v>
      </c>
      <c r="AD402" t="s">
        <v>3508</v>
      </c>
      <c r="AE402">
        <v>7</v>
      </c>
      <c r="AG402" t="s">
        <v>4031</v>
      </c>
      <c r="AH402" t="s">
        <v>291</v>
      </c>
      <c r="AI402" t="s">
        <v>291</v>
      </c>
      <c r="AK402" t="s">
        <v>4040</v>
      </c>
      <c r="AL402" t="s">
        <v>4047</v>
      </c>
      <c r="AM402">
        <v>0</v>
      </c>
      <c r="AN402">
        <v>1174</v>
      </c>
      <c r="AO402">
        <v>0</v>
      </c>
      <c r="AQ402" t="s">
        <v>4443</v>
      </c>
      <c r="AR402" t="s">
        <v>5325</v>
      </c>
      <c r="AS402">
        <v>344</v>
      </c>
      <c r="AT402" t="s">
        <v>5843</v>
      </c>
      <c r="AU402">
        <v>1</v>
      </c>
      <c r="AV402">
        <v>0</v>
      </c>
      <c r="AW402">
        <v>77.05</v>
      </c>
      <c r="BB402" t="s">
        <v>5859</v>
      </c>
      <c r="BC402">
        <v>9624</v>
      </c>
      <c r="BG402" t="s">
        <v>140</v>
      </c>
      <c r="BJ402" t="s">
        <v>5959</v>
      </c>
      <c r="BL402" t="s">
        <v>6056</v>
      </c>
    </row>
    <row r="403" spans="1:64">
      <c r="A403" s="1">
        <f>HYPERLINK("https://lsnyc.legalserver.org/matter/dynamic-profile/view/1905407","19-1905407")</f>
        <v>0</v>
      </c>
      <c r="B403" t="s">
        <v>65</v>
      </c>
      <c r="C403" t="s">
        <v>106</v>
      </c>
      <c r="D403" t="s">
        <v>200</v>
      </c>
      <c r="E403" t="s">
        <v>202</v>
      </c>
      <c r="F403" t="s">
        <v>207</v>
      </c>
      <c r="G403" t="s">
        <v>202</v>
      </c>
      <c r="H403" t="s">
        <v>271</v>
      </c>
      <c r="I403" t="s">
        <v>202</v>
      </c>
      <c r="J403" t="s">
        <v>289</v>
      </c>
      <c r="K403" t="s">
        <v>292</v>
      </c>
      <c r="M403" t="s">
        <v>290</v>
      </c>
      <c r="N403" t="s">
        <v>202</v>
      </c>
      <c r="O403" t="s">
        <v>422</v>
      </c>
      <c r="P403" t="s">
        <v>428</v>
      </c>
      <c r="S403" t="s">
        <v>799</v>
      </c>
      <c r="T403" t="s">
        <v>1491</v>
      </c>
      <c r="U403" t="s">
        <v>242</v>
      </c>
      <c r="V403" t="s">
        <v>249</v>
      </c>
      <c r="W403" t="s">
        <v>1877</v>
      </c>
      <c r="X403" t="s">
        <v>2256</v>
      </c>
      <c r="Y403" t="s">
        <v>2949</v>
      </c>
      <c r="Z403" t="s">
        <v>3098</v>
      </c>
      <c r="AA403" t="s">
        <v>3135</v>
      </c>
      <c r="AB403">
        <v>10458</v>
      </c>
      <c r="AD403" t="s">
        <v>3509</v>
      </c>
      <c r="AE403">
        <v>7</v>
      </c>
      <c r="AF403" t="s">
        <v>4023</v>
      </c>
      <c r="AG403" t="s">
        <v>4031</v>
      </c>
      <c r="AH403" t="s">
        <v>291</v>
      </c>
      <c r="AI403" t="s">
        <v>291</v>
      </c>
      <c r="AK403" t="s">
        <v>4040</v>
      </c>
      <c r="AL403" t="s">
        <v>4048</v>
      </c>
      <c r="AM403">
        <v>0</v>
      </c>
      <c r="AN403">
        <v>1838.24</v>
      </c>
      <c r="AO403">
        <v>0.9</v>
      </c>
      <c r="AP403" t="s">
        <v>4052</v>
      </c>
      <c r="AQ403" t="s">
        <v>4444</v>
      </c>
      <c r="AS403">
        <v>58</v>
      </c>
      <c r="AT403" t="s">
        <v>5838</v>
      </c>
      <c r="AU403">
        <v>1</v>
      </c>
      <c r="AV403">
        <v>0</v>
      </c>
      <c r="AW403">
        <v>156.12</v>
      </c>
      <c r="BB403" t="s">
        <v>1322</v>
      </c>
      <c r="BC403">
        <v>19500</v>
      </c>
      <c r="BG403" t="s">
        <v>5902</v>
      </c>
      <c r="BJ403" t="s">
        <v>5944</v>
      </c>
      <c r="BK403" t="s">
        <v>249</v>
      </c>
    </row>
    <row r="404" spans="1:64">
      <c r="A404" s="1">
        <f>HYPERLINK("https://lsnyc.legalserver.org/matter/dynamic-profile/view/1905959","19-1905959")</f>
        <v>0</v>
      </c>
      <c r="B404" t="s">
        <v>65</v>
      </c>
      <c r="C404" t="s">
        <v>126</v>
      </c>
      <c r="D404" t="s">
        <v>200</v>
      </c>
      <c r="E404" t="s">
        <v>202</v>
      </c>
      <c r="F404" t="s">
        <v>250</v>
      </c>
      <c r="G404" t="s">
        <v>202</v>
      </c>
      <c r="H404" t="s">
        <v>272</v>
      </c>
      <c r="I404" t="s">
        <v>202</v>
      </c>
      <c r="J404" t="s">
        <v>289</v>
      </c>
      <c r="K404" t="s">
        <v>292</v>
      </c>
      <c r="M404" t="s">
        <v>290</v>
      </c>
      <c r="N404" t="s">
        <v>202</v>
      </c>
      <c r="O404" t="s">
        <v>421</v>
      </c>
      <c r="P404" t="s">
        <v>427</v>
      </c>
      <c r="S404" t="s">
        <v>800</v>
      </c>
      <c r="T404" t="s">
        <v>1492</v>
      </c>
      <c r="U404" t="s">
        <v>250</v>
      </c>
      <c r="W404" t="s">
        <v>1876</v>
      </c>
      <c r="X404" t="s">
        <v>2127</v>
      </c>
      <c r="Y404" t="s">
        <v>2806</v>
      </c>
      <c r="Z404" t="s">
        <v>3098</v>
      </c>
      <c r="AA404" t="s">
        <v>3135</v>
      </c>
      <c r="AB404">
        <v>10457</v>
      </c>
      <c r="AC404" t="s">
        <v>3136</v>
      </c>
      <c r="AD404" t="s">
        <v>3510</v>
      </c>
      <c r="AE404">
        <v>6</v>
      </c>
      <c r="AG404" t="s">
        <v>4030</v>
      </c>
      <c r="AH404" t="s">
        <v>291</v>
      </c>
      <c r="AI404" t="s">
        <v>291</v>
      </c>
      <c r="AK404" t="s">
        <v>4040</v>
      </c>
      <c r="AL404" t="s">
        <v>4048</v>
      </c>
      <c r="AM404">
        <v>0</v>
      </c>
      <c r="AN404">
        <v>1089</v>
      </c>
      <c r="AO404">
        <v>2.6</v>
      </c>
      <c r="AQ404" t="s">
        <v>4445</v>
      </c>
      <c r="AR404" t="s">
        <v>5326</v>
      </c>
      <c r="AS404">
        <v>54</v>
      </c>
      <c r="AT404" t="s">
        <v>5838</v>
      </c>
      <c r="AU404">
        <v>1</v>
      </c>
      <c r="AV404">
        <v>1</v>
      </c>
      <c r="AW404">
        <v>178.83</v>
      </c>
      <c r="BC404">
        <v>30240</v>
      </c>
      <c r="BG404" t="s">
        <v>140</v>
      </c>
      <c r="BJ404" t="s">
        <v>5949</v>
      </c>
      <c r="BK404" t="s">
        <v>264</v>
      </c>
      <c r="BL404" t="s">
        <v>6056</v>
      </c>
    </row>
    <row r="405" spans="1:64">
      <c r="A405" s="1">
        <f>HYPERLINK("https://lsnyc.legalserver.org/matter/dynamic-profile/view/1909971","19-1909971")</f>
        <v>0</v>
      </c>
      <c r="B405" t="s">
        <v>65</v>
      </c>
      <c r="C405" t="s">
        <v>127</v>
      </c>
      <c r="D405" t="s">
        <v>200</v>
      </c>
      <c r="E405" t="s">
        <v>201</v>
      </c>
      <c r="G405" t="s">
        <v>202</v>
      </c>
      <c r="H405" t="s">
        <v>272</v>
      </c>
      <c r="I405" t="s">
        <v>288</v>
      </c>
      <c r="J405" t="s">
        <v>290</v>
      </c>
      <c r="K405" t="s">
        <v>202</v>
      </c>
      <c r="L405" t="s">
        <v>347</v>
      </c>
      <c r="M405" t="s">
        <v>290</v>
      </c>
      <c r="N405" t="s">
        <v>419</v>
      </c>
      <c r="P405" t="s">
        <v>427</v>
      </c>
      <c r="S405" t="s">
        <v>726</v>
      </c>
      <c r="T405" t="s">
        <v>1493</v>
      </c>
      <c r="U405" t="s">
        <v>243</v>
      </c>
      <c r="W405" t="s">
        <v>1876</v>
      </c>
      <c r="X405" t="s">
        <v>2257</v>
      </c>
      <c r="Y405">
        <v>2</v>
      </c>
      <c r="Z405" t="s">
        <v>3098</v>
      </c>
      <c r="AA405" t="s">
        <v>3135</v>
      </c>
      <c r="AB405">
        <v>10462</v>
      </c>
      <c r="AC405" t="s">
        <v>3144</v>
      </c>
      <c r="AE405">
        <v>2</v>
      </c>
      <c r="AG405" t="s">
        <v>4030</v>
      </c>
      <c r="AH405" t="s">
        <v>291</v>
      </c>
      <c r="AK405" t="s">
        <v>4040</v>
      </c>
      <c r="AM405">
        <v>0</v>
      </c>
      <c r="AN405">
        <v>2000</v>
      </c>
      <c r="AO405">
        <v>0.2</v>
      </c>
      <c r="AQ405" t="s">
        <v>4446</v>
      </c>
      <c r="AR405" t="s">
        <v>5327</v>
      </c>
      <c r="AS405">
        <v>0</v>
      </c>
      <c r="AU405">
        <v>4</v>
      </c>
      <c r="AV405">
        <v>0</v>
      </c>
      <c r="AW405">
        <v>169.93</v>
      </c>
      <c r="AY405" t="s">
        <v>5849</v>
      </c>
      <c r="BB405" t="s">
        <v>1322</v>
      </c>
      <c r="BC405">
        <v>43756</v>
      </c>
      <c r="BG405" t="s">
        <v>5905</v>
      </c>
      <c r="BJ405" t="s">
        <v>6012</v>
      </c>
      <c r="BK405" t="s">
        <v>216</v>
      </c>
      <c r="BL405" t="s">
        <v>6056</v>
      </c>
    </row>
    <row r="406" spans="1:64">
      <c r="A406" s="1">
        <f>HYPERLINK("https://lsnyc.legalserver.org/matter/dynamic-profile/view/1909120","19-1909120")</f>
        <v>0</v>
      </c>
      <c r="B406" t="s">
        <v>65</v>
      </c>
      <c r="C406" t="s">
        <v>128</v>
      </c>
      <c r="D406" t="s">
        <v>200</v>
      </c>
      <c r="E406" t="s">
        <v>201</v>
      </c>
      <c r="G406" t="s">
        <v>202</v>
      </c>
      <c r="H406" t="s">
        <v>271</v>
      </c>
      <c r="I406" t="s">
        <v>202</v>
      </c>
      <c r="J406" t="s">
        <v>289</v>
      </c>
      <c r="K406" t="s">
        <v>292</v>
      </c>
      <c r="M406" t="s">
        <v>290</v>
      </c>
      <c r="N406" t="s">
        <v>419</v>
      </c>
      <c r="P406" t="s">
        <v>427</v>
      </c>
      <c r="S406" t="s">
        <v>801</v>
      </c>
      <c r="T406" t="s">
        <v>1494</v>
      </c>
      <c r="U406" t="s">
        <v>228</v>
      </c>
      <c r="W406" t="s">
        <v>1876</v>
      </c>
      <c r="X406" t="s">
        <v>2258</v>
      </c>
      <c r="Y406" t="s">
        <v>2950</v>
      </c>
      <c r="Z406" t="s">
        <v>3098</v>
      </c>
      <c r="AA406" t="s">
        <v>3135</v>
      </c>
      <c r="AB406">
        <v>10460</v>
      </c>
      <c r="AC406" t="s">
        <v>3144</v>
      </c>
      <c r="AD406" t="s">
        <v>3511</v>
      </c>
      <c r="AE406">
        <v>10</v>
      </c>
      <c r="AG406" t="s">
        <v>4031</v>
      </c>
      <c r="AH406" t="s">
        <v>291</v>
      </c>
      <c r="AI406" t="s">
        <v>291</v>
      </c>
      <c r="AK406" t="s">
        <v>4040</v>
      </c>
      <c r="AL406" t="s">
        <v>4050</v>
      </c>
      <c r="AM406">
        <v>0</v>
      </c>
      <c r="AN406">
        <v>673</v>
      </c>
      <c r="AO406">
        <v>2.1</v>
      </c>
      <c r="AQ406" t="s">
        <v>4447</v>
      </c>
      <c r="AR406" t="s">
        <v>5328</v>
      </c>
      <c r="AS406">
        <v>240</v>
      </c>
      <c r="AT406" t="s">
        <v>5843</v>
      </c>
      <c r="AU406">
        <v>2</v>
      </c>
      <c r="AV406">
        <v>3</v>
      </c>
      <c r="AW406">
        <v>68.94</v>
      </c>
      <c r="BA406" t="s">
        <v>5850</v>
      </c>
      <c r="BB406" t="s">
        <v>1322</v>
      </c>
      <c r="BC406">
        <v>20800</v>
      </c>
      <c r="BG406" t="s">
        <v>140</v>
      </c>
      <c r="BJ406" t="s">
        <v>5949</v>
      </c>
      <c r="BK406" t="s">
        <v>263</v>
      </c>
      <c r="BL406" t="s">
        <v>6056</v>
      </c>
    </row>
    <row r="407" spans="1:64">
      <c r="A407" s="1">
        <f>HYPERLINK("https://lsnyc.legalserver.org/matter/dynamic-profile/view/1906723","19-1906723")</f>
        <v>0</v>
      </c>
      <c r="B407" t="s">
        <v>65</v>
      </c>
      <c r="C407" t="s">
        <v>129</v>
      </c>
      <c r="D407" t="s">
        <v>200</v>
      </c>
      <c r="E407" t="s">
        <v>201</v>
      </c>
      <c r="G407" t="s">
        <v>202</v>
      </c>
      <c r="H407" t="s">
        <v>271</v>
      </c>
      <c r="I407" t="s">
        <v>202</v>
      </c>
      <c r="J407" t="s">
        <v>289</v>
      </c>
      <c r="K407" t="s">
        <v>292</v>
      </c>
      <c r="M407" t="s">
        <v>290</v>
      </c>
      <c r="N407" t="s">
        <v>202</v>
      </c>
      <c r="O407" t="s">
        <v>421</v>
      </c>
      <c r="P407" t="s">
        <v>427</v>
      </c>
      <c r="S407" t="s">
        <v>802</v>
      </c>
      <c r="T407" t="s">
        <v>1495</v>
      </c>
      <c r="U407" t="s">
        <v>209</v>
      </c>
      <c r="W407" t="s">
        <v>1876</v>
      </c>
      <c r="X407" t="s">
        <v>2259</v>
      </c>
      <c r="Y407">
        <v>212</v>
      </c>
      <c r="Z407" t="s">
        <v>3098</v>
      </c>
      <c r="AA407" t="s">
        <v>3135</v>
      </c>
      <c r="AB407">
        <v>10457</v>
      </c>
      <c r="AC407" t="s">
        <v>3136</v>
      </c>
      <c r="AD407" t="s">
        <v>3512</v>
      </c>
      <c r="AE407">
        <v>40</v>
      </c>
      <c r="AG407" t="s">
        <v>4030</v>
      </c>
      <c r="AH407" t="s">
        <v>291</v>
      </c>
      <c r="AI407" t="s">
        <v>291</v>
      </c>
      <c r="AK407" t="s">
        <v>4040</v>
      </c>
      <c r="AL407" t="s">
        <v>4046</v>
      </c>
      <c r="AM407">
        <v>0</v>
      </c>
      <c r="AN407">
        <v>1350</v>
      </c>
      <c r="AO407">
        <v>6.7</v>
      </c>
      <c r="AQ407" t="s">
        <v>4448</v>
      </c>
      <c r="AR407" t="s">
        <v>5329</v>
      </c>
      <c r="AS407">
        <v>119</v>
      </c>
      <c r="AT407" t="s">
        <v>5838</v>
      </c>
      <c r="AU407">
        <v>3</v>
      </c>
      <c r="AV407">
        <v>0</v>
      </c>
      <c r="AW407">
        <v>146.27</v>
      </c>
      <c r="BA407" t="s">
        <v>329</v>
      </c>
      <c r="BB407" t="s">
        <v>1322</v>
      </c>
      <c r="BC407">
        <v>31200</v>
      </c>
      <c r="BG407" t="s">
        <v>5904</v>
      </c>
      <c r="BJ407" t="s">
        <v>5949</v>
      </c>
      <c r="BK407" t="s">
        <v>259</v>
      </c>
      <c r="BL407" t="s">
        <v>6056</v>
      </c>
    </row>
    <row r="408" spans="1:64">
      <c r="A408" s="1">
        <f>HYPERLINK("https://lsnyc.legalserver.org/matter/dynamic-profile/view/1906708","19-1906708")</f>
        <v>0</v>
      </c>
      <c r="B408" t="s">
        <v>65</v>
      </c>
      <c r="C408" t="s">
        <v>129</v>
      </c>
      <c r="D408" t="s">
        <v>200</v>
      </c>
      <c r="E408" t="s">
        <v>201</v>
      </c>
      <c r="G408" t="s">
        <v>202</v>
      </c>
      <c r="H408" t="s">
        <v>271</v>
      </c>
      <c r="I408" t="s">
        <v>202</v>
      </c>
      <c r="J408" t="s">
        <v>289</v>
      </c>
      <c r="K408" t="s">
        <v>292</v>
      </c>
      <c r="M408" t="s">
        <v>290</v>
      </c>
      <c r="N408" t="s">
        <v>202</v>
      </c>
      <c r="O408" t="s">
        <v>421</v>
      </c>
      <c r="P408" t="s">
        <v>427</v>
      </c>
      <c r="S408" t="s">
        <v>803</v>
      </c>
      <c r="T408" t="s">
        <v>1496</v>
      </c>
      <c r="U408" t="s">
        <v>241</v>
      </c>
      <c r="W408" t="s">
        <v>1876</v>
      </c>
      <c r="X408" t="s">
        <v>2260</v>
      </c>
      <c r="Y408">
        <v>2</v>
      </c>
      <c r="Z408" t="s">
        <v>3098</v>
      </c>
      <c r="AA408" t="s">
        <v>3135</v>
      </c>
      <c r="AB408">
        <v>10457</v>
      </c>
      <c r="AC408" t="s">
        <v>3136</v>
      </c>
      <c r="AD408" t="s">
        <v>3513</v>
      </c>
      <c r="AE408">
        <v>1</v>
      </c>
      <c r="AG408" t="s">
        <v>4030</v>
      </c>
      <c r="AH408" t="s">
        <v>291</v>
      </c>
      <c r="AI408" t="s">
        <v>291</v>
      </c>
      <c r="AK408" t="s">
        <v>4040</v>
      </c>
      <c r="AL408" t="s">
        <v>4046</v>
      </c>
      <c r="AM408">
        <v>0</v>
      </c>
      <c r="AN408">
        <v>1975</v>
      </c>
      <c r="AO408">
        <v>5.9</v>
      </c>
      <c r="AQ408" t="s">
        <v>4449</v>
      </c>
      <c r="AR408" t="s">
        <v>5330</v>
      </c>
      <c r="AS408">
        <v>3</v>
      </c>
      <c r="AT408" t="s">
        <v>5835</v>
      </c>
      <c r="AU408">
        <v>2</v>
      </c>
      <c r="AV408">
        <v>3</v>
      </c>
      <c r="AW408">
        <v>14.91</v>
      </c>
      <c r="BA408" t="s">
        <v>5852</v>
      </c>
      <c r="BB408" t="s">
        <v>1322</v>
      </c>
      <c r="BC408">
        <v>4498</v>
      </c>
      <c r="BG408" t="s">
        <v>140</v>
      </c>
      <c r="BJ408" t="s">
        <v>5960</v>
      </c>
      <c r="BK408" t="s">
        <v>206</v>
      </c>
      <c r="BL408" t="s">
        <v>6056</v>
      </c>
    </row>
    <row r="409" spans="1:64">
      <c r="A409" s="1">
        <f>HYPERLINK("https://lsnyc.legalserver.org/matter/dynamic-profile/view/1905648","19-1905648")</f>
        <v>0</v>
      </c>
      <c r="B409" t="s">
        <v>65</v>
      </c>
      <c r="C409" t="s">
        <v>130</v>
      </c>
      <c r="D409" t="s">
        <v>200</v>
      </c>
      <c r="E409" t="s">
        <v>202</v>
      </c>
      <c r="F409" t="s">
        <v>207</v>
      </c>
      <c r="G409" t="s">
        <v>202</v>
      </c>
      <c r="H409" t="s">
        <v>272</v>
      </c>
      <c r="I409" t="s">
        <v>202</v>
      </c>
      <c r="J409" t="s">
        <v>289</v>
      </c>
      <c r="K409" t="s">
        <v>292</v>
      </c>
      <c r="M409" t="s">
        <v>290</v>
      </c>
      <c r="N409" t="s">
        <v>202</v>
      </c>
      <c r="O409" t="s">
        <v>421</v>
      </c>
      <c r="P409" t="s">
        <v>427</v>
      </c>
      <c r="S409" t="s">
        <v>804</v>
      </c>
      <c r="T409" t="s">
        <v>1497</v>
      </c>
      <c r="U409" t="s">
        <v>260</v>
      </c>
      <c r="W409" t="s">
        <v>1876</v>
      </c>
      <c r="X409" t="s">
        <v>2261</v>
      </c>
      <c r="Y409" t="s">
        <v>2828</v>
      </c>
      <c r="Z409" t="s">
        <v>3098</v>
      </c>
      <c r="AA409" t="s">
        <v>3135</v>
      </c>
      <c r="AB409">
        <v>10457</v>
      </c>
      <c r="AC409" t="s">
        <v>3140</v>
      </c>
      <c r="AD409" t="s">
        <v>3514</v>
      </c>
      <c r="AE409">
        <v>5</v>
      </c>
      <c r="AG409" t="s">
        <v>4030</v>
      </c>
      <c r="AH409" t="s">
        <v>291</v>
      </c>
      <c r="AI409" t="s">
        <v>291</v>
      </c>
      <c r="AK409" t="s">
        <v>4040</v>
      </c>
      <c r="AM409">
        <v>0</v>
      </c>
      <c r="AN409">
        <v>1800</v>
      </c>
      <c r="AO409">
        <v>7.3</v>
      </c>
      <c r="AQ409" t="s">
        <v>4450</v>
      </c>
      <c r="AR409" t="s">
        <v>5331</v>
      </c>
      <c r="AS409">
        <v>0</v>
      </c>
      <c r="AT409" t="s">
        <v>5836</v>
      </c>
      <c r="AU409">
        <v>1</v>
      </c>
      <c r="AV409">
        <v>0</v>
      </c>
      <c r="AW409">
        <v>48.04</v>
      </c>
      <c r="BA409" t="s">
        <v>329</v>
      </c>
      <c r="BB409" t="s">
        <v>1322</v>
      </c>
      <c r="BC409">
        <v>6000</v>
      </c>
      <c r="BG409" t="s">
        <v>5904</v>
      </c>
      <c r="BJ409" t="s">
        <v>5951</v>
      </c>
      <c r="BK409" t="s">
        <v>234</v>
      </c>
      <c r="BL409" t="s">
        <v>6056</v>
      </c>
    </row>
    <row r="410" spans="1:64">
      <c r="A410" s="1">
        <f>HYPERLINK("https://lsnyc.legalserver.org/matter/dynamic-profile/view/1907580","19-1907580")</f>
        <v>0</v>
      </c>
      <c r="B410" t="s">
        <v>65</v>
      </c>
      <c r="C410" t="s">
        <v>130</v>
      </c>
      <c r="D410" t="s">
        <v>200</v>
      </c>
      <c r="E410" t="s">
        <v>201</v>
      </c>
      <c r="G410" t="s">
        <v>202</v>
      </c>
      <c r="H410" t="s">
        <v>272</v>
      </c>
      <c r="I410" t="s">
        <v>202</v>
      </c>
      <c r="J410" t="s">
        <v>289</v>
      </c>
      <c r="K410" t="s">
        <v>292</v>
      </c>
      <c r="M410" t="s">
        <v>290</v>
      </c>
      <c r="N410" t="s">
        <v>419</v>
      </c>
      <c r="P410" t="s">
        <v>427</v>
      </c>
      <c r="S410" t="s">
        <v>805</v>
      </c>
      <c r="T410" t="s">
        <v>1498</v>
      </c>
      <c r="U410" t="s">
        <v>254</v>
      </c>
      <c r="W410" t="s">
        <v>1876</v>
      </c>
      <c r="X410" t="s">
        <v>2262</v>
      </c>
      <c r="Y410">
        <v>401</v>
      </c>
      <c r="Z410" t="s">
        <v>3098</v>
      </c>
      <c r="AA410" t="s">
        <v>3135</v>
      </c>
      <c r="AB410">
        <v>10462</v>
      </c>
      <c r="AD410" t="s">
        <v>3515</v>
      </c>
      <c r="AE410">
        <v>4</v>
      </c>
      <c r="AG410" t="s">
        <v>4030</v>
      </c>
      <c r="AH410" t="s">
        <v>291</v>
      </c>
      <c r="AI410" t="s">
        <v>291</v>
      </c>
      <c r="AK410" t="s">
        <v>4040</v>
      </c>
      <c r="AM410">
        <v>0</v>
      </c>
      <c r="AN410">
        <v>1326</v>
      </c>
      <c r="AO410">
        <v>0.5</v>
      </c>
      <c r="AQ410" t="s">
        <v>4451</v>
      </c>
      <c r="AR410" t="s">
        <v>5332</v>
      </c>
      <c r="AS410">
        <v>101</v>
      </c>
      <c r="AU410">
        <v>1</v>
      </c>
      <c r="AV410">
        <v>1</v>
      </c>
      <c r="AW410">
        <v>179.78</v>
      </c>
      <c r="BB410" t="s">
        <v>5859</v>
      </c>
      <c r="BC410">
        <v>30400</v>
      </c>
      <c r="BG410" t="s">
        <v>140</v>
      </c>
      <c r="BJ410" t="s">
        <v>5982</v>
      </c>
      <c r="BK410" t="s">
        <v>216</v>
      </c>
      <c r="BL410" t="s">
        <v>6056</v>
      </c>
    </row>
    <row r="411" spans="1:64">
      <c r="A411" s="1">
        <f>HYPERLINK("https://lsnyc.legalserver.org/matter/dynamic-profile/view/1904952","19-1904952")</f>
        <v>0</v>
      </c>
      <c r="B411" t="s">
        <v>65</v>
      </c>
      <c r="C411" t="s">
        <v>130</v>
      </c>
      <c r="D411" t="s">
        <v>200</v>
      </c>
      <c r="E411" t="s">
        <v>201</v>
      </c>
      <c r="G411" t="s">
        <v>202</v>
      </c>
      <c r="H411" t="s">
        <v>271</v>
      </c>
      <c r="I411" t="s">
        <v>202</v>
      </c>
      <c r="J411" t="s">
        <v>289</v>
      </c>
      <c r="K411" t="s">
        <v>292</v>
      </c>
      <c r="M411" t="s">
        <v>290</v>
      </c>
      <c r="N411" t="s">
        <v>202</v>
      </c>
      <c r="O411" t="s">
        <v>421</v>
      </c>
      <c r="P411" t="s">
        <v>427</v>
      </c>
      <c r="S411" t="s">
        <v>806</v>
      </c>
      <c r="T411" t="s">
        <v>1499</v>
      </c>
      <c r="U411" t="s">
        <v>245</v>
      </c>
      <c r="W411" t="s">
        <v>1876</v>
      </c>
      <c r="X411" t="s">
        <v>2263</v>
      </c>
      <c r="Y411" t="s">
        <v>2951</v>
      </c>
      <c r="Z411" t="s">
        <v>3098</v>
      </c>
      <c r="AA411" t="s">
        <v>3135</v>
      </c>
      <c r="AB411">
        <v>10467</v>
      </c>
      <c r="AD411" t="s">
        <v>3516</v>
      </c>
      <c r="AE411">
        <v>0</v>
      </c>
      <c r="AG411" t="s">
        <v>4030</v>
      </c>
      <c r="AH411" t="s">
        <v>291</v>
      </c>
      <c r="AI411" t="s">
        <v>291</v>
      </c>
      <c r="AK411" t="s">
        <v>4040</v>
      </c>
      <c r="AM411">
        <v>0</v>
      </c>
      <c r="AN411">
        <v>0</v>
      </c>
      <c r="AO411">
        <v>7.5</v>
      </c>
      <c r="AQ411" t="s">
        <v>4452</v>
      </c>
      <c r="AR411" t="s">
        <v>5333</v>
      </c>
      <c r="AS411">
        <v>83</v>
      </c>
      <c r="AU411">
        <v>2</v>
      </c>
      <c r="AV411">
        <v>1</v>
      </c>
      <c r="AW411">
        <v>23.77</v>
      </c>
      <c r="BB411" t="s">
        <v>5859</v>
      </c>
      <c r="BC411">
        <v>5070</v>
      </c>
      <c r="BF411" t="s">
        <v>5884</v>
      </c>
      <c r="BG411" t="s">
        <v>140</v>
      </c>
      <c r="BJ411" t="s">
        <v>5948</v>
      </c>
      <c r="BK411" t="s">
        <v>222</v>
      </c>
    </row>
    <row r="412" spans="1:64">
      <c r="A412" s="1">
        <f>HYPERLINK("https://lsnyc.legalserver.org/matter/dynamic-profile/view/1905213","19-1905213")</f>
        <v>0</v>
      </c>
      <c r="B412" t="s">
        <v>65</v>
      </c>
      <c r="C412" t="s">
        <v>131</v>
      </c>
      <c r="D412" t="s">
        <v>200</v>
      </c>
      <c r="E412" t="s">
        <v>202</v>
      </c>
      <c r="F412" t="s">
        <v>231</v>
      </c>
      <c r="G412" t="s">
        <v>202</v>
      </c>
      <c r="H412" t="s">
        <v>272</v>
      </c>
      <c r="I412" t="s">
        <v>202</v>
      </c>
      <c r="J412" t="s">
        <v>289</v>
      </c>
      <c r="K412" t="s">
        <v>292</v>
      </c>
      <c r="M412" t="s">
        <v>290</v>
      </c>
      <c r="N412" t="s">
        <v>202</v>
      </c>
      <c r="O412" t="s">
        <v>421</v>
      </c>
      <c r="P412" t="s">
        <v>427</v>
      </c>
      <c r="S412" t="s">
        <v>807</v>
      </c>
      <c r="T412" t="s">
        <v>1017</v>
      </c>
      <c r="U412" t="s">
        <v>231</v>
      </c>
      <c r="W412" t="s">
        <v>1876</v>
      </c>
      <c r="X412" t="s">
        <v>2264</v>
      </c>
      <c r="Y412" t="s">
        <v>2952</v>
      </c>
      <c r="Z412" t="s">
        <v>3098</v>
      </c>
      <c r="AA412" t="s">
        <v>3135</v>
      </c>
      <c r="AB412">
        <v>10467</v>
      </c>
      <c r="AC412" t="s">
        <v>3136</v>
      </c>
      <c r="AD412" t="s">
        <v>3517</v>
      </c>
      <c r="AE412">
        <v>22</v>
      </c>
      <c r="AG412" t="s">
        <v>4030</v>
      </c>
      <c r="AH412" t="s">
        <v>291</v>
      </c>
      <c r="AI412" t="s">
        <v>291</v>
      </c>
      <c r="AK412" t="s">
        <v>4040</v>
      </c>
      <c r="AL412" t="s">
        <v>4047</v>
      </c>
      <c r="AM412">
        <v>0</v>
      </c>
      <c r="AN412">
        <v>1477</v>
      </c>
      <c r="AO412">
        <v>10.4</v>
      </c>
      <c r="AQ412" t="s">
        <v>4453</v>
      </c>
      <c r="AR412" t="s">
        <v>5334</v>
      </c>
      <c r="AS412">
        <v>85</v>
      </c>
      <c r="AT412" t="s">
        <v>5838</v>
      </c>
      <c r="AU412">
        <v>2</v>
      </c>
      <c r="AV412">
        <v>2</v>
      </c>
      <c r="AW412">
        <v>35.18</v>
      </c>
      <c r="BA412" t="s">
        <v>5850</v>
      </c>
      <c r="BB412" t="s">
        <v>1322</v>
      </c>
      <c r="BC412">
        <v>9060</v>
      </c>
      <c r="BG412" t="s">
        <v>5900</v>
      </c>
      <c r="BJ412" t="s">
        <v>5944</v>
      </c>
      <c r="BK412" t="s">
        <v>206</v>
      </c>
      <c r="BL412" t="s">
        <v>6056</v>
      </c>
    </row>
    <row r="413" spans="1:64">
      <c r="A413" s="1">
        <f>HYPERLINK("https://lsnyc.legalserver.org/matter/dynamic-profile/view/1905495","19-1905495")</f>
        <v>0</v>
      </c>
      <c r="B413" t="s">
        <v>65</v>
      </c>
      <c r="C413" t="s">
        <v>128</v>
      </c>
      <c r="D413" t="s">
        <v>200</v>
      </c>
      <c r="E413" t="s">
        <v>202</v>
      </c>
      <c r="F413" t="s">
        <v>242</v>
      </c>
      <c r="G413" t="s">
        <v>202</v>
      </c>
      <c r="H413" t="s">
        <v>272</v>
      </c>
      <c r="I413" t="s">
        <v>202</v>
      </c>
      <c r="J413" t="s">
        <v>289</v>
      </c>
      <c r="K413" t="s">
        <v>292</v>
      </c>
      <c r="M413" t="s">
        <v>290</v>
      </c>
      <c r="N413" t="s">
        <v>202</v>
      </c>
      <c r="O413" t="s">
        <v>421</v>
      </c>
      <c r="P413" t="s">
        <v>427</v>
      </c>
      <c r="S413" t="s">
        <v>543</v>
      </c>
      <c r="T413" t="s">
        <v>1500</v>
      </c>
      <c r="U413" t="s">
        <v>242</v>
      </c>
      <c r="W413" t="s">
        <v>1876</v>
      </c>
      <c r="X413" t="s">
        <v>2265</v>
      </c>
      <c r="Y413" t="s">
        <v>2917</v>
      </c>
      <c r="Z413" t="s">
        <v>3098</v>
      </c>
      <c r="AA413" t="s">
        <v>3135</v>
      </c>
      <c r="AB413">
        <v>10457</v>
      </c>
      <c r="AD413" t="s">
        <v>3518</v>
      </c>
      <c r="AE413">
        <v>8</v>
      </c>
      <c r="AG413" t="s">
        <v>4030</v>
      </c>
      <c r="AH413" t="s">
        <v>291</v>
      </c>
      <c r="AI413" t="s">
        <v>291</v>
      </c>
      <c r="AK413" t="s">
        <v>4040</v>
      </c>
      <c r="AM413">
        <v>0</v>
      </c>
      <c r="AN413">
        <v>1500</v>
      </c>
      <c r="AO413">
        <v>3.2</v>
      </c>
      <c r="AQ413" t="s">
        <v>4454</v>
      </c>
      <c r="AR413" t="s">
        <v>5335</v>
      </c>
      <c r="AS413">
        <v>59</v>
      </c>
      <c r="AU413">
        <v>2</v>
      </c>
      <c r="AV413">
        <v>0</v>
      </c>
      <c r="AW413">
        <v>118.27</v>
      </c>
      <c r="BB413" t="s">
        <v>1322</v>
      </c>
      <c r="BC413">
        <v>20000</v>
      </c>
      <c r="BG413" t="s">
        <v>5898</v>
      </c>
      <c r="BJ413" t="s">
        <v>5949</v>
      </c>
      <c r="BK413" t="s">
        <v>256</v>
      </c>
      <c r="BL413" t="s">
        <v>6056</v>
      </c>
    </row>
    <row r="414" spans="1:64">
      <c r="A414" s="1">
        <f>HYPERLINK("https://lsnyc.legalserver.org/matter/dynamic-profile/view/1907280","19-1907280")</f>
        <v>0</v>
      </c>
      <c r="B414" t="s">
        <v>65</v>
      </c>
      <c r="C414" t="s">
        <v>132</v>
      </c>
      <c r="D414" t="s">
        <v>200</v>
      </c>
      <c r="E414" t="s">
        <v>201</v>
      </c>
      <c r="G414" t="s">
        <v>202</v>
      </c>
      <c r="H414" t="s">
        <v>278</v>
      </c>
      <c r="I414" t="s">
        <v>288</v>
      </c>
      <c r="J414" t="s">
        <v>290</v>
      </c>
      <c r="K414" t="s">
        <v>292</v>
      </c>
      <c r="M414" t="s">
        <v>290</v>
      </c>
      <c r="N414" t="s">
        <v>202</v>
      </c>
      <c r="O414" t="s">
        <v>422</v>
      </c>
      <c r="P414" t="s">
        <v>428</v>
      </c>
      <c r="S414" t="s">
        <v>543</v>
      </c>
      <c r="T414" t="s">
        <v>1298</v>
      </c>
      <c r="U414" t="s">
        <v>235</v>
      </c>
      <c r="V414" t="s">
        <v>220</v>
      </c>
      <c r="W414" t="s">
        <v>1877</v>
      </c>
      <c r="X414" t="s">
        <v>2266</v>
      </c>
      <c r="Y414" t="s">
        <v>2785</v>
      </c>
      <c r="Z414" t="s">
        <v>3098</v>
      </c>
      <c r="AA414" t="s">
        <v>3135</v>
      </c>
      <c r="AB414">
        <v>10468</v>
      </c>
      <c r="AC414" t="s">
        <v>3143</v>
      </c>
      <c r="AE414">
        <v>7</v>
      </c>
      <c r="AF414" t="s">
        <v>4023</v>
      </c>
      <c r="AG414" t="s">
        <v>4030</v>
      </c>
      <c r="AH414" t="s">
        <v>291</v>
      </c>
      <c r="AI414" t="s">
        <v>291</v>
      </c>
      <c r="AK414" t="s">
        <v>4040</v>
      </c>
      <c r="AM414">
        <v>0</v>
      </c>
      <c r="AN414">
        <v>1350</v>
      </c>
      <c r="AO414">
        <v>1.41</v>
      </c>
      <c r="AP414" t="s">
        <v>4052</v>
      </c>
      <c r="AQ414" t="s">
        <v>4455</v>
      </c>
      <c r="AR414" t="s">
        <v>5336</v>
      </c>
      <c r="AS414">
        <v>40</v>
      </c>
      <c r="AT414" t="s">
        <v>5836</v>
      </c>
      <c r="AU414">
        <v>1</v>
      </c>
      <c r="AV414">
        <v>0</v>
      </c>
      <c r="AW414">
        <v>163.14</v>
      </c>
      <c r="BA414" t="s">
        <v>5850</v>
      </c>
      <c r="BB414" t="s">
        <v>1322</v>
      </c>
      <c r="BC414">
        <v>20376</v>
      </c>
      <c r="BG414" t="s">
        <v>5908</v>
      </c>
      <c r="BJ414" t="s">
        <v>6013</v>
      </c>
      <c r="BK414" t="s">
        <v>220</v>
      </c>
    </row>
    <row r="415" spans="1:64">
      <c r="A415" s="1">
        <f>HYPERLINK("https://lsnyc.legalserver.org/matter/dynamic-profile/view/1907467","19-1907467")</f>
        <v>0</v>
      </c>
      <c r="B415" t="s">
        <v>65</v>
      </c>
      <c r="C415" t="s">
        <v>132</v>
      </c>
      <c r="D415" t="s">
        <v>200</v>
      </c>
      <c r="E415" t="s">
        <v>201</v>
      </c>
      <c r="G415" t="s">
        <v>202</v>
      </c>
      <c r="H415" t="s">
        <v>272</v>
      </c>
      <c r="I415" t="s">
        <v>288</v>
      </c>
      <c r="J415" t="s">
        <v>290</v>
      </c>
      <c r="K415" t="s">
        <v>292</v>
      </c>
      <c r="M415" t="s">
        <v>290</v>
      </c>
      <c r="N415" t="s">
        <v>202</v>
      </c>
      <c r="O415" t="s">
        <v>422</v>
      </c>
      <c r="P415" t="s">
        <v>427</v>
      </c>
      <c r="S415" t="s">
        <v>484</v>
      </c>
      <c r="T415" t="s">
        <v>1501</v>
      </c>
      <c r="U415" t="s">
        <v>220</v>
      </c>
      <c r="W415" t="s">
        <v>1876</v>
      </c>
      <c r="X415" t="s">
        <v>2267</v>
      </c>
      <c r="Y415" t="s">
        <v>2953</v>
      </c>
      <c r="Z415" t="s">
        <v>3098</v>
      </c>
      <c r="AA415" t="s">
        <v>3135</v>
      </c>
      <c r="AB415">
        <v>10458</v>
      </c>
      <c r="AC415" t="s">
        <v>3141</v>
      </c>
      <c r="AD415" t="s">
        <v>3519</v>
      </c>
      <c r="AE415">
        <v>3</v>
      </c>
      <c r="AG415" t="s">
        <v>4031</v>
      </c>
      <c r="AH415" t="s">
        <v>291</v>
      </c>
      <c r="AK415" t="s">
        <v>4040</v>
      </c>
      <c r="AM415">
        <v>0</v>
      </c>
      <c r="AN415">
        <v>1300</v>
      </c>
      <c r="AO415">
        <v>2.9</v>
      </c>
      <c r="AQ415" t="s">
        <v>4456</v>
      </c>
      <c r="AR415" t="s">
        <v>5337</v>
      </c>
      <c r="AS415">
        <v>60</v>
      </c>
      <c r="AT415" t="s">
        <v>5838</v>
      </c>
      <c r="AU415">
        <v>1</v>
      </c>
      <c r="AV415">
        <v>0</v>
      </c>
      <c r="AW415">
        <v>288.23</v>
      </c>
      <c r="BB415" t="s">
        <v>1322</v>
      </c>
      <c r="BC415">
        <v>36000</v>
      </c>
      <c r="BG415" t="s">
        <v>5909</v>
      </c>
      <c r="BJ415" t="s">
        <v>6014</v>
      </c>
      <c r="BK415" t="s">
        <v>222</v>
      </c>
    </row>
    <row r="416" spans="1:64">
      <c r="A416" s="1">
        <f>HYPERLINK("https://lsnyc.legalserver.org/matter/dynamic-profile/view/1906580","19-1906580")</f>
        <v>0</v>
      </c>
      <c r="B416" t="s">
        <v>65</v>
      </c>
      <c r="C416" t="s">
        <v>133</v>
      </c>
      <c r="D416" t="s">
        <v>200</v>
      </c>
      <c r="E416" t="s">
        <v>201</v>
      </c>
      <c r="G416" t="s">
        <v>202</v>
      </c>
      <c r="H416" t="s">
        <v>272</v>
      </c>
      <c r="I416" t="s">
        <v>202</v>
      </c>
      <c r="J416" t="s">
        <v>289</v>
      </c>
      <c r="K416" t="s">
        <v>292</v>
      </c>
      <c r="M416" t="s">
        <v>290</v>
      </c>
      <c r="N416" t="s">
        <v>202</v>
      </c>
      <c r="O416" t="s">
        <v>422</v>
      </c>
      <c r="P416" t="s">
        <v>427</v>
      </c>
      <c r="S416" t="s">
        <v>808</v>
      </c>
      <c r="T416" t="s">
        <v>1502</v>
      </c>
      <c r="U416" t="s">
        <v>241</v>
      </c>
      <c r="W416" t="s">
        <v>1876</v>
      </c>
      <c r="X416" t="s">
        <v>2268</v>
      </c>
      <c r="Y416" t="s">
        <v>2919</v>
      </c>
      <c r="Z416" t="s">
        <v>3098</v>
      </c>
      <c r="AA416" t="s">
        <v>3135</v>
      </c>
      <c r="AB416">
        <v>10471</v>
      </c>
      <c r="AC416" t="s">
        <v>3142</v>
      </c>
      <c r="AD416" t="s">
        <v>3520</v>
      </c>
      <c r="AE416">
        <v>60</v>
      </c>
      <c r="AG416" t="s">
        <v>4031</v>
      </c>
      <c r="AH416" t="s">
        <v>291</v>
      </c>
      <c r="AI416" t="s">
        <v>291</v>
      </c>
      <c r="AK416" t="s">
        <v>4040</v>
      </c>
      <c r="AM416">
        <v>0</v>
      </c>
      <c r="AN416">
        <v>1300</v>
      </c>
      <c r="AO416">
        <v>2</v>
      </c>
      <c r="AQ416" t="s">
        <v>4457</v>
      </c>
      <c r="AR416" t="s">
        <v>5338</v>
      </c>
      <c r="AS416">
        <v>180</v>
      </c>
      <c r="AT416" t="s">
        <v>5845</v>
      </c>
      <c r="AU416">
        <v>1</v>
      </c>
      <c r="AV416">
        <v>0</v>
      </c>
      <c r="AW416">
        <v>77.81999999999999</v>
      </c>
      <c r="BA416" t="s">
        <v>329</v>
      </c>
      <c r="BB416" t="s">
        <v>1322</v>
      </c>
      <c r="BC416">
        <v>9720</v>
      </c>
      <c r="BG416" t="s">
        <v>5900</v>
      </c>
      <c r="BJ416" t="s">
        <v>5944</v>
      </c>
      <c r="BK416" t="s">
        <v>241</v>
      </c>
      <c r="BL416" t="s">
        <v>6056</v>
      </c>
    </row>
    <row r="417" spans="1:64">
      <c r="A417" s="1">
        <f>HYPERLINK("https://lsnyc.legalserver.org/matter/dynamic-profile/view/1908723","19-1908723")</f>
        <v>0</v>
      </c>
      <c r="B417" t="s">
        <v>65</v>
      </c>
      <c r="C417" t="s">
        <v>133</v>
      </c>
      <c r="D417" t="s">
        <v>200</v>
      </c>
      <c r="E417" t="s">
        <v>201</v>
      </c>
      <c r="G417" t="s">
        <v>202</v>
      </c>
      <c r="H417" t="s">
        <v>272</v>
      </c>
      <c r="I417" t="s">
        <v>202</v>
      </c>
      <c r="J417" t="s">
        <v>289</v>
      </c>
      <c r="K417" t="s">
        <v>202</v>
      </c>
      <c r="L417" t="s">
        <v>348</v>
      </c>
      <c r="M417" t="s">
        <v>290</v>
      </c>
      <c r="N417" t="s">
        <v>419</v>
      </c>
      <c r="P417" t="s">
        <v>427</v>
      </c>
      <c r="S417" t="s">
        <v>809</v>
      </c>
      <c r="T417" t="s">
        <v>1503</v>
      </c>
      <c r="U417" t="s">
        <v>218</v>
      </c>
      <c r="W417" t="s">
        <v>1876</v>
      </c>
      <c r="X417" t="s">
        <v>2269</v>
      </c>
      <c r="Y417" t="s">
        <v>2836</v>
      </c>
      <c r="Z417" t="s">
        <v>3098</v>
      </c>
      <c r="AA417" t="s">
        <v>3135</v>
      </c>
      <c r="AB417">
        <v>10462</v>
      </c>
      <c r="AC417" t="s">
        <v>3139</v>
      </c>
      <c r="AD417" t="s">
        <v>3521</v>
      </c>
      <c r="AE417">
        <v>19</v>
      </c>
      <c r="AG417" t="s">
        <v>4030</v>
      </c>
      <c r="AH417" t="s">
        <v>291</v>
      </c>
      <c r="AI417" t="s">
        <v>291</v>
      </c>
      <c r="AK417" t="s">
        <v>4040</v>
      </c>
      <c r="AM417">
        <v>0</v>
      </c>
      <c r="AN417">
        <v>991.46</v>
      </c>
      <c r="AO417">
        <v>0.3</v>
      </c>
      <c r="AQ417" t="s">
        <v>4458</v>
      </c>
      <c r="AR417" t="s">
        <v>5339</v>
      </c>
      <c r="AS417">
        <v>0</v>
      </c>
      <c r="AT417" t="s">
        <v>5836</v>
      </c>
      <c r="AU417">
        <v>1</v>
      </c>
      <c r="AV417">
        <v>2</v>
      </c>
      <c r="AW417">
        <v>66.92</v>
      </c>
      <c r="BA417" t="s">
        <v>329</v>
      </c>
      <c r="BB417" t="s">
        <v>1322</v>
      </c>
      <c r="BC417">
        <v>14274</v>
      </c>
      <c r="BG417" t="s">
        <v>5906</v>
      </c>
      <c r="BJ417" t="s">
        <v>5951</v>
      </c>
      <c r="BK417" t="s">
        <v>267</v>
      </c>
      <c r="BL417" t="s">
        <v>6057</v>
      </c>
    </row>
    <row r="418" spans="1:64">
      <c r="A418" s="1">
        <f>HYPERLINK("https://lsnyc.legalserver.org/matter/dynamic-profile/view/1909392","19-1909392")</f>
        <v>0</v>
      </c>
      <c r="B418" t="s">
        <v>65</v>
      </c>
      <c r="C418" t="s">
        <v>133</v>
      </c>
      <c r="D418" t="s">
        <v>200</v>
      </c>
      <c r="E418" t="s">
        <v>201</v>
      </c>
      <c r="G418" t="s">
        <v>202</v>
      </c>
      <c r="H418" t="s">
        <v>272</v>
      </c>
      <c r="I418" t="s">
        <v>202</v>
      </c>
      <c r="J418" t="s">
        <v>289</v>
      </c>
      <c r="K418" t="s">
        <v>292</v>
      </c>
      <c r="M418" t="s">
        <v>290</v>
      </c>
      <c r="N418" t="s">
        <v>202</v>
      </c>
      <c r="O418" t="s">
        <v>421</v>
      </c>
      <c r="P418" t="s">
        <v>427</v>
      </c>
      <c r="S418" t="s">
        <v>810</v>
      </c>
      <c r="T418" t="s">
        <v>1504</v>
      </c>
      <c r="U418" t="s">
        <v>237</v>
      </c>
      <c r="W418" t="s">
        <v>1876</v>
      </c>
      <c r="X418" t="s">
        <v>2270</v>
      </c>
      <c r="Y418">
        <v>2</v>
      </c>
      <c r="Z418" t="s">
        <v>3098</v>
      </c>
      <c r="AA418" t="s">
        <v>3135</v>
      </c>
      <c r="AB418">
        <v>10467</v>
      </c>
      <c r="AC418" t="s">
        <v>3136</v>
      </c>
      <c r="AD418" t="s">
        <v>3522</v>
      </c>
      <c r="AE418">
        <v>8</v>
      </c>
      <c r="AG418" t="s">
        <v>4030</v>
      </c>
      <c r="AH418" t="s">
        <v>291</v>
      </c>
      <c r="AI418" t="s">
        <v>291</v>
      </c>
      <c r="AK418" t="s">
        <v>4040</v>
      </c>
      <c r="AL418" t="s">
        <v>4046</v>
      </c>
      <c r="AM418">
        <v>0</v>
      </c>
      <c r="AN418">
        <v>1350</v>
      </c>
      <c r="AO418">
        <v>4.9</v>
      </c>
      <c r="AQ418" t="s">
        <v>4459</v>
      </c>
      <c r="AR418" t="s">
        <v>5340</v>
      </c>
      <c r="AS418">
        <v>3</v>
      </c>
      <c r="AT418" t="s">
        <v>5842</v>
      </c>
      <c r="AU418">
        <v>1</v>
      </c>
      <c r="AV418">
        <v>0</v>
      </c>
      <c r="AW418">
        <v>67.25</v>
      </c>
      <c r="BA418" t="s">
        <v>329</v>
      </c>
      <c r="BB418" t="s">
        <v>1322</v>
      </c>
      <c r="BC418">
        <v>8400</v>
      </c>
      <c r="BG418" t="s">
        <v>138</v>
      </c>
      <c r="BJ418" t="s">
        <v>3143</v>
      </c>
      <c r="BK418" t="s">
        <v>259</v>
      </c>
      <c r="BL418" t="s">
        <v>6056</v>
      </c>
    </row>
    <row r="419" spans="1:64">
      <c r="A419" s="1">
        <f>HYPERLINK("https://lsnyc.legalserver.org/matter/dynamic-profile/view/1904032","19-1904032")</f>
        <v>0</v>
      </c>
      <c r="B419" t="s">
        <v>65</v>
      </c>
      <c r="C419" t="s">
        <v>134</v>
      </c>
      <c r="D419" t="s">
        <v>200</v>
      </c>
      <c r="E419" t="s">
        <v>202</v>
      </c>
      <c r="F419" t="s">
        <v>251</v>
      </c>
      <c r="G419" t="s">
        <v>202</v>
      </c>
      <c r="H419" t="s">
        <v>272</v>
      </c>
      <c r="I419" t="s">
        <v>202</v>
      </c>
      <c r="J419" t="s">
        <v>289</v>
      </c>
      <c r="K419" t="s">
        <v>292</v>
      </c>
      <c r="M419" t="s">
        <v>290</v>
      </c>
      <c r="N419" t="s">
        <v>202</v>
      </c>
      <c r="O419" t="s">
        <v>421</v>
      </c>
      <c r="P419" t="s">
        <v>427</v>
      </c>
      <c r="S419" t="s">
        <v>811</v>
      </c>
      <c r="T419" t="s">
        <v>1505</v>
      </c>
      <c r="U419" t="s">
        <v>251</v>
      </c>
      <c r="W419" t="s">
        <v>1876</v>
      </c>
      <c r="X419" t="s">
        <v>2271</v>
      </c>
      <c r="Y419" t="s">
        <v>2954</v>
      </c>
      <c r="Z419" t="s">
        <v>3098</v>
      </c>
      <c r="AA419" t="s">
        <v>3135</v>
      </c>
      <c r="AB419">
        <v>10468</v>
      </c>
      <c r="AD419" t="s">
        <v>3523</v>
      </c>
      <c r="AE419">
        <v>9</v>
      </c>
      <c r="AG419" t="s">
        <v>4030</v>
      </c>
      <c r="AH419" t="s">
        <v>291</v>
      </c>
      <c r="AI419" t="s">
        <v>291</v>
      </c>
      <c r="AK419" t="s">
        <v>4040</v>
      </c>
      <c r="AM419">
        <v>0</v>
      </c>
      <c r="AN419">
        <v>1450</v>
      </c>
      <c r="AO419">
        <v>17.3</v>
      </c>
      <c r="AQ419" t="s">
        <v>4460</v>
      </c>
      <c r="AR419" t="s">
        <v>5341</v>
      </c>
      <c r="AS419">
        <v>38</v>
      </c>
      <c r="AU419">
        <v>3</v>
      </c>
      <c r="AV419">
        <v>2</v>
      </c>
      <c r="AW419">
        <v>148.49</v>
      </c>
      <c r="BC419">
        <v>44800</v>
      </c>
      <c r="BG419" t="s">
        <v>140</v>
      </c>
      <c r="BJ419" t="s">
        <v>5949</v>
      </c>
      <c r="BK419" t="s">
        <v>243</v>
      </c>
      <c r="BL419" t="s">
        <v>6056</v>
      </c>
    </row>
    <row r="420" spans="1:64">
      <c r="A420" s="1">
        <f>HYPERLINK("https://lsnyc.legalserver.org/matter/dynamic-profile/view/1909444","19-1909444")</f>
        <v>0</v>
      </c>
      <c r="B420" t="s">
        <v>65</v>
      </c>
      <c r="C420" t="s">
        <v>134</v>
      </c>
      <c r="D420" t="s">
        <v>200</v>
      </c>
      <c r="E420" t="s">
        <v>202</v>
      </c>
      <c r="F420" t="s">
        <v>230</v>
      </c>
      <c r="G420" t="s">
        <v>202</v>
      </c>
      <c r="H420" t="s">
        <v>272</v>
      </c>
      <c r="I420" t="s">
        <v>202</v>
      </c>
      <c r="J420" t="s">
        <v>289</v>
      </c>
      <c r="K420" t="s">
        <v>202</v>
      </c>
      <c r="L420" t="s">
        <v>349</v>
      </c>
      <c r="M420" t="s">
        <v>290</v>
      </c>
      <c r="N420" t="s">
        <v>202</v>
      </c>
      <c r="O420" t="s">
        <v>422</v>
      </c>
      <c r="P420" t="s">
        <v>428</v>
      </c>
      <c r="S420" t="s">
        <v>812</v>
      </c>
      <c r="T420" t="s">
        <v>1233</v>
      </c>
      <c r="U420" t="s">
        <v>230</v>
      </c>
      <c r="V420" t="s">
        <v>222</v>
      </c>
      <c r="W420" t="s">
        <v>1877</v>
      </c>
      <c r="X420" t="s">
        <v>2272</v>
      </c>
      <c r="Y420" t="s">
        <v>2955</v>
      </c>
      <c r="Z420" t="s">
        <v>3098</v>
      </c>
      <c r="AA420" t="s">
        <v>3135</v>
      </c>
      <c r="AB420">
        <v>10460</v>
      </c>
      <c r="AC420" t="s">
        <v>3140</v>
      </c>
      <c r="AD420" t="s">
        <v>3524</v>
      </c>
      <c r="AE420">
        <v>2</v>
      </c>
      <c r="AF420" t="s">
        <v>4023</v>
      </c>
      <c r="AG420" t="s">
        <v>4031</v>
      </c>
      <c r="AH420" t="s">
        <v>291</v>
      </c>
      <c r="AI420" t="s">
        <v>291</v>
      </c>
      <c r="AK420" t="s">
        <v>4040</v>
      </c>
      <c r="AL420" t="s">
        <v>4046</v>
      </c>
      <c r="AM420">
        <v>0</v>
      </c>
      <c r="AN420">
        <v>1510.83</v>
      </c>
      <c r="AO420">
        <v>11.2</v>
      </c>
      <c r="AP420" t="s">
        <v>4052</v>
      </c>
      <c r="AQ420" t="s">
        <v>4461</v>
      </c>
      <c r="AS420">
        <v>128</v>
      </c>
      <c r="AT420" t="s">
        <v>5838</v>
      </c>
      <c r="AU420">
        <v>1</v>
      </c>
      <c r="AV420">
        <v>2</v>
      </c>
      <c r="AW420">
        <v>103.14</v>
      </c>
      <c r="BA420" t="s">
        <v>5853</v>
      </c>
      <c r="BB420" t="s">
        <v>1322</v>
      </c>
      <c r="BC420">
        <v>22000</v>
      </c>
      <c r="BG420" t="s">
        <v>138</v>
      </c>
      <c r="BJ420" t="s">
        <v>6015</v>
      </c>
      <c r="BK420" t="s">
        <v>222</v>
      </c>
      <c r="BL420" t="s">
        <v>6056</v>
      </c>
    </row>
    <row r="421" spans="1:64">
      <c r="A421" s="1">
        <f>HYPERLINK("https://lsnyc.legalserver.org/matter/dynamic-profile/view/1909872","19-1909872")</f>
        <v>0</v>
      </c>
      <c r="B421" t="s">
        <v>65</v>
      </c>
      <c r="C421" t="s">
        <v>134</v>
      </c>
      <c r="D421" t="s">
        <v>200</v>
      </c>
      <c r="E421" t="s">
        <v>201</v>
      </c>
      <c r="G421" t="s">
        <v>202</v>
      </c>
      <c r="H421" t="s">
        <v>271</v>
      </c>
      <c r="I421" t="s">
        <v>202</v>
      </c>
      <c r="J421" t="s">
        <v>289</v>
      </c>
      <c r="K421" t="s">
        <v>292</v>
      </c>
      <c r="M421" t="s">
        <v>290</v>
      </c>
      <c r="N421" t="s">
        <v>202</v>
      </c>
      <c r="O421" t="s">
        <v>421</v>
      </c>
      <c r="P421" t="s">
        <v>427</v>
      </c>
      <c r="S421" t="s">
        <v>630</v>
      </c>
      <c r="T421" t="s">
        <v>1506</v>
      </c>
      <c r="U421" t="s">
        <v>234</v>
      </c>
      <c r="W421" t="s">
        <v>1876</v>
      </c>
      <c r="X421" t="s">
        <v>2273</v>
      </c>
      <c r="Y421" t="s">
        <v>2843</v>
      </c>
      <c r="Z421" t="s">
        <v>3098</v>
      </c>
      <c r="AA421" t="s">
        <v>3135</v>
      </c>
      <c r="AB421">
        <v>10457</v>
      </c>
      <c r="AC421" t="s">
        <v>3136</v>
      </c>
      <c r="AD421" t="s">
        <v>3525</v>
      </c>
      <c r="AE421">
        <v>13</v>
      </c>
      <c r="AG421" t="s">
        <v>4030</v>
      </c>
      <c r="AH421" t="s">
        <v>291</v>
      </c>
      <c r="AI421" t="s">
        <v>291</v>
      </c>
      <c r="AK421" t="s">
        <v>4040</v>
      </c>
      <c r="AL421" t="s">
        <v>4046</v>
      </c>
      <c r="AM421">
        <v>0</v>
      </c>
      <c r="AN421">
        <v>1089.27</v>
      </c>
      <c r="AO421">
        <v>5</v>
      </c>
      <c r="AQ421" t="s">
        <v>4462</v>
      </c>
      <c r="AR421" t="s">
        <v>5342</v>
      </c>
      <c r="AS421">
        <v>54</v>
      </c>
      <c r="AT421" t="s">
        <v>5838</v>
      </c>
      <c r="AU421">
        <v>2</v>
      </c>
      <c r="AV421">
        <v>0</v>
      </c>
      <c r="AW421">
        <v>205.8</v>
      </c>
      <c r="BA421" t="s">
        <v>329</v>
      </c>
      <c r="BB421" t="s">
        <v>1322</v>
      </c>
      <c r="BC421">
        <v>34800</v>
      </c>
      <c r="BG421" t="s">
        <v>138</v>
      </c>
      <c r="BJ421" t="s">
        <v>5969</v>
      </c>
      <c r="BK421" t="s">
        <v>216</v>
      </c>
      <c r="BL421" t="s">
        <v>6056</v>
      </c>
    </row>
    <row r="422" spans="1:64">
      <c r="A422" s="1">
        <f>HYPERLINK("https://lsnyc.legalserver.org/matter/dynamic-profile/view/1908526","19-1908526")</f>
        <v>0</v>
      </c>
      <c r="B422" t="s">
        <v>65</v>
      </c>
      <c r="C422" t="s">
        <v>132</v>
      </c>
      <c r="D422" t="s">
        <v>200</v>
      </c>
      <c r="E422" t="s">
        <v>201</v>
      </c>
      <c r="G422" t="s">
        <v>270</v>
      </c>
      <c r="I422" t="s">
        <v>288</v>
      </c>
      <c r="J422" t="s">
        <v>291</v>
      </c>
      <c r="K422" t="s">
        <v>292</v>
      </c>
      <c r="M422" t="s">
        <v>290</v>
      </c>
      <c r="N422" t="s">
        <v>419</v>
      </c>
      <c r="O422" t="s">
        <v>420</v>
      </c>
      <c r="P422" t="s">
        <v>428</v>
      </c>
      <c r="S422" t="s">
        <v>813</v>
      </c>
      <c r="T422" t="s">
        <v>1507</v>
      </c>
      <c r="U422" t="s">
        <v>237</v>
      </c>
      <c r="V422" t="s">
        <v>236</v>
      </c>
      <c r="W422" t="s">
        <v>1877</v>
      </c>
      <c r="X422" t="s">
        <v>2274</v>
      </c>
      <c r="Z422" t="s">
        <v>3098</v>
      </c>
      <c r="AA422" t="s">
        <v>3135</v>
      </c>
      <c r="AB422">
        <v>10463</v>
      </c>
      <c r="AC422" t="s">
        <v>3138</v>
      </c>
      <c r="AE422">
        <v>0</v>
      </c>
      <c r="AF422" t="s">
        <v>4023</v>
      </c>
      <c r="AG422" t="s">
        <v>4031</v>
      </c>
      <c r="AH422" t="s">
        <v>291</v>
      </c>
      <c r="AI422" t="s">
        <v>291</v>
      </c>
      <c r="AK422" t="s">
        <v>4040</v>
      </c>
      <c r="AM422">
        <v>0</v>
      </c>
      <c r="AN422">
        <v>0</v>
      </c>
      <c r="AO422">
        <v>0.8</v>
      </c>
      <c r="AP422" t="s">
        <v>4052</v>
      </c>
      <c r="AQ422" t="s">
        <v>4463</v>
      </c>
      <c r="AR422" t="s">
        <v>5343</v>
      </c>
      <c r="AS422">
        <v>0</v>
      </c>
      <c r="AU422">
        <v>1</v>
      </c>
      <c r="AV422">
        <v>0</v>
      </c>
      <c r="AW422">
        <v>70.34999999999999</v>
      </c>
      <c r="BB422" t="s">
        <v>1322</v>
      </c>
      <c r="BC422">
        <v>8786.4</v>
      </c>
      <c r="BG422" t="s">
        <v>5904</v>
      </c>
      <c r="BJ422" t="s">
        <v>6004</v>
      </c>
      <c r="BK422" t="s">
        <v>236</v>
      </c>
      <c r="BL422" t="s">
        <v>329</v>
      </c>
    </row>
    <row r="423" spans="1:64">
      <c r="A423" s="1">
        <f>HYPERLINK("https://lsnyc.legalserver.org/matter/dynamic-profile/view/1892908","19-1892908")</f>
        <v>0</v>
      </c>
      <c r="B423" t="s">
        <v>65</v>
      </c>
      <c r="C423" t="s">
        <v>115</v>
      </c>
      <c r="D423" t="s">
        <v>200</v>
      </c>
      <c r="E423" t="s">
        <v>202</v>
      </c>
      <c r="F423" t="s">
        <v>238</v>
      </c>
      <c r="G423" t="s">
        <v>202</v>
      </c>
      <c r="H423" t="s">
        <v>272</v>
      </c>
      <c r="I423" t="s">
        <v>202</v>
      </c>
      <c r="J423" t="s">
        <v>289</v>
      </c>
      <c r="K423" t="s">
        <v>292</v>
      </c>
      <c r="M423" t="s">
        <v>290</v>
      </c>
      <c r="N423" t="s">
        <v>202</v>
      </c>
      <c r="O423" t="s">
        <v>421</v>
      </c>
      <c r="P423" t="s">
        <v>427</v>
      </c>
      <c r="S423" t="s">
        <v>573</v>
      </c>
      <c r="T423" t="s">
        <v>1508</v>
      </c>
      <c r="U423" t="s">
        <v>238</v>
      </c>
      <c r="W423" t="s">
        <v>1876</v>
      </c>
      <c r="X423" t="s">
        <v>2275</v>
      </c>
      <c r="Y423" t="s">
        <v>2956</v>
      </c>
      <c r="Z423" t="s">
        <v>3098</v>
      </c>
      <c r="AA423" t="s">
        <v>3135</v>
      </c>
      <c r="AB423">
        <v>10468</v>
      </c>
      <c r="AC423" t="s">
        <v>3136</v>
      </c>
      <c r="AD423" t="s">
        <v>3526</v>
      </c>
      <c r="AE423">
        <v>2</v>
      </c>
      <c r="AG423" t="s">
        <v>4030</v>
      </c>
      <c r="AH423" t="s">
        <v>291</v>
      </c>
      <c r="AI423" t="s">
        <v>291</v>
      </c>
      <c r="AK423" t="s">
        <v>4040</v>
      </c>
      <c r="AM423">
        <v>0</v>
      </c>
      <c r="AN423">
        <v>1550</v>
      </c>
      <c r="AO423">
        <v>2.5</v>
      </c>
      <c r="AQ423" t="s">
        <v>4464</v>
      </c>
      <c r="AS423">
        <v>0</v>
      </c>
      <c r="AT423" t="s">
        <v>5836</v>
      </c>
      <c r="AU423">
        <v>2</v>
      </c>
      <c r="AV423">
        <v>1</v>
      </c>
      <c r="AW423">
        <v>100.8</v>
      </c>
      <c r="BA423" t="s">
        <v>329</v>
      </c>
      <c r="BB423" t="s">
        <v>5859</v>
      </c>
      <c r="BC423">
        <v>21500</v>
      </c>
      <c r="BG423" t="s">
        <v>5910</v>
      </c>
      <c r="BJ423" t="s">
        <v>5949</v>
      </c>
      <c r="BK423" t="s">
        <v>230</v>
      </c>
      <c r="BL423" t="s">
        <v>6056</v>
      </c>
    </row>
    <row r="424" spans="1:64">
      <c r="A424" s="1">
        <f>HYPERLINK("https://lsnyc.legalserver.org/matter/dynamic-profile/view/1908948","19-1908948")</f>
        <v>0</v>
      </c>
      <c r="B424" t="s">
        <v>65</v>
      </c>
      <c r="C424" t="s">
        <v>127</v>
      </c>
      <c r="D424" t="s">
        <v>200</v>
      </c>
      <c r="E424" t="s">
        <v>202</v>
      </c>
      <c r="F424" t="s">
        <v>238</v>
      </c>
      <c r="G424" t="s">
        <v>202</v>
      </c>
      <c r="H424" t="s">
        <v>272</v>
      </c>
      <c r="I424" t="s">
        <v>202</v>
      </c>
      <c r="J424" t="s">
        <v>289</v>
      </c>
      <c r="K424" t="s">
        <v>292</v>
      </c>
      <c r="M424" t="s">
        <v>290</v>
      </c>
      <c r="N424" t="s">
        <v>202</v>
      </c>
      <c r="O424" t="s">
        <v>421</v>
      </c>
      <c r="P424" t="s">
        <v>427</v>
      </c>
      <c r="S424" t="s">
        <v>814</v>
      </c>
      <c r="T424" t="s">
        <v>1509</v>
      </c>
      <c r="U424" t="s">
        <v>238</v>
      </c>
      <c r="W424" t="s">
        <v>1876</v>
      </c>
      <c r="X424" t="s">
        <v>2276</v>
      </c>
      <c r="Y424" t="s">
        <v>2957</v>
      </c>
      <c r="Z424" t="s">
        <v>3098</v>
      </c>
      <c r="AA424" t="s">
        <v>3135</v>
      </c>
      <c r="AB424">
        <v>10468</v>
      </c>
      <c r="AC424" t="s">
        <v>3144</v>
      </c>
      <c r="AD424" t="s">
        <v>3527</v>
      </c>
      <c r="AE424">
        <v>4</v>
      </c>
      <c r="AG424" t="s">
        <v>4030</v>
      </c>
      <c r="AH424" t="s">
        <v>291</v>
      </c>
      <c r="AI424" t="s">
        <v>291</v>
      </c>
      <c r="AK424" t="s">
        <v>4040</v>
      </c>
      <c r="AL424" t="s">
        <v>4046</v>
      </c>
      <c r="AM424">
        <v>0</v>
      </c>
      <c r="AN424">
        <v>1575</v>
      </c>
      <c r="AO424">
        <v>1.5</v>
      </c>
      <c r="AQ424" t="s">
        <v>4465</v>
      </c>
      <c r="AR424" t="s">
        <v>5344</v>
      </c>
      <c r="AS424">
        <v>55</v>
      </c>
      <c r="AU424">
        <v>1</v>
      </c>
      <c r="AV424">
        <v>1</v>
      </c>
      <c r="AW424">
        <v>129.46</v>
      </c>
      <c r="AY424" t="s">
        <v>5849</v>
      </c>
      <c r="BB424" t="s">
        <v>1322</v>
      </c>
      <c r="BC424">
        <v>21892</v>
      </c>
      <c r="BG424" t="s">
        <v>5905</v>
      </c>
      <c r="BJ424" t="s">
        <v>5949</v>
      </c>
      <c r="BK424" t="s">
        <v>267</v>
      </c>
      <c r="BL424" t="s">
        <v>6056</v>
      </c>
    </row>
    <row r="425" spans="1:64">
      <c r="A425" s="1">
        <f>HYPERLINK("https://lsnyc.legalserver.org/matter/dynamic-profile/view/1910301","19-1910301")</f>
        <v>0</v>
      </c>
      <c r="B425" t="s">
        <v>65</v>
      </c>
      <c r="C425" t="s">
        <v>127</v>
      </c>
      <c r="D425" t="s">
        <v>200</v>
      </c>
      <c r="E425" t="s">
        <v>201</v>
      </c>
      <c r="G425" t="s">
        <v>202</v>
      </c>
      <c r="H425" t="s">
        <v>271</v>
      </c>
      <c r="I425" t="s">
        <v>202</v>
      </c>
      <c r="J425" t="s">
        <v>289</v>
      </c>
      <c r="K425" t="s">
        <v>292</v>
      </c>
      <c r="M425" t="s">
        <v>290</v>
      </c>
      <c r="N425" t="s">
        <v>202</v>
      </c>
      <c r="O425" t="s">
        <v>421</v>
      </c>
      <c r="P425" t="s">
        <v>427</v>
      </c>
      <c r="S425" t="s">
        <v>815</v>
      </c>
      <c r="T425" t="s">
        <v>1468</v>
      </c>
      <c r="U425" t="s">
        <v>216</v>
      </c>
      <c r="W425" t="s">
        <v>1876</v>
      </c>
      <c r="X425" t="s">
        <v>2277</v>
      </c>
      <c r="Y425" t="s">
        <v>2958</v>
      </c>
      <c r="Z425" t="s">
        <v>3098</v>
      </c>
      <c r="AA425" t="s">
        <v>3135</v>
      </c>
      <c r="AB425">
        <v>10460</v>
      </c>
      <c r="AC425" t="s">
        <v>3144</v>
      </c>
      <c r="AD425" t="s">
        <v>3528</v>
      </c>
      <c r="AE425">
        <v>6</v>
      </c>
      <c r="AG425" t="s">
        <v>4030</v>
      </c>
      <c r="AH425" t="s">
        <v>291</v>
      </c>
      <c r="AI425" t="s">
        <v>291</v>
      </c>
      <c r="AK425" t="s">
        <v>4040</v>
      </c>
      <c r="AM425">
        <v>0</v>
      </c>
      <c r="AN425">
        <v>960.0700000000001</v>
      </c>
      <c r="AO425">
        <v>2.6</v>
      </c>
      <c r="AQ425" t="s">
        <v>4466</v>
      </c>
      <c r="AR425" t="s">
        <v>5345</v>
      </c>
      <c r="AS425">
        <v>35</v>
      </c>
      <c r="AT425" t="s">
        <v>5838</v>
      </c>
      <c r="AU425">
        <v>2</v>
      </c>
      <c r="AV425">
        <v>1</v>
      </c>
      <c r="AW425">
        <v>170.65</v>
      </c>
      <c r="BA425" t="s">
        <v>329</v>
      </c>
      <c r="BB425" t="s">
        <v>1322</v>
      </c>
      <c r="BC425">
        <v>36400</v>
      </c>
      <c r="BG425" t="s">
        <v>5900</v>
      </c>
      <c r="BJ425" t="s">
        <v>5949</v>
      </c>
      <c r="BK425" t="s">
        <v>216</v>
      </c>
      <c r="BL425" t="s">
        <v>6056</v>
      </c>
    </row>
    <row r="426" spans="1:64">
      <c r="A426" s="1">
        <f>HYPERLINK("https://lsnyc.legalserver.org/matter/dynamic-profile/view/1908846","19-1908846")</f>
        <v>0</v>
      </c>
      <c r="B426" t="s">
        <v>65</v>
      </c>
      <c r="C426" t="s">
        <v>135</v>
      </c>
      <c r="D426" t="s">
        <v>200</v>
      </c>
      <c r="E426" t="s">
        <v>201</v>
      </c>
      <c r="G426" t="s">
        <v>202</v>
      </c>
      <c r="H426" t="s">
        <v>272</v>
      </c>
      <c r="I426" t="s">
        <v>202</v>
      </c>
      <c r="J426" t="s">
        <v>289</v>
      </c>
      <c r="K426" t="s">
        <v>292</v>
      </c>
      <c r="M426" t="s">
        <v>290</v>
      </c>
      <c r="N426" t="s">
        <v>202</v>
      </c>
      <c r="O426" t="s">
        <v>421</v>
      </c>
      <c r="P426" t="s">
        <v>427</v>
      </c>
      <c r="S426" t="s">
        <v>816</v>
      </c>
      <c r="T426" t="s">
        <v>1510</v>
      </c>
      <c r="U426" t="s">
        <v>219</v>
      </c>
      <c r="W426" t="s">
        <v>1876</v>
      </c>
      <c r="X426" t="s">
        <v>2278</v>
      </c>
      <c r="Y426" t="s">
        <v>2959</v>
      </c>
      <c r="Z426" t="s">
        <v>3098</v>
      </c>
      <c r="AA426" t="s">
        <v>3135</v>
      </c>
      <c r="AB426">
        <v>10456</v>
      </c>
      <c r="AC426" t="s">
        <v>3138</v>
      </c>
      <c r="AD426" t="s">
        <v>3529</v>
      </c>
      <c r="AE426">
        <v>0</v>
      </c>
      <c r="AG426" t="s">
        <v>4031</v>
      </c>
      <c r="AH426" t="s">
        <v>291</v>
      </c>
      <c r="AI426" t="s">
        <v>291</v>
      </c>
      <c r="AK426" t="s">
        <v>4040</v>
      </c>
      <c r="AL426" t="s">
        <v>4047</v>
      </c>
      <c r="AM426">
        <v>0</v>
      </c>
      <c r="AN426">
        <v>538</v>
      </c>
      <c r="AO426">
        <v>4.25</v>
      </c>
      <c r="AQ426" t="s">
        <v>4467</v>
      </c>
      <c r="AS426">
        <v>0</v>
      </c>
      <c r="AT426" t="s">
        <v>5838</v>
      </c>
      <c r="AU426">
        <v>1</v>
      </c>
      <c r="AV426">
        <v>0</v>
      </c>
      <c r="AW426">
        <v>161.22</v>
      </c>
      <c r="BA426" t="s">
        <v>5851</v>
      </c>
      <c r="BB426" t="s">
        <v>1322</v>
      </c>
      <c r="BC426">
        <v>20136</v>
      </c>
      <c r="BG426" t="s">
        <v>5911</v>
      </c>
      <c r="BJ426" t="s">
        <v>6014</v>
      </c>
      <c r="BK426" t="s">
        <v>216</v>
      </c>
      <c r="BL426" t="s">
        <v>6056</v>
      </c>
    </row>
    <row r="427" spans="1:64">
      <c r="A427" s="1">
        <f>HYPERLINK("https://lsnyc.legalserver.org/matter/dynamic-profile/view/1908768","19-1908768")</f>
        <v>0</v>
      </c>
      <c r="B427" t="s">
        <v>65</v>
      </c>
      <c r="C427" t="s">
        <v>135</v>
      </c>
      <c r="D427" t="s">
        <v>200</v>
      </c>
      <c r="E427" t="s">
        <v>201</v>
      </c>
      <c r="G427" t="s">
        <v>202</v>
      </c>
      <c r="H427" t="s">
        <v>272</v>
      </c>
      <c r="I427" t="s">
        <v>202</v>
      </c>
      <c r="J427" t="s">
        <v>289</v>
      </c>
      <c r="K427" t="s">
        <v>202</v>
      </c>
      <c r="L427">
        <v>9933753</v>
      </c>
      <c r="M427" t="s">
        <v>290</v>
      </c>
      <c r="N427" t="s">
        <v>202</v>
      </c>
      <c r="O427" t="s">
        <v>421</v>
      </c>
      <c r="P427" t="s">
        <v>427</v>
      </c>
      <c r="S427" t="s">
        <v>694</v>
      </c>
      <c r="T427" t="s">
        <v>1409</v>
      </c>
      <c r="U427" t="s">
        <v>218</v>
      </c>
      <c r="W427" t="s">
        <v>1876</v>
      </c>
      <c r="X427" t="s">
        <v>2279</v>
      </c>
      <c r="Z427" t="s">
        <v>3098</v>
      </c>
      <c r="AA427" t="s">
        <v>3135</v>
      </c>
      <c r="AB427">
        <v>10462</v>
      </c>
      <c r="AC427" t="s">
        <v>3139</v>
      </c>
      <c r="AD427" t="s">
        <v>3530</v>
      </c>
      <c r="AE427">
        <v>12</v>
      </c>
      <c r="AG427" t="s">
        <v>4031</v>
      </c>
      <c r="AH427" t="s">
        <v>291</v>
      </c>
      <c r="AI427" t="s">
        <v>291</v>
      </c>
      <c r="AK427" t="s">
        <v>4040</v>
      </c>
      <c r="AL427" t="s">
        <v>4046</v>
      </c>
      <c r="AM427">
        <v>0</v>
      </c>
      <c r="AN427">
        <v>868.51</v>
      </c>
      <c r="AO427">
        <v>1</v>
      </c>
      <c r="AQ427" t="s">
        <v>4468</v>
      </c>
      <c r="AR427" t="s">
        <v>5346</v>
      </c>
      <c r="AS427">
        <v>100</v>
      </c>
      <c r="AT427" t="s">
        <v>5838</v>
      </c>
      <c r="AU427">
        <v>1</v>
      </c>
      <c r="AV427">
        <v>2</v>
      </c>
      <c r="AW427">
        <v>97.05</v>
      </c>
      <c r="BB427" t="s">
        <v>1322</v>
      </c>
      <c r="BC427">
        <v>20700</v>
      </c>
      <c r="BG427" t="s">
        <v>138</v>
      </c>
      <c r="BJ427" t="s">
        <v>6016</v>
      </c>
      <c r="BK427" t="s">
        <v>219</v>
      </c>
      <c r="BL427" t="s">
        <v>6056</v>
      </c>
    </row>
    <row r="428" spans="1:64">
      <c r="A428" s="1">
        <f>HYPERLINK("https://lsnyc.legalserver.org/matter/dynamic-profile/view/1905893","19-1905893")</f>
        <v>0</v>
      </c>
      <c r="B428" t="s">
        <v>65</v>
      </c>
      <c r="C428" t="s">
        <v>135</v>
      </c>
      <c r="D428" t="s">
        <v>200</v>
      </c>
      <c r="E428" t="s">
        <v>202</v>
      </c>
      <c r="F428" t="s">
        <v>218</v>
      </c>
      <c r="G428" t="s">
        <v>202</v>
      </c>
      <c r="H428" t="s">
        <v>272</v>
      </c>
      <c r="I428" t="s">
        <v>202</v>
      </c>
      <c r="J428" t="s">
        <v>289</v>
      </c>
      <c r="K428" t="s">
        <v>292</v>
      </c>
      <c r="M428" t="s">
        <v>290</v>
      </c>
      <c r="N428" t="s">
        <v>202</v>
      </c>
      <c r="O428" t="s">
        <v>421</v>
      </c>
      <c r="P428" t="s">
        <v>427</v>
      </c>
      <c r="S428" t="s">
        <v>817</v>
      </c>
      <c r="T428" t="s">
        <v>1511</v>
      </c>
      <c r="U428" t="s">
        <v>262</v>
      </c>
      <c r="W428" t="s">
        <v>1876</v>
      </c>
      <c r="X428" t="s">
        <v>2280</v>
      </c>
      <c r="Y428" t="s">
        <v>2919</v>
      </c>
      <c r="Z428" t="s">
        <v>3098</v>
      </c>
      <c r="AA428" t="s">
        <v>3135</v>
      </c>
      <c r="AB428">
        <v>10459</v>
      </c>
      <c r="AC428" t="s">
        <v>3136</v>
      </c>
      <c r="AD428" t="s">
        <v>3531</v>
      </c>
      <c r="AE428">
        <v>9</v>
      </c>
      <c r="AG428" t="s">
        <v>4031</v>
      </c>
      <c r="AH428" t="s">
        <v>291</v>
      </c>
      <c r="AI428" t="s">
        <v>291</v>
      </c>
      <c r="AK428" t="s">
        <v>4040</v>
      </c>
      <c r="AL428" t="s">
        <v>4046</v>
      </c>
      <c r="AM428">
        <v>0</v>
      </c>
      <c r="AN428">
        <v>1532</v>
      </c>
      <c r="AO428">
        <v>5.9</v>
      </c>
      <c r="AQ428" t="s">
        <v>4469</v>
      </c>
      <c r="AR428" t="s">
        <v>5347</v>
      </c>
      <c r="AS428">
        <v>86</v>
      </c>
      <c r="AT428" t="s">
        <v>5838</v>
      </c>
      <c r="AU428">
        <v>1</v>
      </c>
      <c r="AV428">
        <v>1</v>
      </c>
      <c r="AW428">
        <v>165.58</v>
      </c>
      <c r="BA428" t="s">
        <v>5850</v>
      </c>
      <c r="BB428" t="s">
        <v>1322</v>
      </c>
      <c r="BC428">
        <v>28000</v>
      </c>
      <c r="BG428" t="s">
        <v>5899</v>
      </c>
      <c r="BJ428" t="s">
        <v>3143</v>
      </c>
      <c r="BK428" t="s">
        <v>216</v>
      </c>
      <c r="BL428" t="s">
        <v>6056</v>
      </c>
    </row>
    <row r="429" spans="1:64">
      <c r="A429" s="1">
        <f>HYPERLINK("https://lsnyc.legalserver.org/matter/dynamic-profile/view/1906048","19-1906048")</f>
        <v>0</v>
      </c>
      <c r="B429" t="s">
        <v>65</v>
      </c>
      <c r="C429" t="s">
        <v>135</v>
      </c>
      <c r="D429" t="s">
        <v>200</v>
      </c>
      <c r="E429" t="s">
        <v>201</v>
      </c>
      <c r="G429" t="s">
        <v>202</v>
      </c>
      <c r="H429" t="s">
        <v>272</v>
      </c>
      <c r="I429" t="s">
        <v>202</v>
      </c>
      <c r="J429" t="s">
        <v>289</v>
      </c>
      <c r="K429" t="s">
        <v>292</v>
      </c>
      <c r="M429" t="s">
        <v>290</v>
      </c>
      <c r="N429" t="s">
        <v>202</v>
      </c>
      <c r="O429" t="s">
        <v>421</v>
      </c>
      <c r="P429" t="s">
        <v>427</v>
      </c>
      <c r="S429" t="s">
        <v>795</v>
      </c>
      <c r="T429" t="s">
        <v>1512</v>
      </c>
      <c r="U429" t="s">
        <v>210</v>
      </c>
      <c r="W429" t="s">
        <v>1876</v>
      </c>
      <c r="X429" t="s">
        <v>2281</v>
      </c>
      <c r="Y429" t="s">
        <v>2887</v>
      </c>
      <c r="Z429" t="s">
        <v>3098</v>
      </c>
      <c r="AA429" t="s">
        <v>3135</v>
      </c>
      <c r="AB429">
        <v>10452</v>
      </c>
      <c r="AC429" t="s">
        <v>3140</v>
      </c>
      <c r="AD429" t="s">
        <v>3532</v>
      </c>
      <c r="AE429">
        <v>40</v>
      </c>
      <c r="AG429" t="s">
        <v>4031</v>
      </c>
      <c r="AH429" t="s">
        <v>291</v>
      </c>
      <c r="AI429" t="s">
        <v>291</v>
      </c>
      <c r="AK429" t="s">
        <v>4040</v>
      </c>
      <c r="AL429" t="s">
        <v>4047</v>
      </c>
      <c r="AM429">
        <v>0</v>
      </c>
      <c r="AN429">
        <v>983</v>
      </c>
      <c r="AO429">
        <v>7.2</v>
      </c>
      <c r="AQ429" t="s">
        <v>4470</v>
      </c>
      <c r="AR429" t="s">
        <v>5348</v>
      </c>
      <c r="AS429">
        <v>68</v>
      </c>
      <c r="AT429" t="s">
        <v>5838</v>
      </c>
      <c r="AU429">
        <v>1</v>
      </c>
      <c r="AV429">
        <v>0</v>
      </c>
      <c r="AW429">
        <v>124.9</v>
      </c>
      <c r="BA429" t="s">
        <v>329</v>
      </c>
      <c r="BB429" t="s">
        <v>1322</v>
      </c>
      <c r="BC429">
        <v>15600</v>
      </c>
      <c r="BG429" t="s">
        <v>138</v>
      </c>
      <c r="BJ429" t="s">
        <v>6017</v>
      </c>
      <c r="BK429" t="s">
        <v>247</v>
      </c>
      <c r="BL429" t="s">
        <v>6056</v>
      </c>
    </row>
    <row r="430" spans="1:64">
      <c r="A430" s="1">
        <f>HYPERLINK("https://lsnyc.legalserver.org/matter/dynamic-profile/view/1905567","19-1905567")</f>
        <v>0</v>
      </c>
      <c r="B430" t="s">
        <v>65</v>
      </c>
      <c r="C430" t="s">
        <v>135</v>
      </c>
      <c r="D430" t="s">
        <v>200</v>
      </c>
      <c r="E430" t="s">
        <v>202</v>
      </c>
      <c r="F430" t="s">
        <v>224</v>
      </c>
      <c r="G430" t="s">
        <v>202</v>
      </c>
      <c r="H430" t="s">
        <v>272</v>
      </c>
      <c r="I430" t="s">
        <v>202</v>
      </c>
      <c r="J430" t="s">
        <v>289</v>
      </c>
      <c r="K430" t="s">
        <v>292</v>
      </c>
      <c r="M430" t="s">
        <v>290</v>
      </c>
      <c r="N430" t="s">
        <v>202</v>
      </c>
      <c r="O430" t="s">
        <v>421</v>
      </c>
      <c r="P430" t="s">
        <v>427</v>
      </c>
      <c r="S430" t="s">
        <v>573</v>
      </c>
      <c r="T430" t="s">
        <v>1445</v>
      </c>
      <c r="U430" t="s">
        <v>232</v>
      </c>
      <c r="W430" t="s">
        <v>1876</v>
      </c>
      <c r="X430" t="s">
        <v>2282</v>
      </c>
      <c r="Y430">
        <v>14</v>
      </c>
      <c r="Z430" t="s">
        <v>3098</v>
      </c>
      <c r="AA430" t="s">
        <v>3135</v>
      </c>
      <c r="AB430">
        <v>10457</v>
      </c>
      <c r="AC430" t="s">
        <v>3136</v>
      </c>
      <c r="AD430" t="s">
        <v>3533</v>
      </c>
      <c r="AE430">
        <v>11</v>
      </c>
      <c r="AG430" t="s">
        <v>4030</v>
      </c>
      <c r="AH430" t="s">
        <v>291</v>
      </c>
      <c r="AI430" t="s">
        <v>291</v>
      </c>
      <c r="AK430" t="s">
        <v>4040</v>
      </c>
      <c r="AM430">
        <v>0</v>
      </c>
      <c r="AN430">
        <v>112.73</v>
      </c>
      <c r="AO430">
        <v>7.95</v>
      </c>
      <c r="AQ430" t="s">
        <v>4471</v>
      </c>
      <c r="AR430" t="s">
        <v>5349</v>
      </c>
      <c r="AS430">
        <v>20</v>
      </c>
      <c r="AT430" t="s">
        <v>5836</v>
      </c>
      <c r="AU430">
        <v>1</v>
      </c>
      <c r="AV430">
        <v>0</v>
      </c>
      <c r="AW430">
        <v>25.06</v>
      </c>
      <c r="BA430" t="s">
        <v>329</v>
      </c>
      <c r="BB430" t="s">
        <v>5859</v>
      </c>
      <c r="BC430">
        <v>3130</v>
      </c>
      <c r="BG430" t="s">
        <v>138</v>
      </c>
      <c r="BJ430" t="s">
        <v>5948</v>
      </c>
      <c r="BK430" t="s">
        <v>216</v>
      </c>
      <c r="BL430" t="s">
        <v>6056</v>
      </c>
    </row>
    <row r="431" spans="1:64">
      <c r="A431" s="1">
        <f>HYPERLINK("https://lsnyc.legalserver.org/matter/dynamic-profile/view/1909893","19-1909893")</f>
        <v>0</v>
      </c>
      <c r="B431" t="s">
        <v>65</v>
      </c>
      <c r="C431" t="s">
        <v>135</v>
      </c>
      <c r="D431" t="s">
        <v>200</v>
      </c>
      <c r="E431" t="s">
        <v>201</v>
      </c>
      <c r="G431" t="s">
        <v>202</v>
      </c>
      <c r="H431" t="s">
        <v>271</v>
      </c>
      <c r="I431" t="s">
        <v>202</v>
      </c>
      <c r="J431" t="s">
        <v>289</v>
      </c>
      <c r="K431" t="s">
        <v>292</v>
      </c>
      <c r="M431" t="s">
        <v>290</v>
      </c>
      <c r="N431" t="s">
        <v>419</v>
      </c>
      <c r="O431" t="s">
        <v>420</v>
      </c>
      <c r="P431" t="s">
        <v>427</v>
      </c>
      <c r="S431" t="s">
        <v>818</v>
      </c>
      <c r="T431" t="s">
        <v>1513</v>
      </c>
      <c r="U431" t="s">
        <v>243</v>
      </c>
      <c r="W431" t="s">
        <v>1876</v>
      </c>
      <c r="X431" t="s">
        <v>2283</v>
      </c>
      <c r="Y431" t="s">
        <v>2800</v>
      </c>
      <c r="Z431" t="s">
        <v>3098</v>
      </c>
      <c r="AA431" t="s">
        <v>3135</v>
      </c>
      <c r="AB431">
        <v>10474</v>
      </c>
      <c r="AC431" t="s">
        <v>3148</v>
      </c>
      <c r="AD431" t="s">
        <v>3534</v>
      </c>
      <c r="AE431">
        <v>12</v>
      </c>
      <c r="AG431" t="s">
        <v>4031</v>
      </c>
      <c r="AH431" t="s">
        <v>291</v>
      </c>
      <c r="AI431" t="s">
        <v>291</v>
      </c>
      <c r="AK431" t="s">
        <v>4040</v>
      </c>
      <c r="AL431" t="s">
        <v>4046</v>
      </c>
      <c r="AM431">
        <v>0</v>
      </c>
      <c r="AN431">
        <v>0</v>
      </c>
      <c r="AO431">
        <v>2.6</v>
      </c>
      <c r="AQ431" t="s">
        <v>4472</v>
      </c>
      <c r="AR431" t="s">
        <v>5350</v>
      </c>
      <c r="AS431">
        <v>0</v>
      </c>
      <c r="AT431" t="s">
        <v>5838</v>
      </c>
      <c r="AU431">
        <v>1</v>
      </c>
      <c r="AV431">
        <v>0</v>
      </c>
      <c r="AW431">
        <v>36.12</v>
      </c>
      <c r="BA431" t="s">
        <v>5857</v>
      </c>
      <c r="BC431">
        <v>4512</v>
      </c>
      <c r="BG431" t="s">
        <v>138</v>
      </c>
      <c r="BJ431" t="s">
        <v>5948</v>
      </c>
      <c r="BK431" t="s">
        <v>266</v>
      </c>
      <c r="BL431" t="s">
        <v>6056</v>
      </c>
    </row>
    <row r="432" spans="1:64">
      <c r="A432" s="1">
        <f>HYPERLINK("https://lsnyc.legalserver.org/matter/dynamic-profile/view/1908533","19-1908533")</f>
        <v>0</v>
      </c>
      <c r="B432" t="s">
        <v>65</v>
      </c>
      <c r="C432" t="s">
        <v>135</v>
      </c>
      <c r="D432" t="s">
        <v>200</v>
      </c>
      <c r="E432" t="s">
        <v>201</v>
      </c>
      <c r="G432" t="s">
        <v>202</v>
      </c>
      <c r="H432" t="s">
        <v>272</v>
      </c>
      <c r="I432" t="s">
        <v>202</v>
      </c>
      <c r="J432" t="s">
        <v>289</v>
      </c>
      <c r="K432" t="s">
        <v>292</v>
      </c>
      <c r="M432" t="s">
        <v>290</v>
      </c>
      <c r="N432" t="s">
        <v>202</v>
      </c>
      <c r="O432" t="s">
        <v>421</v>
      </c>
      <c r="P432" t="s">
        <v>427</v>
      </c>
      <c r="S432" t="s">
        <v>819</v>
      </c>
      <c r="T432" t="s">
        <v>1514</v>
      </c>
      <c r="U432" t="s">
        <v>223</v>
      </c>
      <c r="W432" t="s">
        <v>1876</v>
      </c>
      <c r="X432" t="s">
        <v>2284</v>
      </c>
      <c r="Y432">
        <v>33</v>
      </c>
      <c r="Z432" t="s">
        <v>3098</v>
      </c>
      <c r="AA432" t="s">
        <v>3135</v>
      </c>
      <c r="AB432">
        <v>10467</v>
      </c>
      <c r="AC432" t="s">
        <v>3136</v>
      </c>
      <c r="AD432" t="s">
        <v>3535</v>
      </c>
      <c r="AE432">
        <v>3</v>
      </c>
      <c r="AG432" t="s">
        <v>4030</v>
      </c>
      <c r="AH432" t="s">
        <v>291</v>
      </c>
      <c r="AI432" t="s">
        <v>291</v>
      </c>
      <c r="AK432" t="s">
        <v>4040</v>
      </c>
      <c r="AL432" t="s">
        <v>4049</v>
      </c>
      <c r="AM432">
        <v>0</v>
      </c>
      <c r="AN432">
        <v>1555.7</v>
      </c>
      <c r="AO432">
        <v>3.15</v>
      </c>
      <c r="AQ432" t="s">
        <v>4473</v>
      </c>
      <c r="AR432" t="s">
        <v>5351</v>
      </c>
      <c r="AS432">
        <v>29</v>
      </c>
      <c r="AT432" t="s">
        <v>5838</v>
      </c>
      <c r="AU432">
        <v>1</v>
      </c>
      <c r="AV432">
        <v>1</v>
      </c>
      <c r="AW432">
        <v>162.98</v>
      </c>
      <c r="BB432" t="s">
        <v>1322</v>
      </c>
      <c r="BC432">
        <v>27560</v>
      </c>
      <c r="BG432" t="s">
        <v>138</v>
      </c>
      <c r="BJ432" t="s">
        <v>5949</v>
      </c>
      <c r="BK432" t="s">
        <v>216</v>
      </c>
      <c r="BL432" t="s">
        <v>6056</v>
      </c>
    </row>
    <row r="433" spans="1:64">
      <c r="A433" s="1">
        <f>HYPERLINK("https://lsnyc.legalserver.org/matter/dynamic-profile/view/1910418","19-1910418")</f>
        <v>0</v>
      </c>
      <c r="B433" t="s">
        <v>65</v>
      </c>
      <c r="C433" t="s">
        <v>135</v>
      </c>
      <c r="D433" t="s">
        <v>200</v>
      </c>
      <c r="E433" t="s">
        <v>201</v>
      </c>
      <c r="G433" t="s">
        <v>202</v>
      </c>
      <c r="H433" t="s">
        <v>272</v>
      </c>
      <c r="I433" t="s">
        <v>202</v>
      </c>
      <c r="J433" t="s">
        <v>289</v>
      </c>
      <c r="K433" t="s">
        <v>292</v>
      </c>
      <c r="M433" t="s">
        <v>290</v>
      </c>
      <c r="N433" t="s">
        <v>419</v>
      </c>
      <c r="P433" t="s">
        <v>427</v>
      </c>
      <c r="S433" t="s">
        <v>820</v>
      </c>
      <c r="T433" t="s">
        <v>1311</v>
      </c>
      <c r="U433" t="s">
        <v>234</v>
      </c>
      <c r="W433" t="s">
        <v>1876</v>
      </c>
      <c r="X433" t="s">
        <v>2231</v>
      </c>
      <c r="Y433" t="s">
        <v>2836</v>
      </c>
      <c r="Z433" t="s">
        <v>3098</v>
      </c>
      <c r="AA433" t="s">
        <v>3135</v>
      </c>
      <c r="AB433">
        <v>10467</v>
      </c>
      <c r="AC433" t="s">
        <v>3136</v>
      </c>
      <c r="AD433" t="s">
        <v>3536</v>
      </c>
      <c r="AE433">
        <v>2</v>
      </c>
      <c r="AG433" t="s">
        <v>4030</v>
      </c>
      <c r="AH433" t="s">
        <v>291</v>
      </c>
      <c r="AI433" t="s">
        <v>291</v>
      </c>
      <c r="AK433" t="s">
        <v>4040</v>
      </c>
      <c r="AM433">
        <v>0</v>
      </c>
      <c r="AN433">
        <v>1200</v>
      </c>
      <c r="AO433">
        <v>0</v>
      </c>
      <c r="AQ433" t="s">
        <v>4474</v>
      </c>
      <c r="AR433" t="s">
        <v>5352</v>
      </c>
      <c r="AS433">
        <v>0</v>
      </c>
      <c r="AT433" t="s">
        <v>5836</v>
      </c>
      <c r="AU433">
        <v>2</v>
      </c>
      <c r="AV433">
        <v>1</v>
      </c>
      <c r="AW433">
        <v>99.28</v>
      </c>
      <c r="BA433" t="s">
        <v>329</v>
      </c>
      <c r="BB433" t="s">
        <v>5859</v>
      </c>
      <c r="BC433">
        <v>21177</v>
      </c>
      <c r="BG433" t="s">
        <v>138</v>
      </c>
      <c r="BJ433" t="s">
        <v>5969</v>
      </c>
      <c r="BL433" t="s">
        <v>6056</v>
      </c>
    </row>
    <row r="434" spans="1:64">
      <c r="A434" s="1">
        <f>HYPERLINK("https://lsnyc.legalserver.org/matter/dynamic-profile/view/1905501","19-1905501")</f>
        <v>0</v>
      </c>
      <c r="B434" t="s">
        <v>65</v>
      </c>
      <c r="C434" t="s">
        <v>135</v>
      </c>
      <c r="D434" t="s">
        <v>200</v>
      </c>
      <c r="E434" t="s">
        <v>202</v>
      </c>
      <c r="F434" t="s">
        <v>224</v>
      </c>
      <c r="G434" t="s">
        <v>202</v>
      </c>
      <c r="H434" t="s">
        <v>272</v>
      </c>
      <c r="I434" t="s">
        <v>202</v>
      </c>
      <c r="J434" t="s">
        <v>289</v>
      </c>
      <c r="K434" t="s">
        <v>292</v>
      </c>
      <c r="M434" t="s">
        <v>290</v>
      </c>
      <c r="N434" t="s">
        <v>419</v>
      </c>
      <c r="O434" t="s">
        <v>420</v>
      </c>
      <c r="P434" t="s">
        <v>428</v>
      </c>
      <c r="S434" t="s">
        <v>821</v>
      </c>
      <c r="T434" t="s">
        <v>1515</v>
      </c>
      <c r="U434" t="s">
        <v>242</v>
      </c>
      <c r="V434" t="s">
        <v>266</v>
      </c>
      <c r="W434" t="s">
        <v>1877</v>
      </c>
      <c r="X434" t="s">
        <v>2285</v>
      </c>
      <c r="Y434" t="s">
        <v>2960</v>
      </c>
      <c r="Z434" t="s">
        <v>3098</v>
      </c>
      <c r="AA434" t="s">
        <v>3135</v>
      </c>
      <c r="AB434">
        <v>10460</v>
      </c>
      <c r="AC434" t="s">
        <v>3139</v>
      </c>
      <c r="AD434" t="s">
        <v>3537</v>
      </c>
      <c r="AE434">
        <v>4</v>
      </c>
      <c r="AF434" t="s">
        <v>4023</v>
      </c>
      <c r="AG434" t="s">
        <v>4031</v>
      </c>
      <c r="AH434" t="s">
        <v>291</v>
      </c>
      <c r="AI434" t="s">
        <v>291</v>
      </c>
      <c r="AK434" t="s">
        <v>4040</v>
      </c>
      <c r="AL434" t="s">
        <v>4047</v>
      </c>
      <c r="AM434">
        <v>0</v>
      </c>
      <c r="AN434">
        <v>710</v>
      </c>
      <c r="AO434">
        <v>0.9</v>
      </c>
      <c r="AP434" t="s">
        <v>4052</v>
      </c>
      <c r="AQ434" t="s">
        <v>4475</v>
      </c>
      <c r="AR434" t="s">
        <v>5353</v>
      </c>
      <c r="AS434">
        <v>163</v>
      </c>
      <c r="AT434" t="s">
        <v>5840</v>
      </c>
      <c r="AU434">
        <v>1</v>
      </c>
      <c r="AV434">
        <v>2</v>
      </c>
      <c r="AW434">
        <v>17.44</v>
      </c>
      <c r="BB434" t="s">
        <v>1322</v>
      </c>
      <c r="BC434">
        <v>3720</v>
      </c>
      <c r="BG434" t="s">
        <v>5902</v>
      </c>
      <c r="BJ434" t="s">
        <v>5948</v>
      </c>
      <c r="BK434" t="s">
        <v>266</v>
      </c>
      <c r="BL434" t="s">
        <v>6056</v>
      </c>
    </row>
    <row r="435" spans="1:64">
      <c r="A435" s="1">
        <f>HYPERLINK("https://lsnyc.legalserver.org/matter/dynamic-profile/view/1905521","19-1905521")</f>
        <v>0</v>
      </c>
      <c r="B435" t="s">
        <v>65</v>
      </c>
      <c r="C435" t="s">
        <v>127</v>
      </c>
      <c r="D435" t="s">
        <v>200</v>
      </c>
      <c r="E435" t="s">
        <v>202</v>
      </c>
      <c r="F435" t="s">
        <v>220</v>
      </c>
      <c r="G435" t="s">
        <v>202</v>
      </c>
      <c r="H435" t="s">
        <v>271</v>
      </c>
      <c r="I435" t="s">
        <v>202</v>
      </c>
      <c r="J435" t="s">
        <v>289</v>
      </c>
      <c r="K435" t="s">
        <v>292</v>
      </c>
      <c r="M435" t="s">
        <v>290</v>
      </c>
      <c r="N435" t="s">
        <v>202</v>
      </c>
      <c r="O435" t="s">
        <v>421</v>
      </c>
      <c r="P435" t="s">
        <v>427</v>
      </c>
      <c r="S435" t="s">
        <v>822</v>
      </c>
      <c r="T435" t="s">
        <v>1516</v>
      </c>
      <c r="U435" t="s">
        <v>232</v>
      </c>
      <c r="W435" t="s">
        <v>1876</v>
      </c>
      <c r="X435" t="s">
        <v>2286</v>
      </c>
      <c r="Y435" t="s">
        <v>2931</v>
      </c>
      <c r="Z435" t="s">
        <v>3098</v>
      </c>
      <c r="AA435" t="s">
        <v>3135</v>
      </c>
      <c r="AB435">
        <v>10451</v>
      </c>
      <c r="AC435" t="s">
        <v>3139</v>
      </c>
      <c r="AD435" t="s">
        <v>3538</v>
      </c>
      <c r="AE435">
        <v>1</v>
      </c>
      <c r="AG435" t="s">
        <v>4031</v>
      </c>
      <c r="AH435" t="s">
        <v>291</v>
      </c>
      <c r="AI435" t="s">
        <v>291</v>
      </c>
      <c r="AK435" t="s">
        <v>4040</v>
      </c>
      <c r="AL435" t="s">
        <v>4046</v>
      </c>
      <c r="AM435">
        <v>0</v>
      </c>
      <c r="AN435">
        <v>1200</v>
      </c>
      <c r="AO435">
        <v>7.65</v>
      </c>
      <c r="AQ435" t="s">
        <v>4476</v>
      </c>
      <c r="AS435">
        <v>76</v>
      </c>
      <c r="AT435" t="s">
        <v>5838</v>
      </c>
      <c r="AU435">
        <v>1</v>
      </c>
      <c r="AV435">
        <v>1</v>
      </c>
      <c r="AW435">
        <v>0</v>
      </c>
      <c r="BB435" t="s">
        <v>1322</v>
      </c>
      <c r="BC435">
        <v>0</v>
      </c>
      <c r="BG435" t="s">
        <v>5902</v>
      </c>
      <c r="BJ435" t="s">
        <v>5965</v>
      </c>
      <c r="BK435" t="s">
        <v>216</v>
      </c>
      <c r="BL435" t="s">
        <v>6056</v>
      </c>
    </row>
    <row r="436" spans="1:64">
      <c r="A436" s="1">
        <f>HYPERLINK("https://lsnyc.legalserver.org/matter/dynamic-profile/view/1908652","19-1908652")</f>
        <v>0</v>
      </c>
      <c r="B436" t="s">
        <v>65</v>
      </c>
      <c r="C436" t="s">
        <v>127</v>
      </c>
      <c r="D436" t="s">
        <v>200</v>
      </c>
      <c r="E436" t="s">
        <v>202</v>
      </c>
      <c r="F436" t="s">
        <v>252</v>
      </c>
      <c r="G436" t="s">
        <v>202</v>
      </c>
      <c r="H436" t="s">
        <v>272</v>
      </c>
      <c r="I436" t="s">
        <v>202</v>
      </c>
      <c r="J436" t="s">
        <v>289</v>
      </c>
      <c r="K436" t="s">
        <v>292</v>
      </c>
      <c r="M436" t="s">
        <v>290</v>
      </c>
      <c r="N436" t="s">
        <v>202</v>
      </c>
      <c r="O436" t="s">
        <v>421</v>
      </c>
      <c r="P436" t="s">
        <v>427</v>
      </c>
      <c r="S436" t="s">
        <v>823</v>
      </c>
      <c r="T436" t="s">
        <v>1517</v>
      </c>
      <c r="U436" t="s">
        <v>252</v>
      </c>
      <c r="W436" t="s">
        <v>1876</v>
      </c>
      <c r="X436" t="s">
        <v>2287</v>
      </c>
      <c r="Y436" t="s">
        <v>2941</v>
      </c>
      <c r="Z436" t="s">
        <v>3098</v>
      </c>
      <c r="AA436" t="s">
        <v>3135</v>
      </c>
      <c r="AB436">
        <v>10468</v>
      </c>
      <c r="AC436" t="s">
        <v>3144</v>
      </c>
      <c r="AD436" t="s">
        <v>3539</v>
      </c>
      <c r="AE436">
        <v>19</v>
      </c>
      <c r="AG436" t="s">
        <v>4030</v>
      </c>
      <c r="AH436" t="s">
        <v>291</v>
      </c>
      <c r="AI436" t="s">
        <v>289</v>
      </c>
      <c r="AK436" t="s">
        <v>4040</v>
      </c>
      <c r="AL436" t="s">
        <v>4046</v>
      </c>
      <c r="AM436">
        <v>0</v>
      </c>
      <c r="AN436">
        <v>979.6799999999999</v>
      </c>
      <c r="AO436">
        <v>3.15</v>
      </c>
      <c r="AQ436" t="s">
        <v>4477</v>
      </c>
      <c r="AR436" t="s">
        <v>5354</v>
      </c>
      <c r="AS436">
        <v>0</v>
      </c>
      <c r="AT436" t="s">
        <v>5838</v>
      </c>
      <c r="AU436">
        <v>2</v>
      </c>
      <c r="AV436">
        <v>0</v>
      </c>
      <c r="AW436">
        <v>136.01</v>
      </c>
      <c r="BB436" t="s">
        <v>5859</v>
      </c>
      <c r="BC436">
        <v>23000</v>
      </c>
      <c r="BG436" t="s">
        <v>5905</v>
      </c>
      <c r="BJ436" t="s">
        <v>5951</v>
      </c>
      <c r="BK436" t="s">
        <v>216</v>
      </c>
      <c r="BL436" t="s">
        <v>6056</v>
      </c>
    </row>
    <row r="437" spans="1:64">
      <c r="A437" s="1">
        <f>HYPERLINK("https://lsnyc.legalserver.org/matter/dynamic-profile/view/1910029","19-1910029")</f>
        <v>0</v>
      </c>
      <c r="B437" t="s">
        <v>65</v>
      </c>
      <c r="C437" t="s">
        <v>127</v>
      </c>
      <c r="D437" t="s">
        <v>200</v>
      </c>
      <c r="E437" t="s">
        <v>202</v>
      </c>
      <c r="F437" t="s">
        <v>206</v>
      </c>
      <c r="G437" t="s">
        <v>202</v>
      </c>
      <c r="H437" t="s">
        <v>272</v>
      </c>
      <c r="I437" t="s">
        <v>202</v>
      </c>
      <c r="J437" t="s">
        <v>289</v>
      </c>
      <c r="K437" t="s">
        <v>292</v>
      </c>
      <c r="M437" t="s">
        <v>290</v>
      </c>
      <c r="N437" t="s">
        <v>202</v>
      </c>
      <c r="O437" t="s">
        <v>421</v>
      </c>
      <c r="P437" t="s">
        <v>427</v>
      </c>
      <c r="S437" t="s">
        <v>824</v>
      </c>
      <c r="T437" t="s">
        <v>1518</v>
      </c>
      <c r="U437" t="s">
        <v>206</v>
      </c>
      <c r="W437" t="s">
        <v>1876</v>
      </c>
      <c r="X437" t="s">
        <v>2288</v>
      </c>
      <c r="Y437">
        <v>44</v>
      </c>
      <c r="Z437" t="s">
        <v>3098</v>
      </c>
      <c r="AA437" t="s">
        <v>3135</v>
      </c>
      <c r="AB437">
        <v>10468</v>
      </c>
      <c r="AC437" t="s">
        <v>3136</v>
      </c>
      <c r="AD437" t="s">
        <v>3540</v>
      </c>
      <c r="AE437">
        <v>2</v>
      </c>
      <c r="AG437" t="s">
        <v>4030</v>
      </c>
      <c r="AH437" t="s">
        <v>291</v>
      </c>
      <c r="AI437" t="s">
        <v>291</v>
      </c>
      <c r="AK437" t="s">
        <v>4040</v>
      </c>
      <c r="AM437">
        <v>0</v>
      </c>
      <c r="AN437">
        <v>452</v>
      </c>
      <c r="AO437">
        <v>2</v>
      </c>
      <c r="AQ437" t="s">
        <v>4478</v>
      </c>
      <c r="AR437" t="s">
        <v>5355</v>
      </c>
      <c r="AS437">
        <v>48</v>
      </c>
      <c r="AT437" t="s">
        <v>5846</v>
      </c>
      <c r="AU437">
        <v>1</v>
      </c>
      <c r="AV437">
        <v>0</v>
      </c>
      <c r="AW437">
        <v>146.97</v>
      </c>
      <c r="BA437" t="s">
        <v>5853</v>
      </c>
      <c r="BB437" t="s">
        <v>1322</v>
      </c>
      <c r="BC437">
        <v>18356</v>
      </c>
      <c r="BG437" t="s">
        <v>5904</v>
      </c>
      <c r="BJ437" t="s">
        <v>5949</v>
      </c>
      <c r="BK437" t="s">
        <v>206</v>
      </c>
      <c r="BL437" t="s">
        <v>6056</v>
      </c>
    </row>
    <row r="438" spans="1:64">
      <c r="A438" s="1">
        <f>HYPERLINK("https://lsnyc.legalserver.org/matter/dynamic-profile/view/1907915","19-1907915")</f>
        <v>0</v>
      </c>
      <c r="B438" t="s">
        <v>65</v>
      </c>
      <c r="C438" t="s">
        <v>127</v>
      </c>
      <c r="D438" t="s">
        <v>200</v>
      </c>
      <c r="E438" t="s">
        <v>201</v>
      </c>
      <c r="G438" t="s">
        <v>202</v>
      </c>
      <c r="H438" t="s">
        <v>271</v>
      </c>
      <c r="I438" t="s">
        <v>202</v>
      </c>
      <c r="J438" t="s">
        <v>289</v>
      </c>
      <c r="K438" t="s">
        <v>292</v>
      </c>
      <c r="M438" t="s">
        <v>290</v>
      </c>
      <c r="N438" t="s">
        <v>202</v>
      </c>
      <c r="O438" t="s">
        <v>422</v>
      </c>
      <c r="P438" t="s">
        <v>427</v>
      </c>
      <c r="S438" t="s">
        <v>825</v>
      </c>
      <c r="T438" t="s">
        <v>1411</v>
      </c>
      <c r="U438" t="s">
        <v>247</v>
      </c>
      <c r="W438" t="s">
        <v>1876</v>
      </c>
      <c r="X438" t="s">
        <v>2289</v>
      </c>
      <c r="Y438" t="s">
        <v>2834</v>
      </c>
      <c r="Z438" t="s">
        <v>3098</v>
      </c>
      <c r="AA438" t="s">
        <v>3135</v>
      </c>
      <c r="AB438">
        <v>10452</v>
      </c>
      <c r="AC438" t="s">
        <v>3144</v>
      </c>
      <c r="AD438" t="s">
        <v>3541</v>
      </c>
      <c r="AE438">
        <v>2</v>
      </c>
      <c r="AG438" t="s">
        <v>4031</v>
      </c>
      <c r="AH438" t="s">
        <v>291</v>
      </c>
      <c r="AI438" t="s">
        <v>289</v>
      </c>
      <c r="AK438" t="s">
        <v>4040</v>
      </c>
      <c r="AM438">
        <v>0</v>
      </c>
      <c r="AN438">
        <v>1200</v>
      </c>
      <c r="AO438">
        <v>3</v>
      </c>
      <c r="AQ438" t="s">
        <v>4479</v>
      </c>
      <c r="AR438" t="s">
        <v>5356</v>
      </c>
      <c r="AS438">
        <v>0</v>
      </c>
      <c r="AT438" t="s">
        <v>5838</v>
      </c>
      <c r="AU438">
        <v>1</v>
      </c>
      <c r="AV438">
        <v>0</v>
      </c>
      <c r="AW438">
        <v>76.86</v>
      </c>
      <c r="BB438" t="s">
        <v>1322</v>
      </c>
      <c r="BC438">
        <v>9600</v>
      </c>
      <c r="BG438" t="s">
        <v>5905</v>
      </c>
      <c r="BJ438" t="s">
        <v>5959</v>
      </c>
      <c r="BK438" t="s">
        <v>247</v>
      </c>
      <c r="BL438" t="s">
        <v>6056</v>
      </c>
    </row>
    <row r="439" spans="1:64">
      <c r="A439" s="1">
        <f>HYPERLINK("https://lsnyc.legalserver.org/matter/dynamic-profile/view/1908897","19-1908897")</f>
        <v>0</v>
      </c>
      <c r="B439" t="s">
        <v>65</v>
      </c>
      <c r="C439" t="s">
        <v>127</v>
      </c>
      <c r="D439" t="s">
        <v>200</v>
      </c>
      <c r="E439" t="s">
        <v>202</v>
      </c>
      <c r="F439" t="s">
        <v>238</v>
      </c>
      <c r="G439" t="s">
        <v>202</v>
      </c>
      <c r="H439" t="s">
        <v>272</v>
      </c>
      <c r="I439" t="s">
        <v>202</v>
      </c>
      <c r="J439" t="s">
        <v>289</v>
      </c>
      <c r="K439" t="s">
        <v>292</v>
      </c>
      <c r="M439" t="s">
        <v>290</v>
      </c>
      <c r="N439" t="s">
        <v>202</v>
      </c>
      <c r="O439" t="s">
        <v>421</v>
      </c>
      <c r="P439" t="s">
        <v>427</v>
      </c>
      <c r="S439" t="s">
        <v>826</v>
      </c>
      <c r="T439" t="s">
        <v>1311</v>
      </c>
      <c r="U439" t="s">
        <v>238</v>
      </c>
      <c r="W439" t="s">
        <v>1876</v>
      </c>
      <c r="X439" t="s">
        <v>2290</v>
      </c>
      <c r="Y439" t="s">
        <v>2835</v>
      </c>
      <c r="Z439" t="s">
        <v>3098</v>
      </c>
      <c r="AA439" t="s">
        <v>3135</v>
      </c>
      <c r="AB439">
        <v>10462</v>
      </c>
      <c r="AC439" t="s">
        <v>3144</v>
      </c>
      <c r="AD439" t="s">
        <v>3542</v>
      </c>
      <c r="AE439">
        <v>5</v>
      </c>
      <c r="AG439" t="s">
        <v>4030</v>
      </c>
      <c r="AH439" t="s">
        <v>291</v>
      </c>
      <c r="AK439" t="s">
        <v>4040</v>
      </c>
      <c r="AM439">
        <v>0</v>
      </c>
      <c r="AN439">
        <v>1095</v>
      </c>
      <c r="AO439">
        <v>1.5</v>
      </c>
      <c r="AQ439" t="s">
        <v>4480</v>
      </c>
      <c r="AR439" t="s">
        <v>5357</v>
      </c>
      <c r="AS439">
        <v>0</v>
      </c>
      <c r="AU439">
        <v>1</v>
      </c>
      <c r="AV439">
        <v>0</v>
      </c>
      <c r="AW439">
        <v>124.9</v>
      </c>
      <c r="AY439" t="s">
        <v>5849</v>
      </c>
      <c r="BB439" t="s">
        <v>1322</v>
      </c>
      <c r="BC439">
        <v>15600</v>
      </c>
      <c r="BG439" t="s">
        <v>5905</v>
      </c>
      <c r="BJ439" t="s">
        <v>5949</v>
      </c>
      <c r="BK439" t="s">
        <v>206</v>
      </c>
      <c r="BL439" t="s">
        <v>6056</v>
      </c>
    </row>
    <row r="440" spans="1:64">
      <c r="A440" s="1">
        <f>HYPERLINK("https://lsnyc.legalserver.org/matter/dynamic-profile/view/1905544","19-1905544")</f>
        <v>0</v>
      </c>
      <c r="B440" t="s">
        <v>65</v>
      </c>
      <c r="C440" t="s">
        <v>127</v>
      </c>
      <c r="D440" t="s">
        <v>200</v>
      </c>
      <c r="E440" t="s">
        <v>202</v>
      </c>
      <c r="F440" t="s">
        <v>248</v>
      </c>
      <c r="G440" t="s">
        <v>202</v>
      </c>
      <c r="H440" t="s">
        <v>272</v>
      </c>
      <c r="I440" t="s">
        <v>202</v>
      </c>
      <c r="J440" t="s">
        <v>289</v>
      </c>
      <c r="K440" t="s">
        <v>292</v>
      </c>
      <c r="M440" t="s">
        <v>290</v>
      </c>
      <c r="N440" t="s">
        <v>202</v>
      </c>
      <c r="O440" t="s">
        <v>421</v>
      </c>
      <c r="P440" t="s">
        <v>427</v>
      </c>
      <c r="S440" t="s">
        <v>827</v>
      </c>
      <c r="T440" t="s">
        <v>1370</v>
      </c>
      <c r="U440" t="s">
        <v>232</v>
      </c>
      <c r="W440" t="s">
        <v>1876</v>
      </c>
      <c r="X440" t="s">
        <v>2291</v>
      </c>
      <c r="Y440" t="s">
        <v>2928</v>
      </c>
      <c r="Z440" t="s">
        <v>3098</v>
      </c>
      <c r="AA440" t="s">
        <v>3135</v>
      </c>
      <c r="AB440">
        <v>10466</v>
      </c>
      <c r="AD440" t="s">
        <v>3543</v>
      </c>
      <c r="AE440">
        <v>4</v>
      </c>
      <c r="AG440" t="s">
        <v>4031</v>
      </c>
      <c r="AH440" t="s">
        <v>291</v>
      </c>
      <c r="AI440" t="s">
        <v>291</v>
      </c>
      <c r="AK440" t="s">
        <v>4040</v>
      </c>
      <c r="AM440">
        <v>0</v>
      </c>
      <c r="AN440">
        <v>1557</v>
      </c>
      <c r="AO440">
        <v>14.05</v>
      </c>
      <c r="AQ440" t="s">
        <v>4481</v>
      </c>
      <c r="AR440" t="s">
        <v>5358</v>
      </c>
      <c r="AS440">
        <v>0</v>
      </c>
      <c r="AU440">
        <v>1</v>
      </c>
      <c r="AV440">
        <v>2</v>
      </c>
      <c r="AW440">
        <v>154.81</v>
      </c>
      <c r="BA440" t="s">
        <v>5853</v>
      </c>
      <c r="BB440" t="s">
        <v>1322</v>
      </c>
      <c r="BC440">
        <v>33020</v>
      </c>
      <c r="BG440" t="s">
        <v>5902</v>
      </c>
      <c r="BJ440" t="s">
        <v>5949</v>
      </c>
      <c r="BK440" t="s">
        <v>264</v>
      </c>
      <c r="BL440" t="s">
        <v>6056</v>
      </c>
    </row>
    <row r="441" spans="1:64">
      <c r="A441" s="1">
        <f>HYPERLINK("https://lsnyc.legalserver.org/matter/dynamic-profile/view/1906560","19-1906560")</f>
        <v>0</v>
      </c>
      <c r="B441" t="s">
        <v>65</v>
      </c>
      <c r="C441" t="s">
        <v>136</v>
      </c>
      <c r="D441" t="s">
        <v>200</v>
      </c>
      <c r="E441" t="s">
        <v>201</v>
      </c>
      <c r="G441" t="s">
        <v>202</v>
      </c>
      <c r="H441" t="s">
        <v>272</v>
      </c>
      <c r="I441" t="s">
        <v>202</v>
      </c>
      <c r="J441" t="s">
        <v>289</v>
      </c>
      <c r="K441" t="s">
        <v>292</v>
      </c>
      <c r="M441" t="s">
        <v>290</v>
      </c>
      <c r="N441" t="s">
        <v>202</v>
      </c>
      <c r="O441" t="s">
        <v>421</v>
      </c>
      <c r="P441" t="s">
        <v>427</v>
      </c>
      <c r="S441" t="s">
        <v>567</v>
      </c>
      <c r="T441" t="s">
        <v>1519</v>
      </c>
      <c r="U441" t="s">
        <v>253</v>
      </c>
      <c r="W441" t="s">
        <v>1876</v>
      </c>
      <c r="X441" t="s">
        <v>2292</v>
      </c>
      <c r="Y441" t="s">
        <v>2793</v>
      </c>
      <c r="Z441" t="s">
        <v>3098</v>
      </c>
      <c r="AA441" t="s">
        <v>3135</v>
      </c>
      <c r="AB441">
        <v>10466</v>
      </c>
      <c r="AC441" t="s">
        <v>3139</v>
      </c>
      <c r="AD441" t="s">
        <v>3544</v>
      </c>
      <c r="AE441">
        <v>43</v>
      </c>
      <c r="AG441" t="s">
        <v>4031</v>
      </c>
      <c r="AH441" t="s">
        <v>291</v>
      </c>
      <c r="AI441" t="s">
        <v>291</v>
      </c>
      <c r="AK441" t="s">
        <v>4040</v>
      </c>
      <c r="AL441" t="s">
        <v>4047</v>
      </c>
      <c r="AM441">
        <v>0</v>
      </c>
      <c r="AN441">
        <v>836.61</v>
      </c>
      <c r="AO441">
        <v>5.9</v>
      </c>
      <c r="AQ441" t="s">
        <v>4482</v>
      </c>
      <c r="AR441" t="s">
        <v>5359</v>
      </c>
      <c r="AS441">
        <v>52</v>
      </c>
      <c r="AT441" t="s">
        <v>5838</v>
      </c>
      <c r="AU441">
        <v>1</v>
      </c>
      <c r="AV441">
        <v>0</v>
      </c>
      <c r="AW441">
        <v>126.82</v>
      </c>
      <c r="BA441" t="s">
        <v>5851</v>
      </c>
      <c r="BB441" t="s">
        <v>1322</v>
      </c>
      <c r="BC441">
        <v>15840</v>
      </c>
      <c r="BG441" t="s">
        <v>5898</v>
      </c>
      <c r="BJ441" t="s">
        <v>5983</v>
      </c>
      <c r="BK441" t="s">
        <v>266</v>
      </c>
      <c r="BL441" t="s">
        <v>6056</v>
      </c>
    </row>
    <row r="442" spans="1:64">
      <c r="A442" s="1">
        <f>HYPERLINK("https://lsnyc.legalserver.org/matter/dynamic-profile/view/1910371","19-1910371")</f>
        <v>0</v>
      </c>
      <c r="B442" t="s">
        <v>65</v>
      </c>
      <c r="C442" t="s">
        <v>136</v>
      </c>
      <c r="D442" t="s">
        <v>200</v>
      </c>
      <c r="E442" t="s">
        <v>201</v>
      </c>
      <c r="G442" t="s">
        <v>202</v>
      </c>
      <c r="H442" t="s">
        <v>272</v>
      </c>
      <c r="I442" t="s">
        <v>202</v>
      </c>
      <c r="J442" t="s">
        <v>289</v>
      </c>
      <c r="K442" t="s">
        <v>202</v>
      </c>
      <c r="L442">
        <v>37745103</v>
      </c>
      <c r="M442" t="s">
        <v>290</v>
      </c>
      <c r="N442" t="s">
        <v>202</v>
      </c>
      <c r="O442" t="s">
        <v>421</v>
      </c>
      <c r="P442" t="s">
        <v>427</v>
      </c>
      <c r="S442" t="s">
        <v>828</v>
      </c>
      <c r="T442" t="s">
        <v>1520</v>
      </c>
      <c r="U442" t="s">
        <v>216</v>
      </c>
      <c r="W442" t="s">
        <v>1876</v>
      </c>
      <c r="X442" t="s">
        <v>2114</v>
      </c>
      <c r="Y442" t="s">
        <v>2961</v>
      </c>
      <c r="Z442" t="s">
        <v>3098</v>
      </c>
      <c r="AA442" t="s">
        <v>3135</v>
      </c>
      <c r="AB442">
        <v>10457</v>
      </c>
      <c r="AC442" t="s">
        <v>3144</v>
      </c>
      <c r="AD442" t="s">
        <v>3545</v>
      </c>
      <c r="AE442">
        <v>4</v>
      </c>
      <c r="AG442" t="s">
        <v>4030</v>
      </c>
      <c r="AH442" t="s">
        <v>291</v>
      </c>
      <c r="AI442" t="s">
        <v>291</v>
      </c>
      <c r="AK442" t="s">
        <v>4040</v>
      </c>
      <c r="AM442">
        <v>0</v>
      </c>
      <c r="AN442">
        <v>1065</v>
      </c>
      <c r="AO442">
        <v>0.3</v>
      </c>
      <c r="AQ442" t="s">
        <v>4483</v>
      </c>
      <c r="AR442" t="s">
        <v>5360</v>
      </c>
      <c r="AS442">
        <v>23</v>
      </c>
      <c r="AU442">
        <v>2</v>
      </c>
      <c r="AV442">
        <v>1</v>
      </c>
      <c r="AW442">
        <v>121.89</v>
      </c>
      <c r="BB442" t="s">
        <v>1322</v>
      </c>
      <c r="BC442">
        <v>26000</v>
      </c>
      <c r="BG442" t="s">
        <v>5900</v>
      </c>
      <c r="BJ442" t="s">
        <v>5949</v>
      </c>
      <c r="BK442" t="s">
        <v>216</v>
      </c>
      <c r="BL442" t="s">
        <v>6056</v>
      </c>
    </row>
    <row r="443" spans="1:64">
      <c r="A443" s="1">
        <f>HYPERLINK("https://lsnyc.legalserver.org/matter/dynamic-profile/view/1910040","19-1910040")</f>
        <v>0</v>
      </c>
      <c r="B443" t="s">
        <v>65</v>
      </c>
      <c r="C443" t="s">
        <v>134</v>
      </c>
      <c r="D443" t="s">
        <v>200</v>
      </c>
      <c r="E443" t="s">
        <v>201</v>
      </c>
      <c r="G443" t="s">
        <v>202</v>
      </c>
      <c r="H443" t="s">
        <v>271</v>
      </c>
      <c r="I443" t="s">
        <v>202</v>
      </c>
      <c r="J443" t="s">
        <v>289</v>
      </c>
      <c r="K443" t="s">
        <v>292</v>
      </c>
      <c r="M443" t="s">
        <v>290</v>
      </c>
      <c r="N443" t="s">
        <v>419</v>
      </c>
      <c r="P443" t="s">
        <v>427</v>
      </c>
      <c r="S443" t="s">
        <v>692</v>
      </c>
      <c r="T443" t="s">
        <v>1521</v>
      </c>
      <c r="U443" t="s">
        <v>206</v>
      </c>
      <c r="W443" t="s">
        <v>1876</v>
      </c>
      <c r="X443" t="s">
        <v>2293</v>
      </c>
      <c r="Y443" t="s">
        <v>2815</v>
      </c>
      <c r="Z443" t="s">
        <v>3098</v>
      </c>
      <c r="AA443" t="s">
        <v>3135</v>
      </c>
      <c r="AB443">
        <v>10457</v>
      </c>
      <c r="AC443" t="s">
        <v>3140</v>
      </c>
      <c r="AE443">
        <v>5</v>
      </c>
      <c r="AG443" t="s">
        <v>4030</v>
      </c>
      <c r="AH443" t="s">
        <v>291</v>
      </c>
      <c r="AI443" t="s">
        <v>291</v>
      </c>
      <c r="AK443" t="s">
        <v>4040</v>
      </c>
      <c r="AM443">
        <v>0</v>
      </c>
      <c r="AN443">
        <v>625</v>
      </c>
      <c r="AO443">
        <v>4.8</v>
      </c>
      <c r="AQ443" t="s">
        <v>4484</v>
      </c>
      <c r="AS443">
        <v>16</v>
      </c>
      <c r="AT443" t="s">
        <v>5838</v>
      </c>
      <c r="AU443">
        <v>1</v>
      </c>
      <c r="AV443">
        <v>0</v>
      </c>
      <c r="AW443">
        <v>116.16</v>
      </c>
      <c r="BA443" t="s">
        <v>5851</v>
      </c>
      <c r="BB443" t="s">
        <v>1322</v>
      </c>
      <c r="BC443">
        <v>14508</v>
      </c>
      <c r="BG443" t="s">
        <v>5899</v>
      </c>
      <c r="BJ443" t="s">
        <v>5959</v>
      </c>
      <c r="BK443" t="s">
        <v>216</v>
      </c>
    </row>
    <row r="444" spans="1:64">
      <c r="A444" s="1">
        <f>HYPERLINK("https://lsnyc.legalserver.org/matter/dynamic-profile/view/1904982","19-1904982")</f>
        <v>0</v>
      </c>
      <c r="B444" t="s">
        <v>65</v>
      </c>
      <c r="C444" t="s">
        <v>134</v>
      </c>
      <c r="D444" t="s">
        <v>200</v>
      </c>
      <c r="E444" t="s">
        <v>202</v>
      </c>
      <c r="F444" t="s">
        <v>245</v>
      </c>
      <c r="G444" t="s">
        <v>202</v>
      </c>
      <c r="H444" t="s">
        <v>279</v>
      </c>
      <c r="I444" t="s">
        <v>202</v>
      </c>
      <c r="J444" t="s">
        <v>289</v>
      </c>
      <c r="K444" t="s">
        <v>292</v>
      </c>
      <c r="M444" t="s">
        <v>290</v>
      </c>
      <c r="N444" t="s">
        <v>202</v>
      </c>
      <c r="O444" t="s">
        <v>421</v>
      </c>
      <c r="P444" t="s">
        <v>427</v>
      </c>
      <c r="S444" t="s">
        <v>829</v>
      </c>
      <c r="T444" t="s">
        <v>1522</v>
      </c>
      <c r="U444" t="s">
        <v>245</v>
      </c>
      <c r="W444" t="s">
        <v>1876</v>
      </c>
      <c r="X444" t="s">
        <v>2294</v>
      </c>
      <c r="Y444">
        <v>2</v>
      </c>
      <c r="Z444" t="s">
        <v>3098</v>
      </c>
      <c r="AA444" t="s">
        <v>3135</v>
      </c>
      <c r="AB444">
        <v>10467</v>
      </c>
      <c r="AC444" t="s">
        <v>3140</v>
      </c>
      <c r="AD444" t="s">
        <v>3546</v>
      </c>
      <c r="AE444">
        <v>6</v>
      </c>
      <c r="AG444" t="s">
        <v>4031</v>
      </c>
      <c r="AH444" t="s">
        <v>291</v>
      </c>
      <c r="AI444" t="s">
        <v>291</v>
      </c>
      <c r="AK444" t="s">
        <v>4042</v>
      </c>
      <c r="AL444" t="s">
        <v>4046</v>
      </c>
      <c r="AM444">
        <v>0</v>
      </c>
      <c r="AN444">
        <v>1545</v>
      </c>
      <c r="AO444">
        <v>30.1</v>
      </c>
      <c r="AQ444" t="s">
        <v>4485</v>
      </c>
      <c r="AR444" t="s">
        <v>5361</v>
      </c>
      <c r="AS444">
        <v>3</v>
      </c>
      <c r="AT444" t="s">
        <v>5842</v>
      </c>
      <c r="AU444">
        <v>3</v>
      </c>
      <c r="AV444">
        <v>0</v>
      </c>
      <c r="AW444">
        <v>187.53</v>
      </c>
      <c r="BA444" t="s">
        <v>5850</v>
      </c>
      <c r="BB444" t="s">
        <v>1322</v>
      </c>
      <c r="BC444">
        <v>40000</v>
      </c>
      <c r="BG444" t="s">
        <v>138</v>
      </c>
      <c r="BJ444" t="s">
        <v>5949</v>
      </c>
      <c r="BK444" t="s">
        <v>216</v>
      </c>
      <c r="BL444" t="s">
        <v>6056</v>
      </c>
    </row>
    <row r="445" spans="1:64">
      <c r="A445" s="1">
        <f>HYPERLINK("https://lsnyc.legalserver.org/matter/dynamic-profile/view/1904535","19-1904535")</f>
        <v>0</v>
      </c>
      <c r="B445" t="s">
        <v>65</v>
      </c>
      <c r="C445" t="s">
        <v>137</v>
      </c>
      <c r="D445" t="s">
        <v>200</v>
      </c>
      <c r="E445" t="s">
        <v>201</v>
      </c>
      <c r="G445" t="s">
        <v>202</v>
      </c>
      <c r="H445" t="s">
        <v>271</v>
      </c>
      <c r="I445" t="s">
        <v>202</v>
      </c>
      <c r="J445" t="s">
        <v>289</v>
      </c>
      <c r="K445" t="s">
        <v>292</v>
      </c>
      <c r="M445" t="s">
        <v>290</v>
      </c>
      <c r="N445" t="s">
        <v>202</v>
      </c>
      <c r="O445" t="s">
        <v>421</v>
      </c>
      <c r="P445" t="s">
        <v>427</v>
      </c>
      <c r="S445" t="s">
        <v>830</v>
      </c>
      <c r="T445" t="s">
        <v>1523</v>
      </c>
      <c r="U445" t="s">
        <v>205</v>
      </c>
      <c r="W445" t="s">
        <v>1876</v>
      </c>
      <c r="X445" t="s">
        <v>2295</v>
      </c>
      <c r="Y445">
        <v>2</v>
      </c>
      <c r="Z445" t="s">
        <v>3098</v>
      </c>
      <c r="AA445" t="s">
        <v>3135</v>
      </c>
      <c r="AB445">
        <v>10457</v>
      </c>
      <c r="AC445" t="s">
        <v>3139</v>
      </c>
      <c r="AD445" t="s">
        <v>3547</v>
      </c>
      <c r="AE445">
        <v>2</v>
      </c>
      <c r="AG445" t="s">
        <v>4030</v>
      </c>
      <c r="AH445" t="s">
        <v>291</v>
      </c>
      <c r="AI445" t="s">
        <v>291</v>
      </c>
      <c r="AK445" t="s">
        <v>4040</v>
      </c>
      <c r="AL445" t="s">
        <v>4046</v>
      </c>
      <c r="AM445">
        <v>0</v>
      </c>
      <c r="AN445">
        <v>2200</v>
      </c>
      <c r="AO445">
        <v>8.300000000000001</v>
      </c>
      <c r="AQ445" t="s">
        <v>4486</v>
      </c>
      <c r="AR445" t="s">
        <v>5362</v>
      </c>
      <c r="AS445">
        <v>3</v>
      </c>
      <c r="AT445" t="s">
        <v>5836</v>
      </c>
      <c r="AU445">
        <v>1</v>
      </c>
      <c r="AV445">
        <v>2</v>
      </c>
      <c r="AW445">
        <v>39.38</v>
      </c>
      <c r="BA445" t="s">
        <v>5852</v>
      </c>
      <c r="BC445">
        <v>8400</v>
      </c>
      <c r="BG445" t="s">
        <v>5901</v>
      </c>
      <c r="BJ445" t="s">
        <v>5951</v>
      </c>
      <c r="BK445" t="s">
        <v>223</v>
      </c>
      <c r="BL445" t="s">
        <v>6056</v>
      </c>
    </row>
    <row r="446" spans="1:64">
      <c r="A446" s="1">
        <f>HYPERLINK("https://lsnyc.legalserver.org/matter/dynamic-profile/view/1905571","19-1905571")</f>
        <v>0</v>
      </c>
      <c r="B446" t="s">
        <v>65</v>
      </c>
      <c r="C446" t="s">
        <v>137</v>
      </c>
      <c r="D446" t="s">
        <v>200</v>
      </c>
      <c r="E446" t="s">
        <v>201</v>
      </c>
      <c r="G446" t="s">
        <v>202</v>
      </c>
      <c r="H446" t="s">
        <v>271</v>
      </c>
      <c r="I446" t="s">
        <v>288</v>
      </c>
      <c r="J446" t="s">
        <v>291</v>
      </c>
      <c r="K446" t="s">
        <v>202</v>
      </c>
      <c r="L446">
        <v>396724180</v>
      </c>
      <c r="M446" t="s">
        <v>290</v>
      </c>
      <c r="N446" t="s">
        <v>202</v>
      </c>
      <c r="O446" t="s">
        <v>421</v>
      </c>
      <c r="P446" t="s">
        <v>427</v>
      </c>
      <c r="S446" t="s">
        <v>831</v>
      </c>
      <c r="T446" t="s">
        <v>1524</v>
      </c>
      <c r="U446" t="s">
        <v>232</v>
      </c>
      <c r="W446" t="s">
        <v>1876</v>
      </c>
      <c r="X446" t="s">
        <v>2296</v>
      </c>
      <c r="Y446" t="s">
        <v>2833</v>
      </c>
      <c r="Z446" t="s">
        <v>3098</v>
      </c>
      <c r="AA446" t="s">
        <v>3135</v>
      </c>
      <c r="AB446">
        <v>10460</v>
      </c>
      <c r="AC446" t="s">
        <v>3139</v>
      </c>
      <c r="AD446" t="s">
        <v>3548</v>
      </c>
      <c r="AE446">
        <v>14</v>
      </c>
      <c r="AG446" t="s">
        <v>4031</v>
      </c>
      <c r="AH446" t="s">
        <v>291</v>
      </c>
      <c r="AK446" t="s">
        <v>4040</v>
      </c>
      <c r="AL446" t="s">
        <v>4046</v>
      </c>
      <c r="AM446">
        <v>0</v>
      </c>
      <c r="AN446">
        <v>168</v>
      </c>
      <c r="AO446">
        <v>48.65</v>
      </c>
      <c r="AQ446" t="s">
        <v>4487</v>
      </c>
      <c r="AR446" t="s">
        <v>5363</v>
      </c>
      <c r="AS446">
        <v>0</v>
      </c>
      <c r="AT446" t="s">
        <v>5838</v>
      </c>
      <c r="AU446">
        <v>1</v>
      </c>
      <c r="AV446">
        <v>0</v>
      </c>
      <c r="AW446">
        <v>74.08</v>
      </c>
      <c r="BA446" t="s">
        <v>5850</v>
      </c>
      <c r="BB446" t="s">
        <v>1322</v>
      </c>
      <c r="BC446">
        <v>9252</v>
      </c>
      <c r="BF446" t="s">
        <v>5885</v>
      </c>
      <c r="BG446" t="s">
        <v>5902</v>
      </c>
      <c r="BJ446" t="s">
        <v>5959</v>
      </c>
      <c r="BK446" t="s">
        <v>216</v>
      </c>
      <c r="BL446" t="s">
        <v>6057</v>
      </c>
    </row>
    <row r="447" spans="1:64">
      <c r="A447" s="1">
        <f>HYPERLINK("https://lsnyc.legalserver.org/matter/dynamic-profile/view/1904085","19-1904085")</f>
        <v>0</v>
      </c>
      <c r="B447" t="s">
        <v>65</v>
      </c>
      <c r="C447" t="s">
        <v>130</v>
      </c>
      <c r="D447" t="s">
        <v>200</v>
      </c>
      <c r="E447" t="s">
        <v>202</v>
      </c>
      <c r="F447" t="s">
        <v>207</v>
      </c>
      <c r="G447" t="s">
        <v>202</v>
      </c>
      <c r="H447" t="s">
        <v>272</v>
      </c>
      <c r="I447" t="s">
        <v>202</v>
      </c>
      <c r="J447" t="s">
        <v>289</v>
      </c>
      <c r="K447" t="s">
        <v>292</v>
      </c>
      <c r="M447" t="s">
        <v>290</v>
      </c>
      <c r="N447" t="s">
        <v>202</v>
      </c>
      <c r="O447" t="s">
        <v>421</v>
      </c>
      <c r="P447" t="s">
        <v>427</v>
      </c>
      <c r="S447" t="s">
        <v>832</v>
      </c>
      <c r="T447" t="s">
        <v>1525</v>
      </c>
      <c r="U447" t="s">
        <v>251</v>
      </c>
      <c r="W447" t="s">
        <v>1876</v>
      </c>
      <c r="X447" t="s">
        <v>2297</v>
      </c>
      <c r="Y447" t="s">
        <v>2917</v>
      </c>
      <c r="Z447" t="s">
        <v>3098</v>
      </c>
      <c r="AA447" t="s">
        <v>3135</v>
      </c>
      <c r="AB447">
        <v>10468</v>
      </c>
      <c r="AD447" t="s">
        <v>3549</v>
      </c>
      <c r="AE447">
        <v>2</v>
      </c>
      <c r="AG447" t="s">
        <v>4030</v>
      </c>
      <c r="AH447" t="s">
        <v>291</v>
      </c>
      <c r="AI447" t="s">
        <v>291</v>
      </c>
      <c r="AK447" t="s">
        <v>4040</v>
      </c>
      <c r="AL447" t="s">
        <v>4046</v>
      </c>
      <c r="AM447">
        <v>0</v>
      </c>
      <c r="AN447">
        <v>1705</v>
      </c>
      <c r="AO447">
        <v>5.5</v>
      </c>
      <c r="AQ447" t="s">
        <v>4488</v>
      </c>
      <c r="AR447" t="s">
        <v>5364</v>
      </c>
      <c r="AS447">
        <v>0</v>
      </c>
      <c r="AT447" t="s">
        <v>5838</v>
      </c>
      <c r="AU447">
        <v>2</v>
      </c>
      <c r="AV447">
        <v>2</v>
      </c>
      <c r="AW447">
        <v>136.31</v>
      </c>
      <c r="BB447" t="s">
        <v>5859</v>
      </c>
      <c r="BC447">
        <v>35100</v>
      </c>
      <c r="BG447" t="s">
        <v>140</v>
      </c>
      <c r="BJ447" t="s">
        <v>5949</v>
      </c>
      <c r="BK447" t="s">
        <v>264</v>
      </c>
      <c r="BL447" t="s">
        <v>6056</v>
      </c>
    </row>
    <row r="448" spans="1:64">
      <c r="A448" s="1">
        <f>HYPERLINK("https://lsnyc.legalserver.org/matter/dynamic-profile/view/1904022","19-1904022")</f>
        <v>0</v>
      </c>
      <c r="B448" t="s">
        <v>65</v>
      </c>
      <c r="C448" t="s">
        <v>130</v>
      </c>
      <c r="D448" t="s">
        <v>200</v>
      </c>
      <c r="E448" t="s">
        <v>202</v>
      </c>
      <c r="F448" t="s">
        <v>240</v>
      </c>
      <c r="G448" t="s">
        <v>202</v>
      </c>
      <c r="H448" t="s">
        <v>272</v>
      </c>
      <c r="I448" t="s">
        <v>202</v>
      </c>
      <c r="J448" t="s">
        <v>289</v>
      </c>
      <c r="K448" t="s">
        <v>292</v>
      </c>
      <c r="M448" t="s">
        <v>290</v>
      </c>
      <c r="N448" t="s">
        <v>202</v>
      </c>
      <c r="O448" t="s">
        <v>421</v>
      </c>
      <c r="P448" t="s">
        <v>427</v>
      </c>
      <c r="S448" t="s">
        <v>572</v>
      </c>
      <c r="T448" t="s">
        <v>1526</v>
      </c>
      <c r="U448" t="s">
        <v>255</v>
      </c>
      <c r="W448" t="s">
        <v>1876</v>
      </c>
      <c r="X448" t="s">
        <v>2298</v>
      </c>
      <c r="Y448" t="s">
        <v>2839</v>
      </c>
      <c r="Z448" t="s">
        <v>3098</v>
      </c>
      <c r="AA448" t="s">
        <v>3135</v>
      </c>
      <c r="AB448">
        <v>10466</v>
      </c>
      <c r="AD448" t="s">
        <v>3550</v>
      </c>
      <c r="AE448">
        <v>19</v>
      </c>
      <c r="AG448" t="s">
        <v>4031</v>
      </c>
      <c r="AH448" t="s">
        <v>291</v>
      </c>
      <c r="AI448" t="s">
        <v>291</v>
      </c>
      <c r="AK448" t="s">
        <v>4040</v>
      </c>
      <c r="AM448">
        <v>0</v>
      </c>
      <c r="AN448">
        <v>942</v>
      </c>
      <c r="AO448">
        <v>2.1</v>
      </c>
      <c r="AQ448" t="s">
        <v>4489</v>
      </c>
      <c r="AS448">
        <v>120</v>
      </c>
      <c r="AU448">
        <v>4</v>
      </c>
      <c r="AV448">
        <v>2</v>
      </c>
      <c r="AW448">
        <v>53.01</v>
      </c>
      <c r="BB448" t="s">
        <v>1322</v>
      </c>
      <c r="BC448">
        <v>18336</v>
      </c>
      <c r="BG448" t="s">
        <v>140</v>
      </c>
      <c r="BJ448" t="s">
        <v>5942</v>
      </c>
      <c r="BK448" t="s">
        <v>240</v>
      </c>
      <c r="BL448" t="s">
        <v>6056</v>
      </c>
    </row>
    <row r="449" spans="1:64">
      <c r="A449" s="1">
        <f>HYPERLINK("https://lsnyc.legalserver.org/matter/dynamic-profile/view/1910389","19-1910389")</f>
        <v>0</v>
      </c>
      <c r="B449" t="s">
        <v>65</v>
      </c>
      <c r="C449" t="s">
        <v>130</v>
      </c>
      <c r="D449" t="s">
        <v>200</v>
      </c>
      <c r="E449" t="s">
        <v>201</v>
      </c>
      <c r="G449" t="s">
        <v>202</v>
      </c>
      <c r="H449" t="s">
        <v>272</v>
      </c>
      <c r="I449" t="s">
        <v>288</v>
      </c>
      <c r="J449" t="s">
        <v>290</v>
      </c>
      <c r="K449" t="s">
        <v>292</v>
      </c>
      <c r="M449" t="s">
        <v>290</v>
      </c>
      <c r="N449" t="s">
        <v>202</v>
      </c>
      <c r="O449" t="s">
        <v>421</v>
      </c>
      <c r="P449" t="s">
        <v>427</v>
      </c>
      <c r="S449" t="s">
        <v>833</v>
      </c>
      <c r="T449" t="s">
        <v>1527</v>
      </c>
      <c r="U449" t="s">
        <v>216</v>
      </c>
      <c r="W449" t="s">
        <v>1876</v>
      </c>
      <c r="X449" t="s">
        <v>2299</v>
      </c>
      <c r="Y449" t="s">
        <v>2962</v>
      </c>
      <c r="Z449" t="s">
        <v>3098</v>
      </c>
      <c r="AA449" t="s">
        <v>3135</v>
      </c>
      <c r="AB449">
        <v>10462</v>
      </c>
      <c r="AD449" t="s">
        <v>3551</v>
      </c>
      <c r="AE449">
        <v>0</v>
      </c>
      <c r="AG449" t="s">
        <v>4030</v>
      </c>
      <c r="AH449" t="s">
        <v>291</v>
      </c>
      <c r="AI449" t="s">
        <v>291</v>
      </c>
      <c r="AK449" t="s">
        <v>4040</v>
      </c>
      <c r="AL449" t="s">
        <v>4047</v>
      </c>
      <c r="AM449">
        <v>0</v>
      </c>
      <c r="AN449">
        <v>0</v>
      </c>
      <c r="AO449">
        <v>4.2</v>
      </c>
      <c r="AQ449" t="s">
        <v>4490</v>
      </c>
      <c r="AR449" t="s">
        <v>5365</v>
      </c>
      <c r="AS449">
        <v>0</v>
      </c>
      <c r="AU449">
        <v>1</v>
      </c>
      <c r="AV449">
        <v>0</v>
      </c>
      <c r="AW449">
        <v>93.26000000000001</v>
      </c>
      <c r="BB449" t="s">
        <v>1322</v>
      </c>
      <c r="BC449">
        <v>11648</v>
      </c>
      <c r="BG449" t="s">
        <v>130</v>
      </c>
      <c r="BJ449" t="s">
        <v>5946</v>
      </c>
      <c r="BK449" t="s">
        <v>216</v>
      </c>
    </row>
    <row r="450" spans="1:64">
      <c r="A450" s="1">
        <f>HYPERLINK("https://lsnyc.legalserver.org/matter/dynamic-profile/view/1906021","19-1906021")</f>
        <v>0</v>
      </c>
      <c r="B450" t="s">
        <v>65</v>
      </c>
      <c r="C450" t="s">
        <v>138</v>
      </c>
      <c r="D450" t="s">
        <v>200</v>
      </c>
      <c r="E450" t="s">
        <v>201</v>
      </c>
      <c r="G450" t="s">
        <v>202</v>
      </c>
      <c r="H450" t="s">
        <v>272</v>
      </c>
      <c r="I450" t="s">
        <v>288</v>
      </c>
      <c r="J450" t="s">
        <v>291</v>
      </c>
      <c r="K450" t="s">
        <v>292</v>
      </c>
      <c r="M450" t="s">
        <v>290</v>
      </c>
      <c r="N450" t="s">
        <v>202</v>
      </c>
      <c r="O450" t="s">
        <v>422</v>
      </c>
      <c r="P450" t="s">
        <v>427</v>
      </c>
      <c r="S450" t="s">
        <v>834</v>
      </c>
      <c r="T450" t="s">
        <v>1528</v>
      </c>
      <c r="U450" t="s">
        <v>250</v>
      </c>
      <c r="W450" t="s">
        <v>1876</v>
      </c>
      <c r="X450" t="s">
        <v>2300</v>
      </c>
      <c r="Y450" t="s">
        <v>2895</v>
      </c>
      <c r="Z450" t="s">
        <v>3098</v>
      </c>
      <c r="AA450" t="s">
        <v>3135</v>
      </c>
      <c r="AB450">
        <v>10474</v>
      </c>
      <c r="AD450" t="s">
        <v>3552</v>
      </c>
      <c r="AE450">
        <v>5</v>
      </c>
      <c r="AG450" t="s">
        <v>4031</v>
      </c>
      <c r="AH450" t="s">
        <v>291</v>
      </c>
      <c r="AI450" t="s">
        <v>291</v>
      </c>
      <c r="AK450" t="s">
        <v>4040</v>
      </c>
      <c r="AM450">
        <v>0</v>
      </c>
      <c r="AN450">
        <v>1350</v>
      </c>
      <c r="AO450">
        <v>0</v>
      </c>
      <c r="AQ450" t="s">
        <v>4491</v>
      </c>
      <c r="AS450">
        <v>47</v>
      </c>
      <c r="AU450">
        <v>1</v>
      </c>
      <c r="AV450">
        <v>0</v>
      </c>
      <c r="AW450">
        <v>124.9</v>
      </c>
      <c r="BB450" t="s">
        <v>1322</v>
      </c>
      <c r="BC450">
        <v>15600</v>
      </c>
      <c r="BG450" t="s">
        <v>138</v>
      </c>
      <c r="BJ450" t="s">
        <v>5955</v>
      </c>
      <c r="BL450" t="s">
        <v>329</v>
      </c>
    </row>
    <row r="451" spans="1:64">
      <c r="A451" s="1">
        <f>HYPERLINK("https://lsnyc.legalserver.org/matter/dynamic-profile/view/1910103","19-1910103")</f>
        <v>0</v>
      </c>
      <c r="B451" t="s">
        <v>65</v>
      </c>
      <c r="C451" t="s">
        <v>130</v>
      </c>
      <c r="D451" t="s">
        <v>200</v>
      </c>
      <c r="E451" t="s">
        <v>201</v>
      </c>
      <c r="G451" t="s">
        <v>202</v>
      </c>
      <c r="H451" t="s">
        <v>272</v>
      </c>
      <c r="I451" t="s">
        <v>202</v>
      </c>
      <c r="J451" t="s">
        <v>289</v>
      </c>
      <c r="K451" t="s">
        <v>292</v>
      </c>
      <c r="M451" t="s">
        <v>290</v>
      </c>
      <c r="N451" t="s">
        <v>419</v>
      </c>
      <c r="O451" t="s">
        <v>420</v>
      </c>
      <c r="P451" t="s">
        <v>427</v>
      </c>
      <c r="S451" t="s">
        <v>835</v>
      </c>
      <c r="T451" t="s">
        <v>1422</v>
      </c>
      <c r="U451" t="s">
        <v>206</v>
      </c>
      <c r="W451" t="s">
        <v>1876</v>
      </c>
      <c r="X451" t="s">
        <v>2301</v>
      </c>
      <c r="Y451" t="s">
        <v>2809</v>
      </c>
      <c r="Z451" t="s">
        <v>3098</v>
      </c>
      <c r="AA451" t="s">
        <v>3135</v>
      </c>
      <c r="AB451">
        <v>10467</v>
      </c>
      <c r="AC451" t="s">
        <v>3136</v>
      </c>
      <c r="AD451" t="s">
        <v>3553</v>
      </c>
      <c r="AE451">
        <v>22</v>
      </c>
      <c r="AG451" t="s">
        <v>4030</v>
      </c>
      <c r="AH451" t="s">
        <v>291</v>
      </c>
      <c r="AI451" t="s">
        <v>291</v>
      </c>
      <c r="AK451" t="s">
        <v>4040</v>
      </c>
      <c r="AM451">
        <v>0</v>
      </c>
      <c r="AN451">
        <v>995.73</v>
      </c>
      <c r="AO451">
        <v>0.5</v>
      </c>
      <c r="AQ451" t="s">
        <v>4492</v>
      </c>
      <c r="AR451" t="s">
        <v>5366</v>
      </c>
      <c r="AS451">
        <v>43</v>
      </c>
      <c r="AT451" t="s">
        <v>5836</v>
      </c>
      <c r="AU451">
        <v>1</v>
      </c>
      <c r="AV451">
        <v>0</v>
      </c>
      <c r="AW451">
        <v>187.35</v>
      </c>
      <c r="BA451" t="s">
        <v>329</v>
      </c>
      <c r="BB451" t="s">
        <v>1322</v>
      </c>
      <c r="BC451">
        <v>23400</v>
      </c>
      <c r="BG451" t="s">
        <v>5904</v>
      </c>
      <c r="BJ451" t="s">
        <v>5949</v>
      </c>
      <c r="BK451" t="s">
        <v>206</v>
      </c>
      <c r="BL451" t="s">
        <v>6056</v>
      </c>
    </row>
    <row r="452" spans="1:64">
      <c r="A452" s="1">
        <f>HYPERLINK("https://lsnyc.legalserver.org/matter/dynamic-profile/view/1909302","19-1909302")</f>
        <v>0</v>
      </c>
      <c r="B452" t="s">
        <v>65</v>
      </c>
      <c r="C452" t="s">
        <v>139</v>
      </c>
      <c r="D452" t="s">
        <v>200</v>
      </c>
      <c r="E452" t="s">
        <v>201</v>
      </c>
      <c r="G452" t="s">
        <v>202</v>
      </c>
      <c r="H452" t="s">
        <v>272</v>
      </c>
      <c r="I452" t="s">
        <v>202</v>
      </c>
      <c r="J452" t="s">
        <v>289</v>
      </c>
      <c r="K452" t="s">
        <v>292</v>
      </c>
      <c r="M452" t="s">
        <v>290</v>
      </c>
      <c r="N452" t="s">
        <v>419</v>
      </c>
      <c r="O452" t="s">
        <v>420</v>
      </c>
      <c r="P452" t="s">
        <v>427</v>
      </c>
      <c r="S452" t="s">
        <v>836</v>
      </c>
      <c r="T452" t="s">
        <v>1529</v>
      </c>
      <c r="U452" t="s">
        <v>263</v>
      </c>
      <c r="W452" t="s">
        <v>1876</v>
      </c>
      <c r="X452" t="s">
        <v>2302</v>
      </c>
      <c r="Y452" t="s">
        <v>2806</v>
      </c>
      <c r="Z452" t="s">
        <v>3098</v>
      </c>
      <c r="AA452" t="s">
        <v>3135</v>
      </c>
      <c r="AB452">
        <v>10468</v>
      </c>
      <c r="AC452" t="s">
        <v>3136</v>
      </c>
      <c r="AD452" t="s">
        <v>3554</v>
      </c>
      <c r="AE452">
        <v>13</v>
      </c>
      <c r="AG452" t="s">
        <v>4030</v>
      </c>
      <c r="AH452" t="s">
        <v>291</v>
      </c>
      <c r="AI452" t="s">
        <v>291</v>
      </c>
      <c r="AK452" t="s">
        <v>4040</v>
      </c>
      <c r="AM452">
        <v>0</v>
      </c>
      <c r="AN452">
        <v>1000</v>
      </c>
      <c r="AO452">
        <v>2</v>
      </c>
      <c r="AQ452" t="s">
        <v>4493</v>
      </c>
      <c r="AR452" t="s">
        <v>5367</v>
      </c>
      <c r="AS452">
        <v>0</v>
      </c>
      <c r="AT452" t="s">
        <v>5836</v>
      </c>
      <c r="AU452">
        <v>1</v>
      </c>
      <c r="AV452">
        <v>4</v>
      </c>
      <c r="AW452">
        <v>166.38</v>
      </c>
      <c r="BA452" t="s">
        <v>329</v>
      </c>
      <c r="BB452" t="s">
        <v>1322</v>
      </c>
      <c r="BC452">
        <v>50196</v>
      </c>
      <c r="BG452" t="s">
        <v>5904</v>
      </c>
      <c r="BJ452" t="s">
        <v>5982</v>
      </c>
      <c r="BK452" t="s">
        <v>230</v>
      </c>
      <c r="BL452" t="s">
        <v>6056</v>
      </c>
    </row>
    <row r="453" spans="1:64">
      <c r="A453" s="1">
        <f>HYPERLINK("https://lsnyc.legalserver.org/matter/dynamic-profile/view/1910415","19-1910415")</f>
        <v>0</v>
      </c>
      <c r="B453" t="s">
        <v>65</v>
      </c>
      <c r="C453" t="s">
        <v>139</v>
      </c>
      <c r="D453" t="s">
        <v>200</v>
      </c>
      <c r="E453" t="s">
        <v>201</v>
      </c>
      <c r="G453" t="s">
        <v>202</v>
      </c>
      <c r="H453" t="s">
        <v>272</v>
      </c>
      <c r="I453" t="s">
        <v>202</v>
      </c>
      <c r="J453" t="s">
        <v>289</v>
      </c>
      <c r="K453" t="s">
        <v>292</v>
      </c>
      <c r="M453" t="s">
        <v>290</v>
      </c>
      <c r="N453" t="s">
        <v>419</v>
      </c>
      <c r="P453" t="s">
        <v>427</v>
      </c>
      <c r="S453" t="s">
        <v>837</v>
      </c>
      <c r="T453" t="s">
        <v>1530</v>
      </c>
      <c r="U453" t="s">
        <v>266</v>
      </c>
      <c r="W453" t="s">
        <v>1876</v>
      </c>
      <c r="X453" t="s">
        <v>2083</v>
      </c>
      <c r="Y453" t="s">
        <v>2844</v>
      </c>
      <c r="Z453" t="s">
        <v>3098</v>
      </c>
      <c r="AA453" t="s">
        <v>3135</v>
      </c>
      <c r="AB453">
        <v>10457</v>
      </c>
      <c r="AD453" t="s">
        <v>3555</v>
      </c>
      <c r="AE453">
        <v>2</v>
      </c>
      <c r="AG453" t="s">
        <v>4030</v>
      </c>
      <c r="AH453" t="s">
        <v>291</v>
      </c>
      <c r="AI453" t="s">
        <v>291</v>
      </c>
      <c r="AK453" t="s">
        <v>4040</v>
      </c>
      <c r="AM453">
        <v>0</v>
      </c>
      <c r="AN453">
        <v>1268</v>
      </c>
      <c r="AO453">
        <v>0</v>
      </c>
      <c r="AQ453" t="s">
        <v>4494</v>
      </c>
      <c r="AR453" t="s">
        <v>5368</v>
      </c>
      <c r="AS453">
        <v>43</v>
      </c>
      <c r="AT453" t="s">
        <v>5838</v>
      </c>
      <c r="AU453">
        <v>1</v>
      </c>
      <c r="AV453">
        <v>0</v>
      </c>
      <c r="AW453">
        <v>81.38</v>
      </c>
      <c r="BB453" t="s">
        <v>1322</v>
      </c>
      <c r="BC453">
        <v>10164</v>
      </c>
      <c r="BG453" t="s">
        <v>140</v>
      </c>
      <c r="BJ453" t="s">
        <v>5942</v>
      </c>
      <c r="BL453" t="s">
        <v>6056</v>
      </c>
    </row>
    <row r="454" spans="1:64">
      <c r="A454" s="1">
        <f>HYPERLINK("https://lsnyc.legalserver.org/matter/dynamic-profile/view/1909234","19-1909234")</f>
        <v>0</v>
      </c>
      <c r="B454" t="s">
        <v>65</v>
      </c>
      <c r="C454" t="s">
        <v>139</v>
      </c>
      <c r="D454" t="s">
        <v>200</v>
      </c>
      <c r="E454" t="s">
        <v>201</v>
      </c>
      <c r="G454" t="s">
        <v>202</v>
      </c>
      <c r="H454" t="s">
        <v>272</v>
      </c>
      <c r="I454" t="s">
        <v>202</v>
      </c>
      <c r="J454" t="s">
        <v>289</v>
      </c>
      <c r="K454" t="s">
        <v>202</v>
      </c>
      <c r="L454" t="s">
        <v>350</v>
      </c>
      <c r="M454" t="s">
        <v>290</v>
      </c>
      <c r="N454" t="s">
        <v>419</v>
      </c>
      <c r="O454" t="s">
        <v>420</v>
      </c>
      <c r="P454" t="s">
        <v>427</v>
      </c>
      <c r="S454" t="s">
        <v>682</v>
      </c>
      <c r="T454" t="s">
        <v>1531</v>
      </c>
      <c r="U454" t="s">
        <v>228</v>
      </c>
      <c r="W454" t="s">
        <v>1876</v>
      </c>
      <c r="X454" t="s">
        <v>2303</v>
      </c>
      <c r="Y454" t="s">
        <v>2963</v>
      </c>
      <c r="Z454" t="s">
        <v>3098</v>
      </c>
      <c r="AA454" t="s">
        <v>3135</v>
      </c>
      <c r="AB454">
        <v>10468</v>
      </c>
      <c r="AC454" t="s">
        <v>3136</v>
      </c>
      <c r="AD454" t="s">
        <v>3556</v>
      </c>
      <c r="AE454">
        <v>-1</v>
      </c>
      <c r="AG454" t="s">
        <v>4030</v>
      </c>
      <c r="AH454" t="s">
        <v>291</v>
      </c>
      <c r="AI454" t="s">
        <v>291</v>
      </c>
      <c r="AK454" t="s">
        <v>4040</v>
      </c>
      <c r="AM454">
        <v>0</v>
      </c>
      <c r="AN454">
        <v>2250</v>
      </c>
      <c r="AO454">
        <v>2</v>
      </c>
      <c r="AQ454" t="s">
        <v>4495</v>
      </c>
      <c r="AR454" t="s">
        <v>5369</v>
      </c>
      <c r="AS454">
        <v>0</v>
      </c>
      <c r="AT454" t="s">
        <v>5836</v>
      </c>
      <c r="AU454">
        <v>2</v>
      </c>
      <c r="AV454">
        <v>3</v>
      </c>
      <c r="AW454">
        <v>91.34999999999999</v>
      </c>
      <c r="BA454" t="s">
        <v>329</v>
      </c>
      <c r="BB454" t="s">
        <v>1322</v>
      </c>
      <c r="BC454">
        <v>27560</v>
      </c>
      <c r="BG454" t="s">
        <v>5904</v>
      </c>
      <c r="BJ454" t="s">
        <v>5949</v>
      </c>
      <c r="BK454" t="s">
        <v>263</v>
      </c>
      <c r="BL454" t="s">
        <v>6057</v>
      </c>
    </row>
    <row r="455" spans="1:64">
      <c r="A455" s="1">
        <f>HYPERLINK("https://lsnyc.legalserver.org/matter/dynamic-profile/view/1908126","19-1908126")</f>
        <v>0</v>
      </c>
      <c r="B455" t="s">
        <v>65</v>
      </c>
      <c r="C455" t="s">
        <v>139</v>
      </c>
      <c r="D455" t="s">
        <v>200</v>
      </c>
      <c r="E455" t="s">
        <v>201</v>
      </c>
      <c r="G455" t="s">
        <v>202</v>
      </c>
      <c r="H455" t="s">
        <v>272</v>
      </c>
      <c r="I455" t="s">
        <v>202</v>
      </c>
      <c r="J455" t="s">
        <v>289</v>
      </c>
      <c r="K455" t="s">
        <v>292</v>
      </c>
      <c r="M455" t="s">
        <v>290</v>
      </c>
      <c r="N455" t="s">
        <v>419</v>
      </c>
      <c r="P455" t="s">
        <v>427</v>
      </c>
      <c r="S455" t="s">
        <v>838</v>
      </c>
      <c r="T455" t="s">
        <v>1379</v>
      </c>
      <c r="U455" t="s">
        <v>1874</v>
      </c>
      <c r="W455" t="s">
        <v>1876</v>
      </c>
      <c r="X455" t="s">
        <v>2304</v>
      </c>
      <c r="Y455" t="s">
        <v>2794</v>
      </c>
      <c r="Z455" t="s">
        <v>3098</v>
      </c>
      <c r="AA455" t="s">
        <v>3135</v>
      </c>
      <c r="AB455">
        <v>10468</v>
      </c>
      <c r="AC455" t="s">
        <v>3140</v>
      </c>
      <c r="AD455" t="s">
        <v>3557</v>
      </c>
      <c r="AE455">
        <v>3</v>
      </c>
      <c r="AG455" t="s">
        <v>4030</v>
      </c>
      <c r="AH455" t="s">
        <v>291</v>
      </c>
      <c r="AI455" t="s">
        <v>291</v>
      </c>
      <c r="AK455" t="s">
        <v>4040</v>
      </c>
      <c r="AM455">
        <v>0</v>
      </c>
      <c r="AN455">
        <v>860</v>
      </c>
      <c r="AO455">
        <v>2.5</v>
      </c>
      <c r="AQ455" t="s">
        <v>4496</v>
      </c>
      <c r="AR455" t="s">
        <v>5370</v>
      </c>
      <c r="AS455">
        <v>43</v>
      </c>
      <c r="AT455" t="s">
        <v>5838</v>
      </c>
      <c r="AU455">
        <v>1</v>
      </c>
      <c r="AV455">
        <v>2</v>
      </c>
      <c r="AW455">
        <v>0</v>
      </c>
      <c r="BB455" t="s">
        <v>5859</v>
      </c>
      <c r="BC455">
        <v>0</v>
      </c>
      <c r="BG455" t="s">
        <v>140</v>
      </c>
      <c r="BJ455" t="s">
        <v>5965</v>
      </c>
      <c r="BK455" t="s">
        <v>236</v>
      </c>
      <c r="BL455" t="s">
        <v>6056</v>
      </c>
    </row>
    <row r="456" spans="1:64">
      <c r="A456" s="1">
        <f>HYPERLINK("https://lsnyc.legalserver.org/matter/dynamic-profile/view/1906317","19-1906317")</f>
        <v>0</v>
      </c>
      <c r="B456" t="s">
        <v>65</v>
      </c>
      <c r="C456" t="s">
        <v>139</v>
      </c>
      <c r="D456" t="s">
        <v>200</v>
      </c>
      <c r="E456" t="s">
        <v>202</v>
      </c>
      <c r="F456" t="s">
        <v>253</v>
      </c>
      <c r="G456" t="s">
        <v>202</v>
      </c>
      <c r="H456" t="s">
        <v>280</v>
      </c>
      <c r="I456" t="s">
        <v>202</v>
      </c>
      <c r="J456" t="s">
        <v>289</v>
      </c>
      <c r="K456" t="s">
        <v>292</v>
      </c>
      <c r="M456" t="s">
        <v>290</v>
      </c>
      <c r="N456" t="s">
        <v>202</v>
      </c>
      <c r="O456" t="s">
        <v>421</v>
      </c>
      <c r="P456" t="s">
        <v>427</v>
      </c>
      <c r="S456" t="s">
        <v>839</v>
      </c>
      <c r="T456" t="s">
        <v>1496</v>
      </c>
      <c r="U456" t="s">
        <v>249</v>
      </c>
      <c r="W456" t="s">
        <v>1876</v>
      </c>
      <c r="X456" t="s">
        <v>2119</v>
      </c>
      <c r="Y456" t="s">
        <v>2836</v>
      </c>
      <c r="Z456" t="s">
        <v>3098</v>
      </c>
      <c r="AA456" t="s">
        <v>3135</v>
      </c>
      <c r="AB456">
        <v>10457</v>
      </c>
      <c r="AD456" t="s">
        <v>3380</v>
      </c>
      <c r="AE456">
        <v>8</v>
      </c>
      <c r="AG456" t="s">
        <v>4031</v>
      </c>
      <c r="AH456" t="s">
        <v>291</v>
      </c>
      <c r="AK456" t="s">
        <v>4040</v>
      </c>
      <c r="AM456">
        <v>0</v>
      </c>
      <c r="AN456">
        <v>1000</v>
      </c>
      <c r="AO456">
        <v>5.5</v>
      </c>
      <c r="AQ456" t="s">
        <v>4497</v>
      </c>
      <c r="AR456" t="s">
        <v>5371</v>
      </c>
      <c r="AS456">
        <v>3</v>
      </c>
      <c r="AT456" t="s">
        <v>5835</v>
      </c>
      <c r="AU456">
        <v>1</v>
      </c>
      <c r="AV456">
        <v>4</v>
      </c>
      <c r="AW456">
        <v>42.66</v>
      </c>
      <c r="BB456" t="s">
        <v>1322</v>
      </c>
      <c r="BC456">
        <v>12870</v>
      </c>
      <c r="BG456" t="s">
        <v>140</v>
      </c>
      <c r="BJ456" t="s">
        <v>6007</v>
      </c>
      <c r="BK456" t="s">
        <v>221</v>
      </c>
      <c r="BL456" t="s">
        <v>6056</v>
      </c>
    </row>
    <row r="457" spans="1:64">
      <c r="A457" s="1">
        <f>HYPERLINK("https://lsnyc.legalserver.org/matter/dynamic-profile/view/1910428","19-1910428")</f>
        <v>0</v>
      </c>
      <c r="B457" t="s">
        <v>65</v>
      </c>
      <c r="C457" t="s">
        <v>139</v>
      </c>
      <c r="D457" t="s">
        <v>200</v>
      </c>
      <c r="E457" t="s">
        <v>201</v>
      </c>
      <c r="G457" t="s">
        <v>202</v>
      </c>
      <c r="H457" t="s">
        <v>272</v>
      </c>
      <c r="I457" t="s">
        <v>202</v>
      </c>
      <c r="J457" t="s">
        <v>289</v>
      </c>
      <c r="K457" t="s">
        <v>292</v>
      </c>
      <c r="M457" t="s">
        <v>290</v>
      </c>
      <c r="N457" t="s">
        <v>419</v>
      </c>
      <c r="P457" t="s">
        <v>427</v>
      </c>
      <c r="S457" t="s">
        <v>840</v>
      </c>
      <c r="T457" t="s">
        <v>1532</v>
      </c>
      <c r="U457" t="s">
        <v>266</v>
      </c>
      <c r="W457" t="s">
        <v>1876</v>
      </c>
      <c r="X457" t="s">
        <v>2305</v>
      </c>
      <c r="Y457" t="s">
        <v>2794</v>
      </c>
      <c r="Z457" t="s">
        <v>3098</v>
      </c>
      <c r="AA457" t="s">
        <v>3135</v>
      </c>
      <c r="AB457">
        <v>10468</v>
      </c>
      <c r="AD457" t="s">
        <v>3558</v>
      </c>
      <c r="AE457">
        <v>0</v>
      </c>
      <c r="AG457" t="s">
        <v>4030</v>
      </c>
      <c r="AH457" t="s">
        <v>291</v>
      </c>
      <c r="AI457" t="s">
        <v>291</v>
      </c>
      <c r="AK457" t="s">
        <v>4040</v>
      </c>
      <c r="AM457">
        <v>0</v>
      </c>
      <c r="AN457">
        <v>1451</v>
      </c>
      <c r="AO457">
        <v>0</v>
      </c>
      <c r="AQ457" t="s">
        <v>4498</v>
      </c>
      <c r="AR457" t="s">
        <v>5372</v>
      </c>
      <c r="AS457">
        <v>0</v>
      </c>
      <c r="AT457" t="s">
        <v>5838</v>
      </c>
      <c r="AU457">
        <v>1</v>
      </c>
      <c r="AV457">
        <v>1</v>
      </c>
      <c r="AW457">
        <v>46.13</v>
      </c>
      <c r="BA457" t="s">
        <v>5850</v>
      </c>
      <c r="BB457" t="s">
        <v>1322</v>
      </c>
      <c r="BC457">
        <v>7800</v>
      </c>
      <c r="BG457" t="s">
        <v>140</v>
      </c>
      <c r="BJ457" t="s">
        <v>5968</v>
      </c>
      <c r="BL457" t="s">
        <v>6056</v>
      </c>
    </row>
    <row r="458" spans="1:64">
      <c r="A458" s="1">
        <f>HYPERLINK("https://lsnyc.legalserver.org/matter/dynamic-profile/view/1905551","19-1905551")</f>
        <v>0</v>
      </c>
      <c r="B458" t="s">
        <v>65</v>
      </c>
      <c r="C458" t="s">
        <v>139</v>
      </c>
      <c r="D458" t="s">
        <v>200</v>
      </c>
      <c r="E458" t="s">
        <v>202</v>
      </c>
      <c r="F458" t="s">
        <v>247</v>
      </c>
      <c r="G458" t="s">
        <v>202</v>
      </c>
      <c r="H458" t="s">
        <v>271</v>
      </c>
      <c r="I458" t="s">
        <v>202</v>
      </c>
      <c r="J458" t="s">
        <v>289</v>
      </c>
      <c r="K458" t="s">
        <v>292</v>
      </c>
      <c r="M458" t="s">
        <v>290</v>
      </c>
      <c r="N458" t="s">
        <v>202</v>
      </c>
      <c r="O458" t="s">
        <v>421</v>
      </c>
      <c r="P458" t="s">
        <v>427</v>
      </c>
      <c r="S458" t="s">
        <v>841</v>
      </c>
      <c r="T458" t="s">
        <v>1533</v>
      </c>
      <c r="U458" t="s">
        <v>232</v>
      </c>
      <c r="W458" t="s">
        <v>1876</v>
      </c>
      <c r="X458" t="s">
        <v>2306</v>
      </c>
      <c r="Y458">
        <v>21</v>
      </c>
      <c r="Z458" t="s">
        <v>3098</v>
      </c>
      <c r="AA458" t="s">
        <v>3135</v>
      </c>
      <c r="AB458">
        <v>10468</v>
      </c>
      <c r="AD458" t="s">
        <v>3559</v>
      </c>
      <c r="AE458">
        <v>2</v>
      </c>
      <c r="AG458" t="s">
        <v>4030</v>
      </c>
      <c r="AH458" t="s">
        <v>291</v>
      </c>
      <c r="AI458" t="s">
        <v>291</v>
      </c>
      <c r="AK458" t="s">
        <v>4040</v>
      </c>
      <c r="AM458">
        <v>0</v>
      </c>
      <c r="AN458">
        <v>1125</v>
      </c>
      <c r="AO458">
        <v>3.5</v>
      </c>
      <c r="AQ458" t="s">
        <v>4499</v>
      </c>
      <c r="AR458" t="s">
        <v>5373</v>
      </c>
      <c r="AS458">
        <v>30</v>
      </c>
      <c r="AU458">
        <v>1</v>
      </c>
      <c r="AV458">
        <v>0</v>
      </c>
      <c r="AW458">
        <v>145.72</v>
      </c>
      <c r="BA458" t="s">
        <v>5850</v>
      </c>
      <c r="BC458">
        <v>18200</v>
      </c>
      <c r="BG458" t="s">
        <v>140</v>
      </c>
      <c r="BJ458" t="s">
        <v>5949</v>
      </c>
      <c r="BK458" t="s">
        <v>247</v>
      </c>
      <c r="BL458" t="s">
        <v>6056</v>
      </c>
    </row>
    <row r="459" spans="1:64">
      <c r="A459" s="1">
        <f>HYPERLINK("https://lsnyc.legalserver.org/matter/dynamic-profile/view/1909282","19-1909282")</f>
        <v>0</v>
      </c>
      <c r="B459" t="s">
        <v>65</v>
      </c>
      <c r="C459" t="s">
        <v>139</v>
      </c>
      <c r="D459" t="s">
        <v>200</v>
      </c>
      <c r="E459" t="s">
        <v>201</v>
      </c>
      <c r="G459" t="s">
        <v>202</v>
      </c>
      <c r="H459" t="s">
        <v>272</v>
      </c>
      <c r="I459" t="s">
        <v>202</v>
      </c>
      <c r="J459" t="s">
        <v>289</v>
      </c>
      <c r="K459" t="s">
        <v>292</v>
      </c>
      <c r="M459" t="s">
        <v>290</v>
      </c>
      <c r="N459" t="s">
        <v>419</v>
      </c>
      <c r="O459" t="s">
        <v>420</v>
      </c>
      <c r="P459" t="s">
        <v>427</v>
      </c>
      <c r="S459" t="s">
        <v>842</v>
      </c>
      <c r="T459" t="s">
        <v>1534</v>
      </c>
      <c r="U459" t="s">
        <v>263</v>
      </c>
      <c r="W459" t="s">
        <v>1876</v>
      </c>
      <c r="X459" t="s">
        <v>2307</v>
      </c>
      <c r="Y459" t="s">
        <v>2964</v>
      </c>
      <c r="Z459" t="s">
        <v>3098</v>
      </c>
      <c r="AA459" t="s">
        <v>3135</v>
      </c>
      <c r="AB459">
        <v>10457</v>
      </c>
      <c r="AC459" t="s">
        <v>3136</v>
      </c>
      <c r="AD459" t="s">
        <v>3560</v>
      </c>
      <c r="AE459">
        <v>5</v>
      </c>
      <c r="AG459" t="s">
        <v>4030</v>
      </c>
      <c r="AH459" t="s">
        <v>291</v>
      </c>
      <c r="AI459" t="s">
        <v>291</v>
      </c>
      <c r="AK459" t="s">
        <v>4040</v>
      </c>
      <c r="AM459">
        <v>0</v>
      </c>
      <c r="AN459">
        <v>1785.18</v>
      </c>
      <c r="AO459">
        <v>2</v>
      </c>
      <c r="AQ459" t="s">
        <v>4500</v>
      </c>
      <c r="AR459" t="s">
        <v>5374</v>
      </c>
      <c r="AS459">
        <v>0</v>
      </c>
      <c r="AT459" t="s">
        <v>5836</v>
      </c>
      <c r="AU459">
        <v>1</v>
      </c>
      <c r="AV459">
        <v>0</v>
      </c>
      <c r="AW459">
        <v>104.08</v>
      </c>
      <c r="BA459" t="s">
        <v>329</v>
      </c>
      <c r="BB459" t="s">
        <v>1322</v>
      </c>
      <c r="BC459">
        <v>13000</v>
      </c>
      <c r="BG459" t="s">
        <v>5904</v>
      </c>
      <c r="BJ459" t="s">
        <v>5949</v>
      </c>
      <c r="BK459" t="s">
        <v>263</v>
      </c>
      <c r="BL459" t="s">
        <v>6056</v>
      </c>
    </row>
    <row r="460" spans="1:64">
      <c r="A460" s="1">
        <f>HYPERLINK("https://lsnyc.legalserver.org/matter/dynamic-profile/view/1908460","19-1908460")</f>
        <v>0</v>
      </c>
      <c r="B460" t="s">
        <v>65</v>
      </c>
      <c r="C460" t="s">
        <v>139</v>
      </c>
      <c r="D460" t="s">
        <v>200</v>
      </c>
      <c r="E460" t="s">
        <v>201</v>
      </c>
      <c r="G460" t="s">
        <v>202</v>
      </c>
      <c r="H460" t="s">
        <v>271</v>
      </c>
      <c r="I460" t="s">
        <v>202</v>
      </c>
      <c r="J460" t="s">
        <v>289</v>
      </c>
      <c r="K460" t="s">
        <v>292</v>
      </c>
      <c r="M460" t="s">
        <v>290</v>
      </c>
      <c r="N460" t="s">
        <v>419</v>
      </c>
      <c r="O460" t="s">
        <v>420</v>
      </c>
      <c r="P460" t="s">
        <v>427</v>
      </c>
      <c r="S460" t="s">
        <v>843</v>
      </c>
      <c r="T460" t="s">
        <v>1409</v>
      </c>
      <c r="U460" t="s">
        <v>237</v>
      </c>
      <c r="W460" t="s">
        <v>1876</v>
      </c>
      <c r="X460" t="s">
        <v>2308</v>
      </c>
      <c r="Y460" t="s">
        <v>2965</v>
      </c>
      <c r="Z460" t="s">
        <v>3098</v>
      </c>
      <c r="AA460" t="s">
        <v>3135</v>
      </c>
      <c r="AB460">
        <v>10467</v>
      </c>
      <c r="AC460" t="s">
        <v>3136</v>
      </c>
      <c r="AD460" t="s">
        <v>3561</v>
      </c>
      <c r="AE460">
        <v>6</v>
      </c>
      <c r="AG460" t="s">
        <v>4030</v>
      </c>
      <c r="AH460" t="s">
        <v>291</v>
      </c>
      <c r="AI460" t="s">
        <v>291</v>
      </c>
      <c r="AK460" t="s">
        <v>4040</v>
      </c>
      <c r="AM460">
        <v>0</v>
      </c>
      <c r="AN460">
        <v>245</v>
      </c>
      <c r="AO460">
        <v>2.5</v>
      </c>
      <c r="AQ460" t="s">
        <v>4501</v>
      </c>
      <c r="AR460" t="s">
        <v>5375</v>
      </c>
      <c r="AS460">
        <v>0</v>
      </c>
      <c r="AT460" t="s">
        <v>5836</v>
      </c>
      <c r="AU460">
        <v>2</v>
      </c>
      <c r="AV460">
        <v>0</v>
      </c>
      <c r="AW460">
        <v>52.87</v>
      </c>
      <c r="BA460" t="s">
        <v>5857</v>
      </c>
      <c r="BB460" t="s">
        <v>1322</v>
      </c>
      <c r="BC460">
        <v>8940</v>
      </c>
      <c r="BG460" t="s">
        <v>5904</v>
      </c>
      <c r="BJ460" t="s">
        <v>5944</v>
      </c>
      <c r="BK460" t="s">
        <v>243</v>
      </c>
      <c r="BL460" t="s">
        <v>6056</v>
      </c>
    </row>
    <row r="461" spans="1:64">
      <c r="A461" s="1">
        <f>HYPERLINK("https://lsnyc.legalserver.org/matter/dynamic-profile/view/1906803","19-1906803")</f>
        <v>0</v>
      </c>
      <c r="B461" t="s">
        <v>65</v>
      </c>
      <c r="C461" t="s">
        <v>130</v>
      </c>
      <c r="D461" t="s">
        <v>200</v>
      </c>
      <c r="E461" t="s">
        <v>202</v>
      </c>
      <c r="F461" t="s">
        <v>209</v>
      </c>
      <c r="G461" t="s">
        <v>202</v>
      </c>
      <c r="H461" t="s">
        <v>272</v>
      </c>
      <c r="I461" t="s">
        <v>202</v>
      </c>
      <c r="J461" t="s">
        <v>289</v>
      </c>
      <c r="K461" t="s">
        <v>292</v>
      </c>
      <c r="M461" t="s">
        <v>290</v>
      </c>
      <c r="N461" t="s">
        <v>202</v>
      </c>
      <c r="O461" t="s">
        <v>421</v>
      </c>
      <c r="P461" t="s">
        <v>427</v>
      </c>
      <c r="S461" t="s">
        <v>844</v>
      </c>
      <c r="T461" t="s">
        <v>1535</v>
      </c>
      <c r="U461" t="s">
        <v>209</v>
      </c>
      <c r="W461" t="s">
        <v>1876</v>
      </c>
      <c r="X461" t="s">
        <v>2128</v>
      </c>
      <c r="Y461" t="s">
        <v>2793</v>
      </c>
      <c r="Z461" t="s">
        <v>3098</v>
      </c>
      <c r="AA461" t="s">
        <v>3135</v>
      </c>
      <c r="AB461">
        <v>10467</v>
      </c>
      <c r="AC461" t="s">
        <v>3139</v>
      </c>
      <c r="AD461" t="s">
        <v>3562</v>
      </c>
      <c r="AE461">
        <v>20</v>
      </c>
      <c r="AG461" t="s">
        <v>4030</v>
      </c>
      <c r="AH461" t="s">
        <v>291</v>
      </c>
      <c r="AI461" t="s">
        <v>291</v>
      </c>
      <c r="AK461" t="s">
        <v>4040</v>
      </c>
      <c r="AM461">
        <v>0</v>
      </c>
      <c r="AN461">
        <v>1016.76</v>
      </c>
      <c r="AO461">
        <v>3.6</v>
      </c>
      <c r="AQ461" t="s">
        <v>4502</v>
      </c>
      <c r="AR461" t="s">
        <v>5376</v>
      </c>
      <c r="AS461">
        <v>60</v>
      </c>
      <c r="AT461" t="s">
        <v>5838</v>
      </c>
      <c r="AU461">
        <v>2</v>
      </c>
      <c r="AV461">
        <v>0</v>
      </c>
      <c r="AW461">
        <v>36.55</v>
      </c>
      <c r="BA461" t="s">
        <v>329</v>
      </c>
      <c r="BB461" t="s">
        <v>1322</v>
      </c>
      <c r="BC461">
        <v>6180</v>
      </c>
      <c r="BG461" t="s">
        <v>5900</v>
      </c>
      <c r="BJ461" t="s">
        <v>5942</v>
      </c>
      <c r="BK461" t="s">
        <v>220</v>
      </c>
      <c r="BL461" t="s">
        <v>6056</v>
      </c>
    </row>
    <row r="462" spans="1:64">
      <c r="A462" s="1">
        <f>HYPERLINK("https://lsnyc.legalserver.org/matter/dynamic-profile/view/1909798","19-1909798")</f>
        <v>0</v>
      </c>
      <c r="B462" t="s">
        <v>65</v>
      </c>
      <c r="C462" t="s">
        <v>130</v>
      </c>
      <c r="D462" t="s">
        <v>200</v>
      </c>
      <c r="E462" t="s">
        <v>201</v>
      </c>
      <c r="G462" t="s">
        <v>202</v>
      </c>
      <c r="H462" t="s">
        <v>272</v>
      </c>
      <c r="I462" t="s">
        <v>202</v>
      </c>
      <c r="J462" t="s">
        <v>289</v>
      </c>
      <c r="K462" t="s">
        <v>292</v>
      </c>
      <c r="M462" t="s">
        <v>290</v>
      </c>
      <c r="N462" t="s">
        <v>202</v>
      </c>
      <c r="O462" t="s">
        <v>421</v>
      </c>
      <c r="P462" t="s">
        <v>427</v>
      </c>
      <c r="S462" t="s">
        <v>845</v>
      </c>
      <c r="T462" t="s">
        <v>1536</v>
      </c>
      <c r="U462" t="s">
        <v>267</v>
      </c>
      <c r="W462" t="s">
        <v>1876</v>
      </c>
      <c r="X462" t="s">
        <v>2309</v>
      </c>
      <c r="Y462" t="s">
        <v>2815</v>
      </c>
      <c r="Z462" t="s">
        <v>3098</v>
      </c>
      <c r="AA462" t="s">
        <v>3135</v>
      </c>
      <c r="AB462">
        <v>10467</v>
      </c>
      <c r="AC462" t="s">
        <v>3136</v>
      </c>
      <c r="AD462" t="s">
        <v>3563</v>
      </c>
      <c r="AE462">
        <v>25</v>
      </c>
      <c r="AG462" t="s">
        <v>4030</v>
      </c>
      <c r="AH462" t="s">
        <v>291</v>
      </c>
      <c r="AI462" t="s">
        <v>291</v>
      </c>
      <c r="AK462" t="s">
        <v>4040</v>
      </c>
      <c r="AM462">
        <v>0</v>
      </c>
      <c r="AN462">
        <v>0</v>
      </c>
      <c r="AO462">
        <v>2.3</v>
      </c>
      <c r="AQ462" t="s">
        <v>4503</v>
      </c>
      <c r="AR462" t="s">
        <v>5377</v>
      </c>
      <c r="AS462">
        <v>39</v>
      </c>
      <c r="AU462">
        <v>1</v>
      </c>
      <c r="AV462">
        <v>0</v>
      </c>
      <c r="AW462">
        <v>74.08</v>
      </c>
      <c r="BA462" t="s">
        <v>5850</v>
      </c>
      <c r="BB462" t="s">
        <v>1322</v>
      </c>
      <c r="BC462">
        <v>9252</v>
      </c>
      <c r="BG462" t="s">
        <v>5904</v>
      </c>
      <c r="BJ462" t="s">
        <v>5959</v>
      </c>
      <c r="BK462" t="s">
        <v>216</v>
      </c>
      <c r="BL462" t="s">
        <v>6056</v>
      </c>
    </row>
    <row r="463" spans="1:64">
      <c r="A463" s="1">
        <f>HYPERLINK("https://lsnyc.legalserver.org/matter/dynamic-profile/view/1906351","19-1906351")</f>
        <v>0</v>
      </c>
      <c r="B463" t="s">
        <v>65</v>
      </c>
      <c r="C463" t="s">
        <v>140</v>
      </c>
      <c r="D463" t="s">
        <v>200</v>
      </c>
      <c r="E463" t="s">
        <v>201</v>
      </c>
      <c r="G463" t="s">
        <v>202</v>
      </c>
      <c r="H463" t="s">
        <v>272</v>
      </c>
      <c r="I463" t="s">
        <v>288</v>
      </c>
      <c r="J463" t="s">
        <v>291</v>
      </c>
      <c r="K463" t="s">
        <v>292</v>
      </c>
      <c r="M463" t="s">
        <v>290</v>
      </c>
      <c r="N463" t="s">
        <v>419</v>
      </c>
      <c r="P463" t="s">
        <v>427</v>
      </c>
      <c r="S463" t="s">
        <v>846</v>
      </c>
      <c r="T463" t="s">
        <v>1537</v>
      </c>
      <c r="U463" t="s">
        <v>249</v>
      </c>
      <c r="W463" t="s">
        <v>1876</v>
      </c>
      <c r="X463" t="s">
        <v>2310</v>
      </c>
      <c r="Y463" t="s">
        <v>2966</v>
      </c>
      <c r="Z463" t="s">
        <v>3098</v>
      </c>
      <c r="AA463" t="s">
        <v>3135</v>
      </c>
      <c r="AB463">
        <v>10468</v>
      </c>
      <c r="AD463" t="s">
        <v>3564</v>
      </c>
      <c r="AE463">
        <v>3</v>
      </c>
      <c r="AG463" t="s">
        <v>4030</v>
      </c>
      <c r="AH463" t="s">
        <v>291</v>
      </c>
      <c r="AI463" t="s">
        <v>291</v>
      </c>
      <c r="AK463" t="s">
        <v>4040</v>
      </c>
      <c r="AM463">
        <v>0</v>
      </c>
      <c r="AN463">
        <v>1300</v>
      </c>
      <c r="AO463">
        <v>0</v>
      </c>
      <c r="AQ463" t="s">
        <v>4504</v>
      </c>
      <c r="AS463">
        <v>72</v>
      </c>
      <c r="AU463">
        <v>1</v>
      </c>
      <c r="AV463">
        <v>0</v>
      </c>
      <c r="AW463">
        <v>480.38</v>
      </c>
      <c r="BB463" t="s">
        <v>1322</v>
      </c>
      <c r="BC463">
        <v>60000</v>
      </c>
      <c r="BG463" t="s">
        <v>140</v>
      </c>
      <c r="BJ463" t="s">
        <v>5949</v>
      </c>
    </row>
    <row r="464" spans="1:64">
      <c r="A464" s="1">
        <f>HYPERLINK("https://lsnyc.legalserver.org/matter/dynamic-profile/view/1909301","19-1909301")</f>
        <v>0</v>
      </c>
      <c r="B464" t="s">
        <v>65</v>
      </c>
      <c r="C464" t="s">
        <v>141</v>
      </c>
      <c r="D464" t="s">
        <v>200</v>
      </c>
      <c r="E464" t="s">
        <v>201</v>
      </c>
      <c r="G464" t="s">
        <v>270</v>
      </c>
      <c r="I464" t="s">
        <v>202</v>
      </c>
      <c r="J464" t="s">
        <v>289</v>
      </c>
      <c r="K464" t="s">
        <v>292</v>
      </c>
      <c r="M464" t="s">
        <v>290</v>
      </c>
      <c r="N464" t="s">
        <v>202</v>
      </c>
      <c r="O464" t="s">
        <v>422</v>
      </c>
      <c r="P464" t="s">
        <v>428</v>
      </c>
      <c r="S464" t="s">
        <v>847</v>
      </c>
      <c r="T464" t="s">
        <v>1345</v>
      </c>
      <c r="U464" t="s">
        <v>263</v>
      </c>
      <c r="V464" t="s">
        <v>234</v>
      </c>
      <c r="W464" t="s">
        <v>1877</v>
      </c>
      <c r="X464" t="s">
        <v>2311</v>
      </c>
      <c r="Y464" t="s">
        <v>2830</v>
      </c>
      <c r="Z464" t="s">
        <v>3098</v>
      </c>
      <c r="AA464" t="s">
        <v>3135</v>
      </c>
      <c r="AB464">
        <v>10456</v>
      </c>
      <c r="AC464" t="s">
        <v>3139</v>
      </c>
      <c r="AD464" t="s">
        <v>3565</v>
      </c>
      <c r="AE464">
        <v>4</v>
      </c>
      <c r="AF464" t="s">
        <v>4023</v>
      </c>
      <c r="AG464" t="s">
        <v>4031</v>
      </c>
      <c r="AH464" t="s">
        <v>291</v>
      </c>
      <c r="AI464" t="s">
        <v>291</v>
      </c>
      <c r="AK464" t="s">
        <v>4041</v>
      </c>
      <c r="AM464">
        <v>0</v>
      </c>
      <c r="AN464">
        <v>236</v>
      </c>
      <c r="AO464">
        <v>0.1</v>
      </c>
      <c r="AP464" t="s">
        <v>4052</v>
      </c>
      <c r="AQ464" t="s">
        <v>4505</v>
      </c>
      <c r="AR464" t="s">
        <v>5378</v>
      </c>
      <c r="AS464">
        <v>0</v>
      </c>
      <c r="AT464" t="s">
        <v>5837</v>
      </c>
      <c r="AU464">
        <v>1</v>
      </c>
      <c r="AV464">
        <v>3</v>
      </c>
      <c r="AW464">
        <v>18.13</v>
      </c>
      <c r="BA464" t="s">
        <v>3143</v>
      </c>
      <c r="BB464" t="s">
        <v>1322</v>
      </c>
      <c r="BC464">
        <v>4668</v>
      </c>
      <c r="BG464" t="s">
        <v>5906</v>
      </c>
      <c r="BJ464" t="s">
        <v>5960</v>
      </c>
      <c r="BK464" t="s">
        <v>234</v>
      </c>
      <c r="BL464" t="s">
        <v>6056</v>
      </c>
    </row>
    <row r="465" spans="1:64">
      <c r="A465" s="1">
        <f>HYPERLINK("https://lsnyc.legalserver.org/matter/dynamic-profile/view/1910286","19-1910286")</f>
        <v>0</v>
      </c>
      <c r="B465" t="s">
        <v>65</v>
      </c>
      <c r="C465" t="s">
        <v>135</v>
      </c>
      <c r="D465" t="s">
        <v>200</v>
      </c>
      <c r="E465" t="s">
        <v>201</v>
      </c>
      <c r="G465" t="s">
        <v>202</v>
      </c>
      <c r="H465" t="s">
        <v>272</v>
      </c>
      <c r="I465" t="s">
        <v>202</v>
      </c>
      <c r="J465" t="s">
        <v>289</v>
      </c>
      <c r="K465" t="s">
        <v>292</v>
      </c>
      <c r="M465" t="s">
        <v>290</v>
      </c>
      <c r="N465" t="s">
        <v>419</v>
      </c>
      <c r="P465" t="s">
        <v>427</v>
      </c>
      <c r="S465" t="s">
        <v>759</v>
      </c>
      <c r="T465" t="s">
        <v>1460</v>
      </c>
      <c r="U465" t="s">
        <v>216</v>
      </c>
      <c r="W465" t="s">
        <v>1876</v>
      </c>
      <c r="X465" t="s">
        <v>2212</v>
      </c>
      <c r="Y465">
        <v>512</v>
      </c>
      <c r="Z465" t="s">
        <v>3098</v>
      </c>
      <c r="AA465" t="s">
        <v>3135</v>
      </c>
      <c r="AB465">
        <v>10451</v>
      </c>
      <c r="AC465" t="s">
        <v>3144</v>
      </c>
      <c r="AD465" t="s">
        <v>3566</v>
      </c>
      <c r="AE465">
        <v>2</v>
      </c>
      <c r="AG465" t="s">
        <v>4031</v>
      </c>
      <c r="AH465" t="s">
        <v>291</v>
      </c>
      <c r="AK465" t="s">
        <v>4040</v>
      </c>
      <c r="AL465" t="s">
        <v>4049</v>
      </c>
      <c r="AM465">
        <v>0</v>
      </c>
      <c r="AN465">
        <v>1043</v>
      </c>
      <c r="AO465">
        <v>2.55</v>
      </c>
      <c r="AQ465" t="s">
        <v>4506</v>
      </c>
      <c r="AR465" t="s">
        <v>5379</v>
      </c>
      <c r="AS465">
        <v>0</v>
      </c>
      <c r="AT465" t="s">
        <v>5838</v>
      </c>
      <c r="AU465">
        <v>2</v>
      </c>
      <c r="AV465">
        <v>0</v>
      </c>
      <c r="AW465">
        <v>76.88</v>
      </c>
      <c r="AY465" t="s">
        <v>5849</v>
      </c>
      <c r="BB465" t="s">
        <v>1322</v>
      </c>
      <c r="BC465">
        <v>13000</v>
      </c>
      <c r="BG465" t="s">
        <v>5905</v>
      </c>
      <c r="BJ465" t="s">
        <v>5955</v>
      </c>
      <c r="BK465" t="s">
        <v>216</v>
      </c>
      <c r="BL465" t="s">
        <v>6056</v>
      </c>
    </row>
    <row r="466" spans="1:64">
      <c r="A466" s="1">
        <f>HYPERLINK("https://lsnyc.legalserver.org/matter/dynamic-profile/view/1904054","19-1904054")</f>
        <v>0</v>
      </c>
      <c r="B466" t="s">
        <v>65</v>
      </c>
      <c r="C466" t="s">
        <v>130</v>
      </c>
      <c r="D466" t="s">
        <v>200</v>
      </c>
      <c r="E466" t="s">
        <v>202</v>
      </c>
      <c r="F466" t="s">
        <v>228</v>
      </c>
      <c r="G466" t="s">
        <v>202</v>
      </c>
      <c r="H466" t="s">
        <v>272</v>
      </c>
      <c r="I466" t="s">
        <v>202</v>
      </c>
      <c r="J466" t="s">
        <v>289</v>
      </c>
      <c r="K466" t="s">
        <v>292</v>
      </c>
      <c r="M466" t="s">
        <v>290</v>
      </c>
      <c r="N466" t="s">
        <v>202</v>
      </c>
      <c r="O466" t="s">
        <v>421</v>
      </c>
      <c r="P466" t="s">
        <v>427</v>
      </c>
      <c r="S466" t="s">
        <v>848</v>
      </c>
      <c r="T466" t="s">
        <v>1538</v>
      </c>
      <c r="U466" t="s">
        <v>251</v>
      </c>
      <c r="W466" t="s">
        <v>1876</v>
      </c>
      <c r="X466" t="s">
        <v>2312</v>
      </c>
      <c r="Y466" t="s">
        <v>2833</v>
      </c>
      <c r="Z466" t="s">
        <v>3098</v>
      </c>
      <c r="AA466" t="s">
        <v>3135</v>
      </c>
      <c r="AB466">
        <v>10468</v>
      </c>
      <c r="AC466" t="s">
        <v>3136</v>
      </c>
      <c r="AD466" t="s">
        <v>3567</v>
      </c>
      <c r="AE466">
        <v>16</v>
      </c>
      <c r="AG466" t="s">
        <v>4030</v>
      </c>
      <c r="AH466" t="s">
        <v>291</v>
      </c>
      <c r="AI466" t="s">
        <v>291</v>
      </c>
      <c r="AK466" t="s">
        <v>4040</v>
      </c>
      <c r="AM466">
        <v>0</v>
      </c>
      <c r="AN466">
        <v>887</v>
      </c>
      <c r="AO466">
        <v>3.5</v>
      </c>
      <c r="AQ466" t="s">
        <v>4507</v>
      </c>
      <c r="AR466" t="s">
        <v>5380</v>
      </c>
      <c r="AS466">
        <v>61</v>
      </c>
      <c r="AT466" t="s">
        <v>5838</v>
      </c>
      <c r="AU466">
        <v>1</v>
      </c>
      <c r="AV466">
        <v>0</v>
      </c>
      <c r="AW466">
        <v>204.64</v>
      </c>
      <c r="AX466" t="s">
        <v>228</v>
      </c>
      <c r="AY466" t="s">
        <v>5849</v>
      </c>
      <c r="BA466" t="s">
        <v>329</v>
      </c>
      <c r="BB466" t="s">
        <v>5859</v>
      </c>
      <c r="BC466">
        <v>25560</v>
      </c>
      <c r="BG466" t="s">
        <v>140</v>
      </c>
      <c r="BJ466" t="s">
        <v>6010</v>
      </c>
      <c r="BK466" t="s">
        <v>235</v>
      </c>
      <c r="BL466" t="s">
        <v>6056</v>
      </c>
    </row>
    <row r="467" spans="1:64">
      <c r="A467" s="1">
        <f>HYPERLINK("https://lsnyc.legalserver.org/matter/dynamic-profile/view/1906692","19-1906692")</f>
        <v>0</v>
      </c>
      <c r="B467" t="s">
        <v>65</v>
      </c>
      <c r="C467" t="s">
        <v>130</v>
      </c>
      <c r="D467" t="s">
        <v>200</v>
      </c>
      <c r="E467" t="s">
        <v>202</v>
      </c>
      <c r="F467" t="s">
        <v>241</v>
      </c>
      <c r="G467" t="s">
        <v>202</v>
      </c>
      <c r="H467" t="s">
        <v>271</v>
      </c>
      <c r="I467" t="s">
        <v>202</v>
      </c>
      <c r="J467" t="s">
        <v>289</v>
      </c>
      <c r="K467" t="s">
        <v>292</v>
      </c>
      <c r="M467" t="s">
        <v>290</v>
      </c>
      <c r="N467" t="s">
        <v>202</v>
      </c>
      <c r="O467" t="s">
        <v>421</v>
      </c>
      <c r="P467" t="s">
        <v>427</v>
      </c>
      <c r="S467" t="s">
        <v>833</v>
      </c>
      <c r="T467" t="s">
        <v>1527</v>
      </c>
      <c r="U467" t="s">
        <v>241</v>
      </c>
      <c r="W467" t="s">
        <v>1876</v>
      </c>
      <c r="X467" t="s">
        <v>2299</v>
      </c>
      <c r="Y467" t="s">
        <v>2962</v>
      </c>
      <c r="Z467" t="s">
        <v>3098</v>
      </c>
      <c r="AA467" t="s">
        <v>3135</v>
      </c>
      <c r="AB467">
        <v>10462</v>
      </c>
      <c r="AC467" t="s">
        <v>3144</v>
      </c>
      <c r="AD467" t="s">
        <v>3568</v>
      </c>
      <c r="AE467">
        <v>1</v>
      </c>
      <c r="AG467" t="s">
        <v>4030</v>
      </c>
      <c r="AH467" t="s">
        <v>291</v>
      </c>
      <c r="AI467" t="s">
        <v>291</v>
      </c>
      <c r="AK467" t="s">
        <v>4040</v>
      </c>
      <c r="AM467">
        <v>0</v>
      </c>
      <c r="AN467">
        <v>1382</v>
      </c>
      <c r="AO467">
        <v>5.5</v>
      </c>
      <c r="AQ467" t="s">
        <v>4490</v>
      </c>
      <c r="AR467" t="s">
        <v>5365</v>
      </c>
      <c r="AS467">
        <v>2141</v>
      </c>
      <c r="AT467" t="s">
        <v>5836</v>
      </c>
      <c r="AU467">
        <v>1</v>
      </c>
      <c r="AV467">
        <v>0</v>
      </c>
      <c r="AW467">
        <v>91.59</v>
      </c>
      <c r="BA467" t="s">
        <v>329</v>
      </c>
      <c r="BB467" t="s">
        <v>1322</v>
      </c>
      <c r="BC467">
        <v>11440</v>
      </c>
      <c r="BG467" t="s">
        <v>5900</v>
      </c>
      <c r="BJ467" t="s">
        <v>5946</v>
      </c>
      <c r="BK467" t="s">
        <v>267</v>
      </c>
      <c r="BL467" t="s">
        <v>6056</v>
      </c>
    </row>
    <row r="468" spans="1:64">
      <c r="A468" s="1">
        <f>HYPERLINK("https://lsnyc.legalserver.org/matter/dynamic-profile/view/1910349","19-1910349")</f>
        <v>0</v>
      </c>
      <c r="B468" t="s">
        <v>65</v>
      </c>
      <c r="C468" t="s">
        <v>137</v>
      </c>
      <c r="D468" t="s">
        <v>200</v>
      </c>
      <c r="E468" t="s">
        <v>201</v>
      </c>
      <c r="G468" t="s">
        <v>202</v>
      </c>
      <c r="H468" t="s">
        <v>271</v>
      </c>
      <c r="I468" t="s">
        <v>202</v>
      </c>
      <c r="J468" t="s">
        <v>289</v>
      </c>
      <c r="K468" t="s">
        <v>292</v>
      </c>
      <c r="M468" t="s">
        <v>290</v>
      </c>
      <c r="N468" t="s">
        <v>202</v>
      </c>
      <c r="O468" t="s">
        <v>421</v>
      </c>
      <c r="P468" t="s">
        <v>427</v>
      </c>
      <c r="S468" t="s">
        <v>849</v>
      </c>
      <c r="T468" t="s">
        <v>1184</v>
      </c>
      <c r="U468" t="s">
        <v>216</v>
      </c>
      <c r="W468" t="s">
        <v>1876</v>
      </c>
      <c r="X468" t="s">
        <v>2313</v>
      </c>
      <c r="Y468" t="s">
        <v>2830</v>
      </c>
      <c r="Z468" t="s">
        <v>3098</v>
      </c>
      <c r="AA468" t="s">
        <v>3135</v>
      </c>
      <c r="AB468">
        <v>10457</v>
      </c>
      <c r="AC468" t="s">
        <v>3139</v>
      </c>
      <c r="AD468" t="s">
        <v>3569</v>
      </c>
      <c r="AE468">
        <v>2</v>
      </c>
      <c r="AG468" t="s">
        <v>4030</v>
      </c>
      <c r="AH468" t="s">
        <v>291</v>
      </c>
      <c r="AI468" t="s">
        <v>291</v>
      </c>
      <c r="AK468" t="s">
        <v>4040</v>
      </c>
      <c r="AM468">
        <v>0</v>
      </c>
      <c r="AN468">
        <v>0</v>
      </c>
      <c r="AO468">
        <v>0</v>
      </c>
      <c r="AQ468" t="s">
        <v>4508</v>
      </c>
      <c r="AR468" t="s">
        <v>5381</v>
      </c>
      <c r="AS468">
        <v>32</v>
      </c>
      <c r="AT468" t="s">
        <v>5838</v>
      </c>
      <c r="AU468">
        <v>1</v>
      </c>
      <c r="AV468">
        <v>0</v>
      </c>
      <c r="AW468">
        <v>0</v>
      </c>
      <c r="BA468" t="s">
        <v>329</v>
      </c>
      <c r="BB468" t="s">
        <v>1322</v>
      </c>
      <c r="BC468">
        <v>0</v>
      </c>
      <c r="BG468" t="s">
        <v>5901</v>
      </c>
      <c r="BJ468" t="s">
        <v>5945</v>
      </c>
      <c r="BL468" t="s">
        <v>6056</v>
      </c>
    </row>
    <row r="469" spans="1:64">
      <c r="A469" s="1">
        <f>HYPERLINK("https://lsnyc.legalserver.org/matter/dynamic-profile/view/1905309","19-1905309")</f>
        <v>0</v>
      </c>
      <c r="B469" t="s">
        <v>65</v>
      </c>
      <c r="C469" t="s">
        <v>137</v>
      </c>
      <c r="D469" t="s">
        <v>200</v>
      </c>
      <c r="E469" t="s">
        <v>202</v>
      </c>
      <c r="F469" t="s">
        <v>231</v>
      </c>
      <c r="G469" t="s">
        <v>202</v>
      </c>
      <c r="H469" t="s">
        <v>272</v>
      </c>
      <c r="I469" t="s">
        <v>202</v>
      </c>
      <c r="J469" t="s">
        <v>289</v>
      </c>
      <c r="K469" t="s">
        <v>292</v>
      </c>
      <c r="M469" t="s">
        <v>290</v>
      </c>
      <c r="N469" t="s">
        <v>202</v>
      </c>
      <c r="O469" t="s">
        <v>421</v>
      </c>
      <c r="P469" t="s">
        <v>427</v>
      </c>
      <c r="S469" t="s">
        <v>850</v>
      </c>
      <c r="T469" t="s">
        <v>1539</v>
      </c>
      <c r="U469" t="s">
        <v>231</v>
      </c>
      <c r="W469" t="s">
        <v>1876</v>
      </c>
      <c r="X469" t="s">
        <v>2314</v>
      </c>
      <c r="Y469" t="s">
        <v>2815</v>
      </c>
      <c r="Z469" t="s">
        <v>3098</v>
      </c>
      <c r="AA469" t="s">
        <v>3135</v>
      </c>
      <c r="AB469">
        <v>10457</v>
      </c>
      <c r="AC469" t="s">
        <v>3141</v>
      </c>
      <c r="AD469" t="s">
        <v>3570</v>
      </c>
      <c r="AE469">
        <v>0</v>
      </c>
      <c r="AG469" t="s">
        <v>4030</v>
      </c>
      <c r="AH469" t="s">
        <v>291</v>
      </c>
      <c r="AI469" t="s">
        <v>291</v>
      </c>
      <c r="AK469" t="s">
        <v>4040</v>
      </c>
      <c r="AL469" t="s">
        <v>4046</v>
      </c>
      <c r="AM469">
        <v>0</v>
      </c>
      <c r="AN469">
        <v>1250</v>
      </c>
      <c r="AO469">
        <v>8.25</v>
      </c>
      <c r="AQ469" t="s">
        <v>4509</v>
      </c>
      <c r="AR469" t="s">
        <v>5382</v>
      </c>
      <c r="AS469">
        <v>21</v>
      </c>
      <c r="AT469" t="s">
        <v>5838</v>
      </c>
      <c r="AU469">
        <v>3</v>
      </c>
      <c r="AV469">
        <v>3</v>
      </c>
      <c r="AW469">
        <v>184.39</v>
      </c>
      <c r="BC469">
        <v>63780</v>
      </c>
      <c r="BG469" t="s">
        <v>140</v>
      </c>
      <c r="BJ469" t="s">
        <v>5949</v>
      </c>
      <c r="BK469" t="s">
        <v>222</v>
      </c>
      <c r="BL469" t="s">
        <v>6056</v>
      </c>
    </row>
    <row r="470" spans="1:64">
      <c r="A470" s="1">
        <f>HYPERLINK("https://lsnyc.legalserver.org/matter/dynamic-profile/view/1907943","19-1907943")</f>
        <v>0</v>
      </c>
      <c r="B470" t="s">
        <v>65</v>
      </c>
      <c r="C470" t="s">
        <v>137</v>
      </c>
      <c r="D470" t="s">
        <v>200</v>
      </c>
      <c r="E470" t="s">
        <v>201</v>
      </c>
      <c r="G470" t="s">
        <v>202</v>
      </c>
      <c r="H470" t="s">
        <v>272</v>
      </c>
      <c r="I470" t="s">
        <v>202</v>
      </c>
      <c r="J470" t="s">
        <v>289</v>
      </c>
      <c r="K470" t="s">
        <v>292</v>
      </c>
      <c r="M470" t="s">
        <v>290</v>
      </c>
      <c r="N470" t="s">
        <v>419</v>
      </c>
      <c r="P470" t="s">
        <v>427</v>
      </c>
      <c r="S470" t="s">
        <v>851</v>
      </c>
      <c r="T470" t="s">
        <v>1540</v>
      </c>
      <c r="U470" t="s">
        <v>247</v>
      </c>
      <c r="W470" t="s">
        <v>1876</v>
      </c>
      <c r="X470" t="s">
        <v>2315</v>
      </c>
      <c r="Y470" t="s">
        <v>2824</v>
      </c>
      <c r="Z470" t="s">
        <v>3098</v>
      </c>
      <c r="AA470" t="s">
        <v>3135</v>
      </c>
      <c r="AB470">
        <v>10467</v>
      </c>
      <c r="AC470" t="s">
        <v>3139</v>
      </c>
      <c r="AD470" t="s">
        <v>3571</v>
      </c>
      <c r="AE470">
        <v>2</v>
      </c>
      <c r="AG470" t="s">
        <v>4030</v>
      </c>
      <c r="AH470" t="s">
        <v>291</v>
      </c>
      <c r="AI470" t="s">
        <v>291</v>
      </c>
      <c r="AK470" t="s">
        <v>4040</v>
      </c>
      <c r="AM470">
        <v>0</v>
      </c>
      <c r="AN470">
        <v>1490</v>
      </c>
      <c r="AO470">
        <v>0.9</v>
      </c>
      <c r="AQ470" t="s">
        <v>4510</v>
      </c>
      <c r="AR470" t="s">
        <v>5383</v>
      </c>
      <c r="AS470">
        <v>97</v>
      </c>
      <c r="AT470" t="s">
        <v>5842</v>
      </c>
      <c r="AU470">
        <v>2</v>
      </c>
      <c r="AV470">
        <v>1</v>
      </c>
      <c r="AW470">
        <v>381.28</v>
      </c>
      <c r="BA470" t="s">
        <v>329</v>
      </c>
      <c r="BB470" t="s">
        <v>1322</v>
      </c>
      <c r="BC470">
        <v>81328</v>
      </c>
      <c r="BG470" t="s">
        <v>5901</v>
      </c>
      <c r="BJ470" t="s">
        <v>5949</v>
      </c>
      <c r="BK470" t="s">
        <v>252</v>
      </c>
      <c r="BL470" t="s">
        <v>6056</v>
      </c>
    </row>
    <row r="471" spans="1:64">
      <c r="A471" s="1">
        <f>HYPERLINK("https://lsnyc.legalserver.org/matter/dynamic-profile/view/1910317","19-1910317")</f>
        <v>0</v>
      </c>
      <c r="B471" t="s">
        <v>65</v>
      </c>
      <c r="C471" t="s">
        <v>137</v>
      </c>
      <c r="D471" t="s">
        <v>200</v>
      </c>
      <c r="E471" t="s">
        <v>201</v>
      </c>
      <c r="G471" t="s">
        <v>202</v>
      </c>
      <c r="H471" t="s">
        <v>272</v>
      </c>
      <c r="I471" t="s">
        <v>202</v>
      </c>
      <c r="J471" t="s">
        <v>289</v>
      </c>
      <c r="K471" t="s">
        <v>292</v>
      </c>
      <c r="M471" t="s">
        <v>290</v>
      </c>
      <c r="N471" t="s">
        <v>202</v>
      </c>
      <c r="O471" t="s">
        <v>421</v>
      </c>
      <c r="P471" t="s">
        <v>427</v>
      </c>
      <c r="S471" t="s">
        <v>852</v>
      </c>
      <c r="T471" t="s">
        <v>1245</v>
      </c>
      <c r="U471" t="s">
        <v>216</v>
      </c>
      <c r="W471" t="s">
        <v>1876</v>
      </c>
      <c r="X471" t="s">
        <v>2316</v>
      </c>
      <c r="Y471" t="s">
        <v>2824</v>
      </c>
      <c r="Z471" t="s">
        <v>3098</v>
      </c>
      <c r="AA471" t="s">
        <v>3135</v>
      </c>
      <c r="AB471">
        <v>10468</v>
      </c>
      <c r="AC471" t="s">
        <v>3139</v>
      </c>
      <c r="AD471" t="s">
        <v>3572</v>
      </c>
      <c r="AE471">
        <v>8</v>
      </c>
      <c r="AG471" t="s">
        <v>4030</v>
      </c>
      <c r="AH471" t="s">
        <v>291</v>
      </c>
      <c r="AI471" t="s">
        <v>291</v>
      </c>
      <c r="AK471" t="s">
        <v>4040</v>
      </c>
      <c r="AM471">
        <v>0</v>
      </c>
      <c r="AN471">
        <v>1854</v>
      </c>
      <c r="AO471">
        <v>0</v>
      </c>
      <c r="AQ471" t="s">
        <v>4511</v>
      </c>
      <c r="AR471" t="s">
        <v>5384</v>
      </c>
      <c r="AS471">
        <v>47</v>
      </c>
      <c r="AT471" t="s">
        <v>5838</v>
      </c>
      <c r="AU471">
        <v>2</v>
      </c>
      <c r="AV471">
        <v>2</v>
      </c>
      <c r="AW471">
        <v>71.59</v>
      </c>
      <c r="BA471" t="s">
        <v>329</v>
      </c>
      <c r="BB471" t="s">
        <v>5859</v>
      </c>
      <c r="BC471">
        <v>18434</v>
      </c>
      <c r="BG471" t="s">
        <v>5901</v>
      </c>
      <c r="BJ471" t="s">
        <v>5948</v>
      </c>
      <c r="BL471" t="s">
        <v>6056</v>
      </c>
    </row>
    <row r="472" spans="1:64">
      <c r="A472" s="1">
        <f>HYPERLINK("https://lsnyc.legalserver.org/matter/dynamic-profile/view/1908845","19-1908845")</f>
        <v>0</v>
      </c>
      <c r="B472" t="s">
        <v>65</v>
      </c>
      <c r="C472" t="s">
        <v>137</v>
      </c>
      <c r="D472" t="s">
        <v>200</v>
      </c>
      <c r="E472" t="s">
        <v>201</v>
      </c>
      <c r="G472" t="s">
        <v>202</v>
      </c>
      <c r="H472" t="s">
        <v>272</v>
      </c>
      <c r="I472" t="s">
        <v>202</v>
      </c>
      <c r="J472" t="s">
        <v>289</v>
      </c>
      <c r="K472" t="s">
        <v>202</v>
      </c>
      <c r="L472" t="s">
        <v>351</v>
      </c>
      <c r="M472" t="s">
        <v>290</v>
      </c>
      <c r="N472" t="s">
        <v>202</v>
      </c>
      <c r="O472" t="s">
        <v>421</v>
      </c>
      <c r="P472" t="s">
        <v>427</v>
      </c>
      <c r="S472" t="s">
        <v>853</v>
      </c>
      <c r="T472" t="s">
        <v>1541</v>
      </c>
      <c r="U472" t="s">
        <v>219</v>
      </c>
      <c r="W472" t="s">
        <v>1876</v>
      </c>
      <c r="X472" t="s">
        <v>2106</v>
      </c>
      <c r="Y472" t="s">
        <v>2967</v>
      </c>
      <c r="Z472" t="s">
        <v>3098</v>
      </c>
      <c r="AA472" t="s">
        <v>3135</v>
      </c>
      <c r="AB472">
        <v>10457</v>
      </c>
      <c r="AC472" t="s">
        <v>3139</v>
      </c>
      <c r="AD472" t="s">
        <v>3573</v>
      </c>
      <c r="AE472">
        <v>2</v>
      </c>
      <c r="AG472" t="s">
        <v>4030</v>
      </c>
      <c r="AH472" t="s">
        <v>291</v>
      </c>
      <c r="AI472" t="s">
        <v>291</v>
      </c>
      <c r="AK472" t="s">
        <v>4040</v>
      </c>
      <c r="AM472">
        <v>0</v>
      </c>
      <c r="AN472">
        <v>1268</v>
      </c>
      <c r="AO472">
        <v>3.3</v>
      </c>
      <c r="AQ472" t="s">
        <v>4512</v>
      </c>
      <c r="AR472" t="s">
        <v>5385</v>
      </c>
      <c r="AS472">
        <v>49</v>
      </c>
      <c r="AT472" t="s">
        <v>5838</v>
      </c>
      <c r="AU472">
        <v>1</v>
      </c>
      <c r="AV472">
        <v>2</v>
      </c>
      <c r="AW472">
        <v>0</v>
      </c>
      <c r="BA472" t="s">
        <v>5853</v>
      </c>
      <c r="BB472" t="s">
        <v>5859</v>
      </c>
      <c r="BC472">
        <v>0</v>
      </c>
      <c r="BG472" t="s">
        <v>5901</v>
      </c>
      <c r="BJ472" t="s">
        <v>5965</v>
      </c>
      <c r="BK472" t="s">
        <v>216</v>
      </c>
      <c r="BL472" t="s">
        <v>6057</v>
      </c>
    </row>
    <row r="473" spans="1:64">
      <c r="A473" s="1">
        <f>HYPERLINK("https://lsnyc.legalserver.org/matter/dynamic-profile/view/1908881","19-1908881")</f>
        <v>0</v>
      </c>
      <c r="B473" t="s">
        <v>65</v>
      </c>
      <c r="C473" t="s">
        <v>137</v>
      </c>
      <c r="D473" t="s">
        <v>200</v>
      </c>
      <c r="E473" t="s">
        <v>202</v>
      </c>
      <c r="F473" t="s">
        <v>238</v>
      </c>
      <c r="G473" t="s">
        <v>202</v>
      </c>
      <c r="H473" t="s">
        <v>272</v>
      </c>
      <c r="I473" t="s">
        <v>202</v>
      </c>
      <c r="J473" t="s">
        <v>289</v>
      </c>
      <c r="K473" t="s">
        <v>292</v>
      </c>
      <c r="M473" t="s">
        <v>290</v>
      </c>
      <c r="N473" t="s">
        <v>202</v>
      </c>
      <c r="O473" t="s">
        <v>421</v>
      </c>
      <c r="P473" t="s">
        <v>427</v>
      </c>
      <c r="S473" t="s">
        <v>854</v>
      </c>
      <c r="T473" t="s">
        <v>1542</v>
      </c>
      <c r="U473" t="s">
        <v>238</v>
      </c>
      <c r="W473" t="s">
        <v>1876</v>
      </c>
      <c r="X473" t="s">
        <v>2317</v>
      </c>
      <c r="Y473" t="s">
        <v>2968</v>
      </c>
      <c r="Z473" t="s">
        <v>3098</v>
      </c>
      <c r="AA473" t="s">
        <v>3135</v>
      </c>
      <c r="AB473">
        <v>10459</v>
      </c>
      <c r="AC473" t="s">
        <v>3144</v>
      </c>
      <c r="AD473" t="s">
        <v>3574</v>
      </c>
      <c r="AE473">
        <v>1</v>
      </c>
      <c r="AG473" t="s">
        <v>4031</v>
      </c>
      <c r="AH473" t="s">
        <v>291</v>
      </c>
      <c r="AI473" t="s">
        <v>291</v>
      </c>
      <c r="AK473" t="s">
        <v>4040</v>
      </c>
      <c r="AM473">
        <v>0</v>
      </c>
      <c r="AN473">
        <v>1650</v>
      </c>
      <c r="AO473">
        <v>14.75</v>
      </c>
      <c r="AQ473" t="s">
        <v>4513</v>
      </c>
      <c r="AR473" t="s">
        <v>5386</v>
      </c>
      <c r="AS473">
        <v>60</v>
      </c>
      <c r="AU473">
        <v>2</v>
      </c>
      <c r="AV473">
        <v>1</v>
      </c>
      <c r="AW473">
        <v>37.24</v>
      </c>
      <c r="AY473" t="s">
        <v>5849</v>
      </c>
      <c r="BA473" t="s">
        <v>5858</v>
      </c>
      <c r="BB473" t="s">
        <v>1322</v>
      </c>
      <c r="BC473">
        <v>7944</v>
      </c>
      <c r="BG473" t="s">
        <v>5905</v>
      </c>
      <c r="BJ473" t="s">
        <v>5942</v>
      </c>
      <c r="BK473" t="s">
        <v>243</v>
      </c>
      <c r="BL473" t="s">
        <v>6056</v>
      </c>
    </row>
    <row r="474" spans="1:64">
      <c r="A474" s="1">
        <f>HYPERLINK("https://lsnyc.legalserver.org/matter/dynamic-profile/view/1906531","19-1906531")</f>
        <v>0</v>
      </c>
      <c r="B474" t="s">
        <v>65</v>
      </c>
      <c r="C474" t="s">
        <v>137</v>
      </c>
      <c r="D474" t="s">
        <v>200</v>
      </c>
      <c r="E474" t="s">
        <v>202</v>
      </c>
      <c r="F474" t="s">
        <v>253</v>
      </c>
      <c r="G474" t="s">
        <v>202</v>
      </c>
      <c r="H474" t="s">
        <v>271</v>
      </c>
      <c r="I474" t="s">
        <v>202</v>
      </c>
      <c r="J474" t="s">
        <v>289</v>
      </c>
      <c r="K474" t="s">
        <v>292</v>
      </c>
      <c r="M474" t="s">
        <v>290</v>
      </c>
      <c r="N474" t="s">
        <v>202</v>
      </c>
      <c r="O474" t="s">
        <v>421</v>
      </c>
      <c r="P474" t="s">
        <v>427</v>
      </c>
      <c r="S474" t="s">
        <v>855</v>
      </c>
      <c r="T474" t="s">
        <v>1543</v>
      </c>
      <c r="U474" t="s">
        <v>253</v>
      </c>
      <c r="W474" t="s">
        <v>1876</v>
      </c>
      <c r="X474" t="s">
        <v>2318</v>
      </c>
      <c r="Y474" t="s">
        <v>2843</v>
      </c>
      <c r="Z474" t="s">
        <v>3098</v>
      </c>
      <c r="AA474" t="s">
        <v>3135</v>
      </c>
      <c r="AB474">
        <v>10474</v>
      </c>
      <c r="AD474" t="s">
        <v>3575</v>
      </c>
      <c r="AE474">
        <v>8</v>
      </c>
      <c r="AG474" t="s">
        <v>4031</v>
      </c>
      <c r="AH474" t="s">
        <v>291</v>
      </c>
      <c r="AI474" t="s">
        <v>291</v>
      </c>
      <c r="AK474" t="s">
        <v>4040</v>
      </c>
      <c r="AL474" t="s">
        <v>4046</v>
      </c>
      <c r="AM474">
        <v>0</v>
      </c>
      <c r="AN474">
        <v>1451.05</v>
      </c>
      <c r="AO474">
        <v>26.85</v>
      </c>
      <c r="AQ474" t="s">
        <v>4514</v>
      </c>
      <c r="AS474">
        <v>28</v>
      </c>
      <c r="AT474" t="s">
        <v>5838</v>
      </c>
      <c r="AU474">
        <v>2</v>
      </c>
      <c r="AV474">
        <v>2</v>
      </c>
      <c r="AW474">
        <v>141.36</v>
      </c>
      <c r="BB474" t="s">
        <v>1322</v>
      </c>
      <c r="BC474">
        <v>36400</v>
      </c>
      <c r="BG474" t="s">
        <v>140</v>
      </c>
      <c r="BJ474" t="s">
        <v>5949</v>
      </c>
      <c r="BK474" t="s">
        <v>267</v>
      </c>
      <c r="BL474" t="s">
        <v>6056</v>
      </c>
    </row>
    <row r="475" spans="1:64">
      <c r="A475" s="1">
        <f>HYPERLINK("https://lsnyc.legalserver.org/matter/dynamic-profile/view/1908859","19-1908859")</f>
        <v>0</v>
      </c>
      <c r="B475" t="s">
        <v>65</v>
      </c>
      <c r="C475" t="s">
        <v>137</v>
      </c>
      <c r="D475" t="s">
        <v>200</v>
      </c>
      <c r="E475" t="s">
        <v>201</v>
      </c>
      <c r="G475" t="s">
        <v>202</v>
      </c>
      <c r="H475" t="s">
        <v>272</v>
      </c>
      <c r="I475" t="s">
        <v>202</v>
      </c>
      <c r="J475" t="s">
        <v>289</v>
      </c>
      <c r="K475" t="s">
        <v>292</v>
      </c>
      <c r="M475" t="s">
        <v>290</v>
      </c>
      <c r="N475" t="s">
        <v>202</v>
      </c>
      <c r="O475" t="s">
        <v>421</v>
      </c>
      <c r="P475" t="s">
        <v>427</v>
      </c>
      <c r="S475" t="s">
        <v>686</v>
      </c>
      <c r="T475" t="s">
        <v>1544</v>
      </c>
      <c r="U475" t="s">
        <v>219</v>
      </c>
      <c r="W475" t="s">
        <v>1876</v>
      </c>
      <c r="X475" t="s">
        <v>2319</v>
      </c>
      <c r="Y475" t="s">
        <v>2969</v>
      </c>
      <c r="Z475" t="s">
        <v>3098</v>
      </c>
      <c r="AA475" t="s">
        <v>3135</v>
      </c>
      <c r="AB475">
        <v>10467</v>
      </c>
      <c r="AC475" t="s">
        <v>3139</v>
      </c>
      <c r="AD475" t="s">
        <v>3576</v>
      </c>
      <c r="AE475">
        <v>8</v>
      </c>
      <c r="AG475" t="s">
        <v>4030</v>
      </c>
      <c r="AH475" t="s">
        <v>291</v>
      </c>
      <c r="AI475" t="s">
        <v>291</v>
      </c>
      <c r="AK475" t="s">
        <v>4040</v>
      </c>
      <c r="AM475">
        <v>0</v>
      </c>
      <c r="AN475">
        <v>1033</v>
      </c>
      <c r="AO475">
        <v>0.5</v>
      </c>
      <c r="AQ475" t="s">
        <v>4515</v>
      </c>
      <c r="AS475">
        <v>152</v>
      </c>
      <c r="AT475" t="s">
        <v>5836</v>
      </c>
      <c r="AU475">
        <v>2</v>
      </c>
      <c r="AV475">
        <v>2</v>
      </c>
      <c r="AW475">
        <v>282.72</v>
      </c>
      <c r="BA475" t="s">
        <v>329</v>
      </c>
      <c r="BC475">
        <v>72800</v>
      </c>
      <c r="BF475" t="s">
        <v>5878</v>
      </c>
      <c r="BG475" t="s">
        <v>5901</v>
      </c>
      <c r="BJ475" t="s">
        <v>5951</v>
      </c>
      <c r="BK475" t="s">
        <v>263</v>
      </c>
      <c r="BL475" t="s">
        <v>6056</v>
      </c>
    </row>
    <row r="476" spans="1:64">
      <c r="A476" s="1">
        <f>HYPERLINK("https://lsnyc.legalserver.org/matter/dynamic-profile/view/1907487","19-1907487")</f>
        <v>0</v>
      </c>
      <c r="B476" t="s">
        <v>65</v>
      </c>
      <c r="C476" t="s">
        <v>137</v>
      </c>
      <c r="D476" t="s">
        <v>200</v>
      </c>
      <c r="E476" t="s">
        <v>201</v>
      </c>
      <c r="G476" t="s">
        <v>202</v>
      </c>
      <c r="H476" t="s">
        <v>271</v>
      </c>
      <c r="I476" t="s">
        <v>202</v>
      </c>
      <c r="J476" t="s">
        <v>289</v>
      </c>
      <c r="K476" t="s">
        <v>202</v>
      </c>
      <c r="L476">
        <v>396724180</v>
      </c>
      <c r="M476" t="s">
        <v>290</v>
      </c>
      <c r="N476" t="s">
        <v>419</v>
      </c>
      <c r="P476" t="s">
        <v>427</v>
      </c>
      <c r="S476" t="s">
        <v>831</v>
      </c>
      <c r="T476" t="s">
        <v>1524</v>
      </c>
      <c r="U476" t="s">
        <v>220</v>
      </c>
      <c r="W476" t="s">
        <v>1876</v>
      </c>
      <c r="X476" t="s">
        <v>2296</v>
      </c>
      <c r="Y476" t="s">
        <v>2833</v>
      </c>
      <c r="Z476" t="s">
        <v>3098</v>
      </c>
      <c r="AA476" t="s">
        <v>3135</v>
      </c>
      <c r="AB476">
        <v>10460</v>
      </c>
      <c r="AC476" t="s">
        <v>3140</v>
      </c>
      <c r="AD476" t="s">
        <v>3548</v>
      </c>
      <c r="AE476">
        <v>14</v>
      </c>
      <c r="AG476" t="s">
        <v>4031</v>
      </c>
      <c r="AH476" t="s">
        <v>291</v>
      </c>
      <c r="AI476" t="s">
        <v>291</v>
      </c>
      <c r="AK476" t="s">
        <v>4045</v>
      </c>
      <c r="AM476">
        <v>0</v>
      </c>
      <c r="AN476">
        <v>168</v>
      </c>
      <c r="AO476">
        <v>1</v>
      </c>
      <c r="AQ476" t="s">
        <v>4487</v>
      </c>
      <c r="AR476" t="s">
        <v>5363</v>
      </c>
      <c r="AS476">
        <v>21</v>
      </c>
      <c r="AT476" t="s">
        <v>5838</v>
      </c>
      <c r="AU476">
        <v>1</v>
      </c>
      <c r="AV476">
        <v>0</v>
      </c>
      <c r="AW476">
        <v>74.08</v>
      </c>
      <c r="BA476" t="s">
        <v>5850</v>
      </c>
      <c r="BB476" t="s">
        <v>1322</v>
      </c>
      <c r="BC476">
        <v>9252</v>
      </c>
      <c r="BG476" t="s">
        <v>5901</v>
      </c>
      <c r="BJ476" t="s">
        <v>5959</v>
      </c>
      <c r="BK476" t="s">
        <v>236</v>
      </c>
      <c r="BL476" t="s">
        <v>6056</v>
      </c>
    </row>
    <row r="477" spans="1:64">
      <c r="A477" s="1">
        <f>HYPERLINK("https://lsnyc.legalserver.org/matter/dynamic-profile/view/1904882","19-1904882")</f>
        <v>0</v>
      </c>
      <c r="B477" t="s">
        <v>65</v>
      </c>
      <c r="C477" t="s">
        <v>137</v>
      </c>
      <c r="D477" t="s">
        <v>200</v>
      </c>
      <c r="E477" t="s">
        <v>201</v>
      </c>
      <c r="G477" t="s">
        <v>202</v>
      </c>
      <c r="H477" t="s">
        <v>272</v>
      </c>
      <c r="I477" t="s">
        <v>202</v>
      </c>
      <c r="J477" t="s">
        <v>289</v>
      </c>
      <c r="K477" t="s">
        <v>292</v>
      </c>
      <c r="M477" t="s">
        <v>290</v>
      </c>
      <c r="N477" t="s">
        <v>202</v>
      </c>
      <c r="O477" t="s">
        <v>421</v>
      </c>
      <c r="P477" t="s">
        <v>427</v>
      </c>
      <c r="S477" t="s">
        <v>818</v>
      </c>
      <c r="T477" t="s">
        <v>1545</v>
      </c>
      <c r="U477" t="s">
        <v>211</v>
      </c>
      <c r="W477" t="s">
        <v>1876</v>
      </c>
      <c r="X477" t="s">
        <v>2320</v>
      </c>
      <c r="Y477" t="s">
        <v>2970</v>
      </c>
      <c r="Z477" t="s">
        <v>3098</v>
      </c>
      <c r="AA477" t="s">
        <v>3135</v>
      </c>
      <c r="AB477">
        <v>10467</v>
      </c>
      <c r="AC477" t="s">
        <v>3140</v>
      </c>
      <c r="AD477" t="s">
        <v>3577</v>
      </c>
      <c r="AE477">
        <v>13</v>
      </c>
      <c r="AG477" t="s">
        <v>4030</v>
      </c>
      <c r="AH477" t="s">
        <v>291</v>
      </c>
      <c r="AI477" t="s">
        <v>291</v>
      </c>
      <c r="AK477" t="s">
        <v>4040</v>
      </c>
      <c r="AM477">
        <v>0</v>
      </c>
      <c r="AN477">
        <v>550</v>
      </c>
      <c r="AO477">
        <v>4.05</v>
      </c>
      <c r="AQ477" t="s">
        <v>4516</v>
      </c>
      <c r="AR477" t="s">
        <v>5387</v>
      </c>
      <c r="AS477">
        <v>48</v>
      </c>
      <c r="AT477" t="s">
        <v>5837</v>
      </c>
      <c r="AU477">
        <v>1</v>
      </c>
      <c r="AV477">
        <v>0</v>
      </c>
      <c r="AW477">
        <v>77.02</v>
      </c>
      <c r="BA477" t="s">
        <v>5850</v>
      </c>
      <c r="BB477" t="s">
        <v>1322</v>
      </c>
      <c r="BC477">
        <v>9620</v>
      </c>
      <c r="BG477" t="s">
        <v>5904</v>
      </c>
      <c r="BJ477" t="s">
        <v>5949</v>
      </c>
      <c r="BK477" t="s">
        <v>243</v>
      </c>
      <c r="BL477" t="s">
        <v>6056</v>
      </c>
    </row>
    <row r="478" spans="1:64">
      <c r="A478" s="1">
        <f>HYPERLINK("https://lsnyc.legalserver.org/matter/dynamic-profile/view/1909194","19-1909194")</f>
        <v>0</v>
      </c>
      <c r="B478" t="s">
        <v>65</v>
      </c>
      <c r="C478" t="s">
        <v>133</v>
      </c>
      <c r="D478" t="s">
        <v>200</v>
      </c>
      <c r="E478" t="s">
        <v>202</v>
      </c>
      <c r="F478" t="s">
        <v>224</v>
      </c>
      <c r="G478" t="s">
        <v>202</v>
      </c>
      <c r="H478" t="s">
        <v>272</v>
      </c>
      <c r="I478" t="s">
        <v>202</v>
      </c>
      <c r="J478" t="s">
        <v>289</v>
      </c>
      <c r="K478" t="s">
        <v>292</v>
      </c>
      <c r="M478" t="s">
        <v>290</v>
      </c>
      <c r="N478" t="s">
        <v>202</v>
      </c>
      <c r="O478" t="s">
        <v>421</v>
      </c>
      <c r="P478" t="s">
        <v>427</v>
      </c>
      <c r="S478" t="s">
        <v>579</v>
      </c>
      <c r="T478" t="s">
        <v>1367</v>
      </c>
      <c r="U478" t="s">
        <v>236</v>
      </c>
      <c r="W478" t="s">
        <v>1876</v>
      </c>
      <c r="X478" t="s">
        <v>2321</v>
      </c>
      <c r="Y478" t="s">
        <v>2971</v>
      </c>
      <c r="Z478" t="s">
        <v>3098</v>
      </c>
      <c r="AA478" t="s">
        <v>3135</v>
      </c>
      <c r="AB478">
        <v>10467</v>
      </c>
      <c r="AC478" t="s">
        <v>3139</v>
      </c>
      <c r="AD478" t="s">
        <v>3578</v>
      </c>
      <c r="AE478">
        <v>1</v>
      </c>
      <c r="AG478" t="s">
        <v>4030</v>
      </c>
      <c r="AH478" t="s">
        <v>291</v>
      </c>
      <c r="AI478" t="s">
        <v>291</v>
      </c>
      <c r="AK478" t="s">
        <v>4040</v>
      </c>
      <c r="AM478">
        <v>0</v>
      </c>
      <c r="AN478">
        <v>1230</v>
      </c>
      <c r="AO478">
        <v>0.2</v>
      </c>
      <c r="AQ478" t="s">
        <v>4517</v>
      </c>
      <c r="AR478" t="s">
        <v>5388</v>
      </c>
      <c r="AS478">
        <v>0</v>
      </c>
      <c r="AT478" t="s">
        <v>5836</v>
      </c>
      <c r="AU478">
        <v>1</v>
      </c>
      <c r="AV478">
        <v>3</v>
      </c>
      <c r="AW478">
        <v>116.5</v>
      </c>
      <c r="BA478" t="s">
        <v>3143</v>
      </c>
      <c r="BB478" t="s">
        <v>1322</v>
      </c>
      <c r="BC478">
        <v>30000</v>
      </c>
      <c r="BG478" t="s">
        <v>5906</v>
      </c>
      <c r="BJ478" t="s">
        <v>5949</v>
      </c>
      <c r="BK478" t="s">
        <v>206</v>
      </c>
      <c r="BL478" t="s">
        <v>6056</v>
      </c>
    </row>
    <row r="479" spans="1:64">
      <c r="A479" s="1">
        <f>HYPERLINK("https://lsnyc.legalserver.org/matter/dynamic-profile/view/1907997","19-1907997")</f>
        <v>0</v>
      </c>
      <c r="B479" t="s">
        <v>65</v>
      </c>
      <c r="C479" t="s">
        <v>133</v>
      </c>
      <c r="D479" t="s">
        <v>200</v>
      </c>
      <c r="E479" t="s">
        <v>201</v>
      </c>
      <c r="G479" t="s">
        <v>202</v>
      </c>
      <c r="H479" t="s">
        <v>272</v>
      </c>
      <c r="I479" t="s">
        <v>202</v>
      </c>
      <c r="J479" t="s">
        <v>289</v>
      </c>
      <c r="K479" t="s">
        <v>292</v>
      </c>
      <c r="M479" t="s">
        <v>290</v>
      </c>
      <c r="N479" t="s">
        <v>202</v>
      </c>
      <c r="O479" t="s">
        <v>421</v>
      </c>
      <c r="P479" t="s">
        <v>427</v>
      </c>
      <c r="S479" t="s">
        <v>856</v>
      </c>
      <c r="T479" t="s">
        <v>1435</v>
      </c>
      <c r="U479" t="s">
        <v>247</v>
      </c>
      <c r="W479" t="s">
        <v>1876</v>
      </c>
      <c r="X479" t="s">
        <v>2322</v>
      </c>
      <c r="Y479" t="s">
        <v>2812</v>
      </c>
      <c r="Z479" t="s">
        <v>3098</v>
      </c>
      <c r="AA479" t="s">
        <v>3135</v>
      </c>
      <c r="AB479">
        <v>10453</v>
      </c>
      <c r="AC479" t="s">
        <v>3139</v>
      </c>
      <c r="AD479" t="s">
        <v>3579</v>
      </c>
      <c r="AE479">
        <v>2</v>
      </c>
      <c r="AG479" t="s">
        <v>4031</v>
      </c>
      <c r="AH479" t="s">
        <v>291</v>
      </c>
      <c r="AI479" t="s">
        <v>291</v>
      </c>
      <c r="AK479" t="s">
        <v>4040</v>
      </c>
      <c r="AL479" t="s">
        <v>4047</v>
      </c>
      <c r="AM479">
        <v>0</v>
      </c>
      <c r="AN479">
        <v>905.17</v>
      </c>
      <c r="AO479">
        <v>4.75</v>
      </c>
      <c r="AQ479" t="s">
        <v>4518</v>
      </c>
      <c r="AR479" t="s">
        <v>5389</v>
      </c>
      <c r="AS479">
        <v>39</v>
      </c>
      <c r="AT479" t="s">
        <v>5838</v>
      </c>
      <c r="AU479">
        <v>3</v>
      </c>
      <c r="AV479">
        <v>0</v>
      </c>
      <c r="AW479">
        <v>96.05</v>
      </c>
      <c r="BB479" t="s">
        <v>5859</v>
      </c>
      <c r="BC479">
        <v>20488</v>
      </c>
      <c r="BG479" t="s">
        <v>140</v>
      </c>
      <c r="BJ479" t="s">
        <v>5949</v>
      </c>
      <c r="BK479" t="s">
        <v>259</v>
      </c>
      <c r="BL479" t="s">
        <v>6056</v>
      </c>
    </row>
    <row r="480" spans="1:64">
      <c r="A480" s="1">
        <f>HYPERLINK("https://lsnyc.legalserver.org/matter/dynamic-profile/view/1906530","19-1906530")</f>
        <v>0</v>
      </c>
      <c r="B480" t="s">
        <v>65</v>
      </c>
      <c r="C480" t="s">
        <v>133</v>
      </c>
      <c r="D480" t="s">
        <v>200</v>
      </c>
      <c r="E480" t="s">
        <v>201</v>
      </c>
      <c r="G480" t="s">
        <v>202</v>
      </c>
      <c r="H480" t="s">
        <v>271</v>
      </c>
      <c r="I480" t="s">
        <v>202</v>
      </c>
      <c r="J480" t="s">
        <v>289</v>
      </c>
      <c r="K480" t="s">
        <v>202</v>
      </c>
      <c r="L480" t="s">
        <v>352</v>
      </c>
      <c r="M480" t="s">
        <v>290</v>
      </c>
      <c r="N480" t="s">
        <v>202</v>
      </c>
      <c r="O480" t="s">
        <v>421</v>
      </c>
      <c r="P480" t="s">
        <v>427</v>
      </c>
      <c r="S480" t="s">
        <v>857</v>
      </c>
      <c r="T480" t="s">
        <v>1546</v>
      </c>
      <c r="U480" t="s">
        <v>253</v>
      </c>
      <c r="W480" t="s">
        <v>1876</v>
      </c>
      <c r="X480" t="s">
        <v>2323</v>
      </c>
      <c r="Y480">
        <v>2</v>
      </c>
      <c r="Z480" t="s">
        <v>3098</v>
      </c>
      <c r="AA480" t="s">
        <v>3135</v>
      </c>
      <c r="AB480">
        <v>10467</v>
      </c>
      <c r="AC480" t="s">
        <v>3138</v>
      </c>
      <c r="AD480" t="s">
        <v>3580</v>
      </c>
      <c r="AE480">
        <v>1</v>
      </c>
      <c r="AG480" t="s">
        <v>4030</v>
      </c>
      <c r="AH480" t="s">
        <v>291</v>
      </c>
      <c r="AI480" t="s">
        <v>291</v>
      </c>
      <c r="AK480" t="s">
        <v>4040</v>
      </c>
      <c r="AL480" t="s">
        <v>4046</v>
      </c>
      <c r="AM480">
        <v>0</v>
      </c>
      <c r="AN480">
        <v>2000</v>
      </c>
      <c r="AO480">
        <v>3.2</v>
      </c>
      <c r="AQ480" t="s">
        <v>4519</v>
      </c>
      <c r="AR480" t="s">
        <v>5390</v>
      </c>
      <c r="AS480">
        <v>3</v>
      </c>
      <c r="AT480" t="s">
        <v>5836</v>
      </c>
      <c r="AU480">
        <v>3</v>
      </c>
      <c r="AV480">
        <v>1</v>
      </c>
      <c r="AW480">
        <v>95.92</v>
      </c>
      <c r="BA480" t="s">
        <v>329</v>
      </c>
      <c r="BB480" t="s">
        <v>1322</v>
      </c>
      <c r="BC480">
        <v>24700</v>
      </c>
      <c r="BG480" t="s">
        <v>5899</v>
      </c>
      <c r="BJ480" t="s">
        <v>5949</v>
      </c>
      <c r="BK480" t="s">
        <v>221</v>
      </c>
    </row>
    <row r="481" spans="1:64">
      <c r="A481" s="1">
        <f>HYPERLINK("https://lsnyc.legalserver.org/matter/dynamic-profile/view/1905884","19-1905884")</f>
        <v>0</v>
      </c>
      <c r="B481" t="s">
        <v>65</v>
      </c>
      <c r="C481" t="s">
        <v>133</v>
      </c>
      <c r="D481" t="s">
        <v>200</v>
      </c>
      <c r="E481" t="s">
        <v>202</v>
      </c>
      <c r="F481" t="s">
        <v>207</v>
      </c>
      <c r="G481" t="s">
        <v>202</v>
      </c>
      <c r="H481" t="s">
        <v>272</v>
      </c>
      <c r="I481" t="s">
        <v>202</v>
      </c>
      <c r="J481" t="s">
        <v>289</v>
      </c>
      <c r="K481" t="s">
        <v>292</v>
      </c>
      <c r="M481" t="s">
        <v>290</v>
      </c>
      <c r="N481" t="s">
        <v>202</v>
      </c>
      <c r="O481" t="s">
        <v>421</v>
      </c>
      <c r="P481" t="s">
        <v>427</v>
      </c>
      <c r="S481" t="s">
        <v>548</v>
      </c>
      <c r="T481" t="s">
        <v>1547</v>
      </c>
      <c r="U481" t="s">
        <v>262</v>
      </c>
      <c r="W481" t="s">
        <v>1876</v>
      </c>
      <c r="X481" t="s">
        <v>2324</v>
      </c>
      <c r="Y481" t="s">
        <v>2917</v>
      </c>
      <c r="Z481" t="s">
        <v>3098</v>
      </c>
      <c r="AA481" t="s">
        <v>3135</v>
      </c>
      <c r="AB481">
        <v>10463</v>
      </c>
      <c r="AC481" t="s">
        <v>3136</v>
      </c>
      <c r="AD481" t="s">
        <v>3581</v>
      </c>
      <c r="AE481">
        <v>1</v>
      </c>
      <c r="AG481" t="s">
        <v>4031</v>
      </c>
      <c r="AH481" t="s">
        <v>291</v>
      </c>
      <c r="AI481" t="s">
        <v>291</v>
      </c>
      <c r="AK481" t="s">
        <v>4040</v>
      </c>
      <c r="AM481">
        <v>0</v>
      </c>
      <c r="AN481">
        <v>2000</v>
      </c>
      <c r="AO481">
        <v>11.1</v>
      </c>
      <c r="AQ481" t="s">
        <v>4520</v>
      </c>
      <c r="AS481">
        <v>26</v>
      </c>
      <c r="AT481" t="s">
        <v>5836</v>
      </c>
      <c r="AU481">
        <v>2</v>
      </c>
      <c r="AV481">
        <v>3</v>
      </c>
      <c r="AW481">
        <v>92</v>
      </c>
      <c r="BA481" t="s">
        <v>329</v>
      </c>
      <c r="BB481" t="s">
        <v>1322</v>
      </c>
      <c r="BC481">
        <v>27756</v>
      </c>
      <c r="BG481" t="s">
        <v>5901</v>
      </c>
      <c r="BJ481" t="s">
        <v>6018</v>
      </c>
      <c r="BK481" t="s">
        <v>216</v>
      </c>
      <c r="BL481" t="s">
        <v>6056</v>
      </c>
    </row>
    <row r="482" spans="1:64">
      <c r="A482" s="1">
        <f>HYPERLINK("https://lsnyc.legalserver.org/matter/dynamic-profile/view/1908350","19-1908350")</f>
        <v>0</v>
      </c>
      <c r="B482" t="s">
        <v>65</v>
      </c>
      <c r="C482" t="s">
        <v>133</v>
      </c>
      <c r="D482" t="s">
        <v>200</v>
      </c>
      <c r="E482" t="s">
        <v>201</v>
      </c>
      <c r="G482" t="s">
        <v>202</v>
      </c>
      <c r="H482" t="s">
        <v>271</v>
      </c>
      <c r="I482" t="s">
        <v>202</v>
      </c>
      <c r="J482" t="s">
        <v>289</v>
      </c>
      <c r="K482" t="s">
        <v>202</v>
      </c>
      <c r="L482" t="s">
        <v>353</v>
      </c>
      <c r="M482" t="s">
        <v>290</v>
      </c>
      <c r="N482" t="s">
        <v>419</v>
      </c>
      <c r="P482" t="s">
        <v>427</v>
      </c>
      <c r="S482" t="s">
        <v>858</v>
      </c>
      <c r="T482" t="s">
        <v>1371</v>
      </c>
      <c r="U482" t="s">
        <v>218</v>
      </c>
      <c r="W482" t="s">
        <v>1876</v>
      </c>
      <c r="X482" t="s">
        <v>2325</v>
      </c>
      <c r="Y482" t="s">
        <v>2909</v>
      </c>
      <c r="Z482" t="s">
        <v>3098</v>
      </c>
      <c r="AA482" t="s">
        <v>3135</v>
      </c>
      <c r="AB482">
        <v>10457</v>
      </c>
      <c r="AC482" t="s">
        <v>3139</v>
      </c>
      <c r="AD482" t="s">
        <v>3582</v>
      </c>
      <c r="AE482">
        <v>3</v>
      </c>
      <c r="AG482" t="s">
        <v>4030</v>
      </c>
      <c r="AH482" t="s">
        <v>291</v>
      </c>
      <c r="AI482" t="s">
        <v>291</v>
      </c>
      <c r="AK482" t="s">
        <v>4040</v>
      </c>
      <c r="AM482">
        <v>0</v>
      </c>
      <c r="AN482">
        <v>985</v>
      </c>
      <c r="AO482">
        <v>3</v>
      </c>
      <c r="AQ482" t="s">
        <v>4521</v>
      </c>
      <c r="AR482" t="s">
        <v>5391</v>
      </c>
      <c r="AS482">
        <v>70</v>
      </c>
      <c r="AT482" t="s">
        <v>5836</v>
      </c>
      <c r="AU482">
        <v>1</v>
      </c>
      <c r="AV482">
        <v>1</v>
      </c>
      <c r="AW482">
        <v>0</v>
      </c>
      <c r="BA482" t="s">
        <v>329</v>
      </c>
      <c r="BB482" t="s">
        <v>1322</v>
      </c>
      <c r="BC482">
        <v>0</v>
      </c>
      <c r="BG482" t="s">
        <v>5899</v>
      </c>
      <c r="BJ482" t="s">
        <v>5965</v>
      </c>
      <c r="BK482" t="s">
        <v>259</v>
      </c>
    </row>
    <row r="483" spans="1:64">
      <c r="A483" s="1">
        <f>HYPERLINK("https://lsnyc.legalserver.org/matter/dynamic-profile/view/1903894","19-1903894")</f>
        <v>0</v>
      </c>
      <c r="B483" t="s">
        <v>65</v>
      </c>
      <c r="C483" t="s">
        <v>128</v>
      </c>
      <c r="D483" t="s">
        <v>200</v>
      </c>
      <c r="E483" t="s">
        <v>201</v>
      </c>
      <c r="G483" t="s">
        <v>202</v>
      </c>
      <c r="H483" t="s">
        <v>271</v>
      </c>
      <c r="I483" t="s">
        <v>288</v>
      </c>
      <c r="J483" t="s">
        <v>291</v>
      </c>
      <c r="K483" t="s">
        <v>292</v>
      </c>
      <c r="M483" t="s">
        <v>290</v>
      </c>
      <c r="N483" t="s">
        <v>419</v>
      </c>
      <c r="P483" t="s">
        <v>427</v>
      </c>
      <c r="S483" t="s">
        <v>629</v>
      </c>
      <c r="T483" t="s">
        <v>1548</v>
      </c>
      <c r="U483" t="s">
        <v>229</v>
      </c>
      <c r="W483" t="s">
        <v>1876</v>
      </c>
      <c r="X483" t="s">
        <v>2326</v>
      </c>
      <c r="Y483" t="s">
        <v>2972</v>
      </c>
      <c r="Z483" t="s">
        <v>3098</v>
      </c>
      <c r="AA483" t="s">
        <v>3135</v>
      </c>
      <c r="AB483">
        <v>10451</v>
      </c>
      <c r="AD483" t="s">
        <v>3583</v>
      </c>
      <c r="AE483">
        <v>22</v>
      </c>
      <c r="AG483" t="s">
        <v>4031</v>
      </c>
      <c r="AH483" t="s">
        <v>291</v>
      </c>
      <c r="AI483" t="s">
        <v>291</v>
      </c>
      <c r="AK483" t="s">
        <v>4040</v>
      </c>
      <c r="AM483">
        <v>0</v>
      </c>
      <c r="AN483">
        <v>0</v>
      </c>
      <c r="AO483">
        <v>4.9</v>
      </c>
      <c r="AQ483" t="s">
        <v>4522</v>
      </c>
      <c r="AS483">
        <v>11</v>
      </c>
      <c r="AU483">
        <v>1</v>
      </c>
      <c r="AV483">
        <v>0</v>
      </c>
      <c r="AW483">
        <v>72.92</v>
      </c>
      <c r="BB483" t="s">
        <v>1322</v>
      </c>
      <c r="BC483">
        <v>9108</v>
      </c>
      <c r="BF483" t="s">
        <v>5886</v>
      </c>
      <c r="BG483" t="s">
        <v>140</v>
      </c>
      <c r="BJ483" t="s">
        <v>5959</v>
      </c>
      <c r="BK483" t="s">
        <v>222</v>
      </c>
      <c r="BL483" t="s">
        <v>329</v>
      </c>
    </row>
    <row r="484" spans="1:64">
      <c r="A484" s="1">
        <f>HYPERLINK("https://lsnyc.legalserver.org/matter/dynamic-profile/view/1907888","19-1907888")</f>
        <v>0</v>
      </c>
      <c r="B484" t="s">
        <v>65</v>
      </c>
      <c r="C484" t="s">
        <v>130</v>
      </c>
      <c r="D484" t="s">
        <v>200</v>
      </c>
      <c r="E484" t="s">
        <v>201</v>
      </c>
      <c r="G484" t="s">
        <v>202</v>
      </c>
      <c r="H484" t="s">
        <v>271</v>
      </c>
      <c r="I484" t="s">
        <v>202</v>
      </c>
      <c r="J484" t="s">
        <v>289</v>
      </c>
      <c r="K484" t="s">
        <v>292</v>
      </c>
      <c r="M484" t="s">
        <v>290</v>
      </c>
      <c r="N484" t="s">
        <v>419</v>
      </c>
      <c r="P484" t="s">
        <v>427</v>
      </c>
      <c r="S484" t="s">
        <v>859</v>
      </c>
      <c r="T484" t="s">
        <v>1549</v>
      </c>
      <c r="U484" t="s">
        <v>223</v>
      </c>
      <c r="W484" t="s">
        <v>1876</v>
      </c>
      <c r="X484" t="s">
        <v>2327</v>
      </c>
      <c r="Y484" t="s">
        <v>2794</v>
      </c>
      <c r="Z484" t="s">
        <v>3098</v>
      </c>
      <c r="AA484" t="s">
        <v>3135</v>
      </c>
      <c r="AB484">
        <v>10469</v>
      </c>
      <c r="AC484" t="s">
        <v>3139</v>
      </c>
      <c r="AD484" t="s">
        <v>3584</v>
      </c>
      <c r="AE484">
        <v>13</v>
      </c>
      <c r="AG484" t="s">
        <v>4031</v>
      </c>
      <c r="AH484" t="s">
        <v>291</v>
      </c>
      <c r="AI484" t="s">
        <v>291</v>
      </c>
      <c r="AK484" t="s">
        <v>4040</v>
      </c>
      <c r="AM484">
        <v>0</v>
      </c>
      <c r="AN484">
        <v>434</v>
      </c>
      <c r="AO484">
        <v>0.5</v>
      </c>
      <c r="AQ484" t="s">
        <v>4523</v>
      </c>
      <c r="AR484" t="s">
        <v>5392</v>
      </c>
      <c r="AS484">
        <v>0</v>
      </c>
      <c r="AT484" t="s">
        <v>5836</v>
      </c>
      <c r="AU484">
        <v>3</v>
      </c>
      <c r="AV484">
        <v>0</v>
      </c>
      <c r="AW484">
        <v>34.88</v>
      </c>
      <c r="BA484" t="s">
        <v>329</v>
      </c>
      <c r="BB484" t="s">
        <v>1322</v>
      </c>
      <c r="BC484">
        <v>7440</v>
      </c>
      <c r="BG484" t="s">
        <v>5905</v>
      </c>
      <c r="BJ484" t="s">
        <v>5959</v>
      </c>
      <c r="BK484" t="s">
        <v>223</v>
      </c>
      <c r="BL484" t="s">
        <v>6056</v>
      </c>
    </row>
    <row r="485" spans="1:64">
      <c r="A485" s="1">
        <f>HYPERLINK("https://lsnyc.legalserver.org/matter/dynamic-profile/view/1904036","19-1904036")</f>
        <v>0</v>
      </c>
      <c r="B485" t="s">
        <v>65</v>
      </c>
      <c r="C485" t="s">
        <v>130</v>
      </c>
      <c r="D485" t="s">
        <v>200</v>
      </c>
      <c r="E485" t="s">
        <v>202</v>
      </c>
      <c r="F485" t="s">
        <v>251</v>
      </c>
      <c r="G485" t="s">
        <v>202</v>
      </c>
      <c r="H485" t="s">
        <v>272</v>
      </c>
      <c r="I485" t="s">
        <v>202</v>
      </c>
      <c r="J485" t="s">
        <v>289</v>
      </c>
      <c r="K485" t="s">
        <v>292</v>
      </c>
      <c r="M485" t="s">
        <v>290</v>
      </c>
      <c r="N485" t="s">
        <v>202</v>
      </c>
      <c r="O485" t="s">
        <v>421</v>
      </c>
      <c r="P485" t="s">
        <v>427</v>
      </c>
      <c r="S485" t="s">
        <v>860</v>
      </c>
      <c r="T485" t="s">
        <v>1550</v>
      </c>
      <c r="U485" t="s">
        <v>251</v>
      </c>
      <c r="W485" t="s">
        <v>1876</v>
      </c>
      <c r="X485" t="s">
        <v>2328</v>
      </c>
      <c r="Y485" t="s">
        <v>2973</v>
      </c>
      <c r="Z485" t="s">
        <v>3098</v>
      </c>
      <c r="AA485" t="s">
        <v>3135</v>
      </c>
      <c r="AB485">
        <v>10468</v>
      </c>
      <c r="AD485" t="s">
        <v>3585</v>
      </c>
      <c r="AE485">
        <v>50</v>
      </c>
      <c r="AG485" t="s">
        <v>4030</v>
      </c>
      <c r="AH485" t="s">
        <v>291</v>
      </c>
      <c r="AI485" t="s">
        <v>291</v>
      </c>
      <c r="AK485" t="s">
        <v>4040</v>
      </c>
      <c r="AM485">
        <v>0</v>
      </c>
      <c r="AN485">
        <v>1091</v>
      </c>
      <c r="AO485">
        <v>4.3</v>
      </c>
      <c r="AQ485" t="s">
        <v>4524</v>
      </c>
      <c r="AR485" t="s">
        <v>5393</v>
      </c>
      <c r="AS485">
        <v>86</v>
      </c>
      <c r="AT485" t="s">
        <v>5838</v>
      </c>
      <c r="AU485">
        <v>3</v>
      </c>
      <c r="AV485">
        <v>1</v>
      </c>
      <c r="AW485">
        <v>174</v>
      </c>
      <c r="BB485" t="s">
        <v>1322</v>
      </c>
      <c r="BC485">
        <v>44806.18</v>
      </c>
      <c r="BG485" t="s">
        <v>140</v>
      </c>
      <c r="BJ485" t="s">
        <v>5949</v>
      </c>
      <c r="BK485" t="s">
        <v>206</v>
      </c>
      <c r="BL485" t="s">
        <v>6056</v>
      </c>
    </row>
    <row r="486" spans="1:64">
      <c r="A486" s="1">
        <f>HYPERLINK("https://lsnyc.legalserver.org/matter/dynamic-profile/view/1906795","19-1906795")</f>
        <v>0</v>
      </c>
      <c r="B486" t="s">
        <v>65</v>
      </c>
      <c r="C486" t="s">
        <v>135</v>
      </c>
      <c r="D486" t="s">
        <v>200</v>
      </c>
      <c r="E486" t="s">
        <v>201</v>
      </c>
      <c r="G486" t="s">
        <v>202</v>
      </c>
      <c r="H486" t="s">
        <v>272</v>
      </c>
      <c r="I486" t="s">
        <v>202</v>
      </c>
      <c r="J486" t="s">
        <v>289</v>
      </c>
      <c r="K486" t="s">
        <v>202</v>
      </c>
      <c r="L486" t="s">
        <v>354</v>
      </c>
      <c r="M486" t="s">
        <v>290</v>
      </c>
      <c r="N486" t="s">
        <v>419</v>
      </c>
      <c r="O486" t="s">
        <v>420</v>
      </c>
      <c r="P486" t="s">
        <v>427</v>
      </c>
      <c r="S486" t="s">
        <v>861</v>
      </c>
      <c r="T486" t="s">
        <v>1551</v>
      </c>
      <c r="U486" t="s">
        <v>240</v>
      </c>
      <c r="W486" t="s">
        <v>1876</v>
      </c>
      <c r="X486" t="s">
        <v>2329</v>
      </c>
      <c r="Y486" t="s">
        <v>2931</v>
      </c>
      <c r="Z486" t="s">
        <v>3098</v>
      </c>
      <c r="AA486" t="s">
        <v>3135</v>
      </c>
      <c r="AB486">
        <v>10462</v>
      </c>
      <c r="AD486" t="s">
        <v>3586</v>
      </c>
      <c r="AE486">
        <v>0</v>
      </c>
      <c r="AG486" t="s">
        <v>4030</v>
      </c>
      <c r="AH486" t="s">
        <v>291</v>
      </c>
      <c r="AI486" t="s">
        <v>291</v>
      </c>
      <c r="AK486" t="s">
        <v>4040</v>
      </c>
      <c r="AM486">
        <v>0</v>
      </c>
      <c r="AN486">
        <v>0</v>
      </c>
      <c r="AO486">
        <v>8.5</v>
      </c>
      <c r="AQ486" t="s">
        <v>4525</v>
      </c>
      <c r="AR486" t="s">
        <v>5394</v>
      </c>
      <c r="AS486">
        <v>0</v>
      </c>
      <c r="AT486" t="s">
        <v>5836</v>
      </c>
      <c r="AU486">
        <v>1</v>
      </c>
      <c r="AV486">
        <v>0</v>
      </c>
      <c r="AW486">
        <v>17.58</v>
      </c>
      <c r="BB486" t="s">
        <v>1322</v>
      </c>
      <c r="BC486">
        <v>2196</v>
      </c>
      <c r="BG486" t="s">
        <v>5906</v>
      </c>
      <c r="BJ486" t="s">
        <v>5948</v>
      </c>
      <c r="BK486" t="s">
        <v>206</v>
      </c>
      <c r="BL486" t="s">
        <v>6057</v>
      </c>
    </row>
    <row r="487" spans="1:64">
      <c r="A487" s="1">
        <f>HYPERLINK("https://lsnyc.legalserver.org/matter/dynamic-profile/view/1908753","19-1908753")</f>
        <v>0</v>
      </c>
      <c r="B487" t="s">
        <v>65</v>
      </c>
      <c r="C487" t="s">
        <v>135</v>
      </c>
      <c r="D487" t="s">
        <v>200</v>
      </c>
      <c r="E487" t="s">
        <v>201</v>
      </c>
      <c r="G487" t="s">
        <v>202</v>
      </c>
      <c r="H487" t="s">
        <v>272</v>
      </c>
      <c r="I487" t="s">
        <v>202</v>
      </c>
      <c r="J487" t="s">
        <v>289</v>
      </c>
      <c r="K487" t="s">
        <v>292</v>
      </c>
      <c r="M487" t="s">
        <v>290</v>
      </c>
      <c r="N487" t="s">
        <v>202</v>
      </c>
      <c r="O487" t="s">
        <v>421</v>
      </c>
      <c r="P487" t="s">
        <v>427</v>
      </c>
      <c r="S487" t="s">
        <v>478</v>
      </c>
      <c r="T487" t="s">
        <v>1534</v>
      </c>
      <c r="U487" t="s">
        <v>218</v>
      </c>
      <c r="W487" t="s">
        <v>1876</v>
      </c>
      <c r="X487" t="s">
        <v>2330</v>
      </c>
      <c r="Y487" t="s">
        <v>2924</v>
      </c>
      <c r="Z487" t="s">
        <v>3098</v>
      </c>
      <c r="AA487" t="s">
        <v>3135</v>
      </c>
      <c r="AB487">
        <v>10468</v>
      </c>
      <c r="AC487" t="s">
        <v>3136</v>
      </c>
      <c r="AD487" t="s">
        <v>3587</v>
      </c>
      <c r="AE487">
        <v>4</v>
      </c>
      <c r="AG487" t="s">
        <v>4030</v>
      </c>
      <c r="AH487" t="s">
        <v>291</v>
      </c>
      <c r="AI487" t="s">
        <v>291</v>
      </c>
      <c r="AK487" t="s">
        <v>4040</v>
      </c>
      <c r="AL487" t="s">
        <v>4046</v>
      </c>
      <c r="AM487">
        <v>0</v>
      </c>
      <c r="AN487">
        <v>276.76</v>
      </c>
      <c r="AO487">
        <v>1</v>
      </c>
      <c r="AQ487" t="s">
        <v>4526</v>
      </c>
      <c r="AR487" t="s">
        <v>5395</v>
      </c>
      <c r="AS487">
        <v>43</v>
      </c>
      <c r="AT487" t="s">
        <v>5838</v>
      </c>
      <c r="AU487">
        <v>1</v>
      </c>
      <c r="AV487">
        <v>0</v>
      </c>
      <c r="AW487">
        <v>74.08</v>
      </c>
      <c r="BA487" t="s">
        <v>5858</v>
      </c>
      <c r="BB487" t="s">
        <v>1322</v>
      </c>
      <c r="BC487">
        <v>9252</v>
      </c>
      <c r="BG487" t="s">
        <v>138</v>
      </c>
      <c r="BJ487" t="s">
        <v>5942</v>
      </c>
      <c r="BK487" t="s">
        <v>219</v>
      </c>
      <c r="BL487" t="s">
        <v>6056</v>
      </c>
    </row>
    <row r="488" spans="1:64">
      <c r="A488" s="1">
        <f>HYPERLINK("https://lsnyc.legalserver.org/matter/dynamic-profile/view/1906537","19-1906537")</f>
        <v>0</v>
      </c>
      <c r="B488" t="s">
        <v>65</v>
      </c>
      <c r="C488" t="s">
        <v>142</v>
      </c>
      <c r="D488" t="s">
        <v>200</v>
      </c>
      <c r="E488" t="s">
        <v>201</v>
      </c>
      <c r="G488" t="s">
        <v>202</v>
      </c>
      <c r="H488" t="s">
        <v>271</v>
      </c>
      <c r="I488" t="s">
        <v>202</v>
      </c>
      <c r="J488" t="s">
        <v>289</v>
      </c>
      <c r="K488" t="s">
        <v>292</v>
      </c>
      <c r="M488" t="s">
        <v>290</v>
      </c>
      <c r="N488" t="s">
        <v>419</v>
      </c>
      <c r="P488" t="s">
        <v>427</v>
      </c>
      <c r="S488" t="s">
        <v>518</v>
      </c>
      <c r="T488" t="s">
        <v>1467</v>
      </c>
      <c r="U488" t="s">
        <v>253</v>
      </c>
      <c r="W488" t="s">
        <v>1876</v>
      </c>
      <c r="X488" t="s">
        <v>2331</v>
      </c>
      <c r="Y488" t="s">
        <v>2974</v>
      </c>
      <c r="Z488" t="s">
        <v>3098</v>
      </c>
      <c r="AA488" t="s">
        <v>3135</v>
      </c>
      <c r="AB488">
        <v>10451</v>
      </c>
      <c r="AC488" t="s">
        <v>3139</v>
      </c>
      <c r="AD488" t="s">
        <v>3588</v>
      </c>
      <c r="AE488">
        <v>18</v>
      </c>
      <c r="AG488" t="s">
        <v>4031</v>
      </c>
      <c r="AH488" t="s">
        <v>291</v>
      </c>
      <c r="AI488" t="s">
        <v>291</v>
      </c>
      <c r="AK488" t="s">
        <v>4040</v>
      </c>
      <c r="AL488" t="s">
        <v>4051</v>
      </c>
      <c r="AM488">
        <v>0</v>
      </c>
      <c r="AN488">
        <v>1283</v>
      </c>
      <c r="AO488">
        <v>2.5</v>
      </c>
      <c r="AQ488" t="s">
        <v>4527</v>
      </c>
      <c r="AR488" t="s">
        <v>5396</v>
      </c>
      <c r="AS488">
        <v>56</v>
      </c>
      <c r="AT488" t="s">
        <v>5838</v>
      </c>
      <c r="AU488">
        <v>4</v>
      </c>
      <c r="AV488">
        <v>0</v>
      </c>
      <c r="AW488">
        <v>222.14</v>
      </c>
      <c r="BA488" t="s">
        <v>5853</v>
      </c>
      <c r="BB488" t="s">
        <v>5859</v>
      </c>
      <c r="BC488">
        <v>57200</v>
      </c>
      <c r="BG488" t="s">
        <v>140</v>
      </c>
      <c r="BJ488" t="s">
        <v>5949</v>
      </c>
      <c r="BK488" t="s">
        <v>230</v>
      </c>
      <c r="BL488" t="s">
        <v>6056</v>
      </c>
    </row>
    <row r="489" spans="1:64">
      <c r="A489" s="1">
        <f>HYPERLINK("https://lsnyc.legalserver.org/matter/dynamic-profile/view/1907129","19-1907129")</f>
        <v>0</v>
      </c>
      <c r="B489" t="s">
        <v>65</v>
      </c>
      <c r="C489" t="s">
        <v>143</v>
      </c>
      <c r="D489" t="s">
        <v>200</v>
      </c>
      <c r="E489" t="s">
        <v>202</v>
      </c>
      <c r="F489" t="s">
        <v>248</v>
      </c>
      <c r="G489" t="s">
        <v>202</v>
      </c>
      <c r="H489" t="s">
        <v>271</v>
      </c>
      <c r="I489" t="s">
        <v>202</v>
      </c>
      <c r="J489" t="s">
        <v>289</v>
      </c>
      <c r="K489" t="s">
        <v>292</v>
      </c>
      <c r="M489" t="s">
        <v>290</v>
      </c>
      <c r="N489" t="s">
        <v>202</v>
      </c>
      <c r="O489" t="s">
        <v>421</v>
      </c>
      <c r="P489" t="s">
        <v>427</v>
      </c>
      <c r="S489" t="s">
        <v>862</v>
      </c>
      <c r="T489" t="s">
        <v>1288</v>
      </c>
      <c r="U489" t="s">
        <v>248</v>
      </c>
      <c r="W489" t="s">
        <v>1876</v>
      </c>
      <c r="X489" t="s">
        <v>2332</v>
      </c>
      <c r="Y489">
        <v>2</v>
      </c>
      <c r="Z489" t="s">
        <v>3098</v>
      </c>
      <c r="AA489" t="s">
        <v>3135</v>
      </c>
      <c r="AB489">
        <v>10462</v>
      </c>
      <c r="AD489" t="s">
        <v>3589</v>
      </c>
      <c r="AE489">
        <v>24</v>
      </c>
      <c r="AG489" t="s">
        <v>4030</v>
      </c>
      <c r="AH489" t="s">
        <v>291</v>
      </c>
      <c r="AI489" t="s">
        <v>291</v>
      </c>
      <c r="AK489" t="s">
        <v>4040</v>
      </c>
      <c r="AL489" t="s">
        <v>4046</v>
      </c>
      <c r="AM489">
        <v>0</v>
      </c>
      <c r="AN489">
        <v>2006.54</v>
      </c>
      <c r="AO489">
        <v>0</v>
      </c>
      <c r="AQ489" t="s">
        <v>4528</v>
      </c>
      <c r="AR489" t="s">
        <v>5397</v>
      </c>
      <c r="AS489">
        <v>2</v>
      </c>
      <c r="AT489" t="s">
        <v>5835</v>
      </c>
      <c r="AU489">
        <v>1</v>
      </c>
      <c r="AV489">
        <v>0</v>
      </c>
      <c r="AW489">
        <v>76.86</v>
      </c>
      <c r="BB489" t="s">
        <v>5859</v>
      </c>
      <c r="BC489">
        <v>9600</v>
      </c>
      <c r="BG489" t="s">
        <v>140</v>
      </c>
      <c r="BJ489" t="s">
        <v>6004</v>
      </c>
      <c r="BL489" t="s">
        <v>6056</v>
      </c>
    </row>
    <row r="490" spans="1:64">
      <c r="A490" s="1">
        <f>HYPERLINK("https://lsnyc.legalserver.org/matter/dynamic-profile/view/1908186","19-1908186")</f>
        <v>0</v>
      </c>
      <c r="B490" t="s">
        <v>65</v>
      </c>
      <c r="C490" t="s">
        <v>144</v>
      </c>
      <c r="D490" t="s">
        <v>200</v>
      </c>
      <c r="E490" t="s">
        <v>201</v>
      </c>
      <c r="G490" t="s">
        <v>202</v>
      </c>
      <c r="H490" t="s">
        <v>272</v>
      </c>
      <c r="I490" t="s">
        <v>202</v>
      </c>
      <c r="J490" t="s">
        <v>289</v>
      </c>
      <c r="K490" t="s">
        <v>292</v>
      </c>
      <c r="M490" t="s">
        <v>290</v>
      </c>
      <c r="N490" t="s">
        <v>419</v>
      </c>
      <c r="P490" t="s">
        <v>427</v>
      </c>
      <c r="S490" t="s">
        <v>863</v>
      </c>
      <c r="T490" t="s">
        <v>1339</v>
      </c>
      <c r="U490" t="s">
        <v>1874</v>
      </c>
      <c r="W490" t="s">
        <v>1876</v>
      </c>
      <c r="X490" t="s">
        <v>2333</v>
      </c>
      <c r="Y490" t="s">
        <v>2975</v>
      </c>
      <c r="Z490" t="s">
        <v>3098</v>
      </c>
      <c r="AA490" t="s">
        <v>3135</v>
      </c>
      <c r="AB490">
        <v>10462</v>
      </c>
      <c r="AD490" t="s">
        <v>3590</v>
      </c>
      <c r="AE490">
        <v>10</v>
      </c>
      <c r="AG490" t="s">
        <v>4030</v>
      </c>
      <c r="AH490" t="s">
        <v>291</v>
      </c>
      <c r="AK490" t="s">
        <v>4040</v>
      </c>
      <c r="AM490">
        <v>0</v>
      </c>
      <c r="AN490">
        <v>875.63</v>
      </c>
      <c r="AO490">
        <v>1.5</v>
      </c>
      <c r="AQ490" t="s">
        <v>4529</v>
      </c>
      <c r="AR490" t="s">
        <v>5398</v>
      </c>
      <c r="AS490">
        <v>0</v>
      </c>
      <c r="AT490" t="s">
        <v>5838</v>
      </c>
      <c r="AU490">
        <v>1</v>
      </c>
      <c r="AV490">
        <v>0</v>
      </c>
      <c r="AW490">
        <v>415</v>
      </c>
      <c r="BB490" t="s">
        <v>1322</v>
      </c>
      <c r="BC490">
        <v>51833</v>
      </c>
      <c r="BF490" t="s">
        <v>5887</v>
      </c>
      <c r="BG490" t="s">
        <v>140</v>
      </c>
      <c r="BJ490" t="s">
        <v>5949</v>
      </c>
      <c r="BK490" t="s">
        <v>238</v>
      </c>
      <c r="BL490" t="s">
        <v>6056</v>
      </c>
    </row>
    <row r="491" spans="1:64">
      <c r="A491" s="1">
        <f>HYPERLINK("https://lsnyc.legalserver.org/matter/dynamic-profile/view/1906800","19-1906800")</f>
        <v>0</v>
      </c>
      <c r="B491" t="s">
        <v>65</v>
      </c>
      <c r="C491" t="s">
        <v>144</v>
      </c>
      <c r="D491" t="s">
        <v>200</v>
      </c>
      <c r="E491" t="s">
        <v>202</v>
      </c>
      <c r="F491" t="s">
        <v>209</v>
      </c>
      <c r="G491" t="s">
        <v>202</v>
      </c>
      <c r="H491" t="s">
        <v>272</v>
      </c>
      <c r="I491" t="s">
        <v>202</v>
      </c>
      <c r="J491" t="s">
        <v>289</v>
      </c>
      <c r="K491" t="s">
        <v>292</v>
      </c>
      <c r="M491" t="s">
        <v>290</v>
      </c>
      <c r="N491" t="s">
        <v>202</v>
      </c>
      <c r="O491" t="s">
        <v>421</v>
      </c>
      <c r="P491" t="s">
        <v>427</v>
      </c>
      <c r="S491" t="s">
        <v>864</v>
      </c>
      <c r="T491" t="s">
        <v>1552</v>
      </c>
      <c r="U491" t="s">
        <v>209</v>
      </c>
      <c r="W491" t="s">
        <v>1876</v>
      </c>
      <c r="X491" t="s">
        <v>2334</v>
      </c>
      <c r="Y491" t="s">
        <v>2899</v>
      </c>
      <c r="Z491" t="s">
        <v>3098</v>
      </c>
      <c r="AA491" t="s">
        <v>3135</v>
      </c>
      <c r="AB491">
        <v>10468</v>
      </c>
      <c r="AC491" t="s">
        <v>3144</v>
      </c>
      <c r="AD491" t="s">
        <v>3591</v>
      </c>
      <c r="AE491">
        <v>4</v>
      </c>
      <c r="AG491" t="s">
        <v>4030</v>
      </c>
      <c r="AH491" t="s">
        <v>291</v>
      </c>
      <c r="AI491" t="s">
        <v>291</v>
      </c>
      <c r="AK491" t="s">
        <v>4040</v>
      </c>
      <c r="AM491">
        <v>0</v>
      </c>
      <c r="AN491">
        <v>988.99</v>
      </c>
      <c r="AO491">
        <v>5.3</v>
      </c>
      <c r="AQ491" t="s">
        <v>4530</v>
      </c>
      <c r="AR491" t="s">
        <v>5399</v>
      </c>
      <c r="AS491">
        <v>35</v>
      </c>
      <c r="AT491" t="s">
        <v>5836</v>
      </c>
      <c r="AU491">
        <v>2</v>
      </c>
      <c r="AV491">
        <v>0</v>
      </c>
      <c r="AW491">
        <v>197.56</v>
      </c>
      <c r="BB491" t="s">
        <v>5859</v>
      </c>
      <c r="BC491">
        <v>33408</v>
      </c>
      <c r="BG491" t="s">
        <v>5900</v>
      </c>
      <c r="BJ491" t="s">
        <v>6019</v>
      </c>
      <c r="BK491" t="s">
        <v>219</v>
      </c>
      <c r="BL491" t="s">
        <v>6056</v>
      </c>
    </row>
    <row r="492" spans="1:64">
      <c r="A492" s="1">
        <f>HYPERLINK("https://lsnyc.legalserver.org/matter/dynamic-profile/view/1903722","19-1903722")</f>
        <v>0</v>
      </c>
      <c r="B492" t="s">
        <v>65</v>
      </c>
      <c r="C492" t="s">
        <v>142</v>
      </c>
      <c r="D492" t="s">
        <v>200</v>
      </c>
      <c r="E492" t="s">
        <v>201</v>
      </c>
      <c r="G492" t="s">
        <v>202</v>
      </c>
      <c r="H492" t="s">
        <v>272</v>
      </c>
      <c r="I492" t="s">
        <v>202</v>
      </c>
      <c r="J492" t="s">
        <v>289</v>
      </c>
      <c r="K492" t="s">
        <v>292</v>
      </c>
      <c r="M492" t="s">
        <v>290</v>
      </c>
      <c r="N492" t="s">
        <v>202</v>
      </c>
      <c r="O492" t="s">
        <v>421</v>
      </c>
      <c r="P492" t="s">
        <v>427</v>
      </c>
      <c r="S492" t="s">
        <v>865</v>
      </c>
      <c r="T492" t="s">
        <v>1553</v>
      </c>
      <c r="U492" t="s">
        <v>208</v>
      </c>
      <c r="W492" t="s">
        <v>1876</v>
      </c>
      <c r="X492" t="s">
        <v>2335</v>
      </c>
      <c r="Y492" t="s">
        <v>2812</v>
      </c>
      <c r="Z492" t="s">
        <v>3098</v>
      </c>
      <c r="AA492" t="s">
        <v>3135</v>
      </c>
      <c r="AB492">
        <v>10463</v>
      </c>
      <c r="AD492" t="s">
        <v>3592</v>
      </c>
      <c r="AE492">
        <v>25</v>
      </c>
      <c r="AG492" t="s">
        <v>4031</v>
      </c>
      <c r="AH492" t="s">
        <v>291</v>
      </c>
      <c r="AI492" t="s">
        <v>291</v>
      </c>
      <c r="AK492" t="s">
        <v>4040</v>
      </c>
      <c r="AM492">
        <v>0</v>
      </c>
      <c r="AN492">
        <v>1685.42</v>
      </c>
      <c r="AO492">
        <v>14.55</v>
      </c>
      <c r="AQ492" t="s">
        <v>4531</v>
      </c>
      <c r="AR492" t="s">
        <v>5400</v>
      </c>
      <c r="AS492">
        <v>0</v>
      </c>
      <c r="AT492" t="s">
        <v>5836</v>
      </c>
      <c r="AU492">
        <v>3</v>
      </c>
      <c r="AV492">
        <v>0</v>
      </c>
      <c r="AW492">
        <v>121.89</v>
      </c>
      <c r="BA492" t="s">
        <v>329</v>
      </c>
      <c r="BB492" t="s">
        <v>5859</v>
      </c>
      <c r="BC492">
        <v>26000</v>
      </c>
      <c r="BG492" t="s">
        <v>5899</v>
      </c>
      <c r="BJ492" t="s">
        <v>5949</v>
      </c>
      <c r="BK492" t="s">
        <v>263</v>
      </c>
    </row>
    <row r="493" spans="1:64">
      <c r="A493" s="1">
        <f>HYPERLINK("https://lsnyc.legalserver.org/matter/dynamic-profile/view/1904667","19-1904667")</f>
        <v>0</v>
      </c>
      <c r="B493" t="s">
        <v>65</v>
      </c>
      <c r="C493" t="s">
        <v>142</v>
      </c>
      <c r="D493" t="s">
        <v>200</v>
      </c>
      <c r="E493" t="s">
        <v>201</v>
      </c>
      <c r="G493" t="s">
        <v>202</v>
      </c>
      <c r="H493" t="s">
        <v>272</v>
      </c>
      <c r="I493" t="s">
        <v>202</v>
      </c>
      <c r="J493" t="s">
        <v>289</v>
      </c>
      <c r="K493" t="s">
        <v>292</v>
      </c>
      <c r="M493" t="s">
        <v>290</v>
      </c>
      <c r="N493" t="s">
        <v>202</v>
      </c>
      <c r="O493" t="s">
        <v>421</v>
      </c>
      <c r="P493" t="s">
        <v>427</v>
      </c>
      <c r="S493" t="s">
        <v>866</v>
      </c>
      <c r="T493" t="s">
        <v>1372</v>
      </c>
      <c r="U493" t="s">
        <v>246</v>
      </c>
      <c r="W493" t="s">
        <v>1876</v>
      </c>
      <c r="X493" t="s">
        <v>2336</v>
      </c>
      <c r="Y493" t="s">
        <v>2784</v>
      </c>
      <c r="Z493" t="s">
        <v>3098</v>
      </c>
      <c r="AA493" t="s">
        <v>3135</v>
      </c>
      <c r="AB493">
        <v>10460</v>
      </c>
      <c r="AC493" t="s">
        <v>3139</v>
      </c>
      <c r="AD493" t="s">
        <v>3593</v>
      </c>
      <c r="AE493">
        <v>4</v>
      </c>
      <c r="AG493" t="s">
        <v>4031</v>
      </c>
      <c r="AH493" t="s">
        <v>291</v>
      </c>
      <c r="AI493" t="s">
        <v>291</v>
      </c>
      <c r="AK493" t="s">
        <v>4040</v>
      </c>
      <c r="AL493" t="s">
        <v>4046</v>
      </c>
      <c r="AM493">
        <v>0</v>
      </c>
      <c r="AN493">
        <v>729</v>
      </c>
      <c r="AO493">
        <v>3</v>
      </c>
      <c r="AR493" t="s">
        <v>5401</v>
      </c>
      <c r="AS493">
        <v>298</v>
      </c>
      <c r="AT493" t="s">
        <v>5840</v>
      </c>
      <c r="AU493">
        <v>1</v>
      </c>
      <c r="AV493">
        <v>0</v>
      </c>
      <c r="AW493">
        <v>249.61</v>
      </c>
      <c r="BB493" t="s">
        <v>1322</v>
      </c>
      <c r="BC493">
        <v>31176</v>
      </c>
      <c r="BG493" t="s">
        <v>5902</v>
      </c>
      <c r="BJ493" t="s">
        <v>5949</v>
      </c>
      <c r="BK493" t="s">
        <v>234</v>
      </c>
      <c r="BL493" t="s">
        <v>6056</v>
      </c>
    </row>
    <row r="494" spans="1:64">
      <c r="A494" s="1">
        <f>HYPERLINK("https://lsnyc.legalserver.org/matter/dynamic-profile/view/1910292","19-1910292")</f>
        <v>0</v>
      </c>
      <c r="B494" t="s">
        <v>65</v>
      </c>
      <c r="C494" t="s">
        <v>142</v>
      </c>
      <c r="D494" t="s">
        <v>200</v>
      </c>
      <c r="E494" t="s">
        <v>202</v>
      </c>
      <c r="F494" t="s">
        <v>216</v>
      </c>
      <c r="G494" t="s">
        <v>202</v>
      </c>
      <c r="H494" t="s">
        <v>272</v>
      </c>
      <c r="I494" t="s">
        <v>202</v>
      </c>
      <c r="J494" t="s">
        <v>289</v>
      </c>
      <c r="K494" t="s">
        <v>292</v>
      </c>
      <c r="M494" t="s">
        <v>290</v>
      </c>
      <c r="N494" t="s">
        <v>202</v>
      </c>
      <c r="O494" t="s">
        <v>421</v>
      </c>
      <c r="P494" t="s">
        <v>427</v>
      </c>
      <c r="S494" t="s">
        <v>867</v>
      </c>
      <c r="T494" t="s">
        <v>1554</v>
      </c>
      <c r="U494" t="s">
        <v>216</v>
      </c>
      <c r="W494" t="s">
        <v>1876</v>
      </c>
      <c r="X494" t="s">
        <v>2337</v>
      </c>
      <c r="Y494" t="s">
        <v>2976</v>
      </c>
      <c r="Z494" t="s">
        <v>3098</v>
      </c>
      <c r="AA494" t="s">
        <v>3135</v>
      </c>
      <c r="AB494">
        <v>10468</v>
      </c>
      <c r="AC494" t="s">
        <v>3139</v>
      </c>
      <c r="AD494" t="s">
        <v>3594</v>
      </c>
      <c r="AE494">
        <v>-1</v>
      </c>
      <c r="AG494" t="s">
        <v>4030</v>
      </c>
      <c r="AH494" t="s">
        <v>291</v>
      </c>
      <c r="AI494" t="s">
        <v>291</v>
      </c>
      <c r="AK494" t="s">
        <v>4040</v>
      </c>
      <c r="AL494" t="s">
        <v>4046</v>
      </c>
      <c r="AM494">
        <v>0</v>
      </c>
      <c r="AN494">
        <v>1800</v>
      </c>
      <c r="AO494">
        <v>1</v>
      </c>
      <c r="AQ494" t="s">
        <v>4532</v>
      </c>
      <c r="AR494" t="s">
        <v>5402</v>
      </c>
      <c r="AS494">
        <v>60</v>
      </c>
      <c r="AT494" t="s">
        <v>5838</v>
      </c>
      <c r="AU494">
        <v>1</v>
      </c>
      <c r="AV494">
        <v>2</v>
      </c>
      <c r="AW494">
        <v>45.01</v>
      </c>
      <c r="BA494" t="s">
        <v>329</v>
      </c>
      <c r="BB494" t="s">
        <v>5859</v>
      </c>
      <c r="BC494">
        <v>9600</v>
      </c>
      <c r="BG494" t="s">
        <v>5899</v>
      </c>
      <c r="BJ494" t="s">
        <v>5949</v>
      </c>
      <c r="BK494" t="s">
        <v>216</v>
      </c>
      <c r="BL494" t="s">
        <v>6057</v>
      </c>
    </row>
    <row r="495" spans="1:64">
      <c r="A495" s="1">
        <f>HYPERLINK("https://lsnyc.legalserver.org/matter/dynamic-profile/view/1905569","19-1905569")</f>
        <v>0</v>
      </c>
      <c r="B495" t="s">
        <v>65</v>
      </c>
      <c r="C495" t="s">
        <v>142</v>
      </c>
      <c r="D495" t="s">
        <v>200</v>
      </c>
      <c r="E495" t="s">
        <v>202</v>
      </c>
      <c r="F495" t="s">
        <v>207</v>
      </c>
      <c r="G495" t="s">
        <v>270</v>
      </c>
      <c r="I495" t="s">
        <v>202</v>
      </c>
      <c r="J495" t="s">
        <v>289</v>
      </c>
      <c r="K495" t="s">
        <v>202</v>
      </c>
      <c r="L495" t="s">
        <v>355</v>
      </c>
      <c r="M495" t="s">
        <v>290</v>
      </c>
      <c r="N495" t="s">
        <v>202</v>
      </c>
      <c r="O495" t="s">
        <v>421</v>
      </c>
      <c r="P495" t="s">
        <v>427</v>
      </c>
      <c r="S495" t="s">
        <v>868</v>
      </c>
      <c r="T495" t="s">
        <v>1258</v>
      </c>
      <c r="U495" t="s">
        <v>232</v>
      </c>
      <c r="W495" t="s">
        <v>1876</v>
      </c>
      <c r="X495" t="s">
        <v>2338</v>
      </c>
      <c r="Y495" t="s">
        <v>2977</v>
      </c>
      <c r="Z495" t="s">
        <v>3098</v>
      </c>
      <c r="AA495" t="s">
        <v>3135</v>
      </c>
      <c r="AB495">
        <v>10453</v>
      </c>
      <c r="AC495" t="s">
        <v>3139</v>
      </c>
      <c r="AD495" t="s">
        <v>3595</v>
      </c>
      <c r="AE495">
        <v>35</v>
      </c>
      <c r="AG495" t="s">
        <v>4031</v>
      </c>
      <c r="AH495" t="s">
        <v>291</v>
      </c>
      <c r="AI495" t="s">
        <v>291</v>
      </c>
      <c r="AK495" t="s">
        <v>4040</v>
      </c>
      <c r="AM495">
        <v>0</v>
      </c>
      <c r="AN495">
        <v>1066</v>
      </c>
      <c r="AO495">
        <v>4.6</v>
      </c>
      <c r="AQ495" t="s">
        <v>4533</v>
      </c>
      <c r="AR495" t="s">
        <v>5403</v>
      </c>
      <c r="AS495">
        <v>0</v>
      </c>
      <c r="AT495" t="s">
        <v>5847</v>
      </c>
      <c r="AU495">
        <v>3</v>
      </c>
      <c r="AV495">
        <v>3</v>
      </c>
      <c r="AW495">
        <v>80.17</v>
      </c>
      <c r="BA495" t="s">
        <v>329</v>
      </c>
      <c r="BB495" t="s">
        <v>1322</v>
      </c>
      <c r="BC495">
        <v>27732</v>
      </c>
      <c r="BG495" t="s">
        <v>5899</v>
      </c>
      <c r="BJ495" t="s">
        <v>6020</v>
      </c>
      <c r="BK495" t="s">
        <v>234</v>
      </c>
      <c r="BL495" t="s">
        <v>6057</v>
      </c>
    </row>
    <row r="496" spans="1:64">
      <c r="A496" s="1">
        <f>HYPERLINK("https://lsnyc.legalserver.org/matter/dynamic-profile/view/1908051","19-1908051")</f>
        <v>0</v>
      </c>
      <c r="B496" t="s">
        <v>65</v>
      </c>
      <c r="C496" t="s">
        <v>142</v>
      </c>
      <c r="D496" t="s">
        <v>200</v>
      </c>
      <c r="E496" t="s">
        <v>201</v>
      </c>
      <c r="G496" t="s">
        <v>202</v>
      </c>
      <c r="H496" t="s">
        <v>272</v>
      </c>
      <c r="I496" t="s">
        <v>202</v>
      </c>
      <c r="J496" t="s">
        <v>289</v>
      </c>
      <c r="K496" t="s">
        <v>292</v>
      </c>
      <c r="M496" t="s">
        <v>290</v>
      </c>
      <c r="N496" t="s">
        <v>419</v>
      </c>
      <c r="O496" t="s">
        <v>420</v>
      </c>
      <c r="P496" t="s">
        <v>427</v>
      </c>
      <c r="S496" t="s">
        <v>869</v>
      </c>
      <c r="T496" t="s">
        <v>1555</v>
      </c>
      <c r="U496" t="s">
        <v>221</v>
      </c>
      <c r="W496" t="s">
        <v>1876</v>
      </c>
      <c r="X496" t="s">
        <v>2339</v>
      </c>
      <c r="Y496" t="s">
        <v>2838</v>
      </c>
      <c r="Z496" t="s">
        <v>3098</v>
      </c>
      <c r="AA496" t="s">
        <v>3135</v>
      </c>
      <c r="AB496">
        <v>10468</v>
      </c>
      <c r="AC496" t="s">
        <v>3139</v>
      </c>
      <c r="AD496" t="s">
        <v>3596</v>
      </c>
      <c r="AE496">
        <v>7</v>
      </c>
      <c r="AG496" t="s">
        <v>4030</v>
      </c>
      <c r="AH496" t="s">
        <v>291</v>
      </c>
      <c r="AI496" t="s">
        <v>291</v>
      </c>
      <c r="AK496" t="s">
        <v>4040</v>
      </c>
      <c r="AM496">
        <v>0</v>
      </c>
      <c r="AN496">
        <v>1107.13</v>
      </c>
      <c r="AO496">
        <v>1.4</v>
      </c>
      <c r="AQ496" t="s">
        <v>4534</v>
      </c>
      <c r="AR496" t="s">
        <v>5404</v>
      </c>
      <c r="AS496">
        <v>58</v>
      </c>
      <c r="AT496" t="s">
        <v>5836</v>
      </c>
      <c r="AU496">
        <v>2</v>
      </c>
      <c r="AV496">
        <v>0</v>
      </c>
      <c r="AW496">
        <v>126.85</v>
      </c>
      <c r="BA496" t="s">
        <v>329</v>
      </c>
      <c r="BB496" t="s">
        <v>1322</v>
      </c>
      <c r="BC496">
        <v>21450</v>
      </c>
      <c r="BG496" t="s">
        <v>5899</v>
      </c>
      <c r="BJ496" t="s">
        <v>5949</v>
      </c>
      <c r="BK496" t="s">
        <v>263</v>
      </c>
      <c r="BL496" t="s">
        <v>6056</v>
      </c>
    </row>
    <row r="497" spans="1:64">
      <c r="A497" s="1">
        <f>HYPERLINK("https://lsnyc.legalserver.org/matter/dynamic-profile/view/1905473","19-1905473")</f>
        <v>0</v>
      </c>
      <c r="B497" t="s">
        <v>65</v>
      </c>
      <c r="C497" t="s">
        <v>128</v>
      </c>
      <c r="D497" t="s">
        <v>200</v>
      </c>
      <c r="E497" t="s">
        <v>202</v>
      </c>
      <c r="F497" t="s">
        <v>242</v>
      </c>
      <c r="G497" t="s">
        <v>202</v>
      </c>
      <c r="H497" t="s">
        <v>272</v>
      </c>
      <c r="I497" t="s">
        <v>202</v>
      </c>
      <c r="J497" t="s">
        <v>289</v>
      </c>
      <c r="K497" t="s">
        <v>292</v>
      </c>
      <c r="M497" t="s">
        <v>290</v>
      </c>
      <c r="N497" t="s">
        <v>202</v>
      </c>
      <c r="O497" t="s">
        <v>421</v>
      </c>
      <c r="P497" t="s">
        <v>427</v>
      </c>
      <c r="S497" t="s">
        <v>870</v>
      </c>
      <c r="T497" t="s">
        <v>1370</v>
      </c>
      <c r="U497" t="s">
        <v>242</v>
      </c>
      <c r="W497" t="s">
        <v>1876</v>
      </c>
      <c r="X497" t="s">
        <v>2340</v>
      </c>
      <c r="Y497" t="s">
        <v>2978</v>
      </c>
      <c r="Z497" t="s">
        <v>3098</v>
      </c>
      <c r="AA497" t="s">
        <v>3135</v>
      </c>
      <c r="AB497">
        <v>10467</v>
      </c>
      <c r="AC497" t="s">
        <v>3143</v>
      </c>
      <c r="AD497" t="s">
        <v>3597</v>
      </c>
      <c r="AE497">
        <v>35</v>
      </c>
      <c r="AG497" t="s">
        <v>4030</v>
      </c>
      <c r="AH497" t="s">
        <v>291</v>
      </c>
      <c r="AI497" t="s">
        <v>291</v>
      </c>
      <c r="AK497" t="s">
        <v>4040</v>
      </c>
      <c r="AL497" t="s">
        <v>4046</v>
      </c>
      <c r="AM497">
        <v>0</v>
      </c>
      <c r="AN497">
        <v>998.72</v>
      </c>
      <c r="AO497">
        <v>6.2</v>
      </c>
      <c r="AQ497" t="s">
        <v>4535</v>
      </c>
      <c r="AR497" t="s">
        <v>5405</v>
      </c>
      <c r="AS497">
        <v>60</v>
      </c>
      <c r="AT497" t="s">
        <v>5840</v>
      </c>
      <c r="AU497">
        <v>1</v>
      </c>
      <c r="AV497">
        <v>1</v>
      </c>
      <c r="AW497">
        <v>118.7</v>
      </c>
      <c r="BB497" t="s">
        <v>1322</v>
      </c>
      <c r="BC497">
        <v>20072</v>
      </c>
      <c r="BG497" t="s">
        <v>5898</v>
      </c>
      <c r="BJ497" t="s">
        <v>5949</v>
      </c>
      <c r="BK497" t="s">
        <v>263</v>
      </c>
      <c r="BL497" t="s">
        <v>6056</v>
      </c>
    </row>
    <row r="498" spans="1:64">
      <c r="A498" s="1">
        <f>HYPERLINK("https://lsnyc.legalserver.org/matter/dynamic-profile/view/1910058","19-1910058")</f>
        <v>0</v>
      </c>
      <c r="B498" t="s">
        <v>65</v>
      </c>
      <c r="C498" t="s">
        <v>142</v>
      </c>
      <c r="D498" t="s">
        <v>200</v>
      </c>
      <c r="E498" t="s">
        <v>201</v>
      </c>
      <c r="G498" t="s">
        <v>202</v>
      </c>
      <c r="H498" t="s">
        <v>272</v>
      </c>
      <c r="I498" t="s">
        <v>202</v>
      </c>
      <c r="J498" t="s">
        <v>289</v>
      </c>
      <c r="K498" t="s">
        <v>292</v>
      </c>
      <c r="M498" t="s">
        <v>290</v>
      </c>
      <c r="N498" t="s">
        <v>419</v>
      </c>
      <c r="P498" t="s">
        <v>427</v>
      </c>
      <c r="S498" t="s">
        <v>769</v>
      </c>
      <c r="T498" t="s">
        <v>1556</v>
      </c>
      <c r="U498" t="s">
        <v>206</v>
      </c>
      <c r="W498" t="s">
        <v>1876</v>
      </c>
      <c r="X498" t="s">
        <v>2341</v>
      </c>
      <c r="Y498">
        <v>31</v>
      </c>
      <c r="Z498" t="s">
        <v>3098</v>
      </c>
      <c r="AA498" t="s">
        <v>3135</v>
      </c>
      <c r="AB498">
        <v>10468</v>
      </c>
      <c r="AC498" t="s">
        <v>3139</v>
      </c>
      <c r="AD498" t="s">
        <v>3598</v>
      </c>
      <c r="AE498">
        <v>1</v>
      </c>
      <c r="AG498" t="s">
        <v>4030</v>
      </c>
      <c r="AH498" t="s">
        <v>291</v>
      </c>
      <c r="AI498" t="s">
        <v>291</v>
      </c>
      <c r="AK498" t="s">
        <v>4040</v>
      </c>
      <c r="AM498">
        <v>0</v>
      </c>
      <c r="AN498">
        <v>0</v>
      </c>
      <c r="AO498">
        <v>1</v>
      </c>
      <c r="AQ498" t="s">
        <v>4536</v>
      </c>
      <c r="AR498" t="s">
        <v>5406</v>
      </c>
      <c r="AS498">
        <v>27</v>
      </c>
      <c r="AT498" t="s">
        <v>5836</v>
      </c>
      <c r="AU498">
        <v>1</v>
      </c>
      <c r="AV498">
        <v>1</v>
      </c>
      <c r="AW498">
        <v>89.65000000000001</v>
      </c>
      <c r="BA498" t="s">
        <v>329</v>
      </c>
      <c r="BB498" t="s">
        <v>5859</v>
      </c>
      <c r="BC498">
        <v>15160</v>
      </c>
      <c r="BG498" t="s">
        <v>5899</v>
      </c>
      <c r="BJ498" t="s">
        <v>5979</v>
      </c>
      <c r="BK498" t="s">
        <v>216</v>
      </c>
    </row>
    <row r="499" spans="1:64">
      <c r="A499" s="1">
        <f>HYPERLINK("https://lsnyc.legalserver.org/matter/dynamic-profile/view/1904811","19-1904811")</f>
        <v>0</v>
      </c>
      <c r="B499" t="s">
        <v>65</v>
      </c>
      <c r="C499" t="s">
        <v>142</v>
      </c>
      <c r="D499" t="s">
        <v>200</v>
      </c>
      <c r="E499" t="s">
        <v>202</v>
      </c>
      <c r="F499" t="s">
        <v>217</v>
      </c>
      <c r="G499" t="s">
        <v>202</v>
      </c>
      <c r="H499" t="s">
        <v>272</v>
      </c>
      <c r="I499" t="s">
        <v>202</v>
      </c>
      <c r="J499" t="s">
        <v>289</v>
      </c>
      <c r="K499" t="s">
        <v>292</v>
      </c>
      <c r="M499" t="s">
        <v>290</v>
      </c>
      <c r="N499" t="s">
        <v>202</v>
      </c>
      <c r="O499" t="s">
        <v>421</v>
      </c>
      <c r="P499" t="s">
        <v>427</v>
      </c>
      <c r="S499" t="s">
        <v>871</v>
      </c>
      <c r="T499" t="s">
        <v>1557</v>
      </c>
      <c r="U499" t="s">
        <v>211</v>
      </c>
      <c r="W499" t="s">
        <v>1876</v>
      </c>
      <c r="X499" t="s">
        <v>2320</v>
      </c>
      <c r="Y499" t="s">
        <v>2979</v>
      </c>
      <c r="Z499" t="s">
        <v>3098</v>
      </c>
      <c r="AA499" t="s">
        <v>3135</v>
      </c>
      <c r="AB499">
        <v>10467</v>
      </c>
      <c r="AC499" t="s">
        <v>3136</v>
      </c>
      <c r="AD499" t="s">
        <v>3599</v>
      </c>
      <c r="AE499">
        <v>1</v>
      </c>
      <c r="AG499" t="s">
        <v>4030</v>
      </c>
      <c r="AH499" t="s">
        <v>291</v>
      </c>
      <c r="AI499" t="s">
        <v>291</v>
      </c>
      <c r="AK499" t="s">
        <v>4040</v>
      </c>
      <c r="AM499">
        <v>0</v>
      </c>
      <c r="AN499">
        <v>1560</v>
      </c>
      <c r="AO499">
        <v>4.05</v>
      </c>
      <c r="AQ499" t="s">
        <v>4537</v>
      </c>
      <c r="AR499" t="s">
        <v>5407</v>
      </c>
      <c r="AS499">
        <v>48</v>
      </c>
      <c r="AT499" t="s">
        <v>5835</v>
      </c>
      <c r="AU499">
        <v>1</v>
      </c>
      <c r="AV499">
        <v>1</v>
      </c>
      <c r="AW499">
        <v>165.58</v>
      </c>
      <c r="BA499" t="s">
        <v>5850</v>
      </c>
      <c r="BB499" t="s">
        <v>1322</v>
      </c>
      <c r="BC499">
        <v>28000</v>
      </c>
      <c r="BG499" t="s">
        <v>5904</v>
      </c>
      <c r="BJ499" t="s">
        <v>5949</v>
      </c>
      <c r="BK499" t="s">
        <v>218</v>
      </c>
      <c r="BL499" t="s">
        <v>6056</v>
      </c>
    </row>
    <row r="500" spans="1:64">
      <c r="A500" s="1">
        <f>HYPERLINK("https://lsnyc.legalserver.org/matter/dynamic-profile/view/1905864","19-1905864")</f>
        <v>0</v>
      </c>
      <c r="B500" t="s">
        <v>65</v>
      </c>
      <c r="C500" t="s">
        <v>142</v>
      </c>
      <c r="D500" t="s">
        <v>200</v>
      </c>
      <c r="E500" t="s">
        <v>201</v>
      </c>
      <c r="G500" t="s">
        <v>202</v>
      </c>
      <c r="H500" t="s">
        <v>271</v>
      </c>
      <c r="I500" t="s">
        <v>202</v>
      </c>
      <c r="J500" t="s">
        <v>289</v>
      </c>
      <c r="K500" t="s">
        <v>292</v>
      </c>
      <c r="M500" t="s">
        <v>290</v>
      </c>
      <c r="N500" t="s">
        <v>419</v>
      </c>
      <c r="P500" t="s">
        <v>427</v>
      </c>
      <c r="S500" t="s">
        <v>872</v>
      </c>
      <c r="T500" t="s">
        <v>1558</v>
      </c>
      <c r="U500" t="s">
        <v>262</v>
      </c>
      <c r="W500" t="s">
        <v>1876</v>
      </c>
      <c r="X500" t="s">
        <v>2342</v>
      </c>
      <c r="Z500" t="s">
        <v>3098</v>
      </c>
      <c r="AA500" t="s">
        <v>3135</v>
      </c>
      <c r="AB500">
        <v>10467</v>
      </c>
      <c r="AC500" t="s">
        <v>3143</v>
      </c>
      <c r="AD500" t="s">
        <v>3600</v>
      </c>
      <c r="AE500">
        <v>3</v>
      </c>
      <c r="AG500" t="s">
        <v>4030</v>
      </c>
      <c r="AH500" t="s">
        <v>291</v>
      </c>
      <c r="AI500" t="s">
        <v>291</v>
      </c>
      <c r="AK500" t="s">
        <v>4040</v>
      </c>
      <c r="AM500">
        <v>0</v>
      </c>
      <c r="AN500">
        <v>1998</v>
      </c>
      <c r="AO500">
        <v>3.8</v>
      </c>
      <c r="AQ500" t="s">
        <v>4538</v>
      </c>
      <c r="AR500" t="s">
        <v>5408</v>
      </c>
      <c r="AS500">
        <v>3</v>
      </c>
      <c r="AT500" t="s">
        <v>5835</v>
      </c>
      <c r="AU500">
        <v>3</v>
      </c>
      <c r="AV500">
        <v>0</v>
      </c>
      <c r="AW500">
        <v>12.49</v>
      </c>
      <c r="BA500" t="s">
        <v>5850</v>
      </c>
      <c r="BB500" t="s">
        <v>1322</v>
      </c>
      <c r="BC500">
        <v>2664</v>
      </c>
      <c r="BG500" t="s">
        <v>5899</v>
      </c>
      <c r="BJ500" t="s">
        <v>5960</v>
      </c>
      <c r="BK500" t="s">
        <v>264</v>
      </c>
    </row>
    <row r="501" spans="1:64">
      <c r="A501" s="1">
        <f>HYPERLINK("https://lsnyc.legalserver.org/matter/dynamic-profile/view/1905396","19-1905396")</f>
        <v>0</v>
      </c>
      <c r="B501" t="s">
        <v>65</v>
      </c>
      <c r="C501" t="s">
        <v>145</v>
      </c>
      <c r="D501" t="s">
        <v>200</v>
      </c>
      <c r="E501" t="s">
        <v>202</v>
      </c>
      <c r="F501" t="s">
        <v>209</v>
      </c>
      <c r="G501" t="s">
        <v>202</v>
      </c>
      <c r="H501" t="s">
        <v>272</v>
      </c>
      <c r="I501" t="s">
        <v>202</v>
      </c>
      <c r="J501" t="s">
        <v>289</v>
      </c>
      <c r="K501" t="s">
        <v>292</v>
      </c>
      <c r="M501" t="s">
        <v>290</v>
      </c>
      <c r="N501" t="s">
        <v>202</v>
      </c>
      <c r="O501" t="s">
        <v>421</v>
      </c>
      <c r="P501" t="s">
        <v>427</v>
      </c>
      <c r="S501" t="s">
        <v>541</v>
      </c>
      <c r="T501" t="s">
        <v>1559</v>
      </c>
      <c r="U501" t="s">
        <v>242</v>
      </c>
      <c r="W501" t="s">
        <v>1876</v>
      </c>
      <c r="X501" t="s">
        <v>2343</v>
      </c>
      <c r="Y501" t="s">
        <v>2895</v>
      </c>
      <c r="Z501" t="s">
        <v>3098</v>
      </c>
      <c r="AA501" t="s">
        <v>3135</v>
      </c>
      <c r="AB501">
        <v>10467</v>
      </c>
      <c r="AC501" t="s">
        <v>3139</v>
      </c>
      <c r="AD501" t="s">
        <v>3601</v>
      </c>
      <c r="AE501">
        <v>8</v>
      </c>
      <c r="AG501" t="s">
        <v>4030</v>
      </c>
      <c r="AH501" t="s">
        <v>291</v>
      </c>
      <c r="AI501" t="s">
        <v>291</v>
      </c>
      <c r="AK501" t="s">
        <v>4040</v>
      </c>
      <c r="AM501">
        <v>0</v>
      </c>
      <c r="AN501">
        <v>1375</v>
      </c>
      <c r="AO501">
        <v>22.5</v>
      </c>
      <c r="AQ501" t="s">
        <v>4539</v>
      </c>
      <c r="AS501">
        <v>53</v>
      </c>
      <c r="AT501" t="s">
        <v>5838</v>
      </c>
      <c r="AU501">
        <v>1</v>
      </c>
      <c r="AV501">
        <v>2</v>
      </c>
      <c r="AW501">
        <v>182.84</v>
      </c>
      <c r="BA501" t="s">
        <v>329</v>
      </c>
      <c r="BB501" t="s">
        <v>1322</v>
      </c>
      <c r="BC501">
        <v>39000</v>
      </c>
      <c r="BG501" t="s">
        <v>5899</v>
      </c>
      <c r="BJ501" t="s">
        <v>5949</v>
      </c>
      <c r="BK501" t="s">
        <v>234</v>
      </c>
      <c r="BL501" t="s">
        <v>6056</v>
      </c>
    </row>
    <row r="502" spans="1:64">
      <c r="A502" s="1">
        <f>HYPERLINK("https://lsnyc.legalserver.org/matter/dynamic-profile/view/1908262","19-1908262")</f>
        <v>0</v>
      </c>
      <c r="B502" t="s">
        <v>65</v>
      </c>
      <c r="C502" t="s">
        <v>145</v>
      </c>
      <c r="D502" t="s">
        <v>200</v>
      </c>
      <c r="E502" t="s">
        <v>201</v>
      </c>
      <c r="G502" t="s">
        <v>202</v>
      </c>
      <c r="H502" t="s">
        <v>271</v>
      </c>
      <c r="I502" t="s">
        <v>202</v>
      </c>
      <c r="J502" t="s">
        <v>289</v>
      </c>
      <c r="K502" t="s">
        <v>292</v>
      </c>
      <c r="M502" t="s">
        <v>290</v>
      </c>
      <c r="N502" t="s">
        <v>202</v>
      </c>
      <c r="O502" t="s">
        <v>421</v>
      </c>
      <c r="P502" t="s">
        <v>427</v>
      </c>
      <c r="S502" t="s">
        <v>873</v>
      </c>
      <c r="T502" t="s">
        <v>1560</v>
      </c>
      <c r="U502" t="s">
        <v>223</v>
      </c>
      <c r="W502" t="s">
        <v>1876</v>
      </c>
      <c r="X502" t="s">
        <v>2344</v>
      </c>
      <c r="Y502" t="s">
        <v>2980</v>
      </c>
      <c r="Z502" t="s">
        <v>3098</v>
      </c>
      <c r="AA502" t="s">
        <v>3135</v>
      </c>
      <c r="AB502">
        <v>10457</v>
      </c>
      <c r="AD502" t="s">
        <v>3602</v>
      </c>
      <c r="AE502">
        <v>13</v>
      </c>
      <c r="AG502" t="s">
        <v>4030</v>
      </c>
      <c r="AH502" t="s">
        <v>291</v>
      </c>
      <c r="AI502" t="s">
        <v>291</v>
      </c>
      <c r="AK502" t="s">
        <v>4040</v>
      </c>
      <c r="AL502" t="s">
        <v>4048</v>
      </c>
      <c r="AM502">
        <v>0</v>
      </c>
      <c r="AN502">
        <v>582</v>
      </c>
      <c r="AO502">
        <v>0</v>
      </c>
      <c r="AQ502" t="s">
        <v>4540</v>
      </c>
      <c r="AR502" t="s">
        <v>5409</v>
      </c>
      <c r="AS502">
        <v>166</v>
      </c>
      <c r="AT502" t="s">
        <v>5847</v>
      </c>
      <c r="AU502">
        <v>1</v>
      </c>
      <c r="AV502">
        <v>2</v>
      </c>
      <c r="AW502">
        <v>67.04000000000001</v>
      </c>
      <c r="BA502" t="s">
        <v>5850</v>
      </c>
      <c r="BB502" t="s">
        <v>5867</v>
      </c>
      <c r="BC502">
        <v>14300</v>
      </c>
      <c r="BG502" t="s">
        <v>138</v>
      </c>
      <c r="BJ502" t="s">
        <v>5951</v>
      </c>
      <c r="BL502" t="s">
        <v>6056</v>
      </c>
    </row>
    <row r="503" spans="1:64">
      <c r="A503" s="1">
        <f>HYPERLINK("https://lsnyc.legalserver.org/matter/dynamic-profile/view/1909741","19-1909741")</f>
        <v>0</v>
      </c>
      <c r="B503" t="s">
        <v>65</v>
      </c>
      <c r="C503" t="s">
        <v>145</v>
      </c>
      <c r="D503" t="s">
        <v>200</v>
      </c>
      <c r="E503" t="s">
        <v>201</v>
      </c>
      <c r="G503" t="s">
        <v>202</v>
      </c>
      <c r="H503" t="s">
        <v>271</v>
      </c>
      <c r="I503" t="s">
        <v>202</v>
      </c>
      <c r="J503" t="s">
        <v>289</v>
      </c>
      <c r="K503" t="s">
        <v>292</v>
      </c>
      <c r="M503" t="s">
        <v>290</v>
      </c>
      <c r="N503" t="s">
        <v>419</v>
      </c>
      <c r="P503" t="s">
        <v>427</v>
      </c>
      <c r="S503" t="s">
        <v>619</v>
      </c>
      <c r="T503" t="s">
        <v>1561</v>
      </c>
      <c r="U503" t="s">
        <v>223</v>
      </c>
      <c r="W503" t="s">
        <v>1876</v>
      </c>
      <c r="X503" t="s">
        <v>2345</v>
      </c>
      <c r="Y503" t="s">
        <v>2981</v>
      </c>
      <c r="Z503" t="s">
        <v>3098</v>
      </c>
      <c r="AA503" t="s">
        <v>3135</v>
      </c>
      <c r="AB503">
        <v>10468</v>
      </c>
      <c r="AC503" t="s">
        <v>3136</v>
      </c>
      <c r="AD503" t="s">
        <v>3603</v>
      </c>
      <c r="AE503">
        <v>3</v>
      </c>
      <c r="AG503" t="s">
        <v>4030</v>
      </c>
      <c r="AH503" t="s">
        <v>291</v>
      </c>
      <c r="AI503" t="s">
        <v>291</v>
      </c>
      <c r="AK503" t="s">
        <v>4040</v>
      </c>
      <c r="AM503">
        <v>0</v>
      </c>
      <c r="AN503">
        <v>237</v>
      </c>
      <c r="AO503">
        <v>1.5</v>
      </c>
      <c r="AQ503" t="s">
        <v>4541</v>
      </c>
      <c r="AR503" t="s">
        <v>5410</v>
      </c>
      <c r="AS503">
        <v>111</v>
      </c>
      <c r="AT503" t="s">
        <v>5847</v>
      </c>
      <c r="AU503">
        <v>1</v>
      </c>
      <c r="AV503">
        <v>0</v>
      </c>
      <c r="AW503">
        <v>74.08</v>
      </c>
      <c r="BA503" t="s">
        <v>5850</v>
      </c>
      <c r="BB503" t="s">
        <v>1322</v>
      </c>
      <c r="BC503">
        <v>9252</v>
      </c>
      <c r="BG503" t="s">
        <v>138</v>
      </c>
      <c r="BJ503" t="s">
        <v>5959</v>
      </c>
      <c r="BK503" t="s">
        <v>264</v>
      </c>
      <c r="BL503" t="s">
        <v>6056</v>
      </c>
    </row>
    <row r="504" spans="1:64">
      <c r="A504" s="1">
        <f>HYPERLINK("https://lsnyc.legalserver.org/matter/dynamic-profile/view/1906104","19-1906104")</f>
        <v>0</v>
      </c>
      <c r="B504" t="s">
        <v>65</v>
      </c>
      <c r="C504" t="s">
        <v>145</v>
      </c>
      <c r="D504" t="s">
        <v>200</v>
      </c>
      <c r="E504" t="s">
        <v>201</v>
      </c>
      <c r="G504" t="s">
        <v>202</v>
      </c>
      <c r="H504" t="s">
        <v>272</v>
      </c>
      <c r="I504" t="s">
        <v>202</v>
      </c>
      <c r="J504" t="s">
        <v>289</v>
      </c>
      <c r="K504" t="s">
        <v>292</v>
      </c>
      <c r="M504" t="s">
        <v>290</v>
      </c>
      <c r="N504" t="s">
        <v>202</v>
      </c>
      <c r="O504" t="s">
        <v>421</v>
      </c>
      <c r="P504" t="s">
        <v>427</v>
      </c>
      <c r="S504" t="s">
        <v>874</v>
      </c>
      <c r="T504" t="s">
        <v>1233</v>
      </c>
      <c r="U504" t="s">
        <v>210</v>
      </c>
      <c r="W504" t="s">
        <v>1876</v>
      </c>
      <c r="X504" t="s">
        <v>2346</v>
      </c>
      <c r="Y504" t="s">
        <v>2899</v>
      </c>
      <c r="Z504" t="s">
        <v>3098</v>
      </c>
      <c r="AA504" t="s">
        <v>3135</v>
      </c>
      <c r="AB504">
        <v>10457</v>
      </c>
      <c r="AD504" t="s">
        <v>3604</v>
      </c>
      <c r="AE504">
        <v>0</v>
      </c>
      <c r="AG504" t="s">
        <v>4030</v>
      </c>
      <c r="AH504" t="s">
        <v>291</v>
      </c>
      <c r="AI504" t="s">
        <v>291</v>
      </c>
      <c r="AK504" t="s">
        <v>4040</v>
      </c>
      <c r="AM504">
        <v>0</v>
      </c>
      <c r="AN504">
        <v>0</v>
      </c>
      <c r="AO504">
        <v>8</v>
      </c>
      <c r="AQ504" t="s">
        <v>4542</v>
      </c>
      <c r="AS504">
        <v>21</v>
      </c>
      <c r="AT504" t="s">
        <v>5838</v>
      </c>
      <c r="AU504">
        <v>1</v>
      </c>
      <c r="AV504">
        <v>1</v>
      </c>
      <c r="AW504">
        <v>153.76</v>
      </c>
      <c r="BB504" t="s">
        <v>1322</v>
      </c>
      <c r="BC504">
        <v>26000</v>
      </c>
      <c r="BG504" t="s">
        <v>140</v>
      </c>
      <c r="BJ504" t="s">
        <v>5949</v>
      </c>
      <c r="BK504" t="s">
        <v>256</v>
      </c>
      <c r="BL504" t="s">
        <v>329</v>
      </c>
    </row>
    <row r="505" spans="1:64">
      <c r="A505" s="1">
        <f>HYPERLINK("https://lsnyc.legalserver.org/matter/dynamic-profile/view/1907248","19-1907248")</f>
        <v>0</v>
      </c>
      <c r="B505" t="s">
        <v>65</v>
      </c>
      <c r="C505" t="s">
        <v>145</v>
      </c>
      <c r="D505" t="s">
        <v>200</v>
      </c>
      <c r="E505" t="s">
        <v>201</v>
      </c>
      <c r="G505" t="s">
        <v>202</v>
      </c>
      <c r="H505" t="s">
        <v>271</v>
      </c>
      <c r="I505" t="s">
        <v>202</v>
      </c>
      <c r="J505" t="s">
        <v>289</v>
      </c>
      <c r="K505" t="s">
        <v>292</v>
      </c>
      <c r="M505" t="s">
        <v>290</v>
      </c>
      <c r="N505" t="s">
        <v>202</v>
      </c>
      <c r="O505" t="s">
        <v>421</v>
      </c>
      <c r="P505" t="s">
        <v>427</v>
      </c>
      <c r="S505" t="s">
        <v>875</v>
      </c>
      <c r="T505" t="s">
        <v>1204</v>
      </c>
      <c r="U505" t="s">
        <v>240</v>
      </c>
      <c r="W505" t="s">
        <v>1876</v>
      </c>
      <c r="X505" t="s">
        <v>2347</v>
      </c>
      <c r="Y505" t="s">
        <v>2822</v>
      </c>
      <c r="Z505" t="s">
        <v>3098</v>
      </c>
      <c r="AA505" t="s">
        <v>3135</v>
      </c>
      <c r="AB505">
        <v>10462</v>
      </c>
      <c r="AC505" t="s">
        <v>3139</v>
      </c>
      <c r="AD505" t="s">
        <v>3605</v>
      </c>
      <c r="AE505">
        <v>15</v>
      </c>
      <c r="AG505" t="s">
        <v>4031</v>
      </c>
      <c r="AH505" t="s">
        <v>291</v>
      </c>
      <c r="AI505" t="s">
        <v>291</v>
      </c>
      <c r="AK505" t="s">
        <v>4040</v>
      </c>
      <c r="AL505" t="s">
        <v>4046</v>
      </c>
      <c r="AM505">
        <v>0</v>
      </c>
      <c r="AN505">
        <v>1186.51</v>
      </c>
      <c r="AO505">
        <v>10</v>
      </c>
      <c r="AQ505" t="s">
        <v>4543</v>
      </c>
      <c r="AR505" t="s">
        <v>5411</v>
      </c>
      <c r="AS505">
        <v>128</v>
      </c>
      <c r="AT505" t="s">
        <v>5836</v>
      </c>
      <c r="AU505">
        <v>1</v>
      </c>
      <c r="AV505">
        <v>1</v>
      </c>
      <c r="AW505">
        <v>161.14</v>
      </c>
      <c r="BA505" t="s">
        <v>329</v>
      </c>
      <c r="BB505" t="s">
        <v>1322</v>
      </c>
      <c r="BC505">
        <v>27248</v>
      </c>
      <c r="BG505" t="s">
        <v>138</v>
      </c>
      <c r="BJ505" t="s">
        <v>5951</v>
      </c>
      <c r="BK505" t="s">
        <v>222</v>
      </c>
      <c r="BL505" t="s">
        <v>6056</v>
      </c>
    </row>
    <row r="506" spans="1:64">
      <c r="A506" s="1">
        <f>HYPERLINK("https://lsnyc.legalserver.org/matter/dynamic-profile/view/1910276","19-1910276")</f>
        <v>0</v>
      </c>
      <c r="B506" t="s">
        <v>65</v>
      </c>
      <c r="C506" t="s">
        <v>143</v>
      </c>
      <c r="D506" t="s">
        <v>200</v>
      </c>
      <c r="E506" t="s">
        <v>201</v>
      </c>
      <c r="G506" t="s">
        <v>202</v>
      </c>
      <c r="H506" t="s">
        <v>272</v>
      </c>
      <c r="I506" t="s">
        <v>288</v>
      </c>
      <c r="J506" t="s">
        <v>290</v>
      </c>
      <c r="K506" t="s">
        <v>292</v>
      </c>
      <c r="M506" t="s">
        <v>290</v>
      </c>
      <c r="N506" t="s">
        <v>419</v>
      </c>
      <c r="P506" t="s">
        <v>427</v>
      </c>
      <c r="S506" t="s">
        <v>876</v>
      </c>
      <c r="T506" t="s">
        <v>1562</v>
      </c>
      <c r="U506" t="s">
        <v>216</v>
      </c>
      <c r="W506" t="s">
        <v>1876</v>
      </c>
      <c r="X506" t="s">
        <v>2348</v>
      </c>
      <c r="Y506" t="s">
        <v>2800</v>
      </c>
      <c r="Z506" t="s">
        <v>3098</v>
      </c>
      <c r="AA506" t="s">
        <v>3135</v>
      </c>
      <c r="AB506">
        <v>10457</v>
      </c>
      <c r="AD506" t="s">
        <v>3606</v>
      </c>
      <c r="AE506">
        <v>30</v>
      </c>
      <c r="AG506" t="s">
        <v>4030</v>
      </c>
      <c r="AH506" t="s">
        <v>291</v>
      </c>
      <c r="AK506" t="s">
        <v>4040</v>
      </c>
      <c r="AM506">
        <v>0</v>
      </c>
      <c r="AN506">
        <v>1008.73</v>
      </c>
      <c r="AO506">
        <v>1</v>
      </c>
      <c r="AQ506" t="s">
        <v>4544</v>
      </c>
      <c r="AR506" t="s">
        <v>5412</v>
      </c>
      <c r="AS506">
        <v>0</v>
      </c>
      <c r="AT506" t="s">
        <v>5836</v>
      </c>
      <c r="AU506">
        <v>2</v>
      </c>
      <c r="AV506">
        <v>0</v>
      </c>
      <c r="AW506">
        <v>63.87</v>
      </c>
      <c r="BB506" t="s">
        <v>1322</v>
      </c>
      <c r="BC506">
        <v>10800</v>
      </c>
      <c r="BG506" t="s">
        <v>5898</v>
      </c>
      <c r="BJ506" t="s">
        <v>5959</v>
      </c>
      <c r="BK506" t="s">
        <v>216</v>
      </c>
    </row>
    <row r="507" spans="1:64">
      <c r="A507" s="1">
        <f>HYPERLINK("https://lsnyc.legalserver.org/matter/dynamic-profile/view/1904108","19-1904108")</f>
        <v>0</v>
      </c>
      <c r="B507" t="s">
        <v>65</v>
      </c>
      <c r="C507" t="s">
        <v>143</v>
      </c>
      <c r="D507" t="s">
        <v>200</v>
      </c>
      <c r="E507" t="s">
        <v>202</v>
      </c>
      <c r="F507" t="s">
        <v>254</v>
      </c>
      <c r="G507" t="s">
        <v>202</v>
      </c>
      <c r="H507" t="s">
        <v>272</v>
      </c>
      <c r="I507" t="s">
        <v>202</v>
      </c>
      <c r="J507" t="s">
        <v>289</v>
      </c>
      <c r="K507" t="s">
        <v>292</v>
      </c>
      <c r="M507" t="s">
        <v>290</v>
      </c>
      <c r="N507" t="s">
        <v>202</v>
      </c>
      <c r="O507" t="s">
        <v>421</v>
      </c>
      <c r="P507" t="s">
        <v>427</v>
      </c>
      <c r="S507" t="s">
        <v>877</v>
      </c>
      <c r="T507" t="s">
        <v>1456</v>
      </c>
      <c r="U507" t="s">
        <v>251</v>
      </c>
      <c r="W507" t="s">
        <v>1876</v>
      </c>
      <c r="X507" t="s">
        <v>2349</v>
      </c>
      <c r="Y507" t="s">
        <v>2917</v>
      </c>
      <c r="Z507" t="s">
        <v>3098</v>
      </c>
      <c r="AA507" t="s">
        <v>3135</v>
      </c>
      <c r="AB507">
        <v>10468</v>
      </c>
      <c r="AD507" t="s">
        <v>3607</v>
      </c>
      <c r="AE507">
        <v>0</v>
      </c>
      <c r="AG507" t="s">
        <v>4030</v>
      </c>
      <c r="AH507" t="s">
        <v>291</v>
      </c>
      <c r="AI507" t="s">
        <v>291</v>
      </c>
      <c r="AK507" t="s">
        <v>4040</v>
      </c>
      <c r="AM507">
        <v>0</v>
      </c>
      <c r="AN507">
        <v>1807</v>
      </c>
      <c r="AO507">
        <v>9</v>
      </c>
      <c r="AQ507" t="s">
        <v>4545</v>
      </c>
      <c r="AS507">
        <v>57</v>
      </c>
      <c r="AU507">
        <v>2</v>
      </c>
      <c r="AV507">
        <v>3</v>
      </c>
      <c r="AW507">
        <v>110.31</v>
      </c>
      <c r="BB507" t="s">
        <v>5859</v>
      </c>
      <c r="BC507">
        <v>33280</v>
      </c>
      <c r="BG507" t="s">
        <v>140</v>
      </c>
      <c r="BJ507" t="s">
        <v>5951</v>
      </c>
      <c r="BK507" t="s">
        <v>230</v>
      </c>
      <c r="BL507" t="s">
        <v>6056</v>
      </c>
    </row>
    <row r="508" spans="1:64">
      <c r="A508" s="1">
        <f>HYPERLINK("https://lsnyc.legalserver.org/matter/dynamic-profile/view/1907125","19-1907125")</f>
        <v>0</v>
      </c>
      <c r="B508" t="s">
        <v>65</v>
      </c>
      <c r="C508" t="s">
        <v>143</v>
      </c>
      <c r="D508" t="s">
        <v>200</v>
      </c>
      <c r="E508" t="s">
        <v>201</v>
      </c>
      <c r="G508" t="s">
        <v>202</v>
      </c>
      <c r="H508" t="s">
        <v>272</v>
      </c>
      <c r="I508" t="s">
        <v>202</v>
      </c>
      <c r="J508" t="s">
        <v>289</v>
      </c>
      <c r="K508" t="s">
        <v>292</v>
      </c>
      <c r="M508" t="s">
        <v>290</v>
      </c>
      <c r="N508" t="s">
        <v>202</v>
      </c>
      <c r="O508" t="s">
        <v>421</v>
      </c>
      <c r="P508" t="s">
        <v>427</v>
      </c>
      <c r="S508" t="s">
        <v>878</v>
      </c>
      <c r="T508" t="s">
        <v>1563</v>
      </c>
      <c r="U508" t="s">
        <v>248</v>
      </c>
      <c r="W508" t="s">
        <v>1876</v>
      </c>
      <c r="X508" t="s">
        <v>2350</v>
      </c>
      <c r="Y508" t="s">
        <v>2812</v>
      </c>
      <c r="Z508" t="s">
        <v>3098</v>
      </c>
      <c r="AA508" t="s">
        <v>3135</v>
      </c>
      <c r="AB508">
        <v>10457</v>
      </c>
      <c r="AD508" t="s">
        <v>3608</v>
      </c>
      <c r="AE508">
        <v>3</v>
      </c>
      <c r="AG508" t="s">
        <v>4030</v>
      </c>
      <c r="AH508" t="s">
        <v>291</v>
      </c>
      <c r="AI508" t="s">
        <v>291</v>
      </c>
      <c r="AK508" t="s">
        <v>4040</v>
      </c>
      <c r="AM508">
        <v>0</v>
      </c>
      <c r="AN508">
        <v>0</v>
      </c>
      <c r="AO508">
        <v>8</v>
      </c>
      <c r="AQ508" t="s">
        <v>4546</v>
      </c>
      <c r="AR508" t="s">
        <v>5413</v>
      </c>
      <c r="AS508">
        <v>33</v>
      </c>
      <c r="AT508" t="s">
        <v>5838</v>
      </c>
      <c r="AU508">
        <v>1</v>
      </c>
      <c r="AV508">
        <v>0</v>
      </c>
      <c r="AW508">
        <v>104.08</v>
      </c>
      <c r="BB508" t="s">
        <v>1322</v>
      </c>
      <c r="BC508">
        <v>13000</v>
      </c>
      <c r="BG508" t="s">
        <v>140</v>
      </c>
      <c r="BJ508" t="s">
        <v>5949</v>
      </c>
      <c r="BK508" t="s">
        <v>223</v>
      </c>
      <c r="BL508" t="s">
        <v>6056</v>
      </c>
    </row>
    <row r="509" spans="1:64">
      <c r="A509" s="1">
        <f>HYPERLINK("https://lsnyc.legalserver.org/matter/dynamic-profile/view/1904104","19-1904104")</f>
        <v>0</v>
      </c>
      <c r="B509" t="s">
        <v>65</v>
      </c>
      <c r="C509" t="s">
        <v>146</v>
      </c>
      <c r="D509" t="s">
        <v>200</v>
      </c>
      <c r="E509" t="s">
        <v>201</v>
      </c>
      <c r="G509" t="s">
        <v>202</v>
      </c>
      <c r="H509" t="s">
        <v>272</v>
      </c>
      <c r="I509" t="s">
        <v>202</v>
      </c>
      <c r="J509" t="s">
        <v>289</v>
      </c>
      <c r="K509" t="s">
        <v>292</v>
      </c>
      <c r="M509" t="s">
        <v>290</v>
      </c>
      <c r="N509" t="s">
        <v>419</v>
      </c>
      <c r="P509" t="s">
        <v>427</v>
      </c>
      <c r="S509" t="s">
        <v>879</v>
      </c>
      <c r="T509" t="s">
        <v>1564</v>
      </c>
      <c r="U509" t="s">
        <v>251</v>
      </c>
      <c r="W509" t="s">
        <v>1876</v>
      </c>
      <c r="X509" t="s">
        <v>2351</v>
      </c>
      <c r="Y509" t="s">
        <v>2944</v>
      </c>
      <c r="Z509" t="s">
        <v>3098</v>
      </c>
      <c r="AA509" t="s">
        <v>3135</v>
      </c>
      <c r="AB509">
        <v>10467</v>
      </c>
      <c r="AD509" t="s">
        <v>3609</v>
      </c>
      <c r="AE509">
        <v>1</v>
      </c>
      <c r="AG509" t="s">
        <v>4030</v>
      </c>
      <c r="AH509" t="s">
        <v>291</v>
      </c>
      <c r="AI509" t="s">
        <v>291</v>
      </c>
      <c r="AK509" t="s">
        <v>4040</v>
      </c>
      <c r="AM509">
        <v>0</v>
      </c>
      <c r="AN509">
        <v>1500</v>
      </c>
      <c r="AO509">
        <v>1</v>
      </c>
      <c r="AQ509" t="s">
        <v>4547</v>
      </c>
      <c r="AR509" t="s">
        <v>5414</v>
      </c>
      <c r="AS509">
        <v>48</v>
      </c>
      <c r="AT509" t="s">
        <v>5838</v>
      </c>
      <c r="AU509">
        <v>1</v>
      </c>
      <c r="AV509">
        <v>0</v>
      </c>
      <c r="AW509">
        <v>0</v>
      </c>
      <c r="BB509" t="s">
        <v>1322</v>
      </c>
      <c r="BC509">
        <v>0</v>
      </c>
      <c r="BG509" t="s">
        <v>140</v>
      </c>
      <c r="BJ509" t="s">
        <v>5945</v>
      </c>
      <c r="BK509" t="s">
        <v>241</v>
      </c>
      <c r="BL509" t="s">
        <v>6056</v>
      </c>
    </row>
    <row r="510" spans="1:64">
      <c r="A510" s="1">
        <f>HYPERLINK("https://lsnyc.legalserver.org/matter/dynamic-profile/view/1905424","19-1905424")</f>
        <v>0</v>
      </c>
      <c r="B510" t="s">
        <v>65</v>
      </c>
      <c r="C510" t="s">
        <v>146</v>
      </c>
      <c r="D510" t="s">
        <v>200</v>
      </c>
      <c r="E510" t="s">
        <v>202</v>
      </c>
      <c r="F510" t="s">
        <v>207</v>
      </c>
      <c r="G510" t="s">
        <v>202</v>
      </c>
      <c r="H510" t="s">
        <v>272</v>
      </c>
      <c r="I510" t="s">
        <v>202</v>
      </c>
      <c r="J510" t="s">
        <v>289</v>
      </c>
      <c r="K510" t="s">
        <v>292</v>
      </c>
      <c r="M510" t="s">
        <v>290</v>
      </c>
      <c r="N510" t="s">
        <v>202</v>
      </c>
      <c r="O510" t="s">
        <v>421</v>
      </c>
      <c r="P510" t="s">
        <v>427</v>
      </c>
      <c r="S510" t="s">
        <v>880</v>
      </c>
      <c r="T510" t="s">
        <v>1565</v>
      </c>
      <c r="U510" t="s">
        <v>242</v>
      </c>
      <c r="W510" t="s">
        <v>1876</v>
      </c>
      <c r="X510" t="s">
        <v>2352</v>
      </c>
      <c r="Y510">
        <v>406</v>
      </c>
      <c r="Z510" t="s">
        <v>3098</v>
      </c>
      <c r="AA510" t="s">
        <v>3135</v>
      </c>
      <c r="AB510">
        <v>10457</v>
      </c>
      <c r="AD510" t="s">
        <v>3610</v>
      </c>
      <c r="AE510">
        <v>9</v>
      </c>
      <c r="AG510" t="s">
        <v>4030</v>
      </c>
      <c r="AH510" t="s">
        <v>291</v>
      </c>
      <c r="AK510" t="s">
        <v>4040</v>
      </c>
      <c r="AM510">
        <v>0</v>
      </c>
      <c r="AN510">
        <v>1053</v>
      </c>
      <c r="AO510">
        <v>8.5</v>
      </c>
      <c r="AQ510" t="s">
        <v>4548</v>
      </c>
      <c r="AR510" t="s">
        <v>5415</v>
      </c>
      <c r="AS510">
        <v>354</v>
      </c>
      <c r="AU510">
        <v>1</v>
      </c>
      <c r="AV510">
        <v>0</v>
      </c>
      <c r="AW510">
        <v>70.14</v>
      </c>
      <c r="BB510" t="s">
        <v>1322</v>
      </c>
      <c r="BC510">
        <v>8760</v>
      </c>
      <c r="BG510" t="s">
        <v>140</v>
      </c>
      <c r="BJ510" t="s">
        <v>5959</v>
      </c>
      <c r="BK510" t="s">
        <v>222</v>
      </c>
      <c r="BL510" t="s">
        <v>6056</v>
      </c>
    </row>
    <row r="511" spans="1:64">
      <c r="A511" s="1">
        <f>HYPERLINK("https://lsnyc.legalserver.org/matter/dynamic-profile/view/1910309","19-1910309")</f>
        <v>0</v>
      </c>
      <c r="B511" t="s">
        <v>65</v>
      </c>
      <c r="C511" t="s">
        <v>146</v>
      </c>
      <c r="D511" t="s">
        <v>200</v>
      </c>
      <c r="E511" t="s">
        <v>201</v>
      </c>
      <c r="G511" t="s">
        <v>202</v>
      </c>
      <c r="H511" t="s">
        <v>271</v>
      </c>
      <c r="I511" t="s">
        <v>288</v>
      </c>
      <c r="J511" t="s">
        <v>290</v>
      </c>
      <c r="K511" t="s">
        <v>292</v>
      </c>
      <c r="M511" t="s">
        <v>290</v>
      </c>
      <c r="N511" t="s">
        <v>419</v>
      </c>
      <c r="P511" t="s">
        <v>427</v>
      </c>
      <c r="S511" t="s">
        <v>807</v>
      </c>
      <c r="T511" t="s">
        <v>1566</v>
      </c>
      <c r="U511" t="s">
        <v>216</v>
      </c>
      <c r="W511" t="s">
        <v>1876</v>
      </c>
      <c r="X511" t="s">
        <v>2353</v>
      </c>
      <c r="Y511" t="s">
        <v>2824</v>
      </c>
      <c r="Z511" t="s">
        <v>3098</v>
      </c>
      <c r="AA511" t="s">
        <v>3135</v>
      </c>
      <c r="AB511">
        <v>10468</v>
      </c>
      <c r="AD511" t="s">
        <v>3611</v>
      </c>
      <c r="AE511">
        <v>11</v>
      </c>
      <c r="AG511" t="s">
        <v>4030</v>
      </c>
      <c r="AH511" t="s">
        <v>291</v>
      </c>
      <c r="AK511" t="s">
        <v>4040</v>
      </c>
      <c r="AM511">
        <v>0</v>
      </c>
      <c r="AN511">
        <v>1621</v>
      </c>
      <c r="AO511">
        <v>0</v>
      </c>
      <c r="AQ511" t="s">
        <v>4549</v>
      </c>
      <c r="AR511" t="s">
        <v>5416</v>
      </c>
      <c r="AS511">
        <v>0</v>
      </c>
      <c r="AT511" t="s">
        <v>5840</v>
      </c>
      <c r="AU511">
        <v>3</v>
      </c>
      <c r="AV511">
        <v>0</v>
      </c>
      <c r="AW511">
        <v>38.99</v>
      </c>
      <c r="AY511" t="s">
        <v>5849</v>
      </c>
      <c r="BA511" t="s">
        <v>5850</v>
      </c>
      <c r="BB511" t="s">
        <v>1322</v>
      </c>
      <c r="BC511">
        <v>8316</v>
      </c>
      <c r="BG511" t="s">
        <v>5905</v>
      </c>
      <c r="BJ511" t="s">
        <v>5959</v>
      </c>
      <c r="BL511" t="s">
        <v>6056</v>
      </c>
    </row>
    <row r="512" spans="1:64">
      <c r="A512" s="1">
        <f>HYPERLINK("https://lsnyc.legalserver.org/matter/dynamic-profile/view/1909169","19-1909169")</f>
        <v>0</v>
      </c>
      <c r="B512" t="s">
        <v>65</v>
      </c>
      <c r="C512" t="s">
        <v>143</v>
      </c>
      <c r="D512" t="s">
        <v>200</v>
      </c>
      <c r="E512" t="s">
        <v>201</v>
      </c>
      <c r="G512" t="s">
        <v>202</v>
      </c>
      <c r="H512" t="s">
        <v>272</v>
      </c>
      <c r="I512" t="s">
        <v>202</v>
      </c>
      <c r="J512" t="s">
        <v>289</v>
      </c>
      <c r="K512" t="s">
        <v>202</v>
      </c>
      <c r="L512" t="s">
        <v>356</v>
      </c>
      <c r="M512" t="s">
        <v>290</v>
      </c>
      <c r="N512" t="s">
        <v>419</v>
      </c>
      <c r="P512" t="s">
        <v>427</v>
      </c>
      <c r="S512" t="s">
        <v>804</v>
      </c>
      <c r="T512" t="s">
        <v>1340</v>
      </c>
      <c r="U512" t="s">
        <v>228</v>
      </c>
      <c r="W512" t="s">
        <v>1876</v>
      </c>
      <c r="X512" t="s">
        <v>2354</v>
      </c>
      <c r="Y512" t="s">
        <v>2794</v>
      </c>
      <c r="Z512" t="s">
        <v>3098</v>
      </c>
      <c r="AA512" t="s">
        <v>3135</v>
      </c>
      <c r="AB512">
        <v>10468</v>
      </c>
      <c r="AD512" t="s">
        <v>3612</v>
      </c>
      <c r="AE512">
        <v>6</v>
      </c>
      <c r="AG512" t="s">
        <v>4030</v>
      </c>
      <c r="AH512" t="s">
        <v>291</v>
      </c>
      <c r="AI512" t="s">
        <v>291</v>
      </c>
      <c r="AK512" t="s">
        <v>4040</v>
      </c>
      <c r="AM512">
        <v>0</v>
      </c>
      <c r="AN512">
        <v>936.36</v>
      </c>
      <c r="AO512">
        <v>0</v>
      </c>
      <c r="AQ512" t="s">
        <v>4550</v>
      </c>
      <c r="AR512" t="s">
        <v>5417</v>
      </c>
      <c r="AS512">
        <v>0</v>
      </c>
      <c r="AT512" t="s">
        <v>5838</v>
      </c>
      <c r="AU512">
        <v>1</v>
      </c>
      <c r="AV512">
        <v>2</v>
      </c>
      <c r="AW512">
        <v>0</v>
      </c>
      <c r="BB512" t="s">
        <v>1322</v>
      </c>
      <c r="BC512">
        <v>0</v>
      </c>
      <c r="BG512" t="s">
        <v>5898</v>
      </c>
      <c r="BJ512" t="s">
        <v>5965</v>
      </c>
      <c r="BL512" t="s">
        <v>6057</v>
      </c>
    </row>
    <row r="513" spans="1:64">
      <c r="A513" s="1">
        <f>HYPERLINK("https://lsnyc.legalserver.org/matter/dynamic-profile/view/1905279","19-1905279")</f>
        <v>0</v>
      </c>
      <c r="B513" t="s">
        <v>65</v>
      </c>
      <c r="C513" t="s">
        <v>146</v>
      </c>
      <c r="D513" t="s">
        <v>200</v>
      </c>
      <c r="E513" t="s">
        <v>202</v>
      </c>
      <c r="F513" t="s">
        <v>207</v>
      </c>
      <c r="G513" t="s">
        <v>202</v>
      </c>
      <c r="H513" t="s">
        <v>272</v>
      </c>
      <c r="I513" t="s">
        <v>202</v>
      </c>
      <c r="J513" t="s">
        <v>289</v>
      </c>
      <c r="K513" t="s">
        <v>292</v>
      </c>
      <c r="M513" t="s">
        <v>290</v>
      </c>
      <c r="N513" t="s">
        <v>202</v>
      </c>
      <c r="O513" t="s">
        <v>421</v>
      </c>
      <c r="P513" t="s">
        <v>427</v>
      </c>
      <c r="S513" t="s">
        <v>881</v>
      </c>
      <c r="T513" t="s">
        <v>1567</v>
      </c>
      <c r="U513" t="s">
        <v>231</v>
      </c>
      <c r="W513" t="s">
        <v>1876</v>
      </c>
      <c r="X513" t="s">
        <v>2355</v>
      </c>
      <c r="Y513" t="s">
        <v>2815</v>
      </c>
      <c r="Z513" t="s">
        <v>3098</v>
      </c>
      <c r="AA513" t="s">
        <v>3135</v>
      </c>
      <c r="AB513">
        <v>10467</v>
      </c>
      <c r="AC513" t="s">
        <v>3136</v>
      </c>
      <c r="AD513" t="s">
        <v>3613</v>
      </c>
      <c r="AE513">
        <v>1</v>
      </c>
      <c r="AG513" t="s">
        <v>4030</v>
      </c>
      <c r="AH513" t="s">
        <v>291</v>
      </c>
      <c r="AI513" t="s">
        <v>291</v>
      </c>
      <c r="AK513" t="s">
        <v>4040</v>
      </c>
      <c r="AM513">
        <v>0</v>
      </c>
      <c r="AN513">
        <v>712</v>
      </c>
      <c r="AO513">
        <v>15.1</v>
      </c>
      <c r="AQ513" t="s">
        <v>4551</v>
      </c>
      <c r="AR513" t="s">
        <v>5418</v>
      </c>
      <c r="AS513">
        <v>336</v>
      </c>
      <c r="AT513" t="s">
        <v>5837</v>
      </c>
      <c r="AU513">
        <v>1</v>
      </c>
      <c r="AV513">
        <v>1</v>
      </c>
      <c r="AW513">
        <v>161.44</v>
      </c>
      <c r="BA513" t="s">
        <v>329</v>
      </c>
      <c r="BB513" t="s">
        <v>5859</v>
      </c>
      <c r="BC513">
        <v>27300</v>
      </c>
      <c r="BG513" t="s">
        <v>5904</v>
      </c>
      <c r="BJ513" t="s">
        <v>5949</v>
      </c>
      <c r="BK513" t="s">
        <v>222</v>
      </c>
      <c r="BL513" t="s">
        <v>6056</v>
      </c>
    </row>
    <row r="514" spans="1:64">
      <c r="A514" s="1">
        <f>HYPERLINK("https://lsnyc.legalserver.org/matter/dynamic-profile/view/1903727","19-1903727")</f>
        <v>0</v>
      </c>
      <c r="B514" t="s">
        <v>65</v>
      </c>
      <c r="C514" t="s">
        <v>146</v>
      </c>
      <c r="D514" t="s">
        <v>200</v>
      </c>
      <c r="E514" t="s">
        <v>201</v>
      </c>
      <c r="G514" t="s">
        <v>270</v>
      </c>
      <c r="I514" t="s">
        <v>202</v>
      </c>
      <c r="J514" t="s">
        <v>289</v>
      </c>
      <c r="K514" t="s">
        <v>292</v>
      </c>
      <c r="M514" t="s">
        <v>290</v>
      </c>
      <c r="N514" t="s">
        <v>202</v>
      </c>
      <c r="O514" t="s">
        <v>421</v>
      </c>
      <c r="P514" t="s">
        <v>427</v>
      </c>
      <c r="S514" t="s">
        <v>882</v>
      </c>
      <c r="T514" t="s">
        <v>1370</v>
      </c>
      <c r="U514" t="s">
        <v>208</v>
      </c>
      <c r="W514" t="s">
        <v>1876</v>
      </c>
      <c r="X514" t="s">
        <v>2356</v>
      </c>
      <c r="Y514" t="s">
        <v>2982</v>
      </c>
      <c r="Z514" t="s">
        <v>3098</v>
      </c>
      <c r="AA514" t="s">
        <v>3135</v>
      </c>
      <c r="AB514">
        <v>10453</v>
      </c>
      <c r="AE514">
        <v>0</v>
      </c>
      <c r="AG514" t="s">
        <v>4031</v>
      </c>
      <c r="AH514" t="s">
        <v>291</v>
      </c>
      <c r="AK514" t="s">
        <v>4040</v>
      </c>
      <c r="AM514">
        <v>0</v>
      </c>
      <c r="AN514">
        <v>0</v>
      </c>
      <c r="AO514">
        <v>19.8</v>
      </c>
      <c r="AQ514" t="s">
        <v>4552</v>
      </c>
      <c r="AR514" t="s">
        <v>5419</v>
      </c>
      <c r="AS514">
        <v>151</v>
      </c>
      <c r="AU514">
        <v>2</v>
      </c>
      <c r="AV514">
        <v>0</v>
      </c>
      <c r="AW514">
        <v>137.03</v>
      </c>
      <c r="BB514" t="s">
        <v>1322</v>
      </c>
      <c r="BC514">
        <v>23172</v>
      </c>
      <c r="BG514" t="s">
        <v>5902</v>
      </c>
      <c r="BJ514" t="s">
        <v>6021</v>
      </c>
      <c r="BK514" t="s">
        <v>264</v>
      </c>
      <c r="BL514" t="s">
        <v>6056</v>
      </c>
    </row>
    <row r="515" spans="1:64">
      <c r="A515" s="1">
        <f>HYPERLINK("https://lsnyc.legalserver.org/matter/dynamic-profile/view/1905624","19-1905624")</f>
        <v>0</v>
      </c>
      <c r="B515" t="s">
        <v>65</v>
      </c>
      <c r="C515" t="s">
        <v>146</v>
      </c>
      <c r="D515" t="s">
        <v>200</v>
      </c>
      <c r="E515" t="s">
        <v>202</v>
      </c>
      <c r="F515" t="s">
        <v>253</v>
      </c>
      <c r="G515" t="s">
        <v>202</v>
      </c>
      <c r="H515" t="s">
        <v>272</v>
      </c>
      <c r="I515" t="s">
        <v>202</v>
      </c>
      <c r="J515" t="s">
        <v>289</v>
      </c>
      <c r="K515" t="s">
        <v>292</v>
      </c>
      <c r="M515" t="s">
        <v>290</v>
      </c>
      <c r="N515" t="s">
        <v>202</v>
      </c>
      <c r="O515" t="s">
        <v>422</v>
      </c>
      <c r="P515" t="s">
        <v>427</v>
      </c>
      <c r="S515" t="s">
        <v>641</v>
      </c>
      <c r="T515" t="s">
        <v>1568</v>
      </c>
      <c r="U515" t="s">
        <v>232</v>
      </c>
      <c r="W515" t="s">
        <v>1876</v>
      </c>
      <c r="X515" t="s">
        <v>2357</v>
      </c>
      <c r="Y515" t="s">
        <v>2865</v>
      </c>
      <c r="Z515" t="s">
        <v>3098</v>
      </c>
      <c r="AA515" t="s">
        <v>3135</v>
      </c>
      <c r="AB515">
        <v>10455</v>
      </c>
      <c r="AD515" t="s">
        <v>3614</v>
      </c>
      <c r="AE515">
        <v>13</v>
      </c>
      <c r="AG515" t="s">
        <v>4030</v>
      </c>
      <c r="AH515" t="s">
        <v>291</v>
      </c>
      <c r="AI515" t="s">
        <v>291</v>
      </c>
      <c r="AK515" t="s">
        <v>4040</v>
      </c>
      <c r="AM515">
        <v>0</v>
      </c>
      <c r="AN515">
        <v>1468</v>
      </c>
      <c r="AO515">
        <v>1</v>
      </c>
      <c r="AQ515" t="s">
        <v>4553</v>
      </c>
      <c r="AR515" t="s">
        <v>5420</v>
      </c>
      <c r="AS515">
        <v>58</v>
      </c>
      <c r="AU515">
        <v>2</v>
      </c>
      <c r="AV515">
        <v>1</v>
      </c>
      <c r="AW515">
        <v>187.53</v>
      </c>
      <c r="BB515" t="s">
        <v>5859</v>
      </c>
      <c r="BC515">
        <v>40000</v>
      </c>
      <c r="BG515" t="s">
        <v>140</v>
      </c>
      <c r="BJ515" t="s">
        <v>5949</v>
      </c>
      <c r="BK515" t="s">
        <v>253</v>
      </c>
      <c r="BL515" t="s">
        <v>6056</v>
      </c>
    </row>
    <row r="516" spans="1:64">
      <c r="A516" s="1">
        <f>HYPERLINK("https://lsnyc.legalserver.org/matter/dynamic-profile/view/1908777","19-1908777")</f>
        <v>0</v>
      </c>
      <c r="B516" t="s">
        <v>65</v>
      </c>
      <c r="C516" t="s">
        <v>146</v>
      </c>
      <c r="D516" t="s">
        <v>200</v>
      </c>
      <c r="E516" t="s">
        <v>202</v>
      </c>
      <c r="F516" t="s">
        <v>219</v>
      </c>
      <c r="G516" t="s">
        <v>202</v>
      </c>
      <c r="H516" t="s">
        <v>272</v>
      </c>
      <c r="I516" t="s">
        <v>202</v>
      </c>
      <c r="J516" t="s">
        <v>289</v>
      </c>
      <c r="K516" t="s">
        <v>292</v>
      </c>
      <c r="M516" t="s">
        <v>290</v>
      </c>
      <c r="N516" t="s">
        <v>202</v>
      </c>
      <c r="O516" t="s">
        <v>421</v>
      </c>
      <c r="P516" t="s">
        <v>427</v>
      </c>
      <c r="S516" t="s">
        <v>883</v>
      </c>
      <c r="T516" t="s">
        <v>1238</v>
      </c>
      <c r="U516" t="s">
        <v>219</v>
      </c>
      <c r="W516" t="s">
        <v>1876</v>
      </c>
      <c r="X516" t="s">
        <v>2358</v>
      </c>
      <c r="Y516">
        <v>43</v>
      </c>
      <c r="Z516" t="s">
        <v>3098</v>
      </c>
      <c r="AA516" t="s">
        <v>3135</v>
      </c>
      <c r="AB516">
        <v>10468</v>
      </c>
      <c r="AD516" t="s">
        <v>3615</v>
      </c>
      <c r="AE516">
        <v>11</v>
      </c>
      <c r="AG516" t="s">
        <v>4030</v>
      </c>
      <c r="AH516" t="s">
        <v>291</v>
      </c>
      <c r="AK516" t="s">
        <v>4041</v>
      </c>
      <c r="AM516">
        <v>0</v>
      </c>
      <c r="AN516">
        <v>660</v>
      </c>
      <c r="AO516">
        <v>3.2</v>
      </c>
      <c r="AQ516" t="s">
        <v>4554</v>
      </c>
      <c r="AR516" t="s">
        <v>5421</v>
      </c>
      <c r="AS516">
        <v>0</v>
      </c>
      <c r="AU516">
        <v>3</v>
      </c>
      <c r="AV516">
        <v>2</v>
      </c>
      <c r="AW516">
        <v>90.83</v>
      </c>
      <c r="BB516" t="s">
        <v>1322</v>
      </c>
      <c r="BC516">
        <v>27404</v>
      </c>
      <c r="BG516" t="s">
        <v>5905</v>
      </c>
      <c r="BJ516" t="s">
        <v>5949</v>
      </c>
      <c r="BK516" t="s">
        <v>222</v>
      </c>
      <c r="BL516" t="s">
        <v>6056</v>
      </c>
    </row>
    <row r="517" spans="1:64">
      <c r="A517" s="1">
        <f>HYPERLINK("https://lsnyc.legalserver.org/matter/dynamic-profile/view/1907184","19-1907184")</f>
        <v>0</v>
      </c>
      <c r="B517" t="s">
        <v>65</v>
      </c>
      <c r="C517" t="s">
        <v>146</v>
      </c>
      <c r="D517" t="s">
        <v>200</v>
      </c>
      <c r="E517" t="s">
        <v>202</v>
      </c>
      <c r="F517" t="s">
        <v>206</v>
      </c>
      <c r="G517" t="s">
        <v>202</v>
      </c>
      <c r="H517" t="s">
        <v>271</v>
      </c>
      <c r="I517" t="s">
        <v>202</v>
      </c>
      <c r="J517" t="s">
        <v>289</v>
      </c>
      <c r="K517" t="s">
        <v>292</v>
      </c>
      <c r="M517" t="s">
        <v>290</v>
      </c>
      <c r="N517" t="s">
        <v>202</v>
      </c>
      <c r="O517" t="s">
        <v>421</v>
      </c>
      <c r="P517" t="s">
        <v>427</v>
      </c>
      <c r="S517" t="s">
        <v>884</v>
      </c>
      <c r="T517" t="s">
        <v>1569</v>
      </c>
      <c r="U517" t="s">
        <v>248</v>
      </c>
      <c r="W517" t="s">
        <v>1876</v>
      </c>
      <c r="X517" t="s">
        <v>2359</v>
      </c>
      <c r="Y517" t="s">
        <v>2983</v>
      </c>
      <c r="Z517" t="s">
        <v>3098</v>
      </c>
      <c r="AA517" t="s">
        <v>3135</v>
      </c>
      <c r="AB517">
        <v>10467</v>
      </c>
      <c r="AC517" t="s">
        <v>3149</v>
      </c>
      <c r="AD517" t="s">
        <v>3616</v>
      </c>
      <c r="AE517">
        <v>2</v>
      </c>
      <c r="AG517" t="s">
        <v>4030</v>
      </c>
      <c r="AH517" t="s">
        <v>291</v>
      </c>
      <c r="AI517" t="s">
        <v>291</v>
      </c>
      <c r="AK517" t="s">
        <v>4040</v>
      </c>
      <c r="AL517" t="s">
        <v>4046</v>
      </c>
      <c r="AM517">
        <v>0</v>
      </c>
      <c r="AN517">
        <v>1100</v>
      </c>
      <c r="AO517">
        <v>3.2</v>
      </c>
      <c r="AQ517" t="s">
        <v>4555</v>
      </c>
      <c r="AR517" t="s">
        <v>5422</v>
      </c>
      <c r="AS517">
        <v>4</v>
      </c>
      <c r="AT517" t="s">
        <v>5835</v>
      </c>
      <c r="AU517">
        <v>2</v>
      </c>
      <c r="AV517">
        <v>0</v>
      </c>
      <c r="AW517">
        <v>12.92</v>
      </c>
      <c r="BA517" t="s">
        <v>329</v>
      </c>
      <c r="BB517" t="s">
        <v>1322</v>
      </c>
      <c r="BC517">
        <v>2184</v>
      </c>
      <c r="BG517" t="s">
        <v>5912</v>
      </c>
      <c r="BJ517" t="s">
        <v>5985</v>
      </c>
      <c r="BK517" t="s">
        <v>259</v>
      </c>
      <c r="BL517" t="s">
        <v>6056</v>
      </c>
    </row>
    <row r="518" spans="1:64">
      <c r="A518" s="1">
        <f>HYPERLINK("https://lsnyc.legalserver.org/matter/dynamic-profile/view/1907252","19-1907252")</f>
        <v>0</v>
      </c>
      <c r="B518" t="s">
        <v>65</v>
      </c>
      <c r="C518" t="s">
        <v>145</v>
      </c>
      <c r="D518" t="s">
        <v>200</v>
      </c>
      <c r="E518" t="s">
        <v>201</v>
      </c>
      <c r="G518" t="s">
        <v>202</v>
      </c>
      <c r="H518" t="s">
        <v>272</v>
      </c>
      <c r="I518" t="s">
        <v>202</v>
      </c>
      <c r="J518" t="s">
        <v>289</v>
      </c>
      <c r="K518" t="s">
        <v>292</v>
      </c>
      <c r="M518" t="s">
        <v>290</v>
      </c>
      <c r="N518" t="s">
        <v>202</v>
      </c>
      <c r="O518" t="s">
        <v>421</v>
      </c>
      <c r="P518" t="s">
        <v>427</v>
      </c>
      <c r="S518" t="s">
        <v>875</v>
      </c>
      <c r="T518" t="s">
        <v>1204</v>
      </c>
      <c r="U518" t="s">
        <v>240</v>
      </c>
      <c r="W518" t="s">
        <v>1876</v>
      </c>
      <c r="X518" t="s">
        <v>2347</v>
      </c>
      <c r="Y518" t="s">
        <v>2822</v>
      </c>
      <c r="Z518" t="s">
        <v>3098</v>
      </c>
      <c r="AA518" t="s">
        <v>3135</v>
      </c>
      <c r="AB518">
        <v>10462</v>
      </c>
      <c r="AC518" t="s">
        <v>3139</v>
      </c>
      <c r="AD518" t="s">
        <v>3617</v>
      </c>
      <c r="AE518">
        <v>15</v>
      </c>
      <c r="AG518" t="s">
        <v>4031</v>
      </c>
      <c r="AH518" t="s">
        <v>291</v>
      </c>
      <c r="AI518" t="s">
        <v>291</v>
      </c>
      <c r="AK518" t="s">
        <v>4040</v>
      </c>
      <c r="AM518">
        <v>0</v>
      </c>
      <c r="AN518">
        <v>1186.51</v>
      </c>
      <c r="AO518">
        <v>11.7</v>
      </c>
      <c r="AQ518" t="s">
        <v>4543</v>
      </c>
      <c r="AR518" t="s">
        <v>5411</v>
      </c>
      <c r="AS518">
        <v>128</v>
      </c>
      <c r="AT518" t="s">
        <v>5836</v>
      </c>
      <c r="AU518">
        <v>1</v>
      </c>
      <c r="AV518">
        <v>1</v>
      </c>
      <c r="AW518">
        <v>161.14</v>
      </c>
      <c r="BA518" t="s">
        <v>329</v>
      </c>
      <c r="BB518" t="s">
        <v>1322</v>
      </c>
      <c r="BC518">
        <v>27248</v>
      </c>
      <c r="BG518" t="s">
        <v>138</v>
      </c>
      <c r="BJ518" t="s">
        <v>5951</v>
      </c>
      <c r="BK518" t="s">
        <v>236</v>
      </c>
      <c r="BL518" t="s">
        <v>6056</v>
      </c>
    </row>
    <row r="519" spans="1:64">
      <c r="A519" s="1">
        <f>HYPERLINK("https://lsnyc.legalserver.org/matter/dynamic-profile/view/1909673","19-1909673")</f>
        <v>0</v>
      </c>
      <c r="B519" t="s">
        <v>65</v>
      </c>
      <c r="C519" t="s">
        <v>145</v>
      </c>
      <c r="D519" t="s">
        <v>200</v>
      </c>
      <c r="E519" t="s">
        <v>201</v>
      </c>
      <c r="G519" t="s">
        <v>202</v>
      </c>
      <c r="H519" t="s">
        <v>272</v>
      </c>
      <c r="I519" t="s">
        <v>202</v>
      </c>
      <c r="J519" t="s">
        <v>289</v>
      </c>
      <c r="K519" t="s">
        <v>292</v>
      </c>
      <c r="M519" t="s">
        <v>290</v>
      </c>
      <c r="N519" t="s">
        <v>202</v>
      </c>
      <c r="O519" t="s">
        <v>421</v>
      </c>
      <c r="P519" t="s">
        <v>427</v>
      </c>
      <c r="S519" t="s">
        <v>885</v>
      </c>
      <c r="T519" t="s">
        <v>1276</v>
      </c>
      <c r="U519" t="s">
        <v>252</v>
      </c>
      <c r="W519" t="s">
        <v>1876</v>
      </c>
      <c r="X519" t="s">
        <v>2360</v>
      </c>
      <c r="Z519" t="s">
        <v>3098</v>
      </c>
      <c r="AA519" t="s">
        <v>3135</v>
      </c>
      <c r="AB519">
        <v>10468</v>
      </c>
      <c r="AC519" t="s">
        <v>3136</v>
      </c>
      <c r="AD519" t="s">
        <v>3618</v>
      </c>
      <c r="AE519">
        <v>40</v>
      </c>
      <c r="AG519" t="s">
        <v>4030</v>
      </c>
      <c r="AH519" t="s">
        <v>291</v>
      </c>
      <c r="AI519" t="s">
        <v>291</v>
      </c>
      <c r="AK519" t="s">
        <v>4040</v>
      </c>
      <c r="AM519">
        <v>0</v>
      </c>
      <c r="AN519">
        <v>1500</v>
      </c>
      <c r="AO519">
        <v>1.5</v>
      </c>
      <c r="AQ519" t="s">
        <v>4095</v>
      </c>
      <c r="AR519" t="s">
        <v>5423</v>
      </c>
      <c r="AS519">
        <v>100</v>
      </c>
      <c r="AT519" t="s">
        <v>5838</v>
      </c>
      <c r="AU519">
        <v>1</v>
      </c>
      <c r="AV519">
        <v>0</v>
      </c>
      <c r="AW519">
        <v>115</v>
      </c>
      <c r="BA519" t="s">
        <v>329</v>
      </c>
      <c r="BB519" t="s">
        <v>1322</v>
      </c>
      <c r="BC519">
        <v>14364</v>
      </c>
      <c r="BG519" t="s">
        <v>138</v>
      </c>
      <c r="BJ519" t="s">
        <v>5957</v>
      </c>
      <c r="BK519" t="s">
        <v>264</v>
      </c>
      <c r="BL519" t="s">
        <v>6056</v>
      </c>
    </row>
    <row r="520" spans="1:64">
      <c r="A520" s="1">
        <f>HYPERLINK("https://lsnyc.legalserver.org/matter/dynamic-profile/view/1905229","19-1905229")</f>
        <v>0</v>
      </c>
      <c r="B520" t="s">
        <v>65</v>
      </c>
      <c r="C520" t="s">
        <v>146</v>
      </c>
      <c r="D520" t="s">
        <v>200</v>
      </c>
      <c r="E520" t="s">
        <v>201</v>
      </c>
      <c r="G520" t="s">
        <v>202</v>
      </c>
      <c r="H520" t="s">
        <v>272</v>
      </c>
      <c r="I520" t="s">
        <v>202</v>
      </c>
      <c r="J520" t="s">
        <v>289</v>
      </c>
      <c r="K520" t="s">
        <v>202</v>
      </c>
      <c r="L520" t="s">
        <v>357</v>
      </c>
      <c r="M520" t="s">
        <v>290</v>
      </c>
      <c r="N520" t="s">
        <v>202</v>
      </c>
      <c r="O520" t="s">
        <v>422</v>
      </c>
      <c r="P520" t="s">
        <v>427</v>
      </c>
      <c r="S520" t="s">
        <v>886</v>
      </c>
      <c r="T520" t="s">
        <v>1570</v>
      </c>
      <c r="U520" t="s">
        <v>231</v>
      </c>
      <c r="W520" t="s">
        <v>1876</v>
      </c>
      <c r="X520" t="s">
        <v>2361</v>
      </c>
      <c r="Y520">
        <v>13</v>
      </c>
      <c r="Z520" t="s">
        <v>3098</v>
      </c>
      <c r="AA520" t="s">
        <v>3135</v>
      </c>
      <c r="AB520">
        <v>10469</v>
      </c>
      <c r="AD520" t="s">
        <v>3619</v>
      </c>
      <c r="AE520">
        <v>10</v>
      </c>
      <c r="AG520" t="s">
        <v>4031</v>
      </c>
      <c r="AH520" t="s">
        <v>291</v>
      </c>
      <c r="AK520" t="s">
        <v>4040</v>
      </c>
      <c r="AL520" t="s">
        <v>4046</v>
      </c>
      <c r="AM520">
        <v>0</v>
      </c>
      <c r="AN520">
        <v>1050</v>
      </c>
      <c r="AO520">
        <v>2.5</v>
      </c>
      <c r="AQ520" t="s">
        <v>4556</v>
      </c>
      <c r="AR520" t="s">
        <v>5424</v>
      </c>
      <c r="AS520">
        <v>8</v>
      </c>
      <c r="AU520">
        <v>1</v>
      </c>
      <c r="AV520">
        <v>1</v>
      </c>
      <c r="AW520">
        <v>70.95999999999999</v>
      </c>
      <c r="BA520" t="s">
        <v>5852</v>
      </c>
      <c r="BB520" t="s">
        <v>1322</v>
      </c>
      <c r="BC520">
        <v>12000</v>
      </c>
      <c r="BG520" t="s">
        <v>140</v>
      </c>
      <c r="BJ520" t="s">
        <v>5955</v>
      </c>
      <c r="BK520" t="s">
        <v>239</v>
      </c>
      <c r="BL520" t="s">
        <v>6057</v>
      </c>
    </row>
    <row r="521" spans="1:64">
      <c r="A521" s="1">
        <f>HYPERLINK("https://lsnyc.legalserver.org/matter/dynamic-profile/view/1909189","19-1909189")</f>
        <v>0</v>
      </c>
      <c r="B521" t="s">
        <v>65</v>
      </c>
      <c r="C521" t="s">
        <v>143</v>
      </c>
      <c r="D521" t="s">
        <v>200</v>
      </c>
      <c r="E521" t="s">
        <v>201</v>
      </c>
      <c r="G521" t="s">
        <v>202</v>
      </c>
      <c r="H521" t="s">
        <v>272</v>
      </c>
      <c r="I521" t="s">
        <v>202</v>
      </c>
      <c r="J521" t="s">
        <v>289</v>
      </c>
      <c r="K521" t="s">
        <v>292</v>
      </c>
      <c r="M521" t="s">
        <v>290</v>
      </c>
      <c r="N521" t="s">
        <v>419</v>
      </c>
      <c r="P521" t="s">
        <v>427</v>
      </c>
      <c r="S521" t="s">
        <v>887</v>
      </c>
      <c r="T521" t="s">
        <v>1571</v>
      </c>
      <c r="U521" t="s">
        <v>228</v>
      </c>
      <c r="W521" t="s">
        <v>1876</v>
      </c>
      <c r="X521" t="s">
        <v>2352</v>
      </c>
      <c r="Y521">
        <v>529</v>
      </c>
      <c r="Z521" t="s">
        <v>3098</v>
      </c>
      <c r="AA521" t="s">
        <v>3135</v>
      </c>
      <c r="AB521">
        <v>10457</v>
      </c>
      <c r="AD521" t="s">
        <v>3620</v>
      </c>
      <c r="AE521">
        <v>14</v>
      </c>
      <c r="AG521" t="s">
        <v>4030</v>
      </c>
      <c r="AH521" t="s">
        <v>291</v>
      </c>
      <c r="AK521" t="s">
        <v>4040</v>
      </c>
      <c r="AM521">
        <v>0</v>
      </c>
      <c r="AN521">
        <v>1400</v>
      </c>
      <c r="AO521">
        <v>0</v>
      </c>
      <c r="AQ521" t="s">
        <v>4557</v>
      </c>
      <c r="AR521" t="s">
        <v>5425</v>
      </c>
      <c r="AS521">
        <v>100</v>
      </c>
      <c r="AT521" t="s">
        <v>5840</v>
      </c>
      <c r="AU521">
        <v>1</v>
      </c>
      <c r="AV521">
        <v>0</v>
      </c>
      <c r="AW521">
        <v>66.68000000000001</v>
      </c>
      <c r="BB521" t="s">
        <v>1322</v>
      </c>
      <c r="BC521">
        <v>8328</v>
      </c>
      <c r="BG521" t="s">
        <v>5898</v>
      </c>
      <c r="BJ521" t="s">
        <v>5942</v>
      </c>
      <c r="BL521" t="s">
        <v>6056</v>
      </c>
    </row>
    <row r="522" spans="1:64">
      <c r="A522" s="1">
        <f>HYPERLINK("https://lsnyc.legalserver.org/matter/dynamic-profile/view/1907596","19-1907596")</f>
        <v>0</v>
      </c>
      <c r="B522" t="s">
        <v>65</v>
      </c>
      <c r="C522" t="s">
        <v>143</v>
      </c>
      <c r="D522" t="s">
        <v>200</v>
      </c>
      <c r="E522" t="s">
        <v>201</v>
      </c>
      <c r="G522" t="s">
        <v>202</v>
      </c>
      <c r="H522" t="s">
        <v>272</v>
      </c>
      <c r="I522" t="s">
        <v>202</v>
      </c>
      <c r="J522" t="s">
        <v>289</v>
      </c>
      <c r="K522" t="s">
        <v>292</v>
      </c>
      <c r="M522" t="s">
        <v>290</v>
      </c>
      <c r="N522" t="s">
        <v>419</v>
      </c>
      <c r="P522" t="s">
        <v>427</v>
      </c>
      <c r="S522" t="s">
        <v>888</v>
      </c>
      <c r="T522" t="s">
        <v>1368</v>
      </c>
      <c r="U522" t="s">
        <v>254</v>
      </c>
      <c r="W522" t="s">
        <v>1876</v>
      </c>
      <c r="X522" t="s">
        <v>2362</v>
      </c>
      <c r="Z522" t="s">
        <v>3098</v>
      </c>
      <c r="AA522" t="s">
        <v>3135</v>
      </c>
      <c r="AB522">
        <v>10462</v>
      </c>
      <c r="AD522" t="s">
        <v>3621</v>
      </c>
      <c r="AE522">
        <v>3</v>
      </c>
      <c r="AG522" t="s">
        <v>4030</v>
      </c>
      <c r="AH522" t="s">
        <v>291</v>
      </c>
      <c r="AI522" t="s">
        <v>291</v>
      </c>
      <c r="AK522" t="s">
        <v>4040</v>
      </c>
      <c r="AL522" t="s">
        <v>4048</v>
      </c>
      <c r="AM522">
        <v>0</v>
      </c>
      <c r="AN522">
        <v>1421</v>
      </c>
      <c r="AO522">
        <v>0.1</v>
      </c>
      <c r="AQ522" t="s">
        <v>4558</v>
      </c>
      <c r="AR522" t="s">
        <v>5426</v>
      </c>
      <c r="AS522">
        <v>171</v>
      </c>
      <c r="AT522" t="s">
        <v>5838</v>
      </c>
      <c r="AU522">
        <v>2</v>
      </c>
      <c r="AV522">
        <v>0</v>
      </c>
      <c r="AW522">
        <v>369.01</v>
      </c>
      <c r="BC522">
        <v>62400</v>
      </c>
      <c r="BF522" t="s">
        <v>5888</v>
      </c>
      <c r="BG522" t="s">
        <v>140</v>
      </c>
      <c r="BJ522" t="s">
        <v>5949</v>
      </c>
      <c r="BK522" t="s">
        <v>234</v>
      </c>
      <c r="BL522" t="s">
        <v>6056</v>
      </c>
    </row>
    <row r="523" spans="1:64">
      <c r="A523" s="1">
        <f>HYPERLINK("https://lsnyc.legalserver.org/matter/dynamic-profile/view/1906942","19-1906942")</f>
        <v>0</v>
      </c>
      <c r="B523" t="s">
        <v>65</v>
      </c>
      <c r="C523" t="s">
        <v>126</v>
      </c>
      <c r="D523" t="s">
        <v>200</v>
      </c>
      <c r="E523" t="s">
        <v>202</v>
      </c>
      <c r="F523" t="s">
        <v>239</v>
      </c>
      <c r="G523" t="s">
        <v>202</v>
      </c>
      <c r="H523" t="s">
        <v>277</v>
      </c>
      <c r="I523" t="s">
        <v>202</v>
      </c>
      <c r="J523" t="s">
        <v>289</v>
      </c>
      <c r="K523" t="s">
        <v>202</v>
      </c>
      <c r="L523" t="s">
        <v>358</v>
      </c>
      <c r="M523" t="s">
        <v>290</v>
      </c>
      <c r="N523" t="s">
        <v>202</v>
      </c>
      <c r="O523" t="s">
        <v>422</v>
      </c>
      <c r="P523" t="s">
        <v>428</v>
      </c>
      <c r="S523" t="s">
        <v>889</v>
      </c>
      <c r="T523" t="s">
        <v>1478</v>
      </c>
      <c r="U523" t="s">
        <v>239</v>
      </c>
      <c r="V523" t="s">
        <v>220</v>
      </c>
      <c r="W523" t="s">
        <v>1877</v>
      </c>
      <c r="X523" t="s">
        <v>2363</v>
      </c>
      <c r="Y523" t="s">
        <v>2833</v>
      </c>
      <c r="Z523" t="s">
        <v>3098</v>
      </c>
      <c r="AA523" t="s">
        <v>3135</v>
      </c>
      <c r="AB523">
        <v>10455</v>
      </c>
      <c r="AC523" t="s">
        <v>3144</v>
      </c>
      <c r="AD523" t="s">
        <v>3622</v>
      </c>
      <c r="AE523">
        <v>38</v>
      </c>
      <c r="AF523" t="s">
        <v>4023</v>
      </c>
      <c r="AG523" t="s">
        <v>4031</v>
      </c>
      <c r="AH523" t="s">
        <v>291</v>
      </c>
      <c r="AI523" t="s">
        <v>291</v>
      </c>
      <c r="AK523" t="s">
        <v>4040</v>
      </c>
      <c r="AL523" t="s">
        <v>4047</v>
      </c>
      <c r="AM523">
        <v>0</v>
      </c>
      <c r="AN523">
        <v>1400</v>
      </c>
      <c r="AO523">
        <v>2.5</v>
      </c>
      <c r="AP523" t="s">
        <v>4052</v>
      </c>
      <c r="AQ523" t="s">
        <v>4559</v>
      </c>
      <c r="AR523" t="s">
        <v>5427</v>
      </c>
      <c r="AS523">
        <v>49</v>
      </c>
      <c r="AT523" t="s">
        <v>5837</v>
      </c>
      <c r="AU523">
        <v>1</v>
      </c>
      <c r="AV523">
        <v>0</v>
      </c>
      <c r="AW523">
        <v>163.01</v>
      </c>
      <c r="BA523" t="s">
        <v>329</v>
      </c>
      <c r="BB523" t="s">
        <v>1322</v>
      </c>
      <c r="BC523">
        <v>20360</v>
      </c>
      <c r="BG523" t="s">
        <v>5904</v>
      </c>
      <c r="BJ523" t="s">
        <v>5954</v>
      </c>
      <c r="BK523" t="s">
        <v>217</v>
      </c>
      <c r="BL523" t="s">
        <v>6057</v>
      </c>
    </row>
    <row r="524" spans="1:64">
      <c r="A524" s="1">
        <f>HYPERLINK("https://lsnyc.legalserver.org/matter/dynamic-profile/view/1907964","19-1907964")</f>
        <v>0</v>
      </c>
      <c r="B524" t="s">
        <v>65</v>
      </c>
      <c r="C524" t="s">
        <v>137</v>
      </c>
      <c r="D524" t="s">
        <v>200</v>
      </c>
      <c r="E524" t="s">
        <v>202</v>
      </c>
      <c r="F524" t="s">
        <v>224</v>
      </c>
      <c r="G524" t="s">
        <v>202</v>
      </c>
      <c r="H524" t="s">
        <v>272</v>
      </c>
      <c r="I524" t="s">
        <v>202</v>
      </c>
      <c r="J524" t="s">
        <v>289</v>
      </c>
      <c r="K524" t="s">
        <v>292</v>
      </c>
      <c r="M524" t="s">
        <v>290</v>
      </c>
      <c r="N524" t="s">
        <v>202</v>
      </c>
      <c r="O524" t="s">
        <v>421</v>
      </c>
      <c r="P524" t="s">
        <v>427</v>
      </c>
      <c r="S524" t="s">
        <v>890</v>
      </c>
      <c r="T524" t="s">
        <v>1427</v>
      </c>
      <c r="U524" t="s">
        <v>247</v>
      </c>
      <c r="W524" t="s">
        <v>1876</v>
      </c>
      <c r="X524" t="s">
        <v>2364</v>
      </c>
      <c r="Y524">
        <v>401</v>
      </c>
      <c r="Z524" t="s">
        <v>3098</v>
      </c>
      <c r="AA524" t="s">
        <v>3135</v>
      </c>
      <c r="AB524">
        <v>10468</v>
      </c>
      <c r="AC524" t="s">
        <v>3139</v>
      </c>
      <c r="AD524" t="s">
        <v>3623</v>
      </c>
      <c r="AE524">
        <v>14</v>
      </c>
      <c r="AG524" t="s">
        <v>4030</v>
      </c>
      <c r="AH524" t="s">
        <v>291</v>
      </c>
      <c r="AI524" t="s">
        <v>291</v>
      </c>
      <c r="AK524" t="s">
        <v>4040</v>
      </c>
      <c r="AL524" t="s">
        <v>4046</v>
      </c>
      <c r="AM524">
        <v>0</v>
      </c>
      <c r="AN524">
        <v>178</v>
      </c>
      <c r="AO524">
        <v>1</v>
      </c>
      <c r="AQ524" t="s">
        <v>4560</v>
      </c>
      <c r="AR524" t="s">
        <v>5428</v>
      </c>
      <c r="AS524">
        <v>49</v>
      </c>
      <c r="AT524" t="s">
        <v>5838</v>
      </c>
      <c r="AU524">
        <v>1</v>
      </c>
      <c r="AV524">
        <v>0</v>
      </c>
      <c r="AW524">
        <v>74.08</v>
      </c>
      <c r="BA524" t="s">
        <v>5850</v>
      </c>
      <c r="BB524" t="s">
        <v>1322</v>
      </c>
      <c r="BC524">
        <v>9252</v>
      </c>
      <c r="BG524" t="s">
        <v>5901</v>
      </c>
      <c r="BJ524" t="s">
        <v>5942</v>
      </c>
      <c r="BK524" t="s">
        <v>237</v>
      </c>
      <c r="BL524" t="s">
        <v>6056</v>
      </c>
    </row>
    <row r="525" spans="1:64">
      <c r="A525" s="1">
        <f>HYPERLINK("https://lsnyc.legalserver.org/matter/dynamic-profile/view/1910399","19-1910399")</f>
        <v>0</v>
      </c>
      <c r="B525" t="s">
        <v>65</v>
      </c>
      <c r="C525" t="s">
        <v>137</v>
      </c>
      <c r="D525" t="s">
        <v>200</v>
      </c>
      <c r="E525" t="s">
        <v>201</v>
      </c>
      <c r="G525" t="s">
        <v>202</v>
      </c>
      <c r="H525" t="s">
        <v>272</v>
      </c>
      <c r="I525" t="s">
        <v>202</v>
      </c>
      <c r="J525" t="s">
        <v>289</v>
      </c>
      <c r="K525" t="s">
        <v>292</v>
      </c>
      <c r="M525" t="s">
        <v>290</v>
      </c>
      <c r="N525" t="s">
        <v>419</v>
      </c>
      <c r="P525" t="s">
        <v>427</v>
      </c>
      <c r="S525" t="s">
        <v>891</v>
      </c>
      <c r="T525" t="s">
        <v>1572</v>
      </c>
      <c r="U525" t="s">
        <v>266</v>
      </c>
      <c r="W525" t="s">
        <v>1876</v>
      </c>
      <c r="X525" t="s">
        <v>2365</v>
      </c>
      <c r="Y525" t="s">
        <v>2984</v>
      </c>
      <c r="Z525" t="s">
        <v>3098</v>
      </c>
      <c r="AA525" t="s">
        <v>3135</v>
      </c>
      <c r="AB525">
        <v>10462</v>
      </c>
      <c r="AC525" t="s">
        <v>3139</v>
      </c>
      <c r="AD525" t="s">
        <v>3624</v>
      </c>
      <c r="AE525">
        <v>6</v>
      </c>
      <c r="AG525" t="s">
        <v>4030</v>
      </c>
      <c r="AH525" t="s">
        <v>291</v>
      </c>
      <c r="AI525" t="s">
        <v>291</v>
      </c>
      <c r="AK525" t="s">
        <v>4040</v>
      </c>
      <c r="AM525">
        <v>0</v>
      </c>
      <c r="AN525">
        <v>1010.35</v>
      </c>
      <c r="AO525">
        <v>0</v>
      </c>
      <c r="AQ525" t="s">
        <v>4561</v>
      </c>
      <c r="AR525" t="s">
        <v>5429</v>
      </c>
      <c r="AS525">
        <v>0</v>
      </c>
      <c r="AT525" t="s">
        <v>5838</v>
      </c>
      <c r="AU525">
        <v>3</v>
      </c>
      <c r="AV525">
        <v>0</v>
      </c>
      <c r="AW525">
        <v>260.67</v>
      </c>
      <c r="BA525" t="s">
        <v>329</v>
      </c>
      <c r="BB525" t="s">
        <v>1322</v>
      </c>
      <c r="BC525">
        <v>55600</v>
      </c>
      <c r="BG525" t="s">
        <v>5901</v>
      </c>
      <c r="BJ525" t="s">
        <v>5949</v>
      </c>
      <c r="BL525" t="s">
        <v>6056</v>
      </c>
    </row>
    <row r="526" spans="1:64">
      <c r="A526" s="1">
        <f>HYPERLINK("https://lsnyc.legalserver.org/matter/dynamic-profile/view/1908440","19-1908440")</f>
        <v>0</v>
      </c>
      <c r="B526" t="s">
        <v>65</v>
      </c>
      <c r="C526" t="s">
        <v>137</v>
      </c>
      <c r="D526" t="s">
        <v>200</v>
      </c>
      <c r="E526" t="s">
        <v>202</v>
      </c>
      <c r="F526" t="s">
        <v>224</v>
      </c>
      <c r="G526" t="s">
        <v>202</v>
      </c>
      <c r="H526" t="s">
        <v>272</v>
      </c>
      <c r="I526" t="s">
        <v>202</v>
      </c>
      <c r="J526" t="s">
        <v>289</v>
      </c>
      <c r="K526" t="s">
        <v>292</v>
      </c>
      <c r="M526" t="s">
        <v>290</v>
      </c>
      <c r="N526" t="s">
        <v>202</v>
      </c>
      <c r="O526" t="s">
        <v>421</v>
      </c>
      <c r="P526" t="s">
        <v>427</v>
      </c>
      <c r="S526" t="s">
        <v>892</v>
      </c>
      <c r="T526" t="s">
        <v>1573</v>
      </c>
      <c r="U526" t="s">
        <v>218</v>
      </c>
      <c r="W526" t="s">
        <v>1876</v>
      </c>
      <c r="X526" t="s">
        <v>2366</v>
      </c>
      <c r="Y526">
        <v>29</v>
      </c>
      <c r="Z526" t="s">
        <v>3098</v>
      </c>
      <c r="AA526" t="s">
        <v>3135</v>
      </c>
      <c r="AB526">
        <v>10460</v>
      </c>
      <c r="AC526" t="s">
        <v>3143</v>
      </c>
      <c r="AD526" t="s">
        <v>3625</v>
      </c>
      <c r="AE526">
        <v>6</v>
      </c>
      <c r="AG526" t="s">
        <v>4031</v>
      </c>
      <c r="AH526" t="s">
        <v>291</v>
      </c>
      <c r="AK526" t="s">
        <v>4040</v>
      </c>
      <c r="AM526">
        <v>0</v>
      </c>
      <c r="AN526">
        <v>1154</v>
      </c>
      <c r="AO526">
        <v>10</v>
      </c>
      <c r="AQ526" t="s">
        <v>4562</v>
      </c>
      <c r="AR526" t="s">
        <v>5430</v>
      </c>
      <c r="AS526">
        <v>29</v>
      </c>
      <c r="AT526" t="s">
        <v>5838</v>
      </c>
      <c r="AU526">
        <v>1</v>
      </c>
      <c r="AV526">
        <v>0</v>
      </c>
      <c r="AW526">
        <v>76.86</v>
      </c>
      <c r="BA526" t="s">
        <v>5857</v>
      </c>
      <c r="BB526" t="s">
        <v>1322</v>
      </c>
      <c r="BC526">
        <v>9600</v>
      </c>
      <c r="BG526" t="s">
        <v>5898</v>
      </c>
      <c r="BJ526" t="s">
        <v>6022</v>
      </c>
      <c r="BK526" t="s">
        <v>222</v>
      </c>
      <c r="BL526" t="s">
        <v>6056</v>
      </c>
    </row>
    <row r="527" spans="1:64">
      <c r="A527" s="1">
        <f>HYPERLINK("https://lsnyc.legalserver.org/matter/dynamic-profile/view/1908123","19-1908123")</f>
        <v>0</v>
      </c>
      <c r="B527" t="s">
        <v>65</v>
      </c>
      <c r="C527" t="s">
        <v>147</v>
      </c>
      <c r="D527" t="s">
        <v>200</v>
      </c>
      <c r="E527" t="s">
        <v>201</v>
      </c>
      <c r="G527" t="s">
        <v>202</v>
      </c>
      <c r="H527" t="s">
        <v>272</v>
      </c>
      <c r="I527" t="s">
        <v>202</v>
      </c>
      <c r="J527" t="s">
        <v>289</v>
      </c>
      <c r="K527" t="s">
        <v>292</v>
      </c>
      <c r="M527" t="s">
        <v>290</v>
      </c>
      <c r="N527" t="s">
        <v>419</v>
      </c>
      <c r="O527" t="s">
        <v>420</v>
      </c>
      <c r="P527" t="s">
        <v>427</v>
      </c>
      <c r="S527" t="s">
        <v>893</v>
      </c>
      <c r="T527" t="s">
        <v>1574</v>
      </c>
      <c r="U527" t="s">
        <v>1874</v>
      </c>
      <c r="W527" t="s">
        <v>1876</v>
      </c>
      <c r="X527" t="s">
        <v>2367</v>
      </c>
      <c r="Y527" t="s">
        <v>2903</v>
      </c>
      <c r="Z527" t="s">
        <v>3098</v>
      </c>
      <c r="AA527" t="s">
        <v>3135</v>
      </c>
      <c r="AB527">
        <v>10457</v>
      </c>
      <c r="AC527" t="s">
        <v>3144</v>
      </c>
      <c r="AD527" t="s">
        <v>3626</v>
      </c>
      <c r="AE527">
        <v>29</v>
      </c>
      <c r="AG527" t="s">
        <v>4030</v>
      </c>
      <c r="AH527" t="s">
        <v>291</v>
      </c>
      <c r="AI527" t="s">
        <v>289</v>
      </c>
      <c r="AK527" t="s">
        <v>4040</v>
      </c>
      <c r="AM527">
        <v>0</v>
      </c>
      <c r="AN527">
        <v>710.54</v>
      </c>
      <c r="AO527">
        <v>1</v>
      </c>
      <c r="AQ527" t="s">
        <v>4563</v>
      </c>
      <c r="AR527" t="s">
        <v>5431</v>
      </c>
      <c r="AS527">
        <v>0</v>
      </c>
      <c r="AU527">
        <v>2</v>
      </c>
      <c r="AV527">
        <v>2</v>
      </c>
      <c r="AW527">
        <v>15.65</v>
      </c>
      <c r="BB527" t="s">
        <v>1322</v>
      </c>
      <c r="BC527">
        <v>4030</v>
      </c>
      <c r="BG527" t="s">
        <v>5905</v>
      </c>
      <c r="BJ527" t="s">
        <v>5953</v>
      </c>
      <c r="BK527" t="s">
        <v>252</v>
      </c>
      <c r="BL527" t="s">
        <v>6056</v>
      </c>
    </row>
    <row r="528" spans="1:64">
      <c r="A528" s="1">
        <f>HYPERLINK("https://lsnyc.legalserver.org/matter/dynamic-profile/view/1909151","19-1909151")</f>
        <v>0</v>
      </c>
      <c r="B528" t="s">
        <v>65</v>
      </c>
      <c r="C528" t="s">
        <v>147</v>
      </c>
      <c r="D528" t="s">
        <v>200</v>
      </c>
      <c r="E528" t="s">
        <v>202</v>
      </c>
      <c r="F528" t="s">
        <v>228</v>
      </c>
      <c r="G528" t="s">
        <v>202</v>
      </c>
      <c r="H528" t="s">
        <v>272</v>
      </c>
      <c r="I528" t="s">
        <v>202</v>
      </c>
      <c r="J528" t="s">
        <v>289</v>
      </c>
      <c r="K528" t="s">
        <v>292</v>
      </c>
      <c r="M528" t="s">
        <v>290</v>
      </c>
      <c r="N528" t="s">
        <v>202</v>
      </c>
      <c r="O528" t="s">
        <v>421</v>
      </c>
      <c r="P528" t="s">
        <v>427</v>
      </c>
      <c r="S528" t="s">
        <v>894</v>
      </c>
      <c r="T528" t="s">
        <v>1575</v>
      </c>
      <c r="U528" t="s">
        <v>228</v>
      </c>
      <c r="W528" t="s">
        <v>1876</v>
      </c>
      <c r="X528" t="s">
        <v>2368</v>
      </c>
      <c r="Y528" t="s">
        <v>2833</v>
      </c>
      <c r="Z528" t="s">
        <v>3098</v>
      </c>
      <c r="AA528" t="s">
        <v>3135</v>
      </c>
      <c r="AB528">
        <v>10457</v>
      </c>
      <c r="AC528" t="s">
        <v>3140</v>
      </c>
      <c r="AD528" t="s">
        <v>3627</v>
      </c>
      <c r="AE528">
        <v>6</v>
      </c>
      <c r="AG528" t="s">
        <v>4030</v>
      </c>
      <c r="AH528" t="s">
        <v>291</v>
      </c>
      <c r="AI528" t="s">
        <v>291</v>
      </c>
      <c r="AK528" t="s">
        <v>4040</v>
      </c>
      <c r="AL528" t="s">
        <v>4046</v>
      </c>
      <c r="AM528">
        <v>0</v>
      </c>
      <c r="AN528">
        <v>952.88</v>
      </c>
      <c r="AO528">
        <v>1.7</v>
      </c>
      <c r="AQ528" t="s">
        <v>4564</v>
      </c>
      <c r="AR528" t="s">
        <v>5432</v>
      </c>
      <c r="AS528">
        <v>16</v>
      </c>
      <c r="AT528" t="s">
        <v>5838</v>
      </c>
      <c r="AU528">
        <v>1</v>
      </c>
      <c r="AV528">
        <v>1</v>
      </c>
      <c r="AW528">
        <v>141.93</v>
      </c>
      <c r="BA528" t="s">
        <v>329</v>
      </c>
      <c r="BB528" t="s">
        <v>1322</v>
      </c>
      <c r="BC528">
        <v>24000</v>
      </c>
      <c r="BG528" t="s">
        <v>5904</v>
      </c>
      <c r="BJ528" t="s">
        <v>5949</v>
      </c>
      <c r="BK528" t="s">
        <v>234</v>
      </c>
      <c r="BL528" t="s">
        <v>6056</v>
      </c>
    </row>
    <row r="529" spans="1:64">
      <c r="A529" s="1">
        <f>HYPERLINK("https://lsnyc.legalserver.org/matter/dynamic-profile/view/1908111","19-1908111")</f>
        <v>0</v>
      </c>
      <c r="B529" t="s">
        <v>65</v>
      </c>
      <c r="C529" t="s">
        <v>147</v>
      </c>
      <c r="D529" t="s">
        <v>200</v>
      </c>
      <c r="E529" t="s">
        <v>202</v>
      </c>
      <c r="F529" t="s">
        <v>225</v>
      </c>
      <c r="G529" t="s">
        <v>202</v>
      </c>
      <c r="H529" t="s">
        <v>271</v>
      </c>
      <c r="I529" t="s">
        <v>202</v>
      </c>
      <c r="J529" t="s">
        <v>289</v>
      </c>
      <c r="K529" t="s">
        <v>292</v>
      </c>
      <c r="M529" t="s">
        <v>290</v>
      </c>
      <c r="N529" t="s">
        <v>202</v>
      </c>
      <c r="O529" t="s">
        <v>421</v>
      </c>
      <c r="P529" t="s">
        <v>427</v>
      </c>
      <c r="S529" t="s">
        <v>895</v>
      </c>
      <c r="T529" t="s">
        <v>1576</v>
      </c>
      <c r="U529" t="s">
        <v>221</v>
      </c>
      <c r="W529" t="s">
        <v>1876</v>
      </c>
      <c r="X529" t="s">
        <v>2369</v>
      </c>
      <c r="Y529" t="s">
        <v>2906</v>
      </c>
      <c r="Z529" t="s">
        <v>3098</v>
      </c>
      <c r="AA529" t="s">
        <v>3135</v>
      </c>
      <c r="AB529">
        <v>10467</v>
      </c>
      <c r="AC529" t="s">
        <v>3136</v>
      </c>
      <c r="AD529" t="s">
        <v>3628</v>
      </c>
      <c r="AE529">
        <v>11</v>
      </c>
      <c r="AG529" t="s">
        <v>4030</v>
      </c>
      <c r="AH529" t="s">
        <v>291</v>
      </c>
      <c r="AI529" t="s">
        <v>291</v>
      </c>
      <c r="AK529" t="s">
        <v>4040</v>
      </c>
      <c r="AL529" t="s">
        <v>4046</v>
      </c>
      <c r="AM529">
        <v>0</v>
      </c>
      <c r="AN529">
        <v>1250</v>
      </c>
      <c r="AO529">
        <v>1.8</v>
      </c>
      <c r="AQ529" t="s">
        <v>4565</v>
      </c>
      <c r="AR529" t="s">
        <v>5433</v>
      </c>
      <c r="AS529">
        <v>0</v>
      </c>
      <c r="AT529" t="s">
        <v>5838</v>
      </c>
      <c r="AU529">
        <v>1</v>
      </c>
      <c r="AV529">
        <v>0</v>
      </c>
      <c r="AW529">
        <v>68.69</v>
      </c>
      <c r="BA529" t="s">
        <v>5850</v>
      </c>
      <c r="BB529" t="s">
        <v>1322</v>
      </c>
      <c r="BC529">
        <v>8580</v>
      </c>
      <c r="BG529" t="s">
        <v>5904</v>
      </c>
      <c r="BJ529" t="s">
        <v>5960</v>
      </c>
      <c r="BK529" t="s">
        <v>225</v>
      </c>
      <c r="BL529" t="s">
        <v>6056</v>
      </c>
    </row>
    <row r="530" spans="1:64">
      <c r="A530" s="1">
        <f>HYPERLINK("https://lsnyc.legalserver.org/matter/dynamic-profile/view/1909464","19-1909464")</f>
        <v>0</v>
      </c>
      <c r="B530" t="s">
        <v>65</v>
      </c>
      <c r="C530" t="s">
        <v>147</v>
      </c>
      <c r="D530" t="s">
        <v>200</v>
      </c>
      <c r="E530" t="s">
        <v>201</v>
      </c>
      <c r="G530" t="s">
        <v>202</v>
      </c>
      <c r="H530" t="s">
        <v>272</v>
      </c>
      <c r="I530" t="s">
        <v>202</v>
      </c>
      <c r="J530" t="s">
        <v>289</v>
      </c>
      <c r="K530" t="s">
        <v>202</v>
      </c>
      <c r="L530" t="s">
        <v>359</v>
      </c>
      <c r="M530" t="s">
        <v>290</v>
      </c>
      <c r="N530" t="s">
        <v>419</v>
      </c>
      <c r="O530" t="s">
        <v>420</v>
      </c>
      <c r="P530" t="s">
        <v>427</v>
      </c>
      <c r="S530" t="s">
        <v>896</v>
      </c>
      <c r="T530" t="s">
        <v>1577</v>
      </c>
      <c r="U530" t="s">
        <v>230</v>
      </c>
      <c r="W530" t="s">
        <v>1876</v>
      </c>
      <c r="X530" t="s">
        <v>2370</v>
      </c>
      <c r="Y530" t="s">
        <v>2933</v>
      </c>
      <c r="Z530" t="s">
        <v>3098</v>
      </c>
      <c r="AA530" t="s">
        <v>3135</v>
      </c>
      <c r="AB530">
        <v>10467</v>
      </c>
      <c r="AC530" t="s">
        <v>3139</v>
      </c>
      <c r="AD530" t="s">
        <v>3629</v>
      </c>
      <c r="AE530">
        <v>11</v>
      </c>
      <c r="AG530" t="s">
        <v>4030</v>
      </c>
      <c r="AH530" t="s">
        <v>291</v>
      </c>
      <c r="AI530" t="s">
        <v>291</v>
      </c>
      <c r="AK530" t="s">
        <v>4040</v>
      </c>
      <c r="AM530">
        <v>0</v>
      </c>
      <c r="AN530">
        <v>1129.89</v>
      </c>
      <c r="AO530">
        <v>0.5</v>
      </c>
      <c r="AQ530" t="s">
        <v>4566</v>
      </c>
      <c r="AR530" t="s">
        <v>5434</v>
      </c>
      <c r="AS530">
        <v>60</v>
      </c>
      <c r="AT530" t="s">
        <v>5838</v>
      </c>
      <c r="AU530">
        <v>1</v>
      </c>
      <c r="AV530">
        <v>0</v>
      </c>
      <c r="AW530">
        <v>193.59</v>
      </c>
      <c r="BA530" t="s">
        <v>329</v>
      </c>
      <c r="BB530" t="s">
        <v>1322</v>
      </c>
      <c r="BC530">
        <v>24180</v>
      </c>
      <c r="BG530" t="s">
        <v>5904</v>
      </c>
      <c r="BJ530" t="s">
        <v>5949</v>
      </c>
      <c r="BK530" t="s">
        <v>230</v>
      </c>
      <c r="BL530" t="s">
        <v>6056</v>
      </c>
    </row>
    <row r="531" spans="1:64">
      <c r="A531" s="1">
        <f>HYPERLINK("https://lsnyc.legalserver.org/matter/dynamic-profile/view/1905843","19-1905843")</f>
        <v>0</v>
      </c>
      <c r="B531" t="s">
        <v>65</v>
      </c>
      <c r="C531" t="s">
        <v>147</v>
      </c>
      <c r="D531" t="s">
        <v>200</v>
      </c>
      <c r="E531" t="s">
        <v>202</v>
      </c>
      <c r="F531" t="s">
        <v>237</v>
      </c>
      <c r="G531" t="s">
        <v>202</v>
      </c>
      <c r="H531" t="s">
        <v>272</v>
      </c>
      <c r="I531" t="s">
        <v>202</v>
      </c>
      <c r="J531" t="s">
        <v>289</v>
      </c>
      <c r="K531" t="s">
        <v>292</v>
      </c>
      <c r="M531" t="s">
        <v>290</v>
      </c>
      <c r="N531" t="s">
        <v>202</v>
      </c>
      <c r="O531" t="s">
        <v>421</v>
      </c>
      <c r="P531" t="s">
        <v>427</v>
      </c>
      <c r="S531" t="s">
        <v>897</v>
      </c>
      <c r="T531" t="s">
        <v>1578</v>
      </c>
      <c r="U531" t="s">
        <v>262</v>
      </c>
      <c r="W531" t="s">
        <v>1876</v>
      </c>
      <c r="X531" t="s">
        <v>2371</v>
      </c>
      <c r="Y531" t="s">
        <v>2899</v>
      </c>
      <c r="Z531" t="s">
        <v>3098</v>
      </c>
      <c r="AA531" t="s">
        <v>3135</v>
      </c>
      <c r="AB531">
        <v>10457</v>
      </c>
      <c r="AD531" t="s">
        <v>3630</v>
      </c>
      <c r="AE531">
        <v>10</v>
      </c>
      <c r="AG531" t="s">
        <v>4030</v>
      </c>
      <c r="AH531" t="s">
        <v>291</v>
      </c>
      <c r="AI531" t="s">
        <v>291</v>
      </c>
      <c r="AK531" t="s">
        <v>4040</v>
      </c>
      <c r="AL531" t="s">
        <v>4046</v>
      </c>
      <c r="AM531">
        <v>0</v>
      </c>
      <c r="AN531">
        <v>972</v>
      </c>
      <c r="AO531">
        <v>23.75</v>
      </c>
      <c r="AQ531" t="s">
        <v>4567</v>
      </c>
      <c r="AR531" t="s">
        <v>5435</v>
      </c>
      <c r="AS531">
        <v>55</v>
      </c>
      <c r="AU531">
        <v>1</v>
      </c>
      <c r="AV531">
        <v>0</v>
      </c>
      <c r="AW531">
        <v>208.17</v>
      </c>
      <c r="AX531" t="s">
        <v>228</v>
      </c>
      <c r="AY531" t="s">
        <v>5849</v>
      </c>
      <c r="BB531" t="s">
        <v>5859</v>
      </c>
      <c r="BC531">
        <v>26000</v>
      </c>
      <c r="BG531" t="s">
        <v>140</v>
      </c>
      <c r="BJ531" t="s">
        <v>5949</v>
      </c>
      <c r="BK531" t="s">
        <v>259</v>
      </c>
      <c r="BL531" t="s">
        <v>6056</v>
      </c>
    </row>
    <row r="532" spans="1:64">
      <c r="A532" s="1">
        <f>HYPERLINK("https://lsnyc.legalserver.org/matter/dynamic-profile/view/1907146","19-1907146")</f>
        <v>0</v>
      </c>
      <c r="B532" t="s">
        <v>65</v>
      </c>
      <c r="C532" t="s">
        <v>147</v>
      </c>
      <c r="D532" t="s">
        <v>200</v>
      </c>
      <c r="E532" t="s">
        <v>202</v>
      </c>
      <c r="F532" t="s">
        <v>248</v>
      </c>
      <c r="G532" t="s">
        <v>202</v>
      </c>
      <c r="H532" t="s">
        <v>271</v>
      </c>
      <c r="I532" t="s">
        <v>202</v>
      </c>
      <c r="J532" t="s">
        <v>289</v>
      </c>
      <c r="K532" t="s">
        <v>292</v>
      </c>
      <c r="M532" t="s">
        <v>290</v>
      </c>
      <c r="N532" t="s">
        <v>202</v>
      </c>
      <c r="O532" t="s">
        <v>421</v>
      </c>
      <c r="P532" t="s">
        <v>427</v>
      </c>
      <c r="S532" t="s">
        <v>898</v>
      </c>
      <c r="T532" t="s">
        <v>1579</v>
      </c>
      <c r="U532" t="s">
        <v>248</v>
      </c>
      <c r="W532" t="s">
        <v>1876</v>
      </c>
      <c r="X532" t="s">
        <v>2372</v>
      </c>
      <c r="Z532" t="s">
        <v>3098</v>
      </c>
      <c r="AA532" t="s">
        <v>3135</v>
      </c>
      <c r="AB532">
        <v>10467</v>
      </c>
      <c r="AD532" t="s">
        <v>3631</v>
      </c>
      <c r="AE532">
        <v>2</v>
      </c>
      <c r="AG532" t="s">
        <v>4030</v>
      </c>
      <c r="AH532" t="s">
        <v>291</v>
      </c>
      <c r="AI532" t="s">
        <v>291</v>
      </c>
      <c r="AK532" t="s">
        <v>4040</v>
      </c>
      <c r="AM532">
        <v>0</v>
      </c>
      <c r="AN532">
        <v>1597</v>
      </c>
      <c r="AO532">
        <v>6.45</v>
      </c>
      <c r="AQ532" t="s">
        <v>4568</v>
      </c>
      <c r="AR532" t="s">
        <v>5436</v>
      </c>
      <c r="AS532">
        <v>2</v>
      </c>
      <c r="AT532" t="s">
        <v>5835</v>
      </c>
      <c r="AU532">
        <v>1</v>
      </c>
      <c r="AV532">
        <v>0</v>
      </c>
      <c r="AW532">
        <v>14.99</v>
      </c>
      <c r="BB532" t="s">
        <v>1322</v>
      </c>
      <c r="BC532">
        <v>1872</v>
      </c>
      <c r="BG532" t="s">
        <v>140</v>
      </c>
      <c r="BJ532" t="s">
        <v>5948</v>
      </c>
      <c r="BK532" t="s">
        <v>222</v>
      </c>
      <c r="BL532" t="s">
        <v>6056</v>
      </c>
    </row>
    <row r="533" spans="1:64">
      <c r="A533" s="1">
        <f>HYPERLINK("https://lsnyc.legalserver.org/matter/dynamic-profile/view/1909110","19-1909110")</f>
        <v>0</v>
      </c>
      <c r="B533" t="s">
        <v>65</v>
      </c>
      <c r="C533" t="s">
        <v>147</v>
      </c>
      <c r="D533" t="s">
        <v>200</v>
      </c>
      <c r="E533" t="s">
        <v>201</v>
      </c>
      <c r="G533" t="s">
        <v>202</v>
      </c>
      <c r="H533" t="s">
        <v>272</v>
      </c>
      <c r="I533" t="s">
        <v>202</v>
      </c>
      <c r="J533" t="s">
        <v>289</v>
      </c>
      <c r="K533" t="s">
        <v>202</v>
      </c>
      <c r="L533" t="s">
        <v>360</v>
      </c>
      <c r="M533" t="s">
        <v>290</v>
      </c>
      <c r="N533" t="s">
        <v>419</v>
      </c>
      <c r="O533" t="s">
        <v>420</v>
      </c>
      <c r="P533" t="s">
        <v>427</v>
      </c>
      <c r="S533" t="s">
        <v>796</v>
      </c>
      <c r="T533" t="s">
        <v>1435</v>
      </c>
      <c r="U533" t="s">
        <v>228</v>
      </c>
      <c r="W533" t="s">
        <v>1876</v>
      </c>
      <c r="X533" t="s">
        <v>2373</v>
      </c>
      <c r="Y533" t="s">
        <v>2926</v>
      </c>
      <c r="Z533" t="s">
        <v>3098</v>
      </c>
      <c r="AA533" t="s">
        <v>3135</v>
      </c>
      <c r="AB533">
        <v>10463</v>
      </c>
      <c r="AC533" t="s">
        <v>3139</v>
      </c>
      <c r="AD533" t="s">
        <v>3632</v>
      </c>
      <c r="AE533">
        <v>1</v>
      </c>
      <c r="AG533" t="s">
        <v>4031</v>
      </c>
      <c r="AH533" t="s">
        <v>291</v>
      </c>
      <c r="AI533" t="s">
        <v>291</v>
      </c>
      <c r="AK533" t="s">
        <v>4040</v>
      </c>
      <c r="AM533">
        <v>0</v>
      </c>
      <c r="AN533">
        <v>1600</v>
      </c>
      <c r="AO533">
        <v>2.9</v>
      </c>
      <c r="AQ533" t="s">
        <v>4569</v>
      </c>
      <c r="AR533" t="s">
        <v>5437</v>
      </c>
      <c r="AS533">
        <v>30</v>
      </c>
      <c r="AT533" t="s">
        <v>5835</v>
      </c>
      <c r="AU533">
        <v>1</v>
      </c>
      <c r="AV533">
        <v>2</v>
      </c>
      <c r="AW533">
        <v>0</v>
      </c>
      <c r="BA533" t="s">
        <v>329</v>
      </c>
      <c r="BB533" t="s">
        <v>5859</v>
      </c>
      <c r="BC533">
        <v>0</v>
      </c>
      <c r="BG533" t="s">
        <v>5904</v>
      </c>
      <c r="BJ533" t="s">
        <v>5965</v>
      </c>
      <c r="BK533" t="s">
        <v>216</v>
      </c>
      <c r="BL533" t="s">
        <v>6057</v>
      </c>
    </row>
    <row r="534" spans="1:64">
      <c r="A534" s="1">
        <f>HYPERLINK("https://lsnyc.legalserver.org/matter/dynamic-profile/view/1909482","19-1909482")</f>
        <v>0</v>
      </c>
      <c r="B534" t="s">
        <v>65</v>
      </c>
      <c r="C534" t="s">
        <v>147</v>
      </c>
      <c r="D534" t="s">
        <v>200</v>
      </c>
      <c r="E534" t="s">
        <v>201</v>
      </c>
      <c r="G534" t="s">
        <v>202</v>
      </c>
      <c r="H534" t="s">
        <v>272</v>
      </c>
      <c r="I534" t="s">
        <v>202</v>
      </c>
      <c r="J534" t="s">
        <v>289</v>
      </c>
      <c r="K534" t="s">
        <v>292</v>
      </c>
      <c r="M534" t="s">
        <v>290</v>
      </c>
      <c r="N534" t="s">
        <v>419</v>
      </c>
      <c r="O534" t="s">
        <v>420</v>
      </c>
      <c r="P534" t="s">
        <v>427</v>
      </c>
      <c r="S534" t="s">
        <v>899</v>
      </c>
      <c r="T534" t="s">
        <v>1580</v>
      </c>
      <c r="U534" t="s">
        <v>230</v>
      </c>
      <c r="W534" t="s">
        <v>1876</v>
      </c>
      <c r="X534" t="s">
        <v>2374</v>
      </c>
      <c r="Y534" t="s">
        <v>2985</v>
      </c>
      <c r="Z534" t="s">
        <v>3098</v>
      </c>
      <c r="AA534" t="s">
        <v>3135</v>
      </c>
      <c r="AB534">
        <v>10451</v>
      </c>
      <c r="AC534" t="s">
        <v>3140</v>
      </c>
      <c r="AD534" t="s">
        <v>3633</v>
      </c>
      <c r="AE534">
        <v>6</v>
      </c>
      <c r="AG534" t="s">
        <v>4031</v>
      </c>
      <c r="AH534" t="s">
        <v>291</v>
      </c>
      <c r="AI534" t="s">
        <v>291</v>
      </c>
      <c r="AK534" t="s">
        <v>4040</v>
      </c>
      <c r="AL534" t="s">
        <v>4049</v>
      </c>
      <c r="AM534">
        <v>0</v>
      </c>
      <c r="AN534">
        <v>966.21</v>
      </c>
      <c r="AO534">
        <v>1</v>
      </c>
      <c r="AQ534" t="s">
        <v>4570</v>
      </c>
      <c r="AR534" t="s">
        <v>5438</v>
      </c>
      <c r="AS534">
        <v>21</v>
      </c>
      <c r="AU534">
        <v>1</v>
      </c>
      <c r="AV534">
        <v>1</v>
      </c>
      <c r="AW534">
        <v>54.71</v>
      </c>
      <c r="BB534" t="s">
        <v>1322</v>
      </c>
      <c r="BC534">
        <v>9252</v>
      </c>
      <c r="BG534" t="s">
        <v>140</v>
      </c>
      <c r="BJ534" t="s">
        <v>5959</v>
      </c>
      <c r="BK534" t="s">
        <v>206</v>
      </c>
      <c r="BL534" t="s">
        <v>6056</v>
      </c>
    </row>
    <row r="535" spans="1:64">
      <c r="A535" s="1">
        <f>HYPERLINK("https://lsnyc.legalserver.org/matter/dynamic-profile/view/1905886","19-1905886")</f>
        <v>0</v>
      </c>
      <c r="B535" t="s">
        <v>65</v>
      </c>
      <c r="C535" t="s">
        <v>147</v>
      </c>
      <c r="D535" t="s">
        <v>200</v>
      </c>
      <c r="E535" t="s">
        <v>201</v>
      </c>
      <c r="G535" t="s">
        <v>202</v>
      </c>
      <c r="H535" t="s">
        <v>272</v>
      </c>
      <c r="I535" t="s">
        <v>202</v>
      </c>
      <c r="J535" t="s">
        <v>289</v>
      </c>
      <c r="K535" t="s">
        <v>202</v>
      </c>
      <c r="L535" t="s">
        <v>361</v>
      </c>
      <c r="M535" t="s">
        <v>290</v>
      </c>
      <c r="N535" t="s">
        <v>419</v>
      </c>
      <c r="O535" t="s">
        <v>420</v>
      </c>
      <c r="P535" t="s">
        <v>427</v>
      </c>
      <c r="S535" t="s">
        <v>900</v>
      </c>
      <c r="T535" t="s">
        <v>1581</v>
      </c>
      <c r="U535" t="s">
        <v>262</v>
      </c>
      <c r="W535" t="s">
        <v>1876</v>
      </c>
      <c r="X535" t="s">
        <v>2375</v>
      </c>
      <c r="Y535" t="s">
        <v>2865</v>
      </c>
      <c r="Z535" t="s">
        <v>3098</v>
      </c>
      <c r="AA535" t="s">
        <v>3135</v>
      </c>
      <c r="AB535">
        <v>10474</v>
      </c>
      <c r="AC535" t="s">
        <v>3136</v>
      </c>
      <c r="AD535" t="s">
        <v>3634</v>
      </c>
      <c r="AE535">
        <v>5</v>
      </c>
      <c r="AG535" t="s">
        <v>4031</v>
      </c>
      <c r="AH535" t="s">
        <v>291</v>
      </c>
      <c r="AI535" t="s">
        <v>291</v>
      </c>
      <c r="AK535" t="s">
        <v>4040</v>
      </c>
      <c r="AL535" t="s">
        <v>4048</v>
      </c>
      <c r="AM535">
        <v>0</v>
      </c>
      <c r="AN535">
        <v>1151</v>
      </c>
      <c r="AO535">
        <v>5.4</v>
      </c>
      <c r="AQ535" t="s">
        <v>4571</v>
      </c>
      <c r="AR535" t="s">
        <v>5439</v>
      </c>
      <c r="AS535">
        <v>40</v>
      </c>
      <c r="AT535" t="s">
        <v>5836</v>
      </c>
      <c r="AU535">
        <v>1</v>
      </c>
      <c r="AV535">
        <v>0</v>
      </c>
      <c r="AW535">
        <v>19.22</v>
      </c>
      <c r="BA535" t="s">
        <v>329</v>
      </c>
      <c r="BB535" t="s">
        <v>1322</v>
      </c>
      <c r="BC535">
        <v>2400</v>
      </c>
      <c r="BG535" t="s">
        <v>5901</v>
      </c>
      <c r="BJ535" t="s">
        <v>6023</v>
      </c>
      <c r="BK535" t="s">
        <v>247</v>
      </c>
      <c r="BL535" t="s">
        <v>6057</v>
      </c>
    </row>
    <row r="536" spans="1:64">
      <c r="A536" s="1">
        <f>HYPERLINK("https://lsnyc.legalserver.org/matter/dynamic-profile/view/1909132","19-1909132")</f>
        <v>0</v>
      </c>
      <c r="B536" t="s">
        <v>65</v>
      </c>
      <c r="C536" t="s">
        <v>119</v>
      </c>
      <c r="D536" t="s">
        <v>200</v>
      </c>
      <c r="E536" t="s">
        <v>202</v>
      </c>
      <c r="F536" t="s">
        <v>236</v>
      </c>
      <c r="G536" t="s">
        <v>202</v>
      </c>
      <c r="H536" t="s">
        <v>272</v>
      </c>
      <c r="I536" t="s">
        <v>202</v>
      </c>
      <c r="J536" t="s">
        <v>289</v>
      </c>
      <c r="K536" t="s">
        <v>292</v>
      </c>
      <c r="M536" t="s">
        <v>290</v>
      </c>
      <c r="N536" t="s">
        <v>202</v>
      </c>
      <c r="O536" t="s">
        <v>421</v>
      </c>
      <c r="P536" t="s">
        <v>427</v>
      </c>
      <c r="S536" t="s">
        <v>782</v>
      </c>
      <c r="T536" t="s">
        <v>1465</v>
      </c>
      <c r="U536" t="s">
        <v>236</v>
      </c>
      <c r="W536" t="s">
        <v>1876</v>
      </c>
      <c r="X536" t="s">
        <v>2376</v>
      </c>
      <c r="Y536" t="s">
        <v>2986</v>
      </c>
      <c r="Z536" t="s">
        <v>3098</v>
      </c>
      <c r="AA536" t="s">
        <v>3135</v>
      </c>
      <c r="AB536">
        <v>10468</v>
      </c>
      <c r="AC536" t="s">
        <v>3139</v>
      </c>
      <c r="AD536" t="s">
        <v>3635</v>
      </c>
      <c r="AE536">
        <v>1</v>
      </c>
      <c r="AG536" t="s">
        <v>4030</v>
      </c>
      <c r="AH536" t="s">
        <v>291</v>
      </c>
      <c r="AI536" t="s">
        <v>291</v>
      </c>
      <c r="AK536" t="s">
        <v>4040</v>
      </c>
      <c r="AL536" t="s">
        <v>4046</v>
      </c>
      <c r="AM536">
        <v>0</v>
      </c>
      <c r="AN536">
        <v>1674.75</v>
      </c>
      <c r="AO536">
        <v>1.7</v>
      </c>
      <c r="AQ536" t="s">
        <v>4572</v>
      </c>
      <c r="AR536" t="s">
        <v>5440</v>
      </c>
      <c r="AS536">
        <v>41</v>
      </c>
      <c r="AT536" t="s">
        <v>5838</v>
      </c>
      <c r="AU536">
        <v>3</v>
      </c>
      <c r="AV536">
        <v>1</v>
      </c>
      <c r="AW536">
        <v>213.59</v>
      </c>
      <c r="BA536" t="s">
        <v>329</v>
      </c>
      <c r="BB536" t="s">
        <v>5859</v>
      </c>
      <c r="BC536">
        <v>55000</v>
      </c>
      <c r="BG536" t="s">
        <v>5906</v>
      </c>
      <c r="BJ536" t="s">
        <v>5949</v>
      </c>
      <c r="BK536" t="s">
        <v>259</v>
      </c>
      <c r="BL536" t="s">
        <v>6056</v>
      </c>
    </row>
    <row r="537" spans="1:64">
      <c r="A537" s="1">
        <f>HYPERLINK("https://lsnyc.legalserver.org/matter/dynamic-profile/view/1905169","19-1905169")</f>
        <v>0</v>
      </c>
      <c r="B537" t="s">
        <v>65</v>
      </c>
      <c r="C537" t="s">
        <v>143</v>
      </c>
      <c r="D537" t="s">
        <v>200</v>
      </c>
      <c r="E537" t="s">
        <v>201</v>
      </c>
      <c r="G537" t="s">
        <v>202</v>
      </c>
      <c r="H537" t="s">
        <v>272</v>
      </c>
      <c r="I537" t="s">
        <v>202</v>
      </c>
      <c r="J537" t="s">
        <v>289</v>
      </c>
      <c r="K537" t="s">
        <v>292</v>
      </c>
      <c r="M537" t="s">
        <v>290</v>
      </c>
      <c r="N537" t="s">
        <v>419</v>
      </c>
      <c r="P537" t="s">
        <v>427</v>
      </c>
      <c r="S537" t="s">
        <v>901</v>
      </c>
      <c r="T537" t="s">
        <v>1582</v>
      </c>
      <c r="U537" t="s">
        <v>231</v>
      </c>
      <c r="W537" t="s">
        <v>1876</v>
      </c>
      <c r="X537" t="s">
        <v>2377</v>
      </c>
      <c r="Y537">
        <v>529</v>
      </c>
      <c r="Z537" t="s">
        <v>3098</v>
      </c>
      <c r="AA537" t="s">
        <v>3135</v>
      </c>
      <c r="AB537">
        <v>10458</v>
      </c>
      <c r="AD537" t="s">
        <v>3636</v>
      </c>
      <c r="AE537">
        <v>22</v>
      </c>
      <c r="AG537" t="s">
        <v>4031</v>
      </c>
      <c r="AH537" t="s">
        <v>291</v>
      </c>
      <c r="AI537" t="s">
        <v>291</v>
      </c>
      <c r="AK537" t="s">
        <v>4040</v>
      </c>
      <c r="AM537">
        <v>0</v>
      </c>
      <c r="AN537">
        <v>2057</v>
      </c>
      <c r="AO537">
        <v>5.1</v>
      </c>
      <c r="AQ537" t="s">
        <v>4573</v>
      </c>
      <c r="AR537" t="s">
        <v>5441</v>
      </c>
      <c r="AS537">
        <v>214</v>
      </c>
      <c r="AT537" t="s">
        <v>5847</v>
      </c>
      <c r="AU537">
        <v>2</v>
      </c>
      <c r="AV537">
        <v>6</v>
      </c>
      <c r="AW537">
        <v>35.92</v>
      </c>
      <c r="BA537" t="s">
        <v>3143</v>
      </c>
      <c r="BB537" t="s">
        <v>1322</v>
      </c>
      <c r="BC537">
        <v>15600</v>
      </c>
      <c r="BG537" t="s">
        <v>140</v>
      </c>
      <c r="BJ537" t="s">
        <v>5949</v>
      </c>
      <c r="BK537" t="s">
        <v>228</v>
      </c>
      <c r="BL537" t="s">
        <v>6056</v>
      </c>
    </row>
    <row r="538" spans="1:64">
      <c r="A538" s="1">
        <f>HYPERLINK("https://lsnyc.legalserver.org/matter/dynamic-profile/view/1905520","19-1905520")</f>
        <v>0</v>
      </c>
      <c r="B538" t="s">
        <v>65</v>
      </c>
      <c r="C538" t="s">
        <v>144</v>
      </c>
      <c r="D538" t="s">
        <v>200</v>
      </c>
      <c r="E538" t="s">
        <v>202</v>
      </c>
      <c r="F538" t="s">
        <v>232</v>
      </c>
      <c r="G538" t="s">
        <v>202</v>
      </c>
      <c r="H538" t="s">
        <v>272</v>
      </c>
      <c r="I538" t="s">
        <v>202</v>
      </c>
      <c r="J538" t="s">
        <v>289</v>
      </c>
      <c r="K538" t="s">
        <v>292</v>
      </c>
      <c r="M538" t="s">
        <v>290</v>
      </c>
      <c r="N538" t="s">
        <v>202</v>
      </c>
      <c r="O538" t="s">
        <v>421</v>
      </c>
      <c r="P538" t="s">
        <v>427</v>
      </c>
      <c r="S538" t="s">
        <v>902</v>
      </c>
      <c r="T538" t="s">
        <v>1583</v>
      </c>
      <c r="U538" t="s">
        <v>232</v>
      </c>
      <c r="W538" t="s">
        <v>1876</v>
      </c>
      <c r="X538" t="s">
        <v>2378</v>
      </c>
      <c r="Y538" t="s">
        <v>2987</v>
      </c>
      <c r="Z538" t="s">
        <v>3098</v>
      </c>
      <c r="AA538" t="s">
        <v>3135</v>
      </c>
      <c r="AB538">
        <v>10467</v>
      </c>
      <c r="AC538" t="s">
        <v>3139</v>
      </c>
      <c r="AD538" t="s">
        <v>3637</v>
      </c>
      <c r="AE538">
        <v>15</v>
      </c>
      <c r="AG538" t="s">
        <v>4030</v>
      </c>
      <c r="AH538" t="s">
        <v>291</v>
      </c>
      <c r="AI538" t="s">
        <v>291</v>
      </c>
      <c r="AK538" t="s">
        <v>4040</v>
      </c>
      <c r="AL538" t="s">
        <v>4046</v>
      </c>
      <c r="AM538">
        <v>0</v>
      </c>
      <c r="AN538">
        <v>2000</v>
      </c>
      <c r="AO538">
        <v>13.7</v>
      </c>
      <c r="AQ538" t="s">
        <v>4574</v>
      </c>
      <c r="AR538" t="s">
        <v>5442</v>
      </c>
      <c r="AS538">
        <v>68</v>
      </c>
      <c r="AT538" t="s">
        <v>5836</v>
      </c>
      <c r="AU538">
        <v>2</v>
      </c>
      <c r="AV538">
        <v>1</v>
      </c>
      <c r="AW538">
        <v>168.78</v>
      </c>
      <c r="BA538" t="s">
        <v>329</v>
      </c>
      <c r="BB538" t="s">
        <v>1322</v>
      </c>
      <c r="BC538">
        <v>36000</v>
      </c>
      <c r="BG538" t="s">
        <v>5900</v>
      </c>
      <c r="BJ538" t="s">
        <v>5949</v>
      </c>
      <c r="BK538" t="s">
        <v>247</v>
      </c>
      <c r="BL538" t="s">
        <v>6056</v>
      </c>
    </row>
    <row r="539" spans="1:64">
      <c r="A539" s="1">
        <f>HYPERLINK("https://lsnyc.legalserver.org/matter/dynamic-profile/view/1909478","19-1909478")</f>
        <v>0</v>
      </c>
      <c r="B539" t="s">
        <v>65</v>
      </c>
      <c r="C539" t="s">
        <v>119</v>
      </c>
      <c r="D539" t="s">
        <v>200</v>
      </c>
      <c r="E539" t="s">
        <v>202</v>
      </c>
      <c r="F539" t="s">
        <v>236</v>
      </c>
      <c r="G539" t="s">
        <v>202</v>
      </c>
      <c r="H539" t="s">
        <v>272</v>
      </c>
      <c r="I539" t="s">
        <v>202</v>
      </c>
      <c r="J539" t="s">
        <v>289</v>
      </c>
      <c r="K539" t="s">
        <v>292</v>
      </c>
      <c r="M539" t="s">
        <v>290</v>
      </c>
      <c r="N539" t="s">
        <v>202</v>
      </c>
      <c r="O539" t="s">
        <v>421</v>
      </c>
      <c r="P539" t="s">
        <v>427</v>
      </c>
      <c r="S539" t="s">
        <v>903</v>
      </c>
      <c r="T539" t="s">
        <v>1584</v>
      </c>
      <c r="U539" t="s">
        <v>236</v>
      </c>
      <c r="W539" t="s">
        <v>1876</v>
      </c>
      <c r="X539" t="s">
        <v>2379</v>
      </c>
      <c r="Y539">
        <v>604</v>
      </c>
      <c r="Z539" t="s">
        <v>3098</v>
      </c>
      <c r="AA539" t="s">
        <v>3135</v>
      </c>
      <c r="AB539">
        <v>10468</v>
      </c>
      <c r="AC539" t="s">
        <v>3139</v>
      </c>
      <c r="AD539" t="s">
        <v>3638</v>
      </c>
      <c r="AE539">
        <v>5</v>
      </c>
      <c r="AG539" t="s">
        <v>4030</v>
      </c>
      <c r="AH539" t="s">
        <v>291</v>
      </c>
      <c r="AI539" t="s">
        <v>291</v>
      </c>
      <c r="AK539" t="s">
        <v>4040</v>
      </c>
      <c r="AL539" t="s">
        <v>4046</v>
      </c>
      <c r="AM539">
        <v>0</v>
      </c>
      <c r="AN539">
        <v>2025</v>
      </c>
      <c r="AO539">
        <v>1.5</v>
      </c>
      <c r="AQ539" t="s">
        <v>4575</v>
      </c>
      <c r="AR539" t="s">
        <v>5443</v>
      </c>
      <c r="AS539">
        <v>0</v>
      </c>
      <c r="AT539" t="s">
        <v>5838</v>
      </c>
      <c r="AU539">
        <v>4</v>
      </c>
      <c r="AV539">
        <v>0</v>
      </c>
      <c r="AW539">
        <v>170.64</v>
      </c>
      <c r="BA539" t="s">
        <v>329</v>
      </c>
      <c r="BB539" t="s">
        <v>5859</v>
      </c>
      <c r="BC539">
        <v>43940</v>
      </c>
      <c r="BG539" t="s">
        <v>5906</v>
      </c>
      <c r="BJ539" t="s">
        <v>5949</v>
      </c>
      <c r="BK539" t="s">
        <v>230</v>
      </c>
      <c r="BL539" t="s">
        <v>6056</v>
      </c>
    </row>
    <row r="540" spans="1:64">
      <c r="A540" s="1">
        <f>HYPERLINK("https://lsnyc.legalserver.org/matter/dynamic-profile/view/1903739","19-1903739")</f>
        <v>0</v>
      </c>
      <c r="B540" t="s">
        <v>65</v>
      </c>
      <c r="C540" t="s">
        <v>126</v>
      </c>
      <c r="D540" t="s">
        <v>200</v>
      </c>
      <c r="E540" t="s">
        <v>202</v>
      </c>
      <c r="F540" t="s">
        <v>208</v>
      </c>
      <c r="G540" t="s">
        <v>202</v>
      </c>
      <c r="H540" t="s">
        <v>271</v>
      </c>
      <c r="I540" t="s">
        <v>202</v>
      </c>
      <c r="J540" t="s">
        <v>289</v>
      </c>
      <c r="K540" t="s">
        <v>202</v>
      </c>
      <c r="L540" t="s">
        <v>362</v>
      </c>
      <c r="M540" t="s">
        <v>290</v>
      </c>
      <c r="N540" t="s">
        <v>202</v>
      </c>
      <c r="O540" t="s">
        <v>423</v>
      </c>
      <c r="P540" t="s">
        <v>428</v>
      </c>
      <c r="S540" t="s">
        <v>904</v>
      </c>
      <c r="T540" t="s">
        <v>1311</v>
      </c>
      <c r="U540" t="s">
        <v>208</v>
      </c>
      <c r="V540" t="s">
        <v>227</v>
      </c>
      <c r="W540" t="s">
        <v>1877</v>
      </c>
      <c r="X540" t="s">
        <v>2164</v>
      </c>
      <c r="Y540" t="s">
        <v>2988</v>
      </c>
      <c r="Z540" t="s">
        <v>3098</v>
      </c>
      <c r="AA540" t="s">
        <v>3135</v>
      </c>
      <c r="AB540">
        <v>10460</v>
      </c>
      <c r="AC540" t="s">
        <v>3143</v>
      </c>
      <c r="AD540" t="s">
        <v>3639</v>
      </c>
      <c r="AE540">
        <v>4</v>
      </c>
      <c r="AF540" t="s">
        <v>4026</v>
      </c>
      <c r="AG540" t="s">
        <v>4031</v>
      </c>
      <c r="AH540" t="s">
        <v>291</v>
      </c>
      <c r="AI540" t="s">
        <v>291</v>
      </c>
      <c r="AK540" t="s">
        <v>4040</v>
      </c>
      <c r="AL540" t="s">
        <v>4050</v>
      </c>
      <c r="AM540">
        <v>0</v>
      </c>
      <c r="AN540">
        <v>1700</v>
      </c>
      <c r="AO540">
        <v>3.1</v>
      </c>
      <c r="AP540" t="s">
        <v>4052</v>
      </c>
      <c r="AQ540" t="s">
        <v>4576</v>
      </c>
      <c r="AR540" t="s">
        <v>5444</v>
      </c>
      <c r="AS540">
        <v>169</v>
      </c>
      <c r="AT540" t="s">
        <v>5843</v>
      </c>
      <c r="AU540">
        <v>1</v>
      </c>
      <c r="AV540">
        <v>2</v>
      </c>
      <c r="AW540">
        <v>23.65</v>
      </c>
      <c r="BA540" t="s">
        <v>5850</v>
      </c>
      <c r="BB540" t="s">
        <v>1322</v>
      </c>
      <c r="BC540">
        <v>5044</v>
      </c>
      <c r="BG540" t="s">
        <v>5904</v>
      </c>
      <c r="BJ540" t="s">
        <v>5948</v>
      </c>
      <c r="BK540" t="s">
        <v>227</v>
      </c>
      <c r="BL540" t="s">
        <v>6056</v>
      </c>
    </row>
    <row r="541" spans="1:64">
      <c r="A541" s="1">
        <f>HYPERLINK("https://lsnyc.legalserver.org/matter/dynamic-profile/view/1903780","19-1903780")</f>
        <v>0</v>
      </c>
      <c r="B541" t="s">
        <v>65</v>
      </c>
      <c r="C541" t="s">
        <v>144</v>
      </c>
      <c r="D541" t="s">
        <v>200</v>
      </c>
      <c r="E541" t="s">
        <v>202</v>
      </c>
      <c r="F541" t="s">
        <v>208</v>
      </c>
      <c r="G541" t="s">
        <v>202</v>
      </c>
      <c r="H541" t="s">
        <v>271</v>
      </c>
      <c r="I541" t="s">
        <v>202</v>
      </c>
      <c r="J541" t="s">
        <v>289</v>
      </c>
      <c r="K541" t="s">
        <v>292</v>
      </c>
      <c r="M541" t="s">
        <v>290</v>
      </c>
      <c r="N541" t="s">
        <v>202</v>
      </c>
      <c r="O541" t="s">
        <v>422</v>
      </c>
      <c r="P541" t="s">
        <v>427</v>
      </c>
      <c r="S541" t="s">
        <v>905</v>
      </c>
      <c r="T541" t="s">
        <v>1585</v>
      </c>
      <c r="U541" t="s">
        <v>208</v>
      </c>
      <c r="W541" t="s">
        <v>1876</v>
      </c>
      <c r="X541" t="s">
        <v>2380</v>
      </c>
      <c r="Y541">
        <v>2</v>
      </c>
      <c r="Z541" t="s">
        <v>3098</v>
      </c>
      <c r="AA541" t="s">
        <v>3135</v>
      </c>
      <c r="AB541">
        <v>10470</v>
      </c>
      <c r="AC541" t="s">
        <v>3139</v>
      </c>
      <c r="AD541" t="s">
        <v>3640</v>
      </c>
      <c r="AE541">
        <v>3</v>
      </c>
      <c r="AG541" t="s">
        <v>4031</v>
      </c>
      <c r="AH541" t="s">
        <v>291</v>
      </c>
      <c r="AI541" t="s">
        <v>291</v>
      </c>
      <c r="AK541" t="s">
        <v>4040</v>
      </c>
      <c r="AL541" t="s">
        <v>4047</v>
      </c>
      <c r="AM541">
        <v>0</v>
      </c>
      <c r="AN541">
        <v>1515</v>
      </c>
      <c r="AO541">
        <v>14.5</v>
      </c>
      <c r="AQ541" t="s">
        <v>4577</v>
      </c>
      <c r="AR541" t="s">
        <v>5445</v>
      </c>
      <c r="AS541">
        <v>2</v>
      </c>
      <c r="AT541" t="s">
        <v>5835</v>
      </c>
      <c r="AU541">
        <v>4</v>
      </c>
      <c r="AV541">
        <v>0</v>
      </c>
      <c r="AW541">
        <v>140.48</v>
      </c>
      <c r="BA541" t="s">
        <v>5858</v>
      </c>
      <c r="BB541" t="s">
        <v>1322</v>
      </c>
      <c r="BC541">
        <v>36174</v>
      </c>
      <c r="BG541" t="s">
        <v>5904</v>
      </c>
      <c r="BJ541" t="s">
        <v>5962</v>
      </c>
      <c r="BK541" t="s">
        <v>263</v>
      </c>
      <c r="BL541" t="s">
        <v>6056</v>
      </c>
    </row>
    <row r="542" spans="1:64">
      <c r="A542" s="1">
        <f>HYPERLINK("https://lsnyc.legalserver.org/matter/dynamic-profile/view/1904063","19-1904063")</f>
        <v>0</v>
      </c>
      <c r="B542" t="s">
        <v>65</v>
      </c>
      <c r="C542" t="s">
        <v>144</v>
      </c>
      <c r="D542" t="s">
        <v>200</v>
      </c>
      <c r="E542" t="s">
        <v>202</v>
      </c>
      <c r="F542" t="s">
        <v>249</v>
      </c>
      <c r="G542" t="s">
        <v>202</v>
      </c>
      <c r="H542" t="s">
        <v>272</v>
      </c>
      <c r="I542" t="s">
        <v>202</v>
      </c>
      <c r="J542" t="s">
        <v>289</v>
      </c>
      <c r="K542" t="s">
        <v>292</v>
      </c>
      <c r="M542" t="s">
        <v>290</v>
      </c>
      <c r="N542" t="s">
        <v>202</v>
      </c>
      <c r="O542" t="s">
        <v>421</v>
      </c>
      <c r="P542" t="s">
        <v>427</v>
      </c>
      <c r="S542" t="s">
        <v>661</v>
      </c>
      <c r="T542" t="s">
        <v>1217</v>
      </c>
      <c r="U542" t="s">
        <v>251</v>
      </c>
      <c r="W542" t="s">
        <v>1876</v>
      </c>
      <c r="X542" t="s">
        <v>2381</v>
      </c>
      <c r="Y542" t="s">
        <v>2989</v>
      </c>
      <c r="Z542" t="s">
        <v>3098</v>
      </c>
      <c r="AA542" t="s">
        <v>3135</v>
      </c>
      <c r="AB542">
        <v>10457</v>
      </c>
      <c r="AD542" t="s">
        <v>3641</v>
      </c>
      <c r="AE542">
        <v>7</v>
      </c>
      <c r="AG542" t="s">
        <v>4030</v>
      </c>
      <c r="AH542" t="s">
        <v>291</v>
      </c>
      <c r="AI542" t="s">
        <v>291</v>
      </c>
      <c r="AK542" t="s">
        <v>4040</v>
      </c>
      <c r="AM542">
        <v>0</v>
      </c>
      <c r="AN542">
        <v>1053.93</v>
      </c>
      <c r="AO542">
        <v>8.75</v>
      </c>
      <c r="AQ542" t="s">
        <v>4578</v>
      </c>
      <c r="AR542" t="s">
        <v>5446</v>
      </c>
      <c r="AS542">
        <v>118</v>
      </c>
      <c r="AU542">
        <v>1</v>
      </c>
      <c r="AV542">
        <v>1</v>
      </c>
      <c r="AW542">
        <v>92.25</v>
      </c>
      <c r="BB542" t="s">
        <v>1322</v>
      </c>
      <c r="BC542">
        <v>15600</v>
      </c>
      <c r="BG542" t="s">
        <v>140</v>
      </c>
      <c r="BJ542" t="s">
        <v>5949</v>
      </c>
      <c r="BK542" t="s">
        <v>235</v>
      </c>
      <c r="BL542" t="s">
        <v>6056</v>
      </c>
    </row>
    <row r="543" spans="1:64">
      <c r="A543" s="1">
        <f>HYPERLINK("https://lsnyc.legalserver.org/matter/dynamic-profile/view/1908515","19-1908515")</f>
        <v>0</v>
      </c>
      <c r="B543" t="s">
        <v>65</v>
      </c>
      <c r="C543" t="s">
        <v>144</v>
      </c>
      <c r="D543" t="s">
        <v>200</v>
      </c>
      <c r="E543" t="s">
        <v>201</v>
      </c>
      <c r="G543" t="s">
        <v>202</v>
      </c>
      <c r="H543" t="s">
        <v>271</v>
      </c>
      <c r="I543" t="s">
        <v>202</v>
      </c>
      <c r="J543" t="s">
        <v>289</v>
      </c>
      <c r="K543" t="s">
        <v>292</v>
      </c>
      <c r="M543" t="s">
        <v>290</v>
      </c>
      <c r="N543" t="s">
        <v>202</v>
      </c>
      <c r="O543" t="s">
        <v>421</v>
      </c>
      <c r="P543" t="s">
        <v>427</v>
      </c>
      <c r="S543" t="s">
        <v>625</v>
      </c>
      <c r="T543" t="s">
        <v>1586</v>
      </c>
      <c r="U543" t="s">
        <v>237</v>
      </c>
      <c r="W543" t="s">
        <v>1876</v>
      </c>
      <c r="X543" t="s">
        <v>2382</v>
      </c>
      <c r="Y543">
        <v>1</v>
      </c>
      <c r="Z543" t="s">
        <v>3098</v>
      </c>
      <c r="AA543" t="s">
        <v>3135</v>
      </c>
      <c r="AB543">
        <v>10467</v>
      </c>
      <c r="AC543" t="s">
        <v>3144</v>
      </c>
      <c r="AD543" t="s">
        <v>3642</v>
      </c>
      <c r="AE543">
        <v>16</v>
      </c>
      <c r="AG543" t="s">
        <v>4030</v>
      </c>
      <c r="AH543" t="s">
        <v>291</v>
      </c>
      <c r="AI543" t="s">
        <v>291</v>
      </c>
      <c r="AK543" t="s">
        <v>4040</v>
      </c>
      <c r="AM543">
        <v>0</v>
      </c>
      <c r="AN543">
        <v>1500</v>
      </c>
      <c r="AO543">
        <v>2.05</v>
      </c>
      <c r="AQ543" t="s">
        <v>4579</v>
      </c>
      <c r="AR543" t="s">
        <v>5447</v>
      </c>
      <c r="AS543">
        <v>2</v>
      </c>
      <c r="AT543" t="s">
        <v>5835</v>
      </c>
      <c r="AU543">
        <v>3</v>
      </c>
      <c r="AV543">
        <v>0</v>
      </c>
      <c r="AW543">
        <v>225.04</v>
      </c>
      <c r="BB543" t="s">
        <v>1322</v>
      </c>
      <c r="BC543">
        <v>48000</v>
      </c>
      <c r="BF543" t="s">
        <v>5889</v>
      </c>
      <c r="BG543" t="s">
        <v>5900</v>
      </c>
      <c r="BJ543" t="s">
        <v>6013</v>
      </c>
      <c r="BK543" t="s">
        <v>238</v>
      </c>
      <c r="BL543" t="s">
        <v>6056</v>
      </c>
    </row>
    <row r="544" spans="1:64">
      <c r="A544" s="1">
        <f>HYPERLINK("https://lsnyc.legalserver.org/matter/dynamic-profile/view/1909017","19-1909017")</f>
        <v>0</v>
      </c>
      <c r="B544" t="s">
        <v>65</v>
      </c>
      <c r="C544" t="s">
        <v>144</v>
      </c>
      <c r="D544" t="s">
        <v>200</v>
      </c>
      <c r="E544" t="s">
        <v>201</v>
      </c>
      <c r="G544" t="s">
        <v>202</v>
      </c>
      <c r="H544" t="s">
        <v>272</v>
      </c>
      <c r="I544" t="s">
        <v>202</v>
      </c>
      <c r="J544" t="s">
        <v>289</v>
      </c>
      <c r="K544" t="s">
        <v>292</v>
      </c>
      <c r="M544" t="s">
        <v>290</v>
      </c>
      <c r="N544" t="s">
        <v>419</v>
      </c>
      <c r="P544" t="s">
        <v>427</v>
      </c>
      <c r="S544" t="s">
        <v>906</v>
      </c>
      <c r="T544" t="s">
        <v>1527</v>
      </c>
      <c r="U544" t="s">
        <v>256</v>
      </c>
      <c r="W544" t="s">
        <v>1876</v>
      </c>
      <c r="X544" t="s">
        <v>2383</v>
      </c>
      <c r="Y544" t="s">
        <v>2990</v>
      </c>
      <c r="Z544" t="s">
        <v>3098</v>
      </c>
      <c r="AA544" t="s">
        <v>3135</v>
      </c>
      <c r="AB544">
        <v>10468</v>
      </c>
      <c r="AD544" t="s">
        <v>3643</v>
      </c>
      <c r="AE544">
        <v>21</v>
      </c>
      <c r="AG544" t="s">
        <v>4030</v>
      </c>
      <c r="AH544" t="s">
        <v>291</v>
      </c>
      <c r="AI544" t="s">
        <v>291</v>
      </c>
      <c r="AK544" t="s">
        <v>4040</v>
      </c>
      <c r="AL544" t="s">
        <v>4046</v>
      </c>
      <c r="AM544">
        <v>0</v>
      </c>
      <c r="AN544">
        <v>1587</v>
      </c>
      <c r="AO544">
        <v>1.75</v>
      </c>
      <c r="AQ544" t="s">
        <v>4580</v>
      </c>
      <c r="AR544" t="s">
        <v>5448</v>
      </c>
      <c r="AS544">
        <v>45</v>
      </c>
      <c r="AT544" t="s">
        <v>5838</v>
      </c>
      <c r="AU544">
        <v>4</v>
      </c>
      <c r="AV544">
        <v>1</v>
      </c>
      <c r="AW544">
        <v>81.34</v>
      </c>
      <c r="BB544" t="s">
        <v>5859</v>
      </c>
      <c r="BC544">
        <v>24540</v>
      </c>
      <c r="BG544" t="s">
        <v>140</v>
      </c>
      <c r="BJ544" t="s">
        <v>5949</v>
      </c>
      <c r="BK544" t="s">
        <v>216</v>
      </c>
      <c r="BL544" t="s">
        <v>6056</v>
      </c>
    </row>
    <row r="545" spans="1:64">
      <c r="A545" s="1">
        <f>HYPERLINK("https://lsnyc.legalserver.org/matter/dynamic-profile/view/1904158","19-1904158")</f>
        <v>0</v>
      </c>
      <c r="B545" t="s">
        <v>65</v>
      </c>
      <c r="C545" t="s">
        <v>119</v>
      </c>
      <c r="D545" t="s">
        <v>200</v>
      </c>
      <c r="E545" t="s">
        <v>202</v>
      </c>
      <c r="F545" t="s">
        <v>255</v>
      </c>
      <c r="G545" t="s">
        <v>202</v>
      </c>
      <c r="H545" t="s">
        <v>272</v>
      </c>
      <c r="I545" t="s">
        <v>202</v>
      </c>
      <c r="J545" t="s">
        <v>289</v>
      </c>
      <c r="K545" t="s">
        <v>292</v>
      </c>
      <c r="M545" t="s">
        <v>290</v>
      </c>
      <c r="N545" t="s">
        <v>202</v>
      </c>
      <c r="O545" t="s">
        <v>421</v>
      </c>
      <c r="P545" t="s">
        <v>427</v>
      </c>
      <c r="S545" t="s">
        <v>907</v>
      </c>
      <c r="T545" t="s">
        <v>1587</v>
      </c>
      <c r="U545" t="s">
        <v>255</v>
      </c>
      <c r="W545" t="s">
        <v>1876</v>
      </c>
      <c r="X545" t="s">
        <v>2384</v>
      </c>
      <c r="Y545" t="s">
        <v>2830</v>
      </c>
      <c r="Z545" t="s">
        <v>3098</v>
      </c>
      <c r="AA545" t="s">
        <v>3135</v>
      </c>
      <c r="AB545">
        <v>10468</v>
      </c>
      <c r="AC545" t="s">
        <v>3139</v>
      </c>
      <c r="AD545" t="s">
        <v>3644</v>
      </c>
      <c r="AE545">
        <v>2</v>
      </c>
      <c r="AG545" t="s">
        <v>4030</v>
      </c>
      <c r="AH545" t="s">
        <v>291</v>
      </c>
      <c r="AI545" t="s">
        <v>291</v>
      </c>
      <c r="AK545" t="s">
        <v>4040</v>
      </c>
      <c r="AL545" t="s">
        <v>4046</v>
      </c>
      <c r="AM545">
        <v>0</v>
      </c>
      <c r="AN545">
        <v>931</v>
      </c>
      <c r="AO545">
        <v>9.300000000000001</v>
      </c>
      <c r="AQ545" t="s">
        <v>4581</v>
      </c>
      <c r="AR545" t="s">
        <v>5449</v>
      </c>
      <c r="AS545">
        <v>66</v>
      </c>
      <c r="AT545" t="s">
        <v>5840</v>
      </c>
      <c r="AU545">
        <v>1</v>
      </c>
      <c r="AV545">
        <v>1</v>
      </c>
      <c r="AW545">
        <v>170.67</v>
      </c>
      <c r="BA545" t="s">
        <v>5850</v>
      </c>
      <c r="BB545" t="s">
        <v>1322</v>
      </c>
      <c r="BC545">
        <v>28860</v>
      </c>
      <c r="BG545" t="s">
        <v>5906</v>
      </c>
      <c r="BJ545" t="s">
        <v>6024</v>
      </c>
      <c r="BK545" t="s">
        <v>222</v>
      </c>
      <c r="BL545" t="s">
        <v>6056</v>
      </c>
    </row>
    <row r="546" spans="1:64">
      <c r="A546" s="1">
        <f>HYPERLINK("https://lsnyc.legalserver.org/matter/dynamic-profile/view/1908136","19-1908136")</f>
        <v>0</v>
      </c>
      <c r="B546" t="s">
        <v>65</v>
      </c>
      <c r="C546" t="s">
        <v>144</v>
      </c>
      <c r="D546" t="s">
        <v>200</v>
      </c>
      <c r="E546" t="s">
        <v>202</v>
      </c>
      <c r="F546" t="s">
        <v>224</v>
      </c>
      <c r="G546" t="s">
        <v>202</v>
      </c>
      <c r="H546" t="s">
        <v>272</v>
      </c>
      <c r="I546" t="s">
        <v>202</v>
      </c>
      <c r="J546" t="s">
        <v>289</v>
      </c>
      <c r="K546" t="s">
        <v>292</v>
      </c>
      <c r="M546" t="s">
        <v>290</v>
      </c>
      <c r="N546" t="s">
        <v>202</v>
      </c>
      <c r="O546" t="s">
        <v>421</v>
      </c>
      <c r="P546" t="s">
        <v>427</v>
      </c>
      <c r="S546" t="s">
        <v>520</v>
      </c>
      <c r="T546" t="s">
        <v>1588</v>
      </c>
      <c r="U546" t="s">
        <v>1874</v>
      </c>
      <c r="W546" t="s">
        <v>1876</v>
      </c>
      <c r="X546" t="s">
        <v>2385</v>
      </c>
      <c r="Y546" t="s">
        <v>2888</v>
      </c>
      <c r="Z546" t="s">
        <v>3098</v>
      </c>
      <c r="AA546" t="s">
        <v>3135</v>
      </c>
      <c r="AB546">
        <v>10467</v>
      </c>
      <c r="AC546" t="s">
        <v>3144</v>
      </c>
      <c r="AD546" t="s">
        <v>3645</v>
      </c>
      <c r="AE546">
        <v>1</v>
      </c>
      <c r="AG546" t="s">
        <v>4030</v>
      </c>
      <c r="AH546" t="s">
        <v>291</v>
      </c>
      <c r="AI546" t="s">
        <v>291</v>
      </c>
      <c r="AK546" t="s">
        <v>4041</v>
      </c>
      <c r="AM546">
        <v>0</v>
      </c>
      <c r="AN546">
        <v>283</v>
      </c>
      <c r="AO546">
        <v>4.6</v>
      </c>
      <c r="AQ546" t="s">
        <v>4582</v>
      </c>
      <c r="AR546" t="s">
        <v>5450</v>
      </c>
      <c r="AS546">
        <v>733</v>
      </c>
      <c r="AT546" t="s">
        <v>5837</v>
      </c>
      <c r="AU546">
        <v>1</v>
      </c>
      <c r="AV546">
        <v>1</v>
      </c>
      <c r="AW546">
        <v>36.9</v>
      </c>
      <c r="BB546" t="s">
        <v>1322</v>
      </c>
      <c r="BC546">
        <v>6240</v>
      </c>
      <c r="BG546" t="s">
        <v>5900</v>
      </c>
      <c r="BJ546" t="s">
        <v>5949</v>
      </c>
      <c r="BK546" t="s">
        <v>228</v>
      </c>
      <c r="BL546" t="s">
        <v>6056</v>
      </c>
    </row>
    <row r="547" spans="1:64">
      <c r="A547" s="1">
        <f>HYPERLINK("https://lsnyc.legalserver.org/matter/dynamic-profile/view/1903729","19-1903729")</f>
        <v>0</v>
      </c>
      <c r="B547" t="s">
        <v>65</v>
      </c>
      <c r="C547" t="s">
        <v>126</v>
      </c>
      <c r="D547" t="s">
        <v>200</v>
      </c>
      <c r="E547" t="s">
        <v>202</v>
      </c>
      <c r="F547" t="s">
        <v>208</v>
      </c>
      <c r="G547" t="s">
        <v>202</v>
      </c>
      <c r="H547" t="s">
        <v>271</v>
      </c>
      <c r="I547" t="s">
        <v>202</v>
      </c>
      <c r="J547" t="s">
        <v>289</v>
      </c>
      <c r="K547" t="s">
        <v>292</v>
      </c>
      <c r="M547" t="s">
        <v>290</v>
      </c>
      <c r="N547" t="s">
        <v>202</v>
      </c>
      <c r="O547" t="s">
        <v>423</v>
      </c>
      <c r="P547" t="s">
        <v>428</v>
      </c>
      <c r="S547" t="s">
        <v>908</v>
      </c>
      <c r="T547" t="s">
        <v>1589</v>
      </c>
      <c r="U547" t="s">
        <v>208</v>
      </c>
      <c r="V547" t="s">
        <v>206</v>
      </c>
      <c r="W547" t="s">
        <v>1877</v>
      </c>
      <c r="X547" t="s">
        <v>2386</v>
      </c>
      <c r="Y547" t="s">
        <v>2991</v>
      </c>
      <c r="Z547" t="s">
        <v>3098</v>
      </c>
      <c r="AA547" t="s">
        <v>3135</v>
      </c>
      <c r="AB547">
        <v>10451</v>
      </c>
      <c r="AC547" t="s">
        <v>3139</v>
      </c>
      <c r="AD547" t="s">
        <v>3646</v>
      </c>
      <c r="AE547">
        <v>40</v>
      </c>
      <c r="AF547" t="s">
        <v>4026</v>
      </c>
      <c r="AG547" t="s">
        <v>4031</v>
      </c>
      <c r="AH547" t="s">
        <v>291</v>
      </c>
      <c r="AI547" t="s">
        <v>291</v>
      </c>
      <c r="AK547" t="s">
        <v>4040</v>
      </c>
      <c r="AL547" t="s">
        <v>4050</v>
      </c>
      <c r="AM547">
        <v>0</v>
      </c>
      <c r="AN547">
        <v>0</v>
      </c>
      <c r="AO547">
        <v>4.9</v>
      </c>
      <c r="AP547" t="s">
        <v>4052</v>
      </c>
      <c r="AQ547" t="s">
        <v>4583</v>
      </c>
      <c r="AR547" t="s">
        <v>5451</v>
      </c>
      <c r="AS547">
        <v>7</v>
      </c>
      <c r="AT547" t="s">
        <v>5838</v>
      </c>
      <c r="AU547">
        <v>1</v>
      </c>
      <c r="AV547">
        <v>0</v>
      </c>
      <c r="AW547">
        <v>0</v>
      </c>
      <c r="BA547" t="s">
        <v>329</v>
      </c>
      <c r="BB547" t="s">
        <v>5859</v>
      </c>
      <c r="BC547">
        <v>0</v>
      </c>
      <c r="BG547" t="s">
        <v>5904</v>
      </c>
      <c r="BJ547" t="s">
        <v>5965</v>
      </c>
      <c r="BK547" t="s">
        <v>206</v>
      </c>
      <c r="BL547" t="s">
        <v>6056</v>
      </c>
    </row>
    <row r="548" spans="1:64">
      <c r="A548" s="1">
        <f>HYPERLINK("https://lsnyc.legalserver.org/matter/dynamic-profile/view/1904114","19-1904114")</f>
        <v>0</v>
      </c>
      <c r="B548" t="s">
        <v>65</v>
      </c>
      <c r="C548" t="s">
        <v>126</v>
      </c>
      <c r="D548" t="s">
        <v>200</v>
      </c>
      <c r="E548" t="s">
        <v>202</v>
      </c>
      <c r="F548" t="s">
        <v>227</v>
      </c>
      <c r="G548" t="s">
        <v>202</v>
      </c>
      <c r="H548" t="s">
        <v>281</v>
      </c>
      <c r="I548" t="s">
        <v>202</v>
      </c>
      <c r="J548" t="s">
        <v>289</v>
      </c>
      <c r="K548" t="s">
        <v>292</v>
      </c>
      <c r="M548" t="s">
        <v>290</v>
      </c>
      <c r="N548" t="s">
        <v>202</v>
      </c>
      <c r="O548" t="s">
        <v>422</v>
      </c>
      <c r="P548" t="s">
        <v>428</v>
      </c>
      <c r="S548" t="s">
        <v>909</v>
      </c>
      <c r="T548" t="s">
        <v>1467</v>
      </c>
      <c r="U548" t="s">
        <v>227</v>
      </c>
      <c r="V548" t="s">
        <v>227</v>
      </c>
      <c r="W548" t="s">
        <v>1877</v>
      </c>
      <c r="X548" t="s">
        <v>2387</v>
      </c>
      <c r="Y548" t="s">
        <v>2992</v>
      </c>
      <c r="Z548" t="s">
        <v>3098</v>
      </c>
      <c r="AA548" t="s">
        <v>3135</v>
      </c>
      <c r="AB548">
        <v>10467</v>
      </c>
      <c r="AC548" t="s">
        <v>3141</v>
      </c>
      <c r="AD548" t="s">
        <v>394</v>
      </c>
      <c r="AE548">
        <v>3</v>
      </c>
      <c r="AF548" t="s">
        <v>4023</v>
      </c>
      <c r="AG548" t="s">
        <v>4031</v>
      </c>
      <c r="AH548" t="s">
        <v>291</v>
      </c>
      <c r="AI548" t="s">
        <v>291</v>
      </c>
      <c r="AK548" t="s">
        <v>4040</v>
      </c>
      <c r="AL548" t="s">
        <v>4046</v>
      </c>
      <c r="AM548">
        <v>0</v>
      </c>
      <c r="AN548">
        <v>970</v>
      </c>
      <c r="AO548">
        <v>0.5</v>
      </c>
      <c r="AP548" t="s">
        <v>4052</v>
      </c>
      <c r="AQ548" t="s">
        <v>4584</v>
      </c>
      <c r="AR548" t="s">
        <v>5452</v>
      </c>
      <c r="AS548">
        <v>84</v>
      </c>
      <c r="AT548" t="s">
        <v>5838</v>
      </c>
      <c r="AU548">
        <v>1</v>
      </c>
      <c r="AV548">
        <v>0</v>
      </c>
      <c r="AW548">
        <v>124.9</v>
      </c>
      <c r="BA548" t="s">
        <v>329</v>
      </c>
      <c r="BB548" t="s">
        <v>1322</v>
      </c>
      <c r="BC548">
        <v>15600</v>
      </c>
      <c r="BG548" t="s">
        <v>126</v>
      </c>
      <c r="BJ548" t="s">
        <v>5949</v>
      </c>
      <c r="BK548" t="s">
        <v>227</v>
      </c>
      <c r="BL548" t="s">
        <v>6056</v>
      </c>
    </row>
    <row r="549" spans="1:64">
      <c r="A549" s="1">
        <f>HYPERLINK("https://lsnyc.legalserver.org/matter/dynamic-profile/view/1906261","19-1906261")</f>
        <v>0</v>
      </c>
      <c r="B549" t="s">
        <v>65</v>
      </c>
      <c r="C549" t="s">
        <v>126</v>
      </c>
      <c r="D549" t="s">
        <v>200</v>
      </c>
      <c r="E549" t="s">
        <v>202</v>
      </c>
      <c r="F549" t="s">
        <v>249</v>
      </c>
      <c r="G549" t="s">
        <v>202</v>
      </c>
      <c r="H549" t="s">
        <v>271</v>
      </c>
      <c r="I549" t="s">
        <v>202</v>
      </c>
      <c r="J549" t="s">
        <v>289</v>
      </c>
      <c r="K549" t="s">
        <v>292</v>
      </c>
      <c r="M549" t="s">
        <v>290</v>
      </c>
      <c r="N549" t="s">
        <v>202</v>
      </c>
      <c r="O549" t="s">
        <v>421</v>
      </c>
      <c r="P549" t="s">
        <v>427</v>
      </c>
      <c r="S549" t="s">
        <v>910</v>
      </c>
      <c r="T549" t="s">
        <v>1590</v>
      </c>
      <c r="U549" t="s">
        <v>249</v>
      </c>
      <c r="W549" t="s">
        <v>1876</v>
      </c>
      <c r="X549" t="s">
        <v>2388</v>
      </c>
      <c r="Y549" t="s">
        <v>2993</v>
      </c>
      <c r="Z549" t="s">
        <v>3098</v>
      </c>
      <c r="AA549" t="s">
        <v>3135</v>
      </c>
      <c r="AB549">
        <v>10462</v>
      </c>
      <c r="AC549" t="s">
        <v>3136</v>
      </c>
      <c r="AD549" t="s">
        <v>3647</v>
      </c>
      <c r="AE549">
        <v>22</v>
      </c>
      <c r="AG549" t="s">
        <v>4030</v>
      </c>
      <c r="AH549" t="s">
        <v>291</v>
      </c>
      <c r="AI549" t="s">
        <v>291</v>
      </c>
      <c r="AK549" t="s">
        <v>4040</v>
      </c>
      <c r="AL549" t="s">
        <v>4048</v>
      </c>
      <c r="AM549">
        <v>0</v>
      </c>
      <c r="AN549">
        <v>2206</v>
      </c>
      <c r="AO549">
        <v>14</v>
      </c>
      <c r="AQ549" t="s">
        <v>4585</v>
      </c>
      <c r="AR549" t="s">
        <v>5453</v>
      </c>
      <c r="AS549">
        <v>122</v>
      </c>
      <c r="AT549" t="s">
        <v>5838</v>
      </c>
      <c r="AU549">
        <v>2</v>
      </c>
      <c r="AV549">
        <v>1</v>
      </c>
      <c r="AW549">
        <v>185.85</v>
      </c>
      <c r="BA549" t="s">
        <v>329</v>
      </c>
      <c r="BB549" t="s">
        <v>1322</v>
      </c>
      <c r="BC549">
        <v>39642</v>
      </c>
      <c r="BG549" t="s">
        <v>5904</v>
      </c>
      <c r="BJ549" t="s">
        <v>5952</v>
      </c>
      <c r="BK549" t="s">
        <v>259</v>
      </c>
      <c r="BL549" t="s">
        <v>6056</v>
      </c>
    </row>
    <row r="550" spans="1:64">
      <c r="A550" s="1">
        <f>HYPERLINK("https://lsnyc.legalserver.org/matter/dynamic-profile/view/1907866","19-1907866")</f>
        <v>0</v>
      </c>
      <c r="B550" t="s">
        <v>65</v>
      </c>
      <c r="C550" t="s">
        <v>126</v>
      </c>
      <c r="D550" t="s">
        <v>200</v>
      </c>
      <c r="E550" t="s">
        <v>201</v>
      </c>
      <c r="G550" t="s">
        <v>270</v>
      </c>
      <c r="I550" t="s">
        <v>202</v>
      </c>
      <c r="J550" t="s">
        <v>289</v>
      </c>
      <c r="K550" t="s">
        <v>202</v>
      </c>
      <c r="L550" t="s">
        <v>363</v>
      </c>
      <c r="M550" t="s">
        <v>290</v>
      </c>
      <c r="N550" t="s">
        <v>419</v>
      </c>
      <c r="O550" t="s">
        <v>420</v>
      </c>
      <c r="P550" t="s">
        <v>427</v>
      </c>
      <c r="S550" t="s">
        <v>661</v>
      </c>
      <c r="T550" t="s">
        <v>1591</v>
      </c>
      <c r="U550" t="s">
        <v>223</v>
      </c>
      <c r="W550" t="s">
        <v>1876</v>
      </c>
      <c r="X550" t="s">
        <v>2389</v>
      </c>
      <c r="Y550">
        <v>1</v>
      </c>
      <c r="Z550" t="s">
        <v>3098</v>
      </c>
      <c r="AA550" t="s">
        <v>3135</v>
      </c>
      <c r="AB550">
        <v>10458</v>
      </c>
      <c r="AC550" t="s">
        <v>3140</v>
      </c>
      <c r="AD550" t="s">
        <v>3648</v>
      </c>
      <c r="AE550">
        <v>12</v>
      </c>
      <c r="AG550" t="s">
        <v>4031</v>
      </c>
      <c r="AH550" t="s">
        <v>291</v>
      </c>
      <c r="AK550" t="s">
        <v>4042</v>
      </c>
      <c r="AM550">
        <v>0</v>
      </c>
      <c r="AN550">
        <v>1092</v>
      </c>
      <c r="AO550">
        <v>1</v>
      </c>
      <c r="AQ550" t="s">
        <v>4586</v>
      </c>
      <c r="AR550" t="s">
        <v>5454</v>
      </c>
      <c r="AS550">
        <v>23</v>
      </c>
      <c r="AT550" t="s">
        <v>5836</v>
      </c>
      <c r="AU550">
        <v>2</v>
      </c>
      <c r="AV550">
        <v>1</v>
      </c>
      <c r="AW550">
        <v>49.92</v>
      </c>
      <c r="BA550" t="s">
        <v>5852</v>
      </c>
      <c r="BB550" t="s">
        <v>1322</v>
      </c>
      <c r="BC550">
        <v>10648</v>
      </c>
      <c r="BG550" t="s">
        <v>5904</v>
      </c>
      <c r="BJ550" t="s">
        <v>5954</v>
      </c>
      <c r="BK550" t="s">
        <v>219</v>
      </c>
      <c r="BL550" t="s">
        <v>6056</v>
      </c>
    </row>
    <row r="551" spans="1:64">
      <c r="A551" s="1">
        <f>HYPERLINK("https://lsnyc.legalserver.org/matter/dynamic-profile/view/1909042","19-1909042")</f>
        <v>0</v>
      </c>
      <c r="B551" t="s">
        <v>66</v>
      </c>
      <c r="C551" t="s">
        <v>148</v>
      </c>
      <c r="D551" t="s">
        <v>200</v>
      </c>
      <c r="E551" t="s">
        <v>202</v>
      </c>
      <c r="F551" t="s">
        <v>256</v>
      </c>
      <c r="G551" t="s">
        <v>202</v>
      </c>
      <c r="H551" t="s">
        <v>274</v>
      </c>
      <c r="I551" t="s">
        <v>202</v>
      </c>
      <c r="J551" t="s">
        <v>289</v>
      </c>
      <c r="K551" t="s">
        <v>292</v>
      </c>
      <c r="M551" t="s">
        <v>290</v>
      </c>
      <c r="N551" t="s">
        <v>419</v>
      </c>
      <c r="O551" t="s">
        <v>420</v>
      </c>
      <c r="P551" t="s">
        <v>427</v>
      </c>
      <c r="S551" t="s">
        <v>911</v>
      </c>
      <c r="T551" t="s">
        <v>1592</v>
      </c>
      <c r="U551" t="s">
        <v>256</v>
      </c>
      <c r="W551" t="s">
        <v>1876</v>
      </c>
      <c r="X551" t="s">
        <v>2390</v>
      </c>
      <c r="Y551" t="s">
        <v>2994</v>
      </c>
      <c r="Z551" t="s">
        <v>3099</v>
      </c>
      <c r="AA551" t="s">
        <v>3135</v>
      </c>
      <c r="AB551">
        <v>10029</v>
      </c>
      <c r="AC551" t="s">
        <v>3138</v>
      </c>
      <c r="AE551">
        <v>19</v>
      </c>
      <c r="AG551" t="s">
        <v>4032</v>
      </c>
      <c r="AH551" t="s">
        <v>291</v>
      </c>
      <c r="AI551" t="s">
        <v>291</v>
      </c>
      <c r="AK551" t="s">
        <v>4041</v>
      </c>
      <c r="AL551" t="s">
        <v>4046</v>
      </c>
      <c r="AM551">
        <v>0</v>
      </c>
      <c r="AN551">
        <v>230</v>
      </c>
      <c r="AO551">
        <v>0</v>
      </c>
      <c r="AQ551" t="s">
        <v>4587</v>
      </c>
      <c r="AR551" t="s">
        <v>5455</v>
      </c>
      <c r="AS551">
        <v>0</v>
      </c>
      <c r="AT551" t="s">
        <v>5841</v>
      </c>
      <c r="AU551">
        <v>2</v>
      </c>
      <c r="AV551">
        <v>0</v>
      </c>
      <c r="AW551">
        <v>185.41</v>
      </c>
      <c r="BA551" t="s">
        <v>329</v>
      </c>
      <c r="BB551" t="s">
        <v>1322</v>
      </c>
      <c r="BC551">
        <v>31352</v>
      </c>
      <c r="BG551" t="s">
        <v>5913</v>
      </c>
      <c r="BJ551" t="s">
        <v>5962</v>
      </c>
      <c r="BL551" t="s">
        <v>6056</v>
      </c>
    </row>
    <row r="552" spans="1:64">
      <c r="A552" s="1">
        <f>HYPERLINK("https://lsnyc.legalserver.org/matter/dynamic-profile/view/1907363","19-1907363")</f>
        <v>0</v>
      </c>
      <c r="B552" t="s">
        <v>66</v>
      </c>
      <c r="C552" t="s">
        <v>148</v>
      </c>
      <c r="D552" t="s">
        <v>200</v>
      </c>
      <c r="E552" t="s">
        <v>202</v>
      </c>
      <c r="F552" t="s">
        <v>257</v>
      </c>
      <c r="G552" t="s">
        <v>202</v>
      </c>
      <c r="H552" t="s">
        <v>271</v>
      </c>
      <c r="I552" t="s">
        <v>202</v>
      </c>
      <c r="J552" t="s">
        <v>289</v>
      </c>
      <c r="K552" t="s">
        <v>292</v>
      </c>
      <c r="M552" t="s">
        <v>290</v>
      </c>
      <c r="N552" t="s">
        <v>202</v>
      </c>
      <c r="O552" t="s">
        <v>422</v>
      </c>
      <c r="P552" t="s">
        <v>428</v>
      </c>
      <c r="S552" t="s">
        <v>912</v>
      </c>
      <c r="T552" t="s">
        <v>1262</v>
      </c>
      <c r="U552" t="s">
        <v>257</v>
      </c>
      <c r="V552" t="s">
        <v>206</v>
      </c>
      <c r="W552" t="s">
        <v>1877</v>
      </c>
      <c r="X552" t="s">
        <v>2391</v>
      </c>
      <c r="Y552" t="s">
        <v>2995</v>
      </c>
      <c r="Z552" t="s">
        <v>3099</v>
      </c>
      <c r="AA552" t="s">
        <v>3135</v>
      </c>
      <c r="AB552">
        <v>10027</v>
      </c>
      <c r="AC552" t="s">
        <v>3136</v>
      </c>
      <c r="AD552" t="s">
        <v>3649</v>
      </c>
      <c r="AE552">
        <v>1</v>
      </c>
      <c r="AF552" t="s">
        <v>4023</v>
      </c>
      <c r="AG552" t="s">
        <v>4033</v>
      </c>
      <c r="AH552" t="s">
        <v>291</v>
      </c>
      <c r="AI552" t="s">
        <v>291</v>
      </c>
      <c r="AK552" t="s">
        <v>4040</v>
      </c>
      <c r="AL552" t="s">
        <v>4046</v>
      </c>
      <c r="AM552">
        <v>0</v>
      </c>
      <c r="AN552">
        <v>2450</v>
      </c>
      <c r="AO552">
        <v>5.8</v>
      </c>
      <c r="AP552" t="s">
        <v>4052</v>
      </c>
      <c r="AQ552" t="s">
        <v>4588</v>
      </c>
      <c r="AR552" t="s">
        <v>5456</v>
      </c>
      <c r="AS552">
        <v>0</v>
      </c>
      <c r="AT552" t="s">
        <v>5838</v>
      </c>
      <c r="AU552">
        <v>1</v>
      </c>
      <c r="AV552">
        <v>0</v>
      </c>
      <c r="AW552">
        <v>160.13</v>
      </c>
      <c r="BA552" t="s">
        <v>329</v>
      </c>
      <c r="BB552" t="s">
        <v>1322</v>
      </c>
      <c r="BC552">
        <v>20000</v>
      </c>
      <c r="BG552" t="s">
        <v>5914</v>
      </c>
      <c r="BJ552" t="s">
        <v>5949</v>
      </c>
      <c r="BK552" t="s">
        <v>216</v>
      </c>
      <c r="BL552" t="s">
        <v>6056</v>
      </c>
    </row>
    <row r="553" spans="1:64">
      <c r="A553" s="1">
        <f>HYPERLINK("https://lsnyc.legalserver.org/matter/dynamic-profile/view/1909979","19-1909979")</f>
        <v>0</v>
      </c>
      <c r="B553" t="s">
        <v>66</v>
      </c>
      <c r="C553" t="s">
        <v>148</v>
      </c>
      <c r="D553" t="s">
        <v>200</v>
      </c>
      <c r="E553" t="s">
        <v>201</v>
      </c>
      <c r="G553" t="s">
        <v>202</v>
      </c>
      <c r="H553" t="s">
        <v>272</v>
      </c>
      <c r="I553" t="s">
        <v>202</v>
      </c>
      <c r="J553" t="s">
        <v>289</v>
      </c>
      <c r="K553" t="s">
        <v>292</v>
      </c>
      <c r="M553" t="s">
        <v>290</v>
      </c>
      <c r="N553" t="s">
        <v>202</v>
      </c>
      <c r="O553" t="s">
        <v>421</v>
      </c>
      <c r="P553" t="s">
        <v>427</v>
      </c>
      <c r="S553" t="s">
        <v>913</v>
      </c>
      <c r="T553" t="s">
        <v>1593</v>
      </c>
      <c r="U553" t="s">
        <v>243</v>
      </c>
      <c r="W553" t="s">
        <v>1876</v>
      </c>
      <c r="X553" t="s">
        <v>2392</v>
      </c>
      <c r="Y553" t="s">
        <v>2935</v>
      </c>
      <c r="Z553" t="s">
        <v>3099</v>
      </c>
      <c r="AA553" t="s">
        <v>3135</v>
      </c>
      <c r="AB553">
        <v>10002</v>
      </c>
      <c r="AC553" t="s">
        <v>3136</v>
      </c>
      <c r="AD553" t="s">
        <v>3650</v>
      </c>
      <c r="AE553">
        <v>32</v>
      </c>
      <c r="AG553" t="s">
        <v>4032</v>
      </c>
      <c r="AH553" t="s">
        <v>291</v>
      </c>
      <c r="AI553" t="s">
        <v>291</v>
      </c>
      <c r="AK553" t="s">
        <v>4040</v>
      </c>
      <c r="AM553">
        <v>0</v>
      </c>
      <c r="AN553">
        <v>238</v>
      </c>
      <c r="AO553">
        <v>7.5</v>
      </c>
      <c r="AQ553" t="s">
        <v>4589</v>
      </c>
      <c r="AR553" t="s">
        <v>5457</v>
      </c>
      <c r="AS553">
        <v>0</v>
      </c>
      <c r="AT553" t="s">
        <v>5836</v>
      </c>
      <c r="AU553">
        <v>1</v>
      </c>
      <c r="AV553">
        <v>0</v>
      </c>
      <c r="AW553">
        <v>74.08</v>
      </c>
      <c r="BA553" t="s">
        <v>5850</v>
      </c>
      <c r="BB553" t="s">
        <v>1322</v>
      </c>
      <c r="BC553">
        <v>9252</v>
      </c>
      <c r="BG553" t="s">
        <v>5915</v>
      </c>
      <c r="BJ553" t="s">
        <v>5959</v>
      </c>
      <c r="BK553" t="s">
        <v>206</v>
      </c>
      <c r="BL553" t="s">
        <v>6056</v>
      </c>
    </row>
    <row r="554" spans="1:64">
      <c r="A554" s="1">
        <f>HYPERLINK("https://lsnyc.legalserver.org/matter/dynamic-profile/view/1903989","19-1903989")</f>
        <v>0</v>
      </c>
      <c r="B554" t="s">
        <v>66</v>
      </c>
      <c r="C554" t="s">
        <v>149</v>
      </c>
      <c r="D554" t="s">
        <v>200</v>
      </c>
      <c r="E554" t="s">
        <v>201</v>
      </c>
      <c r="G554" t="s">
        <v>202</v>
      </c>
      <c r="H554" t="s">
        <v>272</v>
      </c>
      <c r="I554" t="s">
        <v>288</v>
      </c>
      <c r="J554" t="s">
        <v>290</v>
      </c>
      <c r="K554" t="s">
        <v>292</v>
      </c>
      <c r="M554" t="s">
        <v>290</v>
      </c>
      <c r="N554" t="s">
        <v>202</v>
      </c>
      <c r="O554" t="s">
        <v>421</v>
      </c>
      <c r="P554" t="s">
        <v>427</v>
      </c>
      <c r="S554" t="s">
        <v>914</v>
      </c>
      <c r="T554" t="s">
        <v>1594</v>
      </c>
      <c r="U554" t="s">
        <v>255</v>
      </c>
      <c r="W554" t="s">
        <v>1876</v>
      </c>
      <c r="X554" t="s">
        <v>2393</v>
      </c>
      <c r="Y554" t="s">
        <v>2785</v>
      </c>
      <c r="Z554" t="s">
        <v>3099</v>
      </c>
      <c r="AA554" t="s">
        <v>3135</v>
      </c>
      <c r="AB554">
        <v>10025</v>
      </c>
      <c r="AC554" t="s">
        <v>3139</v>
      </c>
      <c r="AD554" t="s">
        <v>3651</v>
      </c>
      <c r="AE554">
        <v>20</v>
      </c>
      <c r="AG554" t="s">
        <v>4032</v>
      </c>
      <c r="AH554" t="s">
        <v>291</v>
      </c>
      <c r="AI554" t="s">
        <v>291</v>
      </c>
      <c r="AK554" t="s">
        <v>4040</v>
      </c>
      <c r="AM554">
        <v>0</v>
      </c>
      <c r="AN554">
        <v>2045.07</v>
      </c>
      <c r="AO554">
        <v>5.8</v>
      </c>
      <c r="AQ554" t="s">
        <v>4590</v>
      </c>
      <c r="AR554" t="s">
        <v>5458</v>
      </c>
      <c r="AS554">
        <v>181</v>
      </c>
      <c r="AT554" t="s">
        <v>5838</v>
      </c>
      <c r="AU554">
        <v>1</v>
      </c>
      <c r="AV554">
        <v>0</v>
      </c>
      <c r="AW554">
        <v>149.88</v>
      </c>
      <c r="BB554" t="s">
        <v>1322</v>
      </c>
      <c r="BC554">
        <v>18720</v>
      </c>
      <c r="BG554" t="s">
        <v>5916</v>
      </c>
      <c r="BJ554" t="s">
        <v>5949</v>
      </c>
      <c r="BK554" t="s">
        <v>267</v>
      </c>
    </row>
    <row r="555" spans="1:64">
      <c r="A555" s="1">
        <f>HYPERLINK("https://lsnyc.legalserver.org/matter/dynamic-profile/view/1903981","19-1903981")</f>
        <v>0</v>
      </c>
      <c r="B555" t="s">
        <v>66</v>
      </c>
      <c r="C555" t="s">
        <v>148</v>
      </c>
      <c r="D555" t="s">
        <v>200</v>
      </c>
      <c r="E555" t="s">
        <v>202</v>
      </c>
      <c r="F555" t="s">
        <v>255</v>
      </c>
      <c r="G555" t="s">
        <v>202</v>
      </c>
      <c r="H555" t="s">
        <v>272</v>
      </c>
      <c r="I555" t="s">
        <v>202</v>
      </c>
      <c r="J555" t="s">
        <v>289</v>
      </c>
      <c r="K555" t="s">
        <v>292</v>
      </c>
      <c r="M555" t="s">
        <v>290</v>
      </c>
      <c r="N555" t="s">
        <v>202</v>
      </c>
      <c r="O555" t="s">
        <v>421</v>
      </c>
      <c r="P555" t="s">
        <v>427</v>
      </c>
      <c r="S555" t="s">
        <v>633</v>
      </c>
      <c r="T555" t="s">
        <v>1367</v>
      </c>
      <c r="U555" t="s">
        <v>255</v>
      </c>
      <c r="W555" t="s">
        <v>1876</v>
      </c>
      <c r="X555" t="s">
        <v>2394</v>
      </c>
      <c r="Y555">
        <v>302</v>
      </c>
      <c r="Z555" t="s">
        <v>3099</v>
      </c>
      <c r="AA555" t="s">
        <v>3135</v>
      </c>
      <c r="AB555">
        <v>10027</v>
      </c>
      <c r="AC555" t="s">
        <v>3139</v>
      </c>
      <c r="AD555" t="s">
        <v>3652</v>
      </c>
      <c r="AE555">
        <v>7</v>
      </c>
      <c r="AG555" t="s">
        <v>4033</v>
      </c>
      <c r="AH555" t="s">
        <v>291</v>
      </c>
      <c r="AI555" t="s">
        <v>291</v>
      </c>
      <c r="AK555" t="s">
        <v>4045</v>
      </c>
      <c r="AL555" t="s">
        <v>4046</v>
      </c>
      <c r="AM555">
        <v>0</v>
      </c>
      <c r="AN555">
        <v>1100</v>
      </c>
      <c r="AO555">
        <v>2.3</v>
      </c>
      <c r="AQ555" t="s">
        <v>4591</v>
      </c>
      <c r="AR555" t="s">
        <v>5459</v>
      </c>
      <c r="AS555">
        <v>0</v>
      </c>
      <c r="AT555" t="s">
        <v>5838</v>
      </c>
      <c r="AU555">
        <v>2</v>
      </c>
      <c r="AV555">
        <v>1</v>
      </c>
      <c r="AW555">
        <v>148.22</v>
      </c>
      <c r="BA555" t="s">
        <v>329</v>
      </c>
      <c r="BB555" t="s">
        <v>1322</v>
      </c>
      <c r="BC555">
        <v>31616.04</v>
      </c>
      <c r="BG555" t="s">
        <v>5914</v>
      </c>
      <c r="BJ555" t="s">
        <v>5949</v>
      </c>
      <c r="BK555" t="s">
        <v>223</v>
      </c>
      <c r="BL555" t="s">
        <v>6056</v>
      </c>
    </row>
    <row r="556" spans="1:64">
      <c r="A556" s="1">
        <f>HYPERLINK("https://lsnyc.legalserver.org/matter/dynamic-profile/view/1908435","19-1908435")</f>
        <v>0</v>
      </c>
      <c r="B556" t="s">
        <v>66</v>
      </c>
      <c r="C556" t="s">
        <v>148</v>
      </c>
      <c r="D556" t="s">
        <v>200</v>
      </c>
      <c r="E556" t="s">
        <v>202</v>
      </c>
      <c r="F556" t="s">
        <v>218</v>
      </c>
      <c r="G556" t="s">
        <v>202</v>
      </c>
      <c r="H556" t="s">
        <v>272</v>
      </c>
      <c r="I556" t="s">
        <v>202</v>
      </c>
      <c r="J556" t="s">
        <v>289</v>
      </c>
      <c r="K556" t="s">
        <v>292</v>
      </c>
      <c r="M556" t="s">
        <v>290</v>
      </c>
      <c r="N556" t="s">
        <v>202</v>
      </c>
      <c r="O556" t="s">
        <v>421</v>
      </c>
      <c r="P556" t="s">
        <v>427</v>
      </c>
      <c r="S556" t="s">
        <v>915</v>
      </c>
      <c r="T556" t="s">
        <v>1595</v>
      </c>
      <c r="U556" t="s">
        <v>218</v>
      </c>
      <c r="W556" t="s">
        <v>1876</v>
      </c>
      <c r="X556" t="s">
        <v>2395</v>
      </c>
      <c r="Y556">
        <v>9</v>
      </c>
      <c r="Z556" t="s">
        <v>3099</v>
      </c>
      <c r="AA556" t="s">
        <v>3135</v>
      </c>
      <c r="AB556">
        <v>10026</v>
      </c>
      <c r="AC556" t="s">
        <v>3136</v>
      </c>
      <c r="AD556" t="s">
        <v>3653</v>
      </c>
      <c r="AE556">
        <v>47</v>
      </c>
      <c r="AG556" t="s">
        <v>4033</v>
      </c>
      <c r="AH556" t="s">
        <v>291</v>
      </c>
      <c r="AI556" t="s">
        <v>291</v>
      </c>
      <c r="AK556" t="s">
        <v>4040</v>
      </c>
      <c r="AM556">
        <v>0</v>
      </c>
      <c r="AN556">
        <v>448.4</v>
      </c>
      <c r="AO556">
        <v>3</v>
      </c>
      <c r="AQ556" t="s">
        <v>4592</v>
      </c>
      <c r="AR556" t="s">
        <v>5460</v>
      </c>
      <c r="AS556">
        <v>0</v>
      </c>
      <c r="AT556" t="s">
        <v>5846</v>
      </c>
      <c r="AU556">
        <v>1</v>
      </c>
      <c r="AV556">
        <v>0</v>
      </c>
      <c r="AW556">
        <v>0</v>
      </c>
      <c r="BA556" t="s">
        <v>329</v>
      </c>
      <c r="BB556" t="s">
        <v>1322</v>
      </c>
      <c r="BC556">
        <v>0</v>
      </c>
      <c r="BG556" t="s">
        <v>5915</v>
      </c>
      <c r="BJ556" t="s">
        <v>5945</v>
      </c>
      <c r="BK556" t="s">
        <v>228</v>
      </c>
      <c r="BL556" t="s">
        <v>6056</v>
      </c>
    </row>
    <row r="557" spans="1:64">
      <c r="A557" s="1">
        <f>HYPERLINK("https://lsnyc.legalserver.org/matter/dynamic-profile/view/1905130","19-1905130")</f>
        <v>0</v>
      </c>
      <c r="B557" t="s">
        <v>66</v>
      </c>
      <c r="C557" t="s">
        <v>148</v>
      </c>
      <c r="D557" t="s">
        <v>200</v>
      </c>
      <c r="E557" t="s">
        <v>202</v>
      </c>
      <c r="F557" t="s">
        <v>258</v>
      </c>
      <c r="G557" t="s">
        <v>202</v>
      </c>
      <c r="H557" t="s">
        <v>272</v>
      </c>
      <c r="I557" t="s">
        <v>202</v>
      </c>
      <c r="J557" t="s">
        <v>289</v>
      </c>
      <c r="K557" t="s">
        <v>292</v>
      </c>
      <c r="M557" t="s">
        <v>290</v>
      </c>
      <c r="N557" t="s">
        <v>202</v>
      </c>
      <c r="O557" t="s">
        <v>421</v>
      </c>
      <c r="P557" t="s">
        <v>427</v>
      </c>
      <c r="S557" t="s">
        <v>916</v>
      </c>
      <c r="T557" t="s">
        <v>1596</v>
      </c>
      <c r="U557" t="s">
        <v>258</v>
      </c>
      <c r="W557" t="s">
        <v>1876</v>
      </c>
      <c r="X557" t="s">
        <v>2396</v>
      </c>
      <c r="Y557">
        <v>3</v>
      </c>
      <c r="Z557" t="s">
        <v>3099</v>
      </c>
      <c r="AA557" t="s">
        <v>3135</v>
      </c>
      <c r="AB557">
        <v>10031</v>
      </c>
      <c r="AC557" t="s">
        <v>3139</v>
      </c>
      <c r="AD557" t="s">
        <v>3654</v>
      </c>
      <c r="AE557">
        <v>17</v>
      </c>
      <c r="AG557" t="s">
        <v>4033</v>
      </c>
      <c r="AH557" t="s">
        <v>291</v>
      </c>
      <c r="AI557" t="s">
        <v>291</v>
      </c>
      <c r="AK557" t="s">
        <v>4040</v>
      </c>
      <c r="AL557" t="s">
        <v>4049</v>
      </c>
      <c r="AM557">
        <v>0</v>
      </c>
      <c r="AN557">
        <v>837</v>
      </c>
      <c r="AO557">
        <v>3.5</v>
      </c>
      <c r="AQ557" t="s">
        <v>4593</v>
      </c>
      <c r="AR557" t="s">
        <v>5461</v>
      </c>
      <c r="AS557">
        <v>4</v>
      </c>
      <c r="AT557" t="s">
        <v>5838</v>
      </c>
      <c r="AU557">
        <v>1</v>
      </c>
      <c r="AV557">
        <v>0</v>
      </c>
      <c r="AW557">
        <v>80.06</v>
      </c>
      <c r="BA557" t="s">
        <v>329</v>
      </c>
      <c r="BB557" t="s">
        <v>1322</v>
      </c>
      <c r="BC557">
        <v>10000</v>
      </c>
      <c r="BG557" t="s">
        <v>5914</v>
      </c>
      <c r="BJ557" t="s">
        <v>5955</v>
      </c>
      <c r="BK557" t="s">
        <v>225</v>
      </c>
      <c r="BL557" t="s">
        <v>6056</v>
      </c>
    </row>
    <row r="558" spans="1:64">
      <c r="A558" s="1">
        <f>HYPERLINK("https://lsnyc.legalserver.org/matter/dynamic-profile/view/1909004","19-1909004")</f>
        <v>0</v>
      </c>
      <c r="B558" t="s">
        <v>66</v>
      </c>
      <c r="C558" t="s">
        <v>148</v>
      </c>
      <c r="D558" t="s">
        <v>200</v>
      </c>
      <c r="E558" t="s">
        <v>202</v>
      </c>
      <c r="F558" t="s">
        <v>256</v>
      </c>
      <c r="G558" t="s">
        <v>202</v>
      </c>
      <c r="H558" t="s">
        <v>271</v>
      </c>
      <c r="I558" t="s">
        <v>202</v>
      </c>
      <c r="J558" t="s">
        <v>289</v>
      </c>
      <c r="K558" t="s">
        <v>292</v>
      </c>
      <c r="M558" t="s">
        <v>290</v>
      </c>
      <c r="N558" t="s">
        <v>419</v>
      </c>
      <c r="O558" t="s">
        <v>420</v>
      </c>
      <c r="P558" t="s">
        <v>427</v>
      </c>
      <c r="S558" t="s">
        <v>754</v>
      </c>
      <c r="T558" t="s">
        <v>1597</v>
      </c>
      <c r="U558" t="s">
        <v>256</v>
      </c>
      <c r="W558" t="s">
        <v>1876</v>
      </c>
      <c r="X558" t="s">
        <v>2397</v>
      </c>
      <c r="Y558">
        <v>55</v>
      </c>
      <c r="Z558" t="s">
        <v>3099</v>
      </c>
      <c r="AA558" t="s">
        <v>3135</v>
      </c>
      <c r="AB558">
        <v>10032</v>
      </c>
      <c r="AC558" t="s">
        <v>3138</v>
      </c>
      <c r="AD558" t="s">
        <v>3655</v>
      </c>
      <c r="AE558">
        <v>12</v>
      </c>
      <c r="AG558" t="s">
        <v>4032</v>
      </c>
      <c r="AH558" t="s">
        <v>291</v>
      </c>
      <c r="AI558" t="s">
        <v>291</v>
      </c>
      <c r="AK558" t="s">
        <v>4040</v>
      </c>
      <c r="AM558">
        <v>0</v>
      </c>
      <c r="AN558">
        <v>600</v>
      </c>
      <c r="AO558">
        <v>0.5</v>
      </c>
      <c r="AQ558" t="s">
        <v>4594</v>
      </c>
      <c r="AR558" t="s">
        <v>5462</v>
      </c>
      <c r="AS558">
        <v>0</v>
      </c>
      <c r="AT558" t="s">
        <v>5839</v>
      </c>
      <c r="AU558">
        <v>2</v>
      </c>
      <c r="AV558">
        <v>0</v>
      </c>
      <c r="AW558">
        <v>484.09</v>
      </c>
      <c r="BA558" t="s">
        <v>329</v>
      </c>
      <c r="BB558" t="s">
        <v>1322</v>
      </c>
      <c r="BC558">
        <v>81860</v>
      </c>
      <c r="BG558" t="s">
        <v>5915</v>
      </c>
      <c r="BJ558" t="s">
        <v>5949</v>
      </c>
      <c r="BK558" t="s">
        <v>263</v>
      </c>
      <c r="BL558" t="s">
        <v>6056</v>
      </c>
    </row>
    <row r="559" spans="1:64">
      <c r="A559" s="1">
        <f>HYPERLINK("https://lsnyc.legalserver.org/matter/dynamic-profile/view/1910252","19-1910252")</f>
        <v>0</v>
      </c>
      <c r="B559" t="s">
        <v>66</v>
      </c>
      <c r="C559" t="s">
        <v>148</v>
      </c>
      <c r="D559" t="s">
        <v>200</v>
      </c>
      <c r="E559" t="s">
        <v>202</v>
      </c>
      <c r="F559" t="s">
        <v>259</v>
      </c>
      <c r="G559" t="s">
        <v>202</v>
      </c>
      <c r="H559" t="s">
        <v>271</v>
      </c>
      <c r="I559" t="s">
        <v>202</v>
      </c>
      <c r="J559" t="s">
        <v>289</v>
      </c>
      <c r="K559" t="s">
        <v>292</v>
      </c>
      <c r="M559" t="s">
        <v>290</v>
      </c>
      <c r="N559" t="s">
        <v>419</v>
      </c>
      <c r="O559" t="s">
        <v>420</v>
      </c>
      <c r="P559" t="s">
        <v>427</v>
      </c>
      <c r="S559" t="s">
        <v>807</v>
      </c>
      <c r="T559" t="s">
        <v>1598</v>
      </c>
      <c r="U559" t="s">
        <v>259</v>
      </c>
      <c r="W559" t="s">
        <v>1876</v>
      </c>
      <c r="X559" t="s">
        <v>2398</v>
      </c>
      <c r="Y559" t="s">
        <v>2996</v>
      </c>
      <c r="Z559" t="s">
        <v>3099</v>
      </c>
      <c r="AA559" t="s">
        <v>3135</v>
      </c>
      <c r="AB559">
        <v>10002</v>
      </c>
      <c r="AC559" t="s">
        <v>3138</v>
      </c>
      <c r="AD559" t="s">
        <v>3656</v>
      </c>
      <c r="AE559">
        <v>11</v>
      </c>
      <c r="AG559" t="s">
        <v>4032</v>
      </c>
      <c r="AH559" t="s">
        <v>291</v>
      </c>
      <c r="AI559" t="s">
        <v>291</v>
      </c>
      <c r="AK559" t="s">
        <v>4040</v>
      </c>
      <c r="AM559">
        <v>0</v>
      </c>
      <c r="AN559">
        <v>611</v>
      </c>
      <c r="AO559">
        <v>0</v>
      </c>
      <c r="AQ559" t="s">
        <v>4595</v>
      </c>
      <c r="AR559" t="s">
        <v>5463</v>
      </c>
      <c r="AS559">
        <v>0</v>
      </c>
      <c r="AT559" t="s">
        <v>5834</v>
      </c>
      <c r="AU559">
        <v>3</v>
      </c>
      <c r="AV559">
        <v>0</v>
      </c>
      <c r="AW559">
        <v>57.44</v>
      </c>
      <c r="BA559" t="s">
        <v>329</v>
      </c>
      <c r="BB559" t="s">
        <v>5859</v>
      </c>
      <c r="BC559">
        <v>12251</v>
      </c>
      <c r="BG559" t="s">
        <v>5915</v>
      </c>
      <c r="BJ559" t="s">
        <v>5949</v>
      </c>
      <c r="BL559" t="s">
        <v>6056</v>
      </c>
    </row>
    <row r="560" spans="1:64">
      <c r="A560" s="1">
        <f>HYPERLINK("https://lsnyc.legalserver.org/matter/dynamic-profile/view/1908998","19-1908998")</f>
        <v>0</v>
      </c>
      <c r="B560" t="s">
        <v>66</v>
      </c>
      <c r="C560" t="s">
        <v>148</v>
      </c>
      <c r="D560" t="s">
        <v>200</v>
      </c>
      <c r="E560" t="s">
        <v>202</v>
      </c>
      <c r="F560" t="s">
        <v>256</v>
      </c>
      <c r="G560" t="s">
        <v>202</v>
      </c>
      <c r="H560" t="s">
        <v>272</v>
      </c>
      <c r="I560" t="s">
        <v>202</v>
      </c>
      <c r="J560" t="s">
        <v>289</v>
      </c>
      <c r="K560" t="s">
        <v>292</v>
      </c>
      <c r="M560" t="s">
        <v>290</v>
      </c>
      <c r="N560" t="s">
        <v>419</v>
      </c>
      <c r="O560" t="s">
        <v>420</v>
      </c>
      <c r="P560" t="s">
        <v>427</v>
      </c>
      <c r="S560" t="s">
        <v>480</v>
      </c>
      <c r="T560" t="s">
        <v>1599</v>
      </c>
      <c r="U560" t="s">
        <v>256</v>
      </c>
      <c r="W560" t="s">
        <v>1876</v>
      </c>
      <c r="X560" t="s">
        <v>2399</v>
      </c>
      <c r="Y560" t="s">
        <v>2835</v>
      </c>
      <c r="Z560" t="s">
        <v>3099</v>
      </c>
      <c r="AA560" t="s">
        <v>3135</v>
      </c>
      <c r="AB560">
        <v>10029</v>
      </c>
      <c r="AC560" t="s">
        <v>3136</v>
      </c>
      <c r="AD560" t="s">
        <v>3657</v>
      </c>
      <c r="AE560">
        <v>17</v>
      </c>
      <c r="AG560" t="s">
        <v>4032</v>
      </c>
      <c r="AH560" t="s">
        <v>291</v>
      </c>
      <c r="AI560" t="s">
        <v>291</v>
      </c>
      <c r="AK560" t="s">
        <v>4040</v>
      </c>
      <c r="AL560" t="s">
        <v>4046</v>
      </c>
      <c r="AM560">
        <v>0</v>
      </c>
      <c r="AN560">
        <v>900.15</v>
      </c>
      <c r="AO560">
        <v>0.9</v>
      </c>
      <c r="AQ560" t="s">
        <v>4596</v>
      </c>
      <c r="AR560" t="s">
        <v>5464</v>
      </c>
      <c r="AS560">
        <v>20</v>
      </c>
      <c r="AT560" t="s">
        <v>5839</v>
      </c>
      <c r="AU560">
        <v>1</v>
      </c>
      <c r="AV560">
        <v>0</v>
      </c>
      <c r="AW560">
        <v>127.92</v>
      </c>
      <c r="BA560" t="s">
        <v>329</v>
      </c>
      <c r="BB560" t="s">
        <v>1322</v>
      </c>
      <c r="BC560">
        <v>15976.8</v>
      </c>
      <c r="BG560" t="s">
        <v>5913</v>
      </c>
      <c r="BJ560" t="s">
        <v>5943</v>
      </c>
      <c r="BK560" t="s">
        <v>267</v>
      </c>
      <c r="BL560" t="s">
        <v>6056</v>
      </c>
    </row>
    <row r="561" spans="1:64">
      <c r="A561" s="1">
        <f>HYPERLINK("https://lsnyc.legalserver.org/matter/dynamic-profile/view/1905069","19-1905069")</f>
        <v>0</v>
      </c>
      <c r="B561" t="s">
        <v>66</v>
      </c>
      <c r="C561" t="s">
        <v>148</v>
      </c>
      <c r="D561" t="s">
        <v>200</v>
      </c>
      <c r="E561" t="s">
        <v>202</v>
      </c>
      <c r="F561" t="s">
        <v>258</v>
      </c>
      <c r="G561" t="s">
        <v>202</v>
      </c>
      <c r="H561" t="s">
        <v>272</v>
      </c>
      <c r="I561" t="s">
        <v>202</v>
      </c>
      <c r="J561" t="s">
        <v>289</v>
      </c>
      <c r="K561" t="s">
        <v>292</v>
      </c>
      <c r="M561" t="s">
        <v>290</v>
      </c>
      <c r="N561" t="s">
        <v>202</v>
      </c>
      <c r="O561" t="s">
        <v>421</v>
      </c>
      <c r="P561" t="s">
        <v>427</v>
      </c>
      <c r="S561" t="s">
        <v>469</v>
      </c>
      <c r="T561" t="s">
        <v>1600</v>
      </c>
      <c r="U561" t="s">
        <v>258</v>
      </c>
      <c r="W561" t="s">
        <v>1876</v>
      </c>
      <c r="X561" t="s">
        <v>2400</v>
      </c>
      <c r="Y561" t="s">
        <v>2997</v>
      </c>
      <c r="Z561" t="s">
        <v>3099</v>
      </c>
      <c r="AA561" t="s">
        <v>3135</v>
      </c>
      <c r="AB561">
        <v>10025</v>
      </c>
      <c r="AC561" t="s">
        <v>3136</v>
      </c>
      <c r="AD561" t="s">
        <v>3658</v>
      </c>
      <c r="AE561">
        <v>4</v>
      </c>
      <c r="AG561" t="s">
        <v>4033</v>
      </c>
      <c r="AH561" t="s">
        <v>291</v>
      </c>
      <c r="AI561" t="s">
        <v>291</v>
      </c>
      <c r="AK561" t="s">
        <v>4041</v>
      </c>
      <c r="AM561">
        <v>0</v>
      </c>
      <c r="AN561">
        <v>283</v>
      </c>
      <c r="AO561">
        <v>2.5</v>
      </c>
      <c r="AQ561" t="s">
        <v>4597</v>
      </c>
      <c r="AR561" t="s">
        <v>5465</v>
      </c>
      <c r="AS561">
        <v>0</v>
      </c>
      <c r="AT561" t="s">
        <v>5837</v>
      </c>
      <c r="AU561">
        <v>1</v>
      </c>
      <c r="AV561">
        <v>1</v>
      </c>
      <c r="AW561">
        <v>141.93</v>
      </c>
      <c r="BA561" t="s">
        <v>329</v>
      </c>
      <c r="BB561" t="s">
        <v>1322</v>
      </c>
      <c r="BC561">
        <v>24000</v>
      </c>
      <c r="BG561" t="s">
        <v>5915</v>
      </c>
      <c r="BJ561" t="s">
        <v>5949</v>
      </c>
      <c r="BK561" t="s">
        <v>267</v>
      </c>
      <c r="BL561" t="s">
        <v>6056</v>
      </c>
    </row>
    <row r="562" spans="1:64">
      <c r="A562" s="1">
        <f>HYPERLINK("https://lsnyc.legalserver.org/matter/dynamic-profile/view/1909041","19-1909041")</f>
        <v>0</v>
      </c>
      <c r="B562" t="s">
        <v>66</v>
      </c>
      <c r="C562" t="s">
        <v>148</v>
      </c>
      <c r="D562" t="s">
        <v>200</v>
      </c>
      <c r="E562" t="s">
        <v>202</v>
      </c>
      <c r="F562" t="s">
        <v>256</v>
      </c>
      <c r="G562" t="s">
        <v>202</v>
      </c>
      <c r="H562" t="s">
        <v>271</v>
      </c>
      <c r="I562" t="s">
        <v>202</v>
      </c>
      <c r="J562" t="s">
        <v>289</v>
      </c>
      <c r="K562" t="s">
        <v>292</v>
      </c>
      <c r="M562" t="s">
        <v>290</v>
      </c>
      <c r="N562" t="s">
        <v>202</v>
      </c>
      <c r="O562" t="s">
        <v>421</v>
      </c>
      <c r="P562" t="s">
        <v>427</v>
      </c>
      <c r="S562" t="s">
        <v>917</v>
      </c>
      <c r="T562" t="s">
        <v>1409</v>
      </c>
      <c r="U562" t="s">
        <v>256</v>
      </c>
      <c r="W562" t="s">
        <v>1876</v>
      </c>
      <c r="X562" t="s">
        <v>2401</v>
      </c>
      <c r="Y562">
        <v>6</v>
      </c>
      <c r="Z562" t="s">
        <v>3099</v>
      </c>
      <c r="AA562" t="s">
        <v>3135</v>
      </c>
      <c r="AB562">
        <v>10002</v>
      </c>
      <c r="AC562" t="s">
        <v>3136</v>
      </c>
      <c r="AD562" t="s">
        <v>3659</v>
      </c>
      <c r="AE562">
        <v>43</v>
      </c>
      <c r="AG562" t="s">
        <v>4032</v>
      </c>
      <c r="AH562" t="s">
        <v>291</v>
      </c>
      <c r="AI562" t="s">
        <v>291</v>
      </c>
      <c r="AK562" t="s">
        <v>4040</v>
      </c>
      <c r="AM562">
        <v>0</v>
      </c>
      <c r="AN562">
        <v>677.33</v>
      </c>
      <c r="AO562">
        <v>2</v>
      </c>
      <c r="AQ562" t="s">
        <v>4598</v>
      </c>
      <c r="AR562" t="s">
        <v>5466</v>
      </c>
      <c r="AS562">
        <v>0</v>
      </c>
      <c r="AT562" t="s">
        <v>5838</v>
      </c>
      <c r="AU562">
        <v>1</v>
      </c>
      <c r="AV562">
        <v>0</v>
      </c>
      <c r="AW562">
        <v>175.92</v>
      </c>
      <c r="BA562" t="s">
        <v>329</v>
      </c>
      <c r="BB562" t="s">
        <v>1322</v>
      </c>
      <c r="BC562">
        <v>21972</v>
      </c>
      <c r="BG562" t="s">
        <v>5915</v>
      </c>
      <c r="BJ562" t="s">
        <v>6004</v>
      </c>
      <c r="BK562" t="s">
        <v>222</v>
      </c>
      <c r="BL562" t="s">
        <v>6056</v>
      </c>
    </row>
    <row r="563" spans="1:64">
      <c r="A563" s="1">
        <f>HYPERLINK("https://lsnyc.legalserver.org/matter/dynamic-profile/view/1910245","19-1910245")</f>
        <v>0</v>
      </c>
      <c r="B563" t="s">
        <v>66</v>
      </c>
      <c r="C563" t="s">
        <v>148</v>
      </c>
      <c r="D563" t="s">
        <v>200</v>
      </c>
      <c r="E563" t="s">
        <v>202</v>
      </c>
      <c r="F563" t="s">
        <v>259</v>
      </c>
      <c r="G563" t="s">
        <v>202</v>
      </c>
      <c r="H563" t="s">
        <v>272</v>
      </c>
      <c r="I563" t="s">
        <v>202</v>
      </c>
      <c r="J563" t="s">
        <v>289</v>
      </c>
      <c r="K563" t="s">
        <v>202</v>
      </c>
      <c r="L563" t="s">
        <v>364</v>
      </c>
      <c r="M563" t="s">
        <v>290</v>
      </c>
      <c r="N563" t="s">
        <v>419</v>
      </c>
      <c r="O563" t="s">
        <v>420</v>
      </c>
      <c r="P563" t="s">
        <v>427</v>
      </c>
      <c r="S563" t="s">
        <v>918</v>
      </c>
      <c r="T563" t="s">
        <v>1370</v>
      </c>
      <c r="U563" t="s">
        <v>259</v>
      </c>
      <c r="W563" t="s">
        <v>1876</v>
      </c>
      <c r="X563" t="s">
        <v>2402</v>
      </c>
      <c r="Y563" t="s">
        <v>2806</v>
      </c>
      <c r="Z563" t="s">
        <v>3099</v>
      </c>
      <c r="AA563" t="s">
        <v>3135</v>
      </c>
      <c r="AB563">
        <v>10035</v>
      </c>
      <c r="AC563" t="s">
        <v>3138</v>
      </c>
      <c r="AD563" t="s">
        <v>3660</v>
      </c>
      <c r="AE563">
        <v>3</v>
      </c>
      <c r="AG563" t="s">
        <v>4032</v>
      </c>
      <c r="AH563" t="s">
        <v>291</v>
      </c>
      <c r="AI563" t="s">
        <v>291</v>
      </c>
      <c r="AK563" t="s">
        <v>4040</v>
      </c>
      <c r="AM563">
        <v>0</v>
      </c>
      <c r="AN563">
        <v>1530</v>
      </c>
      <c r="AO563">
        <v>0</v>
      </c>
      <c r="AQ563" t="s">
        <v>4599</v>
      </c>
      <c r="AR563" t="s">
        <v>5467</v>
      </c>
      <c r="AS563">
        <v>0</v>
      </c>
      <c r="AT563" t="s">
        <v>5838</v>
      </c>
      <c r="AU563">
        <v>2</v>
      </c>
      <c r="AV563">
        <v>3</v>
      </c>
      <c r="AW563">
        <v>17.24</v>
      </c>
      <c r="BA563" t="s">
        <v>5852</v>
      </c>
      <c r="BB563" t="s">
        <v>1322</v>
      </c>
      <c r="BC563">
        <v>5200</v>
      </c>
      <c r="BG563" t="s">
        <v>5915</v>
      </c>
      <c r="BJ563" t="s">
        <v>6025</v>
      </c>
      <c r="BL563" t="s">
        <v>6057</v>
      </c>
    </row>
    <row r="564" spans="1:64">
      <c r="A564" s="1">
        <f>HYPERLINK("https://lsnyc.legalserver.org/matter/dynamic-profile/view/1903956","19-1903956")</f>
        <v>0</v>
      </c>
      <c r="B564" t="s">
        <v>66</v>
      </c>
      <c r="C564" t="s">
        <v>148</v>
      </c>
      <c r="D564" t="s">
        <v>200</v>
      </c>
      <c r="E564" t="s">
        <v>202</v>
      </c>
      <c r="F564" t="s">
        <v>255</v>
      </c>
      <c r="G564" t="s">
        <v>202</v>
      </c>
      <c r="H564" t="s">
        <v>272</v>
      </c>
      <c r="I564" t="s">
        <v>202</v>
      </c>
      <c r="J564" t="s">
        <v>289</v>
      </c>
      <c r="K564" t="s">
        <v>292</v>
      </c>
      <c r="M564" t="s">
        <v>290</v>
      </c>
      <c r="N564" t="s">
        <v>202</v>
      </c>
      <c r="O564" t="s">
        <v>421</v>
      </c>
      <c r="P564" t="s">
        <v>427</v>
      </c>
      <c r="S564" t="s">
        <v>547</v>
      </c>
      <c r="T564" t="s">
        <v>1601</v>
      </c>
      <c r="U564" t="s">
        <v>255</v>
      </c>
      <c r="W564" t="s">
        <v>1876</v>
      </c>
      <c r="X564" t="s">
        <v>2403</v>
      </c>
      <c r="Y564" t="s">
        <v>2835</v>
      </c>
      <c r="Z564" t="s">
        <v>3099</v>
      </c>
      <c r="AA564" t="s">
        <v>3135</v>
      </c>
      <c r="AB564">
        <v>10031</v>
      </c>
      <c r="AC564" t="s">
        <v>3139</v>
      </c>
      <c r="AD564" t="s">
        <v>3661</v>
      </c>
      <c r="AE564">
        <v>3</v>
      </c>
      <c r="AG564" t="s">
        <v>4033</v>
      </c>
      <c r="AH564" t="s">
        <v>291</v>
      </c>
      <c r="AI564" t="s">
        <v>291</v>
      </c>
      <c r="AK564" t="s">
        <v>4040</v>
      </c>
      <c r="AL564" t="s">
        <v>4046</v>
      </c>
      <c r="AM564">
        <v>0</v>
      </c>
      <c r="AN564">
        <v>1189</v>
      </c>
      <c r="AO564">
        <v>8.65</v>
      </c>
      <c r="AQ564" t="s">
        <v>4600</v>
      </c>
      <c r="AR564" t="s">
        <v>5468</v>
      </c>
      <c r="AS564">
        <v>11</v>
      </c>
      <c r="AT564" t="s">
        <v>5838</v>
      </c>
      <c r="AU564">
        <v>1</v>
      </c>
      <c r="AV564">
        <v>4</v>
      </c>
      <c r="AW564">
        <v>154.17</v>
      </c>
      <c r="BA564" t="s">
        <v>5850</v>
      </c>
      <c r="BB564" t="s">
        <v>1322</v>
      </c>
      <c r="BC564">
        <v>46514</v>
      </c>
      <c r="BG564" t="s">
        <v>5914</v>
      </c>
      <c r="BJ564" t="s">
        <v>5949</v>
      </c>
      <c r="BK564" t="s">
        <v>216</v>
      </c>
      <c r="BL564" t="s">
        <v>6056</v>
      </c>
    </row>
    <row r="565" spans="1:64">
      <c r="A565" s="1">
        <f>HYPERLINK("https://lsnyc.legalserver.org/matter/dynamic-profile/view/1910208","19-1910208")</f>
        <v>0</v>
      </c>
      <c r="B565" t="s">
        <v>66</v>
      </c>
      <c r="C565" t="s">
        <v>148</v>
      </c>
      <c r="D565" t="s">
        <v>200</v>
      </c>
      <c r="E565" t="s">
        <v>202</v>
      </c>
      <c r="F565" t="s">
        <v>259</v>
      </c>
      <c r="G565" t="s">
        <v>202</v>
      </c>
      <c r="H565" t="s">
        <v>272</v>
      </c>
      <c r="I565" t="s">
        <v>202</v>
      </c>
      <c r="J565" t="s">
        <v>289</v>
      </c>
      <c r="K565" t="s">
        <v>292</v>
      </c>
      <c r="M565" t="s">
        <v>290</v>
      </c>
      <c r="N565" t="s">
        <v>419</v>
      </c>
      <c r="O565" t="s">
        <v>420</v>
      </c>
      <c r="P565" t="s">
        <v>427</v>
      </c>
      <c r="S565" t="s">
        <v>919</v>
      </c>
      <c r="T565" t="s">
        <v>1484</v>
      </c>
      <c r="U565" t="s">
        <v>259</v>
      </c>
      <c r="W565" t="s">
        <v>1876</v>
      </c>
      <c r="X565" t="s">
        <v>2404</v>
      </c>
      <c r="Y565" t="s">
        <v>2835</v>
      </c>
      <c r="Z565" t="s">
        <v>3099</v>
      </c>
      <c r="AA565" t="s">
        <v>3135</v>
      </c>
      <c r="AB565">
        <v>10035</v>
      </c>
      <c r="AC565" t="s">
        <v>3138</v>
      </c>
      <c r="AD565" t="s">
        <v>3662</v>
      </c>
      <c r="AE565">
        <v>12</v>
      </c>
      <c r="AG565" t="s">
        <v>4032</v>
      </c>
      <c r="AH565" t="s">
        <v>291</v>
      </c>
      <c r="AI565" t="s">
        <v>291</v>
      </c>
      <c r="AK565" t="s">
        <v>4040</v>
      </c>
      <c r="AM565">
        <v>0</v>
      </c>
      <c r="AN565">
        <v>1620.05</v>
      </c>
      <c r="AO565">
        <v>0</v>
      </c>
      <c r="AQ565" t="s">
        <v>4601</v>
      </c>
      <c r="AR565" t="s">
        <v>5469</v>
      </c>
      <c r="AS565">
        <v>0</v>
      </c>
      <c r="AT565" t="s">
        <v>5838</v>
      </c>
      <c r="AU565">
        <v>1</v>
      </c>
      <c r="AV565">
        <v>0</v>
      </c>
      <c r="AW565">
        <v>72.86</v>
      </c>
      <c r="BA565" t="s">
        <v>5850</v>
      </c>
      <c r="BB565" t="s">
        <v>1322</v>
      </c>
      <c r="BC565">
        <v>9100</v>
      </c>
      <c r="BG565" t="s">
        <v>5915</v>
      </c>
      <c r="BJ565" t="s">
        <v>5949</v>
      </c>
      <c r="BL565" t="s">
        <v>6056</v>
      </c>
    </row>
    <row r="566" spans="1:64">
      <c r="A566" s="1">
        <f>HYPERLINK("https://lsnyc.legalserver.org/matter/dynamic-profile/view/1908870","19-1908870")</f>
        <v>0</v>
      </c>
      <c r="B566" t="s">
        <v>66</v>
      </c>
      <c r="C566" t="s">
        <v>149</v>
      </c>
      <c r="D566" t="s">
        <v>200</v>
      </c>
      <c r="E566" t="s">
        <v>201</v>
      </c>
      <c r="G566" t="s">
        <v>202</v>
      </c>
      <c r="H566" t="s">
        <v>272</v>
      </c>
      <c r="I566" t="s">
        <v>202</v>
      </c>
      <c r="J566" t="s">
        <v>289</v>
      </c>
      <c r="K566" t="s">
        <v>292</v>
      </c>
      <c r="M566" t="s">
        <v>290</v>
      </c>
      <c r="N566" t="s">
        <v>202</v>
      </c>
      <c r="O566" t="s">
        <v>421</v>
      </c>
      <c r="P566" t="s">
        <v>427</v>
      </c>
      <c r="S566" t="s">
        <v>630</v>
      </c>
      <c r="T566" t="s">
        <v>1602</v>
      </c>
      <c r="U566" t="s">
        <v>219</v>
      </c>
      <c r="W566" t="s">
        <v>1876</v>
      </c>
      <c r="X566" t="s">
        <v>2405</v>
      </c>
      <c r="Y566" t="s">
        <v>2807</v>
      </c>
      <c r="Z566" t="s">
        <v>3099</v>
      </c>
      <c r="AA566" t="s">
        <v>3135</v>
      </c>
      <c r="AB566">
        <v>10031</v>
      </c>
      <c r="AC566" t="s">
        <v>3136</v>
      </c>
      <c r="AD566" t="s">
        <v>3663</v>
      </c>
      <c r="AE566">
        <v>10</v>
      </c>
      <c r="AG566" t="s">
        <v>4033</v>
      </c>
      <c r="AH566" t="s">
        <v>291</v>
      </c>
      <c r="AI566" t="s">
        <v>291</v>
      </c>
      <c r="AK566" t="s">
        <v>4040</v>
      </c>
      <c r="AL566" t="s">
        <v>4046</v>
      </c>
      <c r="AM566">
        <v>0</v>
      </c>
      <c r="AN566">
        <v>2600</v>
      </c>
      <c r="AO566">
        <v>1.7</v>
      </c>
      <c r="AQ566" t="s">
        <v>4602</v>
      </c>
      <c r="AR566" t="s">
        <v>5470</v>
      </c>
      <c r="AS566">
        <v>0</v>
      </c>
      <c r="AT566" t="s">
        <v>5838</v>
      </c>
      <c r="AU566">
        <v>1</v>
      </c>
      <c r="AV566">
        <v>0</v>
      </c>
      <c r="AW566">
        <v>0</v>
      </c>
      <c r="BA566" t="s">
        <v>329</v>
      </c>
      <c r="BB566" t="s">
        <v>1322</v>
      </c>
      <c r="BC566">
        <v>0</v>
      </c>
      <c r="BG566" t="s">
        <v>5914</v>
      </c>
      <c r="BJ566" t="s">
        <v>5945</v>
      </c>
      <c r="BK566" t="s">
        <v>222</v>
      </c>
      <c r="BL566" t="s">
        <v>6056</v>
      </c>
    </row>
    <row r="567" spans="1:64">
      <c r="A567" s="1">
        <f>HYPERLINK("https://lsnyc.legalserver.org/matter/dynamic-profile/view/1910150","19-1910150")</f>
        <v>0</v>
      </c>
      <c r="B567" t="s">
        <v>66</v>
      </c>
      <c r="C567" t="s">
        <v>148</v>
      </c>
      <c r="D567" t="s">
        <v>200</v>
      </c>
      <c r="E567" t="s">
        <v>202</v>
      </c>
      <c r="F567" t="s">
        <v>259</v>
      </c>
      <c r="G567" t="s">
        <v>202</v>
      </c>
      <c r="H567" t="s">
        <v>271</v>
      </c>
      <c r="I567" t="s">
        <v>202</v>
      </c>
      <c r="J567" t="s">
        <v>289</v>
      </c>
      <c r="K567" t="s">
        <v>292</v>
      </c>
      <c r="M567" t="s">
        <v>290</v>
      </c>
      <c r="N567" t="s">
        <v>419</v>
      </c>
      <c r="O567" t="s">
        <v>420</v>
      </c>
      <c r="P567" t="s">
        <v>427</v>
      </c>
      <c r="S567" t="s">
        <v>920</v>
      </c>
      <c r="T567" t="s">
        <v>1603</v>
      </c>
      <c r="U567" t="s">
        <v>259</v>
      </c>
      <c r="W567" t="s">
        <v>1876</v>
      </c>
      <c r="X567" t="s">
        <v>2406</v>
      </c>
      <c r="Y567" t="s">
        <v>2998</v>
      </c>
      <c r="Z567" t="s">
        <v>3099</v>
      </c>
      <c r="AA567" t="s">
        <v>3135</v>
      </c>
      <c r="AB567">
        <v>10037</v>
      </c>
      <c r="AC567" t="s">
        <v>3138</v>
      </c>
      <c r="AD567" t="s">
        <v>3664</v>
      </c>
      <c r="AE567">
        <v>20</v>
      </c>
      <c r="AG567" t="s">
        <v>4032</v>
      </c>
      <c r="AH567" t="s">
        <v>291</v>
      </c>
      <c r="AI567" t="s">
        <v>291</v>
      </c>
      <c r="AK567" t="s">
        <v>4041</v>
      </c>
      <c r="AM567">
        <v>0</v>
      </c>
      <c r="AN567">
        <v>450</v>
      </c>
      <c r="AO567">
        <v>1</v>
      </c>
      <c r="AQ567" t="s">
        <v>4603</v>
      </c>
      <c r="AR567" t="s">
        <v>5471</v>
      </c>
      <c r="AS567">
        <v>0</v>
      </c>
      <c r="AT567" t="s">
        <v>5837</v>
      </c>
      <c r="AU567">
        <v>1</v>
      </c>
      <c r="AV567">
        <v>0</v>
      </c>
      <c r="AW567">
        <v>172.94</v>
      </c>
      <c r="BA567" t="s">
        <v>329</v>
      </c>
      <c r="BB567" t="s">
        <v>1322</v>
      </c>
      <c r="BC567">
        <v>21600</v>
      </c>
      <c r="BG567" t="s">
        <v>5915</v>
      </c>
      <c r="BJ567" t="s">
        <v>5950</v>
      </c>
      <c r="BK567" t="s">
        <v>259</v>
      </c>
      <c r="BL567" t="s">
        <v>6056</v>
      </c>
    </row>
    <row r="568" spans="1:64">
      <c r="A568" s="1">
        <f>HYPERLINK("https://lsnyc.legalserver.org/matter/dynamic-profile/view/1906819","19-1906819")</f>
        <v>0</v>
      </c>
      <c r="B568" t="s">
        <v>66</v>
      </c>
      <c r="C568" t="s">
        <v>148</v>
      </c>
      <c r="D568" t="s">
        <v>200</v>
      </c>
      <c r="E568" t="s">
        <v>202</v>
      </c>
      <c r="F568" t="s">
        <v>240</v>
      </c>
      <c r="G568" t="s">
        <v>202</v>
      </c>
      <c r="H568" t="s">
        <v>271</v>
      </c>
      <c r="I568" t="s">
        <v>202</v>
      </c>
      <c r="J568" t="s">
        <v>289</v>
      </c>
      <c r="K568" t="s">
        <v>292</v>
      </c>
      <c r="M568" t="s">
        <v>290</v>
      </c>
      <c r="N568" t="s">
        <v>202</v>
      </c>
      <c r="O568" t="s">
        <v>421</v>
      </c>
      <c r="P568" t="s">
        <v>427</v>
      </c>
      <c r="S568" t="s">
        <v>921</v>
      </c>
      <c r="T568" t="s">
        <v>1353</v>
      </c>
      <c r="U568" t="s">
        <v>240</v>
      </c>
      <c r="W568" t="s">
        <v>1876</v>
      </c>
      <c r="X568" t="s">
        <v>2407</v>
      </c>
      <c r="Y568">
        <v>56</v>
      </c>
      <c r="Z568" t="s">
        <v>3099</v>
      </c>
      <c r="AA568" t="s">
        <v>3135</v>
      </c>
      <c r="AB568">
        <v>10031</v>
      </c>
      <c r="AC568" t="s">
        <v>3139</v>
      </c>
      <c r="AD568" t="s">
        <v>3665</v>
      </c>
      <c r="AE568">
        <v>22</v>
      </c>
      <c r="AG568" t="s">
        <v>4033</v>
      </c>
      <c r="AH568" t="s">
        <v>291</v>
      </c>
      <c r="AI568" t="s">
        <v>291</v>
      </c>
      <c r="AK568" t="s">
        <v>4040</v>
      </c>
      <c r="AM568">
        <v>0</v>
      </c>
      <c r="AN568">
        <v>1194</v>
      </c>
      <c r="AO568">
        <v>5.1</v>
      </c>
      <c r="AQ568" t="s">
        <v>4604</v>
      </c>
      <c r="AR568" t="s">
        <v>5472</v>
      </c>
      <c r="AS568">
        <v>54</v>
      </c>
      <c r="AT568" t="s">
        <v>5838</v>
      </c>
      <c r="AU568">
        <v>2</v>
      </c>
      <c r="AV568">
        <v>1</v>
      </c>
      <c r="AW568">
        <v>121.89</v>
      </c>
      <c r="BA568" t="s">
        <v>329</v>
      </c>
      <c r="BB568" t="s">
        <v>5859</v>
      </c>
      <c r="BC568">
        <v>26000</v>
      </c>
      <c r="BG568" t="s">
        <v>5915</v>
      </c>
      <c r="BJ568" t="s">
        <v>5949</v>
      </c>
      <c r="BK568" t="s">
        <v>266</v>
      </c>
      <c r="BL568" t="s">
        <v>6056</v>
      </c>
    </row>
    <row r="569" spans="1:64">
      <c r="A569" s="1">
        <f>HYPERLINK("https://lsnyc.legalserver.org/matter/dynamic-profile/view/1910192","19-1910192")</f>
        <v>0</v>
      </c>
      <c r="B569" t="s">
        <v>66</v>
      </c>
      <c r="C569" t="s">
        <v>148</v>
      </c>
      <c r="D569" t="s">
        <v>200</v>
      </c>
      <c r="E569" t="s">
        <v>201</v>
      </c>
      <c r="G569" t="s">
        <v>202</v>
      </c>
      <c r="H569" t="s">
        <v>272</v>
      </c>
      <c r="I569" t="s">
        <v>202</v>
      </c>
      <c r="J569" t="s">
        <v>289</v>
      </c>
      <c r="K569" t="s">
        <v>202</v>
      </c>
      <c r="L569" t="s">
        <v>365</v>
      </c>
      <c r="M569" t="s">
        <v>290</v>
      </c>
      <c r="N569" t="s">
        <v>419</v>
      </c>
      <c r="O569" t="s">
        <v>420</v>
      </c>
      <c r="P569" t="s">
        <v>427</v>
      </c>
      <c r="S569" t="s">
        <v>922</v>
      </c>
      <c r="T569" t="s">
        <v>1604</v>
      </c>
      <c r="U569" t="s">
        <v>259</v>
      </c>
      <c r="W569" t="s">
        <v>1876</v>
      </c>
      <c r="X569" t="s">
        <v>2408</v>
      </c>
      <c r="Y569" t="s">
        <v>2999</v>
      </c>
      <c r="Z569" t="s">
        <v>3099</v>
      </c>
      <c r="AA569" t="s">
        <v>3135</v>
      </c>
      <c r="AB569">
        <v>10040</v>
      </c>
      <c r="AC569" t="s">
        <v>3136</v>
      </c>
      <c r="AD569" t="s">
        <v>3666</v>
      </c>
      <c r="AE569">
        <v>27</v>
      </c>
      <c r="AG569" t="s">
        <v>4032</v>
      </c>
      <c r="AH569" t="s">
        <v>291</v>
      </c>
      <c r="AI569" t="s">
        <v>291</v>
      </c>
      <c r="AK569" t="s">
        <v>4040</v>
      </c>
      <c r="AM569">
        <v>0</v>
      </c>
      <c r="AN569">
        <v>693.42</v>
      </c>
      <c r="AO569">
        <v>0</v>
      </c>
      <c r="AQ569" t="s">
        <v>4605</v>
      </c>
      <c r="AR569" t="s">
        <v>5473</v>
      </c>
      <c r="AS569">
        <v>0</v>
      </c>
      <c r="AT569" t="s">
        <v>5838</v>
      </c>
      <c r="AU569">
        <v>2</v>
      </c>
      <c r="AV569">
        <v>0</v>
      </c>
      <c r="AW569">
        <v>56.77</v>
      </c>
      <c r="BA569" t="s">
        <v>5851</v>
      </c>
      <c r="BB569" t="s">
        <v>5859</v>
      </c>
      <c r="BC569">
        <v>9600</v>
      </c>
      <c r="BG569" t="s">
        <v>5914</v>
      </c>
      <c r="BJ569" t="s">
        <v>5942</v>
      </c>
      <c r="BL569" t="s">
        <v>6057</v>
      </c>
    </row>
    <row r="570" spans="1:64">
      <c r="A570" s="1">
        <f>HYPERLINK("https://lsnyc.legalserver.org/matter/dynamic-profile/view/1905335","19-1905335")</f>
        <v>0</v>
      </c>
      <c r="B570" t="s">
        <v>66</v>
      </c>
      <c r="C570" t="s">
        <v>148</v>
      </c>
      <c r="D570" t="s">
        <v>200</v>
      </c>
      <c r="E570" t="s">
        <v>201</v>
      </c>
      <c r="G570" t="s">
        <v>270</v>
      </c>
      <c r="I570" t="s">
        <v>288</v>
      </c>
      <c r="J570" t="s">
        <v>291</v>
      </c>
      <c r="K570" t="s">
        <v>292</v>
      </c>
      <c r="M570" t="s">
        <v>290</v>
      </c>
      <c r="N570" t="s">
        <v>202</v>
      </c>
      <c r="O570" t="s">
        <v>426</v>
      </c>
      <c r="P570" t="s">
        <v>427</v>
      </c>
      <c r="S570" t="s">
        <v>923</v>
      </c>
      <c r="T570" t="s">
        <v>1605</v>
      </c>
      <c r="U570" t="s">
        <v>242</v>
      </c>
      <c r="W570" t="s">
        <v>1876</v>
      </c>
      <c r="X570" t="s">
        <v>2409</v>
      </c>
      <c r="Y570">
        <v>1</v>
      </c>
      <c r="Z570" t="s">
        <v>3099</v>
      </c>
      <c r="AA570" t="s">
        <v>3135</v>
      </c>
      <c r="AB570">
        <v>10031</v>
      </c>
      <c r="AC570" t="s">
        <v>3140</v>
      </c>
      <c r="AD570" t="s">
        <v>3667</v>
      </c>
      <c r="AE570">
        <v>30</v>
      </c>
      <c r="AG570" t="s">
        <v>4032</v>
      </c>
      <c r="AH570" t="s">
        <v>291</v>
      </c>
      <c r="AI570" t="s">
        <v>291</v>
      </c>
      <c r="AK570" t="s">
        <v>4040</v>
      </c>
      <c r="AM570">
        <v>0</v>
      </c>
      <c r="AN570">
        <v>300</v>
      </c>
      <c r="AO570">
        <v>15.2</v>
      </c>
      <c r="AQ570" t="s">
        <v>4606</v>
      </c>
      <c r="AR570" t="s">
        <v>5286</v>
      </c>
      <c r="AS570">
        <v>0</v>
      </c>
      <c r="AT570" t="s">
        <v>5836</v>
      </c>
      <c r="AU570">
        <v>1</v>
      </c>
      <c r="AV570">
        <v>0</v>
      </c>
      <c r="AW570">
        <v>72.06</v>
      </c>
      <c r="BA570" t="s">
        <v>329</v>
      </c>
      <c r="BB570" t="s">
        <v>1322</v>
      </c>
      <c r="BC570">
        <v>9000</v>
      </c>
      <c r="BG570" t="s">
        <v>5914</v>
      </c>
      <c r="BJ570" t="s">
        <v>5959</v>
      </c>
      <c r="BK570" t="s">
        <v>264</v>
      </c>
    </row>
    <row r="571" spans="1:64">
      <c r="A571" s="1">
        <f>HYPERLINK("https://lsnyc.legalserver.org/matter/dynamic-profile/view/1910190","19-1910190")</f>
        <v>0</v>
      </c>
      <c r="B571" t="s">
        <v>66</v>
      </c>
      <c r="C571" t="s">
        <v>148</v>
      </c>
      <c r="D571" t="s">
        <v>200</v>
      </c>
      <c r="E571" t="s">
        <v>202</v>
      </c>
      <c r="F571" t="s">
        <v>259</v>
      </c>
      <c r="G571" t="s">
        <v>202</v>
      </c>
      <c r="H571" t="s">
        <v>272</v>
      </c>
      <c r="I571" t="s">
        <v>202</v>
      </c>
      <c r="J571" t="s">
        <v>289</v>
      </c>
      <c r="K571" t="s">
        <v>292</v>
      </c>
      <c r="M571" t="s">
        <v>290</v>
      </c>
      <c r="N571" t="s">
        <v>419</v>
      </c>
      <c r="O571" t="s">
        <v>420</v>
      </c>
      <c r="P571" t="s">
        <v>427</v>
      </c>
      <c r="S571" t="s">
        <v>924</v>
      </c>
      <c r="T571" t="s">
        <v>1606</v>
      </c>
      <c r="U571" t="s">
        <v>259</v>
      </c>
      <c r="W571" t="s">
        <v>1876</v>
      </c>
      <c r="X571" t="s">
        <v>2410</v>
      </c>
      <c r="Y571" t="s">
        <v>3000</v>
      </c>
      <c r="Z571" t="s">
        <v>3099</v>
      </c>
      <c r="AA571" t="s">
        <v>3135</v>
      </c>
      <c r="AB571">
        <v>10017</v>
      </c>
      <c r="AC571" t="s">
        <v>3138</v>
      </c>
      <c r="AD571" t="s">
        <v>3668</v>
      </c>
      <c r="AE571">
        <v>24</v>
      </c>
      <c r="AG571" t="s">
        <v>4032</v>
      </c>
      <c r="AH571" t="s">
        <v>291</v>
      </c>
      <c r="AI571" t="s">
        <v>291</v>
      </c>
      <c r="AK571" t="s">
        <v>4040</v>
      </c>
      <c r="AM571">
        <v>0</v>
      </c>
      <c r="AN571">
        <v>1375</v>
      </c>
      <c r="AO571">
        <v>0</v>
      </c>
      <c r="AQ571" t="s">
        <v>4607</v>
      </c>
      <c r="AR571" t="s">
        <v>5474</v>
      </c>
      <c r="AS571">
        <v>0</v>
      </c>
      <c r="AT571" t="s">
        <v>5838</v>
      </c>
      <c r="AU571">
        <v>1</v>
      </c>
      <c r="AV571">
        <v>0</v>
      </c>
      <c r="AW571">
        <v>118.49</v>
      </c>
      <c r="BA571" t="s">
        <v>329</v>
      </c>
      <c r="BB571" t="s">
        <v>1322</v>
      </c>
      <c r="BC571">
        <v>14800</v>
      </c>
      <c r="BG571" t="s">
        <v>5915</v>
      </c>
      <c r="BJ571" t="s">
        <v>6026</v>
      </c>
      <c r="BL571" t="s">
        <v>6056</v>
      </c>
    </row>
    <row r="572" spans="1:64">
      <c r="A572" s="1">
        <f>HYPERLINK("https://lsnyc.legalserver.org/matter/dynamic-profile/view/1908996","19-1908996")</f>
        <v>0</v>
      </c>
      <c r="B572" t="s">
        <v>66</v>
      </c>
      <c r="C572" t="s">
        <v>148</v>
      </c>
      <c r="D572" t="s">
        <v>200</v>
      </c>
      <c r="E572" t="s">
        <v>202</v>
      </c>
      <c r="F572" t="s">
        <v>256</v>
      </c>
      <c r="G572" t="s">
        <v>202</v>
      </c>
      <c r="H572" t="s">
        <v>271</v>
      </c>
      <c r="I572" t="s">
        <v>202</v>
      </c>
      <c r="J572" t="s">
        <v>289</v>
      </c>
      <c r="K572" t="s">
        <v>292</v>
      </c>
      <c r="M572" t="s">
        <v>290</v>
      </c>
      <c r="N572" t="s">
        <v>419</v>
      </c>
      <c r="O572" t="s">
        <v>420</v>
      </c>
      <c r="P572" t="s">
        <v>427</v>
      </c>
      <c r="S572" t="s">
        <v>484</v>
      </c>
      <c r="T572" t="s">
        <v>1607</v>
      </c>
      <c r="U572" t="s">
        <v>256</v>
      </c>
      <c r="W572" t="s">
        <v>1876</v>
      </c>
      <c r="X572" t="s">
        <v>2411</v>
      </c>
      <c r="Y572">
        <v>1006</v>
      </c>
      <c r="Z572" t="s">
        <v>3099</v>
      </c>
      <c r="AA572" t="s">
        <v>3135</v>
      </c>
      <c r="AB572">
        <v>10035</v>
      </c>
      <c r="AC572" t="s">
        <v>3136</v>
      </c>
      <c r="AD572" t="s">
        <v>3669</v>
      </c>
      <c r="AE572">
        <v>6</v>
      </c>
      <c r="AG572" t="s">
        <v>4032</v>
      </c>
      <c r="AH572" t="s">
        <v>291</v>
      </c>
      <c r="AI572" t="s">
        <v>291</v>
      </c>
      <c r="AK572" t="s">
        <v>4040</v>
      </c>
      <c r="AL572" t="s">
        <v>4046</v>
      </c>
      <c r="AM572">
        <v>0</v>
      </c>
      <c r="AN572">
        <v>219</v>
      </c>
      <c r="AO572">
        <v>0.1</v>
      </c>
      <c r="AQ572" t="s">
        <v>4608</v>
      </c>
      <c r="AR572" t="s">
        <v>5475</v>
      </c>
      <c r="AS572">
        <v>0</v>
      </c>
      <c r="AT572" t="s">
        <v>5839</v>
      </c>
      <c r="AU572">
        <v>1</v>
      </c>
      <c r="AV572">
        <v>0</v>
      </c>
      <c r="AW572">
        <v>82.63</v>
      </c>
      <c r="BA572" t="s">
        <v>329</v>
      </c>
      <c r="BB572" t="s">
        <v>1322</v>
      </c>
      <c r="BC572">
        <v>10320</v>
      </c>
      <c r="BG572" t="s">
        <v>5913</v>
      </c>
      <c r="BJ572" t="s">
        <v>5950</v>
      </c>
      <c r="BK572" t="s">
        <v>256</v>
      </c>
      <c r="BL572" t="s">
        <v>6056</v>
      </c>
    </row>
    <row r="573" spans="1:64">
      <c r="A573" s="1">
        <f>HYPERLINK("https://lsnyc.legalserver.org/matter/dynamic-profile/view/1909050","19-1909050")</f>
        <v>0</v>
      </c>
      <c r="B573" t="s">
        <v>66</v>
      </c>
      <c r="C573" t="s">
        <v>149</v>
      </c>
      <c r="D573" t="s">
        <v>200</v>
      </c>
      <c r="E573" t="s">
        <v>202</v>
      </c>
      <c r="F573" t="s">
        <v>256</v>
      </c>
      <c r="G573" t="s">
        <v>202</v>
      </c>
      <c r="H573" t="s">
        <v>282</v>
      </c>
      <c r="I573" t="s">
        <v>202</v>
      </c>
      <c r="J573" t="s">
        <v>289</v>
      </c>
      <c r="K573" t="s">
        <v>292</v>
      </c>
      <c r="M573" t="s">
        <v>290</v>
      </c>
      <c r="N573" t="s">
        <v>419</v>
      </c>
      <c r="O573" t="s">
        <v>420</v>
      </c>
      <c r="P573" t="s">
        <v>427</v>
      </c>
      <c r="S573" t="s">
        <v>925</v>
      </c>
      <c r="T573" t="s">
        <v>1194</v>
      </c>
      <c r="U573" t="s">
        <v>256</v>
      </c>
      <c r="W573" t="s">
        <v>1876</v>
      </c>
      <c r="X573" t="s">
        <v>2412</v>
      </c>
      <c r="Y573" t="s">
        <v>3001</v>
      </c>
      <c r="Z573" t="s">
        <v>3099</v>
      </c>
      <c r="AA573" t="s">
        <v>3135</v>
      </c>
      <c r="AB573">
        <v>10027</v>
      </c>
      <c r="AC573" t="s">
        <v>3138</v>
      </c>
      <c r="AD573" t="s">
        <v>3670</v>
      </c>
      <c r="AE573">
        <v>9</v>
      </c>
      <c r="AG573" t="s">
        <v>4032</v>
      </c>
      <c r="AH573" t="s">
        <v>291</v>
      </c>
      <c r="AI573" t="s">
        <v>291</v>
      </c>
      <c r="AK573" t="s">
        <v>4045</v>
      </c>
      <c r="AM573">
        <v>0</v>
      </c>
      <c r="AN573">
        <v>537</v>
      </c>
      <c r="AO573">
        <v>0</v>
      </c>
      <c r="AQ573" t="s">
        <v>4609</v>
      </c>
      <c r="AR573" t="s">
        <v>5476</v>
      </c>
      <c r="AS573">
        <v>0</v>
      </c>
      <c r="AT573" t="s">
        <v>5847</v>
      </c>
      <c r="AU573">
        <v>1</v>
      </c>
      <c r="AV573">
        <v>0</v>
      </c>
      <c r="AW573">
        <v>73.02</v>
      </c>
      <c r="BB573" t="s">
        <v>1322</v>
      </c>
      <c r="BC573">
        <v>9120</v>
      </c>
      <c r="BG573" t="s">
        <v>5915</v>
      </c>
      <c r="BJ573" t="s">
        <v>5942</v>
      </c>
      <c r="BL573" t="s">
        <v>6056</v>
      </c>
    </row>
    <row r="574" spans="1:64">
      <c r="A574" s="1">
        <f>HYPERLINK("https://lsnyc.legalserver.org/matter/dynamic-profile/view/1905172","19-1905172")</f>
        <v>0</v>
      </c>
      <c r="B574" t="s">
        <v>66</v>
      </c>
      <c r="C574" t="s">
        <v>149</v>
      </c>
      <c r="D574" t="s">
        <v>200</v>
      </c>
      <c r="E574" t="s">
        <v>202</v>
      </c>
      <c r="F574" t="s">
        <v>231</v>
      </c>
      <c r="G574" t="s">
        <v>202</v>
      </c>
      <c r="H574" t="s">
        <v>272</v>
      </c>
      <c r="I574" t="s">
        <v>202</v>
      </c>
      <c r="J574" t="s">
        <v>289</v>
      </c>
      <c r="K574" t="s">
        <v>292</v>
      </c>
      <c r="M574" t="s">
        <v>290</v>
      </c>
      <c r="N574" t="s">
        <v>202</v>
      </c>
      <c r="O574" t="s">
        <v>421</v>
      </c>
      <c r="P574" t="s">
        <v>427</v>
      </c>
      <c r="S574" t="s">
        <v>926</v>
      </c>
      <c r="T574" t="s">
        <v>1608</v>
      </c>
      <c r="U574" t="s">
        <v>231</v>
      </c>
      <c r="W574" t="s">
        <v>1876</v>
      </c>
      <c r="X574" t="s">
        <v>2413</v>
      </c>
      <c r="Y574" t="s">
        <v>3002</v>
      </c>
      <c r="Z574" t="s">
        <v>3099</v>
      </c>
      <c r="AA574" t="s">
        <v>3135</v>
      </c>
      <c r="AB574">
        <v>10027</v>
      </c>
      <c r="AC574" t="s">
        <v>3150</v>
      </c>
      <c r="AD574" t="s">
        <v>3671</v>
      </c>
      <c r="AE574">
        <v>29</v>
      </c>
      <c r="AG574" t="s">
        <v>4033</v>
      </c>
      <c r="AH574" t="s">
        <v>291</v>
      </c>
      <c r="AI574" t="s">
        <v>291</v>
      </c>
      <c r="AK574" t="s">
        <v>4040</v>
      </c>
      <c r="AM574">
        <v>0</v>
      </c>
      <c r="AN574">
        <v>189</v>
      </c>
      <c r="AO574">
        <v>6</v>
      </c>
      <c r="AQ574" t="s">
        <v>4610</v>
      </c>
      <c r="AR574" t="s">
        <v>5477</v>
      </c>
      <c r="AS574">
        <v>102</v>
      </c>
      <c r="AT574" t="s">
        <v>5835</v>
      </c>
      <c r="AU574">
        <v>1</v>
      </c>
      <c r="AV574">
        <v>0</v>
      </c>
      <c r="AW574">
        <v>76.86</v>
      </c>
      <c r="BA574" t="s">
        <v>5850</v>
      </c>
      <c r="BB574" t="s">
        <v>1322</v>
      </c>
      <c r="BC574">
        <v>9600</v>
      </c>
      <c r="BG574" t="s">
        <v>5915</v>
      </c>
      <c r="BJ574" t="s">
        <v>5944</v>
      </c>
      <c r="BK574" t="s">
        <v>222</v>
      </c>
      <c r="BL574" t="s">
        <v>6056</v>
      </c>
    </row>
    <row r="575" spans="1:64">
      <c r="A575" s="1">
        <f>HYPERLINK("https://lsnyc.legalserver.org/matter/dynamic-profile/view/1909062","19-1909062")</f>
        <v>0</v>
      </c>
      <c r="B575" t="s">
        <v>66</v>
      </c>
      <c r="C575" t="s">
        <v>148</v>
      </c>
      <c r="D575" t="s">
        <v>200</v>
      </c>
      <c r="E575" t="s">
        <v>202</v>
      </c>
      <c r="F575" t="s">
        <v>256</v>
      </c>
      <c r="G575" t="s">
        <v>202</v>
      </c>
      <c r="H575" t="s">
        <v>271</v>
      </c>
      <c r="I575" t="s">
        <v>202</v>
      </c>
      <c r="J575" t="s">
        <v>289</v>
      </c>
      <c r="K575" t="s">
        <v>292</v>
      </c>
      <c r="M575" t="s">
        <v>290</v>
      </c>
      <c r="N575" t="s">
        <v>419</v>
      </c>
      <c r="O575" t="s">
        <v>420</v>
      </c>
      <c r="P575" t="s">
        <v>427</v>
      </c>
      <c r="S575" t="s">
        <v>543</v>
      </c>
      <c r="T575" t="s">
        <v>1609</v>
      </c>
      <c r="U575" t="s">
        <v>256</v>
      </c>
      <c r="W575" t="s">
        <v>1876</v>
      </c>
      <c r="X575" t="s">
        <v>2414</v>
      </c>
      <c r="Y575" t="s">
        <v>3003</v>
      </c>
      <c r="Z575" t="s">
        <v>3099</v>
      </c>
      <c r="AA575" t="s">
        <v>3135</v>
      </c>
      <c r="AB575">
        <v>10009</v>
      </c>
      <c r="AC575" t="s">
        <v>3136</v>
      </c>
      <c r="AD575" t="s">
        <v>3672</v>
      </c>
      <c r="AE575">
        <v>56</v>
      </c>
      <c r="AG575" t="s">
        <v>4032</v>
      </c>
      <c r="AH575" t="s">
        <v>291</v>
      </c>
      <c r="AI575" t="s">
        <v>291</v>
      </c>
      <c r="AK575" t="s">
        <v>4040</v>
      </c>
      <c r="AL575" t="s">
        <v>4046</v>
      </c>
      <c r="AM575">
        <v>0</v>
      </c>
      <c r="AN575">
        <v>450</v>
      </c>
      <c r="AO575">
        <v>0</v>
      </c>
      <c r="AQ575" t="s">
        <v>4611</v>
      </c>
      <c r="AR575" t="s">
        <v>5478</v>
      </c>
      <c r="AS575">
        <v>16</v>
      </c>
      <c r="AT575" t="s">
        <v>5846</v>
      </c>
      <c r="AU575">
        <v>1</v>
      </c>
      <c r="AV575">
        <v>0</v>
      </c>
      <c r="AW575">
        <v>115.29</v>
      </c>
      <c r="BA575" t="s">
        <v>5850</v>
      </c>
      <c r="BB575" t="s">
        <v>1322</v>
      </c>
      <c r="BC575">
        <v>14400</v>
      </c>
      <c r="BG575" t="s">
        <v>5913</v>
      </c>
      <c r="BJ575" t="s">
        <v>5950</v>
      </c>
      <c r="BL575" t="s">
        <v>6056</v>
      </c>
    </row>
    <row r="576" spans="1:64">
      <c r="A576" s="1">
        <f>HYPERLINK("https://lsnyc.legalserver.org/matter/dynamic-profile/view/1910171","19-1910171")</f>
        <v>0</v>
      </c>
      <c r="B576" t="s">
        <v>66</v>
      </c>
      <c r="C576" t="s">
        <v>148</v>
      </c>
      <c r="D576" t="s">
        <v>200</v>
      </c>
      <c r="E576" t="s">
        <v>202</v>
      </c>
      <c r="F576" t="s">
        <v>259</v>
      </c>
      <c r="G576" t="s">
        <v>202</v>
      </c>
      <c r="H576" t="s">
        <v>272</v>
      </c>
      <c r="I576" t="s">
        <v>202</v>
      </c>
      <c r="J576" t="s">
        <v>289</v>
      </c>
      <c r="K576" t="s">
        <v>202</v>
      </c>
      <c r="L576" t="s">
        <v>366</v>
      </c>
      <c r="M576" t="s">
        <v>290</v>
      </c>
      <c r="N576" t="s">
        <v>419</v>
      </c>
      <c r="O576" t="s">
        <v>420</v>
      </c>
      <c r="P576" t="s">
        <v>427</v>
      </c>
      <c r="S576" t="s">
        <v>927</v>
      </c>
      <c r="T576" t="s">
        <v>1610</v>
      </c>
      <c r="U576" t="s">
        <v>259</v>
      </c>
      <c r="W576" t="s">
        <v>1876</v>
      </c>
      <c r="X576" t="s">
        <v>2415</v>
      </c>
      <c r="Y576" t="s">
        <v>3004</v>
      </c>
      <c r="Z576" t="s">
        <v>3099</v>
      </c>
      <c r="AA576" t="s">
        <v>3135</v>
      </c>
      <c r="AB576">
        <v>10019</v>
      </c>
      <c r="AC576" t="s">
        <v>3136</v>
      </c>
      <c r="AD576" t="s">
        <v>3673</v>
      </c>
      <c r="AE576">
        <v>6</v>
      </c>
      <c r="AG576" t="s">
        <v>4032</v>
      </c>
      <c r="AH576" t="s">
        <v>291</v>
      </c>
      <c r="AI576" t="s">
        <v>291</v>
      </c>
      <c r="AK576" t="s">
        <v>4040</v>
      </c>
      <c r="AM576">
        <v>0</v>
      </c>
      <c r="AN576">
        <v>627</v>
      </c>
      <c r="AO576">
        <v>0</v>
      </c>
      <c r="AQ576" t="s">
        <v>4612</v>
      </c>
      <c r="AR576" t="s">
        <v>5479</v>
      </c>
      <c r="AS576">
        <v>0</v>
      </c>
      <c r="AT576" t="s">
        <v>5838</v>
      </c>
      <c r="AU576">
        <v>1</v>
      </c>
      <c r="AV576">
        <v>0</v>
      </c>
      <c r="AW576">
        <v>24.98</v>
      </c>
      <c r="BA576" t="s">
        <v>329</v>
      </c>
      <c r="BB576" t="s">
        <v>1322</v>
      </c>
      <c r="BC576">
        <v>3120</v>
      </c>
      <c r="BG576" t="s">
        <v>5914</v>
      </c>
      <c r="BJ576" t="s">
        <v>5951</v>
      </c>
      <c r="BL576" t="s">
        <v>6057</v>
      </c>
    </row>
    <row r="577" spans="1:64">
      <c r="A577" s="1">
        <f>HYPERLINK("https://lsnyc.legalserver.org/matter/dynamic-profile/view/1909910","19-1909910")</f>
        <v>0</v>
      </c>
      <c r="B577" t="s">
        <v>66</v>
      </c>
      <c r="C577" t="s">
        <v>148</v>
      </c>
      <c r="D577" t="s">
        <v>200</v>
      </c>
      <c r="E577" t="s">
        <v>202</v>
      </c>
      <c r="F577" t="s">
        <v>243</v>
      </c>
      <c r="G577" t="s">
        <v>202</v>
      </c>
      <c r="H577" t="s">
        <v>272</v>
      </c>
      <c r="I577" t="s">
        <v>202</v>
      </c>
      <c r="J577" t="s">
        <v>289</v>
      </c>
      <c r="K577" t="s">
        <v>292</v>
      </c>
      <c r="M577" t="s">
        <v>290</v>
      </c>
      <c r="N577" t="s">
        <v>202</v>
      </c>
      <c r="O577" t="s">
        <v>421</v>
      </c>
      <c r="P577" t="s">
        <v>427</v>
      </c>
      <c r="S577" t="s">
        <v>928</v>
      </c>
      <c r="T577" t="s">
        <v>1501</v>
      </c>
      <c r="U577" t="s">
        <v>243</v>
      </c>
      <c r="W577" t="s">
        <v>1876</v>
      </c>
      <c r="X577" t="s">
        <v>2416</v>
      </c>
      <c r="Y577" t="s">
        <v>2899</v>
      </c>
      <c r="Z577" t="s">
        <v>3099</v>
      </c>
      <c r="AA577" t="s">
        <v>3135</v>
      </c>
      <c r="AB577">
        <v>10027</v>
      </c>
      <c r="AC577" t="s">
        <v>3139</v>
      </c>
      <c r="AD577" t="s">
        <v>3674</v>
      </c>
      <c r="AE577">
        <v>12</v>
      </c>
      <c r="AG577" t="s">
        <v>4033</v>
      </c>
      <c r="AH577" t="s">
        <v>291</v>
      </c>
      <c r="AI577" t="s">
        <v>291</v>
      </c>
      <c r="AK577" t="s">
        <v>4040</v>
      </c>
      <c r="AM577">
        <v>0</v>
      </c>
      <c r="AN577">
        <v>503.48</v>
      </c>
      <c r="AO577">
        <v>0</v>
      </c>
      <c r="AQ577" t="s">
        <v>4613</v>
      </c>
      <c r="AR577" t="s">
        <v>5480</v>
      </c>
      <c r="AS577">
        <v>0</v>
      </c>
      <c r="AT577" t="s">
        <v>5836</v>
      </c>
      <c r="AU577">
        <v>2</v>
      </c>
      <c r="AV577">
        <v>0</v>
      </c>
      <c r="AW577">
        <v>0</v>
      </c>
      <c r="BA577" t="s">
        <v>329</v>
      </c>
      <c r="BB577" t="s">
        <v>1322</v>
      </c>
      <c r="BC577">
        <v>0</v>
      </c>
      <c r="BG577" t="s">
        <v>5915</v>
      </c>
      <c r="BJ577" t="s">
        <v>5945</v>
      </c>
      <c r="BL577" t="s">
        <v>6056</v>
      </c>
    </row>
    <row r="578" spans="1:64">
      <c r="A578" s="1">
        <f>HYPERLINK("https://lsnyc.legalserver.org/matter/dynamic-profile/view/1910238","19-1910238")</f>
        <v>0</v>
      </c>
      <c r="B578" t="s">
        <v>66</v>
      </c>
      <c r="C578" t="s">
        <v>148</v>
      </c>
      <c r="D578" t="s">
        <v>200</v>
      </c>
      <c r="E578" t="s">
        <v>202</v>
      </c>
      <c r="F578" t="s">
        <v>259</v>
      </c>
      <c r="G578" t="s">
        <v>202</v>
      </c>
      <c r="H578" t="s">
        <v>271</v>
      </c>
      <c r="I578" t="s">
        <v>202</v>
      </c>
      <c r="J578" t="s">
        <v>289</v>
      </c>
      <c r="K578" t="s">
        <v>292</v>
      </c>
      <c r="M578" t="s">
        <v>290</v>
      </c>
      <c r="N578" t="s">
        <v>419</v>
      </c>
      <c r="O578" t="s">
        <v>420</v>
      </c>
      <c r="P578" t="s">
        <v>427</v>
      </c>
      <c r="S578" t="s">
        <v>929</v>
      </c>
      <c r="T578" t="s">
        <v>1158</v>
      </c>
      <c r="U578" t="s">
        <v>259</v>
      </c>
      <c r="W578" t="s">
        <v>1876</v>
      </c>
      <c r="X578" t="s">
        <v>2417</v>
      </c>
      <c r="Y578" t="s">
        <v>2836</v>
      </c>
      <c r="Z578" t="s">
        <v>3099</v>
      </c>
      <c r="AA578" t="s">
        <v>3135</v>
      </c>
      <c r="AB578">
        <v>10039</v>
      </c>
      <c r="AC578" t="s">
        <v>3138</v>
      </c>
      <c r="AD578" t="s">
        <v>3675</v>
      </c>
      <c r="AE578">
        <v>18</v>
      </c>
      <c r="AG578" t="s">
        <v>4032</v>
      </c>
      <c r="AH578" t="s">
        <v>291</v>
      </c>
      <c r="AI578" t="s">
        <v>291</v>
      </c>
      <c r="AK578" t="s">
        <v>4040</v>
      </c>
      <c r="AM578">
        <v>0</v>
      </c>
      <c r="AN578">
        <v>400</v>
      </c>
      <c r="AO578">
        <v>0.25</v>
      </c>
      <c r="AQ578" t="s">
        <v>4614</v>
      </c>
      <c r="AR578" t="s">
        <v>5481</v>
      </c>
      <c r="AS578">
        <v>0</v>
      </c>
      <c r="AT578" t="s">
        <v>5843</v>
      </c>
      <c r="AU578">
        <v>2</v>
      </c>
      <c r="AV578">
        <v>0</v>
      </c>
      <c r="AW578">
        <v>179.07</v>
      </c>
      <c r="BA578" t="s">
        <v>329</v>
      </c>
      <c r="BB578" t="s">
        <v>1322</v>
      </c>
      <c r="BC578">
        <v>30280</v>
      </c>
      <c r="BG578" t="s">
        <v>5915</v>
      </c>
      <c r="BJ578" t="s">
        <v>5997</v>
      </c>
      <c r="BK578" t="s">
        <v>259</v>
      </c>
      <c r="BL578" t="s">
        <v>6056</v>
      </c>
    </row>
    <row r="579" spans="1:64">
      <c r="A579" s="1">
        <f>HYPERLINK("https://lsnyc.legalserver.org/matter/dynamic-profile/view/1907061","19-1907061")</f>
        <v>0</v>
      </c>
      <c r="B579" t="s">
        <v>66</v>
      </c>
      <c r="C579" t="s">
        <v>150</v>
      </c>
      <c r="D579" t="s">
        <v>200</v>
      </c>
      <c r="E579" t="s">
        <v>202</v>
      </c>
      <c r="F579" t="s">
        <v>226</v>
      </c>
      <c r="G579" t="s">
        <v>202</v>
      </c>
      <c r="H579" t="s">
        <v>271</v>
      </c>
      <c r="I579" t="s">
        <v>202</v>
      </c>
      <c r="J579" t="s">
        <v>289</v>
      </c>
      <c r="K579" t="s">
        <v>292</v>
      </c>
      <c r="M579" t="s">
        <v>290</v>
      </c>
      <c r="N579" t="s">
        <v>202</v>
      </c>
      <c r="O579" t="s">
        <v>422</v>
      </c>
      <c r="P579" t="s">
        <v>427</v>
      </c>
      <c r="S579" t="s">
        <v>930</v>
      </c>
      <c r="T579" t="s">
        <v>1611</v>
      </c>
      <c r="U579" t="s">
        <v>226</v>
      </c>
      <c r="W579" t="s">
        <v>1876</v>
      </c>
      <c r="X579" t="s">
        <v>2418</v>
      </c>
      <c r="Y579" t="s">
        <v>3005</v>
      </c>
      <c r="Z579" t="s">
        <v>3099</v>
      </c>
      <c r="AA579" t="s">
        <v>3135</v>
      </c>
      <c r="AB579">
        <v>10030</v>
      </c>
      <c r="AC579" t="s">
        <v>3136</v>
      </c>
      <c r="AD579" t="s">
        <v>3676</v>
      </c>
      <c r="AE579">
        <v>45</v>
      </c>
      <c r="AG579" t="s">
        <v>4032</v>
      </c>
      <c r="AH579" t="s">
        <v>291</v>
      </c>
      <c r="AI579" t="s">
        <v>291</v>
      </c>
      <c r="AK579" t="s">
        <v>4040</v>
      </c>
      <c r="AL579" t="s">
        <v>4046</v>
      </c>
      <c r="AM579">
        <v>0</v>
      </c>
      <c r="AN579">
        <v>829</v>
      </c>
      <c r="AO579">
        <v>1</v>
      </c>
      <c r="AQ579" t="s">
        <v>4615</v>
      </c>
      <c r="AR579" t="s">
        <v>5482</v>
      </c>
      <c r="AS579">
        <v>240</v>
      </c>
      <c r="AT579" t="s">
        <v>5838</v>
      </c>
      <c r="AU579">
        <v>1</v>
      </c>
      <c r="AV579">
        <v>0</v>
      </c>
      <c r="AW579">
        <v>166.53</v>
      </c>
      <c r="BA579" t="s">
        <v>5850</v>
      </c>
      <c r="BB579" t="s">
        <v>1322</v>
      </c>
      <c r="BC579">
        <v>20800</v>
      </c>
      <c r="BG579" t="s">
        <v>5915</v>
      </c>
      <c r="BJ579" t="s">
        <v>5949</v>
      </c>
      <c r="BK579" t="s">
        <v>226</v>
      </c>
      <c r="BL579" t="s">
        <v>6057</v>
      </c>
    </row>
    <row r="580" spans="1:64">
      <c r="A580" s="1">
        <f>HYPERLINK("https://lsnyc.legalserver.org/matter/dynamic-profile/view/1908995","19-1908995")</f>
        <v>0</v>
      </c>
      <c r="B580" t="s">
        <v>66</v>
      </c>
      <c r="C580" t="s">
        <v>150</v>
      </c>
      <c r="D580" t="s">
        <v>200</v>
      </c>
      <c r="E580" t="s">
        <v>202</v>
      </c>
      <c r="F580" t="s">
        <v>256</v>
      </c>
      <c r="G580" t="s">
        <v>202</v>
      </c>
      <c r="H580" t="s">
        <v>272</v>
      </c>
      <c r="I580" t="s">
        <v>202</v>
      </c>
      <c r="J580" t="s">
        <v>289</v>
      </c>
      <c r="K580" t="s">
        <v>202</v>
      </c>
      <c r="L580" t="s">
        <v>367</v>
      </c>
      <c r="M580" t="s">
        <v>290</v>
      </c>
      <c r="N580" t="s">
        <v>419</v>
      </c>
      <c r="O580" t="s">
        <v>420</v>
      </c>
      <c r="P580" t="s">
        <v>427</v>
      </c>
      <c r="S580" t="s">
        <v>931</v>
      </c>
      <c r="T580" t="s">
        <v>1451</v>
      </c>
      <c r="U580" t="s">
        <v>256</v>
      </c>
      <c r="W580" t="s">
        <v>1876</v>
      </c>
      <c r="X580" t="s">
        <v>2419</v>
      </c>
      <c r="Y580" t="s">
        <v>3006</v>
      </c>
      <c r="Z580" t="s">
        <v>3099</v>
      </c>
      <c r="AA580" t="s">
        <v>3135</v>
      </c>
      <c r="AB580">
        <v>10002</v>
      </c>
      <c r="AC580" t="s">
        <v>3136</v>
      </c>
      <c r="AD580" t="s">
        <v>3677</v>
      </c>
      <c r="AE580">
        <v>41</v>
      </c>
      <c r="AG580" t="s">
        <v>4032</v>
      </c>
      <c r="AH580" t="s">
        <v>291</v>
      </c>
      <c r="AI580" t="s">
        <v>291</v>
      </c>
      <c r="AK580" t="s">
        <v>4041</v>
      </c>
      <c r="AM580">
        <v>0</v>
      </c>
      <c r="AN580">
        <v>1516</v>
      </c>
      <c r="AO580">
        <v>0.1</v>
      </c>
      <c r="AQ580" t="s">
        <v>4616</v>
      </c>
      <c r="AR580" t="s">
        <v>5483</v>
      </c>
      <c r="AS580">
        <v>0</v>
      </c>
      <c r="AT580" t="s">
        <v>5837</v>
      </c>
      <c r="AU580">
        <v>5</v>
      </c>
      <c r="AV580">
        <v>0</v>
      </c>
      <c r="AW580">
        <v>172.36</v>
      </c>
      <c r="BA580" t="s">
        <v>329</v>
      </c>
      <c r="BB580" t="s">
        <v>1322</v>
      </c>
      <c r="BC580">
        <v>52000</v>
      </c>
      <c r="BG580" t="s">
        <v>5915</v>
      </c>
      <c r="BJ580" t="s">
        <v>6003</v>
      </c>
      <c r="BK580" t="s">
        <v>256</v>
      </c>
      <c r="BL580" t="s">
        <v>6057</v>
      </c>
    </row>
    <row r="581" spans="1:64">
      <c r="A581" s="1">
        <f>HYPERLINK("https://lsnyc.legalserver.org/matter/dynamic-profile/view/1909019","19-1909019")</f>
        <v>0</v>
      </c>
      <c r="B581" t="s">
        <v>66</v>
      </c>
      <c r="C581" t="s">
        <v>150</v>
      </c>
      <c r="D581" t="s">
        <v>200</v>
      </c>
      <c r="E581" t="s">
        <v>202</v>
      </c>
      <c r="F581" t="s">
        <v>256</v>
      </c>
      <c r="G581" t="s">
        <v>202</v>
      </c>
      <c r="H581" t="s">
        <v>272</v>
      </c>
      <c r="I581" t="s">
        <v>202</v>
      </c>
      <c r="J581" t="s">
        <v>289</v>
      </c>
      <c r="K581" t="s">
        <v>202</v>
      </c>
      <c r="L581" t="s">
        <v>368</v>
      </c>
      <c r="M581" t="s">
        <v>290</v>
      </c>
      <c r="N581" t="s">
        <v>419</v>
      </c>
      <c r="O581" t="s">
        <v>420</v>
      </c>
      <c r="P581" t="s">
        <v>427</v>
      </c>
      <c r="S581" t="s">
        <v>932</v>
      </c>
      <c r="T581" t="s">
        <v>1612</v>
      </c>
      <c r="U581" t="s">
        <v>256</v>
      </c>
      <c r="W581" t="s">
        <v>1876</v>
      </c>
      <c r="X581" t="s">
        <v>2420</v>
      </c>
      <c r="Y581" t="s">
        <v>2836</v>
      </c>
      <c r="Z581" t="s">
        <v>3099</v>
      </c>
      <c r="AA581" t="s">
        <v>3135</v>
      </c>
      <c r="AB581">
        <v>10032</v>
      </c>
      <c r="AC581" t="s">
        <v>3136</v>
      </c>
      <c r="AD581" t="s">
        <v>3678</v>
      </c>
      <c r="AE581">
        <v>7</v>
      </c>
      <c r="AG581" t="s">
        <v>4032</v>
      </c>
      <c r="AH581" t="s">
        <v>291</v>
      </c>
      <c r="AI581" t="s">
        <v>289</v>
      </c>
      <c r="AK581" t="s">
        <v>4040</v>
      </c>
      <c r="AM581">
        <v>0</v>
      </c>
      <c r="AN581">
        <v>870</v>
      </c>
      <c r="AO581">
        <v>0</v>
      </c>
      <c r="AQ581" t="s">
        <v>4617</v>
      </c>
      <c r="AR581" t="s">
        <v>5484</v>
      </c>
      <c r="AS581">
        <v>0</v>
      </c>
      <c r="AT581" t="s">
        <v>5838</v>
      </c>
      <c r="AU581">
        <v>2</v>
      </c>
      <c r="AV581">
        <v>0</v>
      </c>
      <c r="AW581">
        <v>66.42</v>
      </c>
      <c r="BA581" t="s">
        <v>5850</v>
      </c>
      <c r="BB581" t="s">
        <v>1322</v>
      </c>
      <c r="BC581">
        <v>11232</v>
      </c>
      <c r="BG581" t="s">
        <v>5915</v>
      </c>
      <c r="BJ581" t="s">
        <v>5951</v>
      </c>
      <c r="BL581" t="s">
        <v>6057</v>
      </c>
    </row>
    <row r="582" spans="1:64">
      <c r="A582" s="1">
        <f>HYPERLINK("https://lsnyc.legalserver.org/matter/dynamic-profile/view/1904641","19-1904641")</f>
        <v>0</v>
      </c>
      <c r="B582" t="s">
        <v>66</v>
      </c>
      <c r="C582" t="s">
        <v>150</v>
      </c>
      <c r="D582" t="s">
        <v>200</v>
      </c>
      <c r="E582" t="s">
        <v>202</v>
      </c>
      <c r="F582" t="s">
        <v>246</v>
      </c>
      <c r="G582" t="s">
        <v>202</v>
      </c>
      <c r="H582" t="s">
        <v>272</v>
      </c>
      <c r="I582" t="s">
        <v>202</v>
      </c>
      <c r="J582" t="s">
        <v>289</v>
      </c>
      <c r="K582" t="s">
        <v>292</v>
      </c>
      <c r="M582" t="s">
        <v>290</v>
      </c>
      <c r="N582" t="s">
        <v>202</v>
      </c>
      <c r="O582" t="s">
        <v>422</v>
      </c>
      <c r="P582" t="s">
        <v>427</v>
      </c>
      <c r="S582" t="s">
        <v>933</v>
      </c>
      <c r="T582" t="s">
        <v>1194</v>
      </c>
      <c r="U582" t="s">
        <v>246</v>
      </c>
      <c r="W582" t="s">
        <v>1876</v>
      </c>
      <c r="X582" t="s">
        <v>2421</v>
      </c>
      <c r="Y582" t="s">
        <v>2824</v>
      </c>
      <c r="Z582" t="s">
        <v>3099</v>
      </c>
      <c r="AA582" t="s">
        <v>3135</v>
      </c>
      <c r="AB582">
        <v>10033</v>
      </c>
      <c r="AC582" t="s">
        <v>3138</v>
      </c>
      <c r="AD582" t="s">
        <v>3679</v>
      </c>
      <c r="AE582">
        <v>10</v>
      </c>
      <c r="AG582" t="s">
        <v>4032</v>
      </c>
      <c r="AH582" t="s">
        <v>291</v>
      </c>
      <c r="AI582" t="s">
        <v>291</v>
      </c>
      <c r="AK582" t="s">
        <v>4040</v>
      </c>
      <c r="AM582">
        <v>0</v>
      </c>
      <c r="AN582">
        <v>775</v>
      </c>
      <c r="AO582">
        <v>2.1</v>
      </c>
      <c r="AQ582" t="s">
        <v>4618</v>
      </c>
      <c r="AR582" t="s">
        <v>5485</v>
      </c>
      <c r="AS582">
        <v>0</v>
      </c>
      <c r="AT582" t="s">
        <v>5837</v>
      </c>
      <c r="AU582">
        <v>1</v>
      </c>
      <c r="AV582">
        <v>0</v>
      </c>
      <c r="AW582">
        <v>240.19</v>
      </c>
      <c r="BA582" t="s">
        <v>329</v>
      </c>
      <c r="BB582" t="s">
        <v>1322</v>
      </c>
      <c r="BC582">
        <v>30000</v>
      </c>
      <c r="BG582" t="s">
        <v>5915</v>
      </c>
      <c r="BJ582" t="s">
        <v>5949</v>
      </c>
      <c r="BK582" t="s">
        <v>260</v>
      </c>
      <c r="BL582" t="s">
        <v>6056</v>
      </c>
    </row>
    <row r="583" spans="1:64">
      <c r="A583" s="1">
        <f>HYPERLINK("https://lsnyc.legalserver.org/matter/dynamic-profile/view/1907899","19-1907899")</f>
        <v>0</v>
      </c>
      <c r="B583" t="s">
        <v>66</v>
      </c>
      <c r="C583" t="s">
        <v>150</v>
      </c>
      <c r="D583" t="s">
        <v>200</v>
      </c>
      <c r="E583" t="s">
        <v>202</v>
      </c>
      <c r="F583" t="s">
        <v>223</v>
      </c>
      <c r="G583" t="s">
        <v>202</v>
      </c>
      <c r="H583" t="s">
        <v>272</v>
      </c>
      <c r="I583" t="s">
        <v>202</v>
      </c>
      <c r="J583" t="s">
        <v>289</v>
      </c>
      <c r="K583" t="s">
        <v>292</v>
      </c>
      <c r="M583" t="s">
        <v>290</v>
      </c>
      <c r="N583" t="s">
        <v>202</v>
      </c>
      <c r="O583" t="s">
        <v>421</v>
      </c>
      <c r="P583" t="s">
        <v>427</v>
      </c>
      <c r="S583" t="s">
        <v>934</v>
      </c>
      <c r="T583" t="s">
        <v>1613</v>
      </c>
      <c r="U583" t="s">
        <v>223</v>
      </c>
      <c r="W583" t="s">
        <v>1876</v>
      </c>
      <c r="X583" t="s">
        <v>2422</v>
      </c>
      <c r="Y583" t="s">
        <v>3007</v>
      </c>
      <c r="Z583" t="s">
        <v>3099</v>
      </c>
      <c r="AA583" t="s">
        <v>3135</v>
      </c>
      <c r="AB583">
        <v>10128</v>
      </c>
      <c r="AC583" t="s">
        <v>3136</v>
      </c>
      <c r="AD583" t="s">
        <v>3680</v>
      </c>
      <c r="AE583">
        <v>6</v>
      </c>
      <c r="AG583" t="s">
        <v>4032</v>
      </c>
      <c r="AH583" t="s">
        <v>291</v>
      </c>
      <c r="AI583" t="s">
        <v>291</v>
      </c>
      <c r="AK583" t="s">
        <v>4040</v>
      </c>
      <c r="AL583" t="s">
        <v>4049</v>
      </c>
      <c r="AM583">
        <v>0</v>
      </c>
      <c r="AN583">
        <v>2111</v>
      </c>
      <c r="AO583">
        <v>5.9</v>
      </c>
      <c r="AQ583" t="s">
        <v>4619</v>
      </c>
      <c r="AR583" t="s">
        <v>5486</v>
      </c>
      <c r="AS583">
        <v>0</v>
      </c>
      <c r="AT583" t="s">
        <v>5835</v>
      </c>
      <c r="AU583">
        <v>1</v>
      </c>
      <c r="AV583">
        <v>1</v>
      </c>
      <c r="AW583">
        <v>195.15</v>
      </c>
      <c r="BA583" t="s">
        <v>5850</v>
      </c>
      <c r="BB583" t="s">
        <v>1322</v>
      </c>
      <c r="BC583">
        <v>33000</v>
      </c>
      <c r="BG583" t="s">
        <v>5914</v>
      </c>
      <c r="BJ583" t="s">
        <v>6027</v>
      </c>
      <c r="BK583" t="s">
        <v>252</v>
      </c>
      <c r="BL583" t="s">
        <v>6056</v>
      </c>
    </row>
    <row r="584" spans="1:64">
      <c r="A584" s="1">
        <f>HYPERLINK("https://lsnyc.legalserver.org/matter/dynamic-profile/view/1906993","19-1906993")</f>
        <v>0</v>
      </c>
      <c r="B584" t="s">
        <v>66</v>
      </c>
      <c r="C584" t="s">
        <v>150</v>
      </c>
      <c r="D584" t="s">
        <v>200</v>
      </c>
      <c r="E584" t="s">
        <v>202</v>
      </c>
      <c r="F584" t="s">
        <v>226</v>
      </c>
      <c r="G584" t="s">
        <v>202</v>
      </c>
      <c r="H584" t="s">
        <v>271</v>
      </c>
      <c r="I584" t="s">
        <v>202</v>
      </c>
      <c r="J584" t="s">
        <v>289</v>
      </c>
      <c r="K584" t="s">
        <v>292</v>
      </c>
      <c r="M584" t="s">
        <v>290</v>
      </c>
      <c r="N584" t="s">
        <v>202</v>
      </c>
      <c r="O584" t="s">
        <v>422</v>
      </c>
      <c r="P584" t="s">
        <v>427</v>
      </c>
      <c r="S584" t="s">
        <v>726</v>
      </c>
      <c r="T584" t="s">
        <v>1410</v>
      </c>
      <c r="U584" t="s">
        <v>226</v>
      </c>
      <c r="W584" t="s">
        <v>1876</v>
      </c>
      <c r="X584" t="s">
        <v>2423</v>
      </c>
      <c r="Y584" t="s">
        <v>2973</v>
      </c>
      <c r="Z584" t="s">
        <v>3099</v>
      </c>
      <c r="AA584" t="s">
        <v>3135</v>
      </c>
      <c r="AB584">
        <v>10033</v>
      </c>
      <c r="AC584" t="s">
        <v>3136</v>
      </c>
      <c r="AD584" t="s">
        <v>3681</v>
      </c>
      <c r="AE584">
        <v>7</v>
      </c>
      <c r="AG584" t="s">
        <v>4032</v>
      </c>
      <c r="AH584" t="s">
        <v>291</v>
      </c>
      <c r="AI584" t="s">
        <v>291</v>
      </c>
      <c r="AK584" t="s">
        <v>4040</v>
      </c>
      <c r="AM584">
        <v>0</v>
      </c>
      <c r="AN584">
        <v>1050</v>
      </c>
      <c r="AO584">
        <v>2.15</v>
      </c>
      <c r="AQ584" t="s">
        <v>4620</v>
      </c>
      <c r="AR584" t="s">
        <v>5487</v>
      </c>
      <c r="AS584">
        <v>0</v>
      </c>
      <c r="AT584" t="s">
        <v>5838</v>
      </c>
      <c r="AU584">
        <v>2</v>
      </c>
      <c r="AV584">
        <v>0</v>
      </c>
      <c r="AW584">
        <v>107.87</v>
      </c>
      <c r="BA584" t="s">
        <v>329</v>
      </c>
      <c r="BB584" t="s">
        <v>5859</v>
      </c>
      <c r="BC584">
        <v>18240</v>
      </c>
      <c r="BG584" t="s">
        <v>5915</v>
      </c>
      <c r="BJ584" t="s">
        <v>6004</v>
      </c>
      <c r="BK584" t="s">
        <v>264</v>
      </c>
      <c r="BL584" t="s">
        <v>6056</v>
      </c>
    </row>
    <row r="585" spans="1:64">
      <c r="A585" s="1">
        <f>HYPERLINK("https://lsnyc.legalserver.org/matter/dynamic-profile/view/1908994","19-1908994")</f>
        <v>0</v>
      </c>
      <c r="B585" t="s">
        <v>66</v>
      </c>
      <c r="C585" t="s">
        <v>149</v>
      </c>
      <c r="D585" t="s">
        <v>200</v>
      </c>
      <c r="E585" t="s">
        <v>202</v>
      </c>
      <c r="F585" t="s">
        <v>256</v>
      </c>
      <c r="G585" t="s">
        <v>202</v>
      </c>
      <c r="H585" t="s">
        <v>271</v>
      </c>
      <c r="I585" t="s">
        <v>202</v>
      </c>
      <c r="J585" t="s">
        <v>289</v>
      </c>
      <c r="K585" t="s">
        <v>292</v>
      </c>
      <c r="M585" t="s">
        <v>290</v>
      </c>
      <c r="N585" t="s">
        <v>419</v>
      </c>
      <c r="O585" t="s">
        <v>420</v>
      </c>
      <c r="P585" t="s">
        <v>427</v>
      </c>
      <c r="S585" t="s">
        <v>935</v>
      </c>
      <c r="T585" t="s">
        <v>1614</v>
      </c>
      <c r="U585" t="s">
        <v>256</v>
      </c>
      <c r="W585" t="s">
        <v>1876</v>
      </c>
      <c r="X585" t="s">
        <v>2424</v>
      </c>
      <c r="Y585">
        <v>2</v>
      </c>
      <c r="Z585" t="s">
        <v>3099</v>
      </c>
      <c r="AA585" t="s">
        <v>3135</v>
      </c>
      <c r="AB585">
        <v>10019</v>
      </c>
      <c r="AC585" t="s">
        <v>3136</v>
      </c>
      <c r="AD585" t="s">
        <v>3682</v>
      </c>
      <c r="AE585">
        <v>2</v>
      </c>
      <c r="AG585" t="s">
        <v>4032</v>
      </c>
      <c r="AH585" t="s">
        <v>291</v>
      </c>
      <c r="AI585" t="s">
        <v>291</v>
      </c>
      <c r="AK585" t="s">
        <v>4040</v>
      </c>
      <c r="AL585" t="s">
        <v>4046</v>
      </c>
      <c r="AM585">
        <v>0</v>
      </c>
      <c r="AN585">
        <v>980</v>
      </c>
      <c r="AO585">
        <v>0</v>
      </c>
      <c r="AQ585" t="s">
        <v>4621</v>
      </c>
      <c r="AR585" t="s">
        <v>5488</v>
      </c>
      <c r="AS585">
        <v>4</v>
      </c>
      <c r="AT585" t="s">
        <v>5836</v>
      </c>
      <c r="AU585">
        <v>1</v>
      </c>
      <c r="AV585">
        <v>0</v>
      </c>
      <c r="AW585">
        <v>64.05</v>
      </c>
      <c r="BA585" t="s">
        <v>329</v>
      </c>
      <c r="BB585" t="s">
        <v>1322</v>
      </c>
      <c r="BC585">
        <v>8000</v>
      </c>
      <c r="BG585" t="s">
        <v>5913</v>
      </c>
      <c r="BJ585" t="s">
        <v>5949</v>
      </c>
      <c r="BL585" t="s">
        <v>6056</v>
      </c>
    </row>
    <row r="586" spans="1:64">
      <c r="A586" s="1">
        <f>HYPERLINK("https://lsnyc.legalserver.org/matter/dynamic-profile/view/1909021","19-1909021")</f>
        <v>0</v>
      </c>
      <c r="B586" t="s">
        <v>66</v>
      </c>
      <c r="C586" t="s">
        <v>150</v>
      </c>
      <c r="D586" t="s">
        <v>200</v>
      </c>
      <c r="E586" t="s">
        <v>202</v>
      </c>
      <c r="F586" t="s">
        <v>256</v>
      </c>
      <c r="G586" t="s">
        <v>202</v>
      </c>
      <c r="H586" t="s">
        <v>272</v>
      </c>
      <c r="I586" t="s">
        <v>202</v>
      </c>
      <c r="J586" t="s">
        <v>289</v>
      </c>
      <c r="K586" t="s">
        <v>292</v>
      </c>
      <c r="M586" t="s">
        <v>290</v>
      </c>
      <c r="N586" t="s">
        <v>419</v>
      </c>
      <c r="O586" t="s">
        <v>420</v>
      </c>
      <c r="P586" t="s">
        <v>427</v>
      </c>
      <c r="S586" t="s">
        <v>478</v>
      </c>
      <c r="T586" t="s">
        <v>1181</v>
      </c>
      <c r="U586" t="s">
        <v>256</v>
      </c>
      <c r="W586" t="s">
        <v>1876</v>
      </c>
      <c r="X586" t="s">
        <v>2425</v>
      </c>
      <c r="Y586" t="s">
        <v>2863</v>
      </c>
      <c r="Z586" t="s">
        <v>3099</v>
      </c>
      <c r="AA586" t="s">
        <v>3135</v>
      </c>
      <c r="AB586">
        <v>10034</v>
      </c>
      <c r="AC586" t="s">
        <v>3136</v>
      </c>
      <c r="AD586" t="s">
        <v>3683</v>
      </c>
      <c r="AE586">
        <v>26</v>
      </c>
      <c r="AG586" t="s">
        <v>4032</v>
      </c>
      <c r="AH586" t="s">
        <v>291</v>
      </c>
      <c r="AI586" t="s">
        <v>291</v>
      </c>
      <c r="AK586" t="s">
        <v>4040</v>
      </c>
      <c r="AL586" t="s">
        <v>4046</v>
      </c>
      <c r="AM586">
        <v>0</v>
      </c>
      <c r="AN586">
        <v>981.3200000000001</v>
      </c>
      <c r="AO586">
        <v>0</v>
      </c>
      <c r="AQ586" t="s">
        <v>4622</v>
      </c>
      <c r="AR586" t="s">
        <v>5489</v>
      </c>
      <c r="AS586">
        <v>60</v>
      </c>
      <c r="AT586" t="s">
        <v>5838</v>
      </c>
      <c r="AU586">
        <v>1</v>
      </c>
      <c r="AV586">
        <v>0</v>
      </c>
      <c r="AW586">
        <v>19.15</v>
      </c>
      <c r="BA586" t="s">
        <v>329</v>
      </c>
      <c r="BB586" t="s">
        <v>1322</v>
      </c>
      <c r="BC586">
        <v>2392</v>
      </c>
      <c r="BG586" t="s">
        <v>5913</v>
      </c>
      <c r="BJ586" t="s">
        <v>5948</v>
      </c>
      <c r="BL586" t="s">
        <v>6056</v>
      </c>
    </row>
    <row r="587" spans="1:64">
      <c r="A587" s="1">
        <f>HYPERLINK("https://lsnyc.legalserver.org/matter/dynamic-profile/view/1904403","19-1904403")</f>
        <v>0</v>
      </c>
      <c r="B587" t="s">
        <v>66</v>
      </c>
      <c r="C587" t="s">
        <v>149</v>
      </c>
      <c r="D587" t="s">
        <v>200</v>
      </c>
      <c r="E587" t="s">
        <v>202</v>
      </c>
      <c r="F587" t="s">
        <v>204</v>
      </c>
      <c r="G587" t="s">
        <v>202</v>
      </c>
      <c r="H587" t="s">
        <v>272</v>
      </c>
      <c r="I587" t="s">
        <v>202</v>
      </c>
      <c r="J587" t="s">
        <v>289</v>
      </c>
      <c r="K587" t="s">
        <v>292</v>
      </c>
      <c r="M587" t="s">
        <v>290</v>
      </c>
      <c r="N587" t="s">
        <v>202</v>
      </c>
      <c r="O587" t="s">
        <v>421</v>
      </c>
      <c r="P587" t="s">
        <v>427</v>
      </c>
      <c r="S587" t="s">
        <v>936</v>
      </c>
      <c r="T587" t="s">
        <v>1615</v>
      </c>
      <c r="U587" t="s">
        <v>204</v>
      </c>
      <c r="W587" t="s">
        <v>1876</v>
      </c>
      <c r="X587" t="s">
        <v>2426</v>
      </c>
      <c r="Y587" t="s">
        <v>3008</v>
      </c>
      <c r="Z587" t="s">
        <v>3099</v>
      </c>
      <c r="AA587" t="s">
        <v>3135</v>
      </c>
      <c r="AB587">
        <v>10026</v>
      </c>
      <c r="AC587" t="s">
        <v>3139</v>
      </c>
      <c r="AD587" t="s">
        <v>3684</v>
      </c>
      <c r="AE587">
        <v>21</v>
      </c>
      <c r="AG587" t="s">
        <v>4033</v>
      </c>
      <c r="AH587" t="s">
        <v>291</v>
      </c>
      <c r="AI587" t="s">
        <v>291</v>
      </c>
      <c r="AK587" t="s">
        <v>4040</v>
      </c>
      <c r="AM587">
        <v>0</v>
      </c>
      <c r="AN587">
        <v>644</v>
      </c>
      <c r="AO587">
        <v>1.5</v>
      </c>
      <c r="AQ587" t="s">
        <v>4592</v>
      </c>
      <c r="AR587" t="s">
        <v>5490</v>
      </c>
      <c r="AS587">
        <v>0</v>
      </c>
      <c r="AT587" t="s">
        <v>5839</v>
      </c>
      <c r="AU587">
        <v>1</v>
      </c>
      <c r="AV587">
        <v>0</v>
      </c>
      <c r="AW587">
        <v>96.08</v>
      </c>
      <c r="BA587" t="s">
        <v>329</v>
      </c>
      <c r="BB587" t="s">
        <v>1322</v>
      </c>
      <c r="BC587">
        <v>12000</v>
      </c>
      <c r="BG587" t="s">
        <v>5915</v>
      </c>
      <c r="BJ587" t="s">
        <v>5955</v>
      </c>
      <c r="BK587" t="s">
        <v>247</v>
      </c>
      <c r="BL587" t="s">
        <v>6056</v>
      </c>
    </row>
    <row r="588" spans="1:64">
      <c r="A588" s="1">
        <f>HYPERLINK("https://lsnyc.legalserver.org/matter/dynamic-profile/view/1904544","19-1904544")</f>
        <v>0</v>
      </c>
      <c r="B588" t="s">
        <v>66</v>
      </c>
      <c r="C588" t="s">
        <v>149</v>
      </c>
      <c r="D588" t="s">
        <v>200</v>
      </c>
      <c r="E588" t="s">
        <v>202</v>
      </c>
      <c r="F588" t="s">
        <v>207</v>
      </c>
      <c r="G588" t="s">
        <v>202</v>
      </c>
      <c r="H588" t="s">
        <v>272</v>
      </c>
      <c r="I588" t="s">
        <v>202</v>
      </c>
      <c r="J588" t="s">
        <v>289</v>
      </c>
      <c r="K588" t="s">
        <v>292</v>
      </c>
      <c r="M588" t="s">
        <v>290</v>
      </c>
      <c r="N588" t="s">
        <v>202</v>
      </c>
      <c r="O588" t="s">
        <v>421</v>
      </c>
      <c r="P588" t="s">
        <v>427</v>
      </c>
      <c r="S588" t="s">
        <v>937</v>
      </c>
      <c r="T588" t="s">
        <v>1238</v>
      </c>
      <c r="U588" t="s">
        <v>205</v>
      </c>
      <c r="W588" t="s">
        <v>1876</v>
      </c>
      <c r="X588" t="s">
        <v>2427</v>
      </c>
      <c r="Y588" t="s">
        <v>2875</v>
      </c>
      <c r="Z588" t="s">
        <v>3099</v>
      </c>
      <c r="AA588" t="s">
        <v>3135</v>
      </c>
      <c r="AB588">
        <v>10009</v>
      </c>
      <c r="AC588" t="s">
        <v>3150</v>
      </c>
      <c r="AD588" t="s">
        <v>3685</v>
      </c>
      <c r="AE588">
        <v>0</v>
      </c>
      <c r="AG588" t="s">
        <v>4032</v>
      </c>
      <c r="AH588" t="s">
        <v>291</v>
      </c>
      <c r="AI588" t="s">
        <v>291</v>
      </c>
      <c r="AK588" t="s">
        <v>4041</v>
      </c>
      <c r="AL588" t="s">
        <v>4046</v>
      </c>
      <c r="AM588">
        <v>0</v>
      </c>
      <c r="AN588">
        <v>0</v>
      </c>
      <c r="AO588">
        <v>4.25</v>
      </c>
      <c r="AQ588" t="s">
        <v>4623</v>
      </c>
      <c r="AR588" t="s">
        <v>5491</v>
      </c>
      <c r="AS588">
        <v>590</v>
      </c>
      <c r="AT588" t="s">
        <v>5837</v>
      </c>
      <c r="AU588">
        <v>1</v>
      </c>
      <c r="AV588">
        <v>0</v>
      </c>
      <c r="AW588">
        <v>224.18</v>
      </c>
      <c r="AX588" t="s">
        <v>211</v>
      </c>
      <c r="AY588" t="s">
        <v>5849</v>
      </c>
      <c r="BA588" t="s">
        <v>329</v>
      </c>
      <c r="BB588" t="s">
        <v>1322</v>
      </c>
      <c r="BC588">
        <v>28000</v>
      </c>
      <c r="BG588" t="s">
        <v>5914</v>
      </c>
      <c r="BJ588" t="s">
        <v>5949</v>
      </c>
      <c r="BK588" t="s">
        <v>238</v>
      </c>
      <c r="BL588" t="s">
        <v>6056</v>
      </c>
    </row>
    <row r="589" spans="1:64">
      <c r="A589" s="1">
        <f>HYPERLINK("https://lsnyc.legalserver.org/matter/dynamic-profile/view/1904928","19-1904928")</f>
        <v>0</v>
      </c>
      <c r="B589" t="s">
        <v>66</v>
      </c>
      <c r="C589" t="s">
        <v>151</v>
      </c>
      <c r="D589" t="s">
        <v>200</v>
      </c>
      <c r="E589" t="s">
        <v>201</v>
      </c>
      <c r="G589" t="s">
        <v>202</v>
      </c>
      <c r="H589" t="s">
        <v>271</v>
      </c>
      <c r="I589" t="s">
        <v>288</v>
      </c>
      <c r="J589" t="s">
        <v>290</v>
      </c>
      <c r="K589" t="s">
        <v>292</v>
      </c>
      <c r="M589" t="s">
        <v>290</v>
      </c>
      <c r="N589" t="s">
        <v>202</v>
      </c>
      <c r="O589" t="s">
        <v>421</v>
      </c>
      <c r="P589" t="s">
        <v>427</v>
      </c>
      <c r="S589" t="s">
        <v>938</v>
      </c>
      <c r="T589" t="s">
        <v>1616</v>
      </c>
      <c r="U589" t="s">
        <v>245</v>
      </c>
      <c r="W589" t="s">
        <v>1876</v>
      </c>
      <c r="X589" t="s">
        <v>2428</v>
      </c>
      <c r="Y589" t="s">
        <v>2920</v>
      </c>
      <c r="Z589" t="s">
        <v>3099</v>
      </c>
      <c r="AA589" t="s">
        <v>3135</v>
      </c>
      <c r="AB589">
        <v>10014</v>
      </c>
      <c r="AC589" t="s">
        <v>3139</v>
      </c>
      <c r="AD589" t="s">
        <v>3686</v>
      </c>
      <c r="AE589">
        <v>3</v>
      </c>
      <c r="AG589" t="s">
        <v>4033</v>
      </c>
      <c r="AH589" t="s">
        <v>291</v>
      </c>
      <c r="AI589" t="s">
        <v>291</v>
      </c>
      <c r="AK589" t="s">
        <v>4041</v>
      </c>
      <c r="AM589">
        <v>0</v>
      </c>
      <c r="AN589">
        <v>1000</v>
      </c>
      <c r="AO589">
        <v>1</v>
      </c>
      <c r="AQ589" t="s">
        <v>4624</v>
      </c>
      <c r="AR589" t="s">
        <v>5492</v>
      </c>
      <c r="AS589">
        <v>0</v>
      </c>
      <c r="AT589" t="s">
        <v>5835</v>
      </c>
      <c r="AU589">
        <v>1</v>
      </c>
      <c r="AV589">
        <v>0</v>
      </c>
      <c r="AW589">
        <v>155.64</v>
      </c>
      <c r="BA589" t="s">
        <v>329</v>
      </c>
      <c r="BB589" t="s">
        <v>1322</v>
      </c>
      <c r="BC589">
        <v>19440</v>
      </c>
      <c r="BG589" t="s">
        <v>5917</v>
      </c>
      <c r="BJ589" t="s">
        <v>6004</v>
      </c>
      <c r="BK589" t="s">
        <v>231</v>
      </c>
    </row>
    <row r="590" spans="1:64">
      <c r="A590" s="1">
        <f>HYPERLINK("https://lsnyc.legalserver.org/matter/dynamic-profile/view/1904940","19-1904940")</f>
        <v>0</v>
      </c>
      <c r="B590" t="s">
        <v>66</v>
      </c>
      <c r="C590" t="s">
        <v>151</v>
      </c>
      <c r="D590" t="s">
        <v>200</v>
      </c>
      <c r="E590" t="s">
        <v>201</v>
      </c>
      <c r="G590" t="s">
        <v>270</v>
      </c>
      <c r="I590" t="s">
        <v>288</v>
      </c>
      <c r="J590" t="s">
        <v>290</v>
      </c>
      <c r="K590" t="s">
        <v>292</v>
      </c>
      <c r="M590" t="s">
        <v>290</v>
      </c>
      <c r="N590" t="s">
        <v>419</v>
      </c>
      <c r="P590" t="s">
        <v>427</v>
      </c>
      <c r="S590" t="s">
        <v>536</v>
      </c>
      <c r="T590" t="s">
        <v>1257</v>
      </c>
      <c r="U590" t="s">
        <v>245</v>
      </c>
      <c r="W590" t="s">
        <v>1876</v>
      </c>
      <c r="X590" t="s">
        <v>2429</v>
      </c>
      <c r="Z590" t="s">
        <v>3099</v>
      </c>
      <c r="AA590" t="s">
        <v>3135</v>
      </c>
      <c r="AB590">
        <v>10026</v>
      </c>
      <c r="AE590">
        <v>0</v>
      </c>
      <c r="AG590" t="s">
        <v>4033</v>
      </c>
      <c r="AH590" t="s">
        <v>291</v>
      </c>
      <c r="AK590" t="s">
        <v>4041</v>
      </c>
      <c r="AM590">
        <v>0</v>
      </c>
      <c r="AN590">
        <v>0</v>
      </c>
      <c r="AO590">
        <v>4</v>
      </c>
      <c r="AQ590" t="s">
        <v>4625</v>
      </c>
      <c r="AR590" t="s">
        <v>5493</v>
      </c>
      <c r="AS590">
        <v>0</v>
      </c>
      <c r="AU590">
        <v>3</v>
      </c>
      <c r="AV590">
        <v>0</v>
      </c>
      <c r="AW590">
        <v>84.39</v>
      </c>
      <c r="BB590" t="s">
        <v>1322</v>
      </c>
      <c r="BC590">
        <v>18000</v>
      </c>
      <c r="BG590" t="s">
        <v>5917</v>
      </c>
      <c r="BJ590" t="s">
        <v>5997</v>
      </c>
      <c r="BK590" t="s">
        <v>236</v>
      </c>
    </row>
    <row r="591" spans="1:64">
      <c r="A591" s="1">
        <f>HYPERLINK("https://lsnyc.legalserver.org/matter/dynamic-profile/view/1908210","19-1908210")</f>
        <v>0</v>
      </c>
      <c r="B591" t="s">
        <v>66</v>
      </c>
      <c r="C591" t="s">
        <v>151</v>
      </c>
      <c r="D591" t="s">
        <v>200</v>
      </c>
      <c r="E591" t="s">
        <v>201</v>
      </c>
      <c r="G591" t="s">
        <v>202</v>
      </c>
      <c r="H591" t="s">
        <v>272</v>
      </c>
      <c r="I591" t="s">
        <v>288</v>
      </c>
      <c r="J591" t="s">
        <v>290</v>
      </c>
      <c r="K591" t="s">
        <v>292</v>
      </c>
      <c r="M591" t="s">
        <v>290</v>
      </c>
      <c r="N591" t="s">
        <v>419</v>
      </c>
      <c r="P591" t="s">
        <v>427</v>
      </c>
      <c r="S591" t="s">
        <v>939</v>
      </c>
      <c r="T591" t="s">
        <v>1617</v>
      </c>
      <c r="U591" t="s">
        <v>1874</v>
      </c>
      <c r="W591" t="s">
        <v>1876</v>
      </c>
      <c r="X591" t="s">
        <v>2430</v>
      </c>
      <c r="Y591" t="s">
        <v>2784</v>
      </c>
      <c r="Z591" t="s">
        <v>3099</v>
      </c>
      <c r="AA591" t="s">
        <v>3135</v>
      </c>
      <c r="AB591">
        <v>10026</v>
      </c>
      <c r="AD591" t="s">
        <v>3687</v>
      </c>
      <c r="AE591">
        <v>20</v>
      </c>
      <c r="AG591" t="s">
        <v>4032</v>
      </c>
      <c r="AH591" t="s">
        <v>291</v>
      </c>
      <c r="AK591" t="s">
        <v>4042</v>
      </c>
      <c r="AM591">
        <v>0</v>
      </c>
      <c r="AN591">
        <v>380</v>
      </c>
      <c r="AO591">
        <v>0</v>
      </c>
      <c r="AQ591" t="s">
        <v>4626</v>
      </c>
      <c r="AR591" t="s">
        <v>5494</v>
      </c>
      <c r="AS591">
        <v>0</v>
      </c>
      <c r="AU591">
        <v>1</v>
      </c>
      <c r="AV591">
        <v>0</v>
      </c>
      <c r="AW591">
        <v>13.26</v>
      </c>
      <c r="BB591" t="s">
        <v>1322</v>
      </c>
      <c r="BC591">
        <v>1656</v>
      </c>
      <c r="BG591" t="s">
        <v>5916</v>
      </c>
      <c r="BJ591" t="s">
        <v>5948</v>
      </c>
    </row>
    <row r="592" spans="1:64">
      <c r="A592" s="1">
        <f>HYPERLINK("https://lsnyc.legalserver.org/matter/dynamic-profile/view/1908205","19-1908205")</f>
        <v>0</v>
      </c>
      <c r="B592" t="s">
        <v>66</v>
      </c>
      <c r="C592" t="s">
        <v>151</v>
      </c>
      <c r="D592" t="s">
        <v>200</v>
      </c>
      <c r="E592" t="s">
        <v>201</v>
      </c>
      <c r="G592" t="s">
        <v>202</v>
      </c>
      <c r="H592" t="s">
        <v>272</v>
      </c>
      <c r="I592" t="s">
        <v>288</v>
      </c>
      <c r="J592" t="s">
        <v>290</v>
      </c>
      <c r="K592" t="s">
        <v>292</v>
      </c>
      <c r="M592" t="s">
        <v>290</v>
      </c>
      <c r="N592" t="s">
        <v>419</v>
      </c>
      <c r="P592" t="s">
        <v>427</v>
      </c>
      <c r="S592" t="s">
        <v>940</v>
      </c>
      <c r="T592" t="s">
        <v>1618</v>
      </c>
      <c r="U592" t="s">
        <v>1874</v>
      </c>
      <c r="W592" t="s">
        <v>1876</v>
      </c>
      <c r="X592" t="s">
        <v>2431</v>
      </c>
      <c r="Y592" t="s">
        <v>2835</v>
      </c>
      <c r="Z592" t="s">
        <v>3099</v>
      </c>
      <c r="AA592" t="s">
        <v>3135</v>
      </c>
      <c r="AB592">
        <v>10026</v>
      </c>
      <c r="AD592" t="s">
        <v>3688</v>
      </c>
      <c r="AE592">
        <v>1</v>
      </c>
      <c r="AG592" t="s">
        <v>4032</v>
      </c>
      <c r="AH592" t="s">
        <v>291</v>
      </c>
      <c r="AK592" t="s">
        <v>4042</v>
      </c>
      <c r="AM592">
        <v>0</v>
      </c>
      <c r="AN592">
        <v>1350</v>
      </c>
      <c r="AO592">
        <v>0</v>
      </c>
      <c r="AQ592" t="s">
        <v>4627</v>
      </c>
      <c r="AR592" t="s">
        <v>5495</v>
      </c>
      <c r="AS592">
        <v>0</v>
      </c>
      <c r="AU592">
        <v>1</v>
      </c>
      <c r="AV592">
        <v>0</v>
      </c>
      <c r="AW592">
        <v>0</v>
      </c>
      <c r="BB592" t="s">
        <v>1322</v>
      </c>
      <c r="BC592">
        <v>0</v>
      </c>
      <c r="BG592" t="s">
        <v>5916</v>
      </c>
      <c r="BJ592" t="s">
        <v>5945</v>
      </c>
    </row>
    <row r="593" spans="1:64">
      <c r="A593" s="1">
        <f>HYPERLINK("https://lsnyc.legalserver.org/matter/dynamic-profile/view/1905004","19-1905004")</f>
        <v>0</v>
      </c>
      <c r="B593" t="s">
        <v>66</v>
      </c>
      <c r="C593" t="s">
        <v>151</v>
      </c>
      <c r="D593" t="s">
        <v>200</v>
      </c>
      <c r="E593" t="s">
        <v>201</v>
      </c>
      <c r="G593" t="s">
        <v>270</v>
      </c>
      <c r="I593" t="s">
        <v>288</v>
      </c>
      <c r="J593" t="s">
        <v>290</v>
      </c>
      <c r="K593" t="s">
        <v>292</v>
      </c>
      <c r="M593" t="s">
        <v>290</v>
      </c>
      <c r="N593" t="s">
        <v>419</v>
      </c>
      <c r="O593" t="s">
        <v>420</v>
      </c>
      <c r="P593" t="s">
        <v>427</v>
      </c>
      <c r="S593" t="s">
        <v>941</v>
      </c>
      <c r="T593" t="s">
        <v>1619</v>
      </c>
      <c r="U593" t="s">
        <v>245</v>
      </c>
      <c r="W593" t="s">
        <v>1876</v>
      </c>
      <c r="X593" t="s">
        <v>2432</v>
      </c>
      <c r="Y593" t="s">
        <v>3009</v>
      </c>
      <c r="Z593" t="s">
        <v>3099</v>
      </c>
      <c r="AA593" t="s">
        <v>3135</v>
      </c>
      <c r="AB593">
        <v>10039</v>
      </c>
      <c r="AE593">
        <v>0</v>
      </c>
      <c r="AG593" t="s">
        <v>4033</v>
      </c>
      <c r="AH593" t="s">
        <v>291</v>
      </c>
      <c r="AI593" t="s">
        <v>291</v>
      </c>
      <c r="AK593" t="s">
        <v>4041</v>
      </c>
      <c r="AM593">
        <v>0</v>
      </c>
      <c r="AN593">
        <v>0</v>
      </c>
      <c r="AO593">
        <v>4.5</v>
      </c>
      <c r="AQ593" t="s">
        <v>4628</v>
      </c>
      <c r="AR593" t="s">
        <v>5496</v>
      </c>
      <c r="AS593">
        <v>0</v>
      </c>
      <c r="AU593">
        <v>2</v>
      </c>
      <c r="AV593">
        <v>2</v>
      </c>
      <c r="AW593">
        <v>77.45</v>
      </c>
      <c r="BB593" t="s">
        <v>1322</v>
      </c>
      <c r="BC593">
        <v>19944</v>
      </c>
      <c r="BG593" t="s">
        <v>5917</v>
      </c>
      <c r="BJ593" t="s">
        <v>6028</v>
      </c>
      <c r="BK593" t="s">
        <v>226</v>
      </c>
    </row>
    <row r="594" spans="1:64">
      <c r="A594" s="1">
        <f>HYPERLINK("https://lsnyc.legalserver.org/matter/dynamic-profile/view/1909020","19-1909020")</f>
        <v>0</v>
      </c>
      <c r="B594" t="s">
        <v>66</v>
      </c>
      <c r="C594" t="s">
        <v>152</v>
      </c>
      <c r="D594" t="s">
        <v>200</v>
      </c>
      <c r="E594" t="s">
        <v>201</v>
      </c>
      <c r="G594" t="s">
        <v>270</v>
      </c>
      <c r="I594" t="s">
        <v>288</v>
      </c>
      <c r="J594" t="s">
        <v>290</v>
      </c>
      <c r="K594" t="s">
        <v>292</v>
      </c>
      <c r="M594" t="s">
        <v>290</v>
      </c>
      <c r="N594" t="s">
        <v>419</v>
      </c>
      <c r="P594" t="s">
        <v>427</v>
      </c>
      <c r="S594" t="s">
        <v>896</v>
      </c>
      <c r="T594" t="s">
        <v>1620</v>
      </c>
      <c r="U594" t="s">
        <v>256</v>
      </c>
      <c r="W594" t="s">
        <v>1876</v>
      </c>
      <c r="X594" t="s">
        <v>2433</v>
      </c>
      <c r="Y594" t="s">
        <v>3010</v>
      </c>
      <c r="Z594" t="s">
        <v>3099</v>
      </c>
      <c r="AA594" t="s">
        <v>3135</v>
      </c>
      <c r="AB594">
        <v>10009</v>
      </c>
      <c r="AC594" t="s">
        <v>3143</v>
      </c>
      <c r="AE594">
        <v>0</v>
      </c>
      <c r="AG594" t="s">
        <v>4033</v>
      </c>
      <c r="AH594" t="s">
        <v>291</v>
      </c>
      <c r="AK594" t="s">
        <v>4041</v>
      </c>
      <c r="AM594">
        <v>0</v>
      </c>
      <c r="AN594">
        <v>0</v>
      </c>
      <c r="AO594">
        <v>2.25</v>
      </c>
      <c r="AQ594" t="s">
        <v>4629</v>
      </c>
      <c r="AR594" t="s">
        <v>5497</v>
      </c>
      <c r="AS594">
        <v>0</v>
      </c>
      <c r="AU594">
        <v>2</v>
      </c>
      <c r="AV594">
        <v>3</v>
      </c>
      <c r="AW594">
        <v>9.94</v>
      </c>
      <c r="BB594" t="s">
        <v>1322</v>
      </c>
      <c r="BC594">
        <v>3000</v>
      </c>
      <c r="BG594" t="s">
        <v>5918</v>
      </c>
      <c r="BJ594" t="s">
        <v>5960</v>
      </c>
      <c r="BK594" t="s">
        <v>230</v>
      </c>
      <c r="BL594" t="s">
        <v>6056</v>
      </c>
    </row>
    <row r="595" spans="1:64">
      <c r="A595" s="1">
        <f>HYPERLINK("https://lsnyc.legalserver.org/matter/dynamic-profile/view/1909066","19-1909066")</f>
        <v>0</v>
      </c>
      <c r="B595" t="s">
        <v>66</v>
      </c>
      <c r="C595" t="s">
        <v>149</v>
      </c>
      <c r="D595" t="s">
        <v>200</v>
      </c>
      <c r="E595" t="s">
        <v>202</v>
      </c>
      <c r="F595" t="s">
        <v>256</v>
      </c>
      <c r="G595" t="s">
        <v>202</v>
      </c>
      <c r="H595" t="s">
        <v>272</v>
      </c>
      <c r="I595" t="s">
        <v>202</v>
      </c>
      <c r="J595" t="s">
        <v>289</v>
      </c>
      <c r="K595" t="s">
        <v>202</v>
      </c>
      <c r="L595" t="s">
        <v>369</v>
      </c>
      <c r="M595" t="s">
        <v>290</v>
      </c>
      <c r="N595" t="s">
        <v>419</v>
      </c>
      <c r="O595" t="s">
        <v>420</v>
      </c>
      <c r="P595" t="s">
        <v>427</v>
      </c>
      <c r="S595" t="s">
        <v>942</v>
      </c>
      <c r="T595" t="s">
        <v>1621</v>
      </c>
      <c r="U595" t="s">
        <v>256</v>
      </c>
      <c r="W595" t="s">
        <v>1876</v>
      </c>
      <c r="X595" t="s">
        <v>2415</v>
      </c>
      <c r="Y595" t="s">
        <v>3011</v>
      </c>
      <c r="Z595" t="s">
        <v>3099</v>
      </c>
      <c r="AA595" t="s">
        <v>3135</v>
      </c>
      <c r="AB595">
        <v>10019</v>
      </c>
      <c r="AC595" t="s">
        <v>3138</v>
      </c>
      <c r="AD595" t="s">
        <v>3689</v>
      </c>
      <c r="AE595">
        <v>23</v>
      </c>
      <c r="AG595" t="s">
        <v>4032</v>
      </c>
      <c r="AH595" t="s">
        <v>291</v>
      </c>
      <c r="AI595" t="s">
        <v>291</v>
      </c>
      <c r="AK595" t="s">
        <v>4040</v>
      </c>
      <c r="AM595">
        <v>0</v>
      </c>
      <c r="AN595">
        <v>715</v>
      </c>
      <c r="AO595">
        <v>0</v>
      </c>
      <c r="AQ595" t="s">
        <v>4630</v>
      </c>
      <c r="AR595" t="s">
        <v>5498</v>
      </c>
      <c r="AS595">
        <v>0</v>
      </c>
      <c r="AT595" t="s">
        <v>5838</v>
      </c>
      <c r="AU595">
        <v>1</v>
      </c>
      <c r="AV595">
        <v>0</v>
      </c>
      <c r="AW595">
        <v>176.14</v>
      </c>
      <c r="BA595" t="s">
        <v>329</v>
      </c>
      <c r="BB595" t="s">
        <v>1322</v>
      </c>
      <c r="BC595">
        <v>22000</v>
      </c>
      <c r="BG595" t="s">
        <v>5915</v>
      </c>
      <c r="BJ595" t="s">
        <v>6003</v>
      </c>
      <c r="BL595" t="s">
        <v>6057</v>
      </c>
    </row>
    <row r="596" spans="1:64">
      <c r="A596" s="1">
        <f>HYPERLINK("https://lsnyc.legalserver.org/matter/dynamic-profile/view/1906883","19-1906883")</f>
        <v>0</v>
      </c>
      <c r="B596" t="s">
        <v>66</v>
      </c>
      <c r="C596" t="s">
        <v>148</v>
      </c>
      <c r="D596" t="s">
        <v>200</v>
      </c>
      <c r="E596" t="s">
        <v>201</v>
      </c>
      <c r="G596" t="s">
        <v>202</v>
      </c>
      <c r="H596" t="s">
        <v>272</v>
      </c>
      <c r="I596" t="s">
        <v>202</v>
      </c>
      <c r="J596" t="s">
        <v>289</v>
      </c>
      <c r="K596" t="s">
        <v>202</v>
      </c>
      <c r="L596" t="s">
        <v>370</v>
      </c>
      <c r="M596" t="s">
        <v>290</v>
      </c>
      <c r="N596" t="s">
        <v>419</v>
      </c>
      <c r="O596" t="s">
        <v>420</v>
      </c>
      <c r="P596" t="s">
        <v>427</v>
      </c>
      <c r="S596" t="s">
        <v>548</v>
      </c>
      <c r="T596" t="s">
        <v>1622</v>
      </c>
      <c r="U596" t="s">
        <v>240</v>
      </c>
      <c r="W596" t="s">
        <v>1876</v>
      </c>
      <c r="X596" t="s">
        <v>2434</v>
      </c>
      <c r="Y596" t="s">
        <v>2980</v>
      </c>
      <c r="Z596" t="s">
        <v>3099</v>
      </c>
      <c r="AA596" t="s">
        <v>3135</v>
      </c>
      <c r="AB596">
        <v>10002</v>
      </c>
      <c r="AC596" t="s">
        <v>3136</v>
      </c>
      <c r="AD596" t="s">
        <v>3690</v>
      </c>
      <c r="AE596">
        <v>4</v>
      </c>
      <c r="AG596" t="s">
        <v>4032</v>
      </c>
      <c r="AH596" t="s">
        <v>291</v>
      </c>
      <c r="AI596" t="s">
        <v>291</v>
      </c>
      <c r="AK596" t="s">
        <v>4041</v>
      </c>
      <c r="AL596" t="s">
        <v>4050</v>
      </c>
      <c r="AM596">
        <v>0</v>
      </c>
      <c r="AN596">
        <v>634</v>
      </c>
      <c r="AO596">
        <v>10</v>
      </c>
      <c r="AQ596" t="s">
        <v>4631</v>
      </c>
      <c r="AR596" t="s">
        <v>5499</v>
      </c>
      <c r="AS596">
        <v>0</v>
      </c>
      <c r="AT596" t="s">
        <v>5837</v>
      </c>
      <c r="AU596">
        <v>1</v>
      </c>
      <c r="AV596">
        <v>0</v>
      </c>
      <c r="AW596">
        <v>9.369999999999999</v>
      </c>
      <c r="BA596" t="s">
        <v>329</v>
      </c>
      <c r="BB596" t="s">
        <v>1322</v>
      </c>
      <c r="BC596">
        <v>1170</v>
      </c>
      <c r="BG596" t="s">
        <v>5914</v>
      </c>
      <c r="BJ596" t="s">
        <v>6025</v>
      </c>
      <c r="BK596" t="s">
        <v>225</v>
      </c>
      <c r="BL596" t="s">
        <v>6057</v>
      </c>
    </row>
    <row r="597" spans="1:64">
      <c r="A597" s="1">
        <f>HYPERLINK("https://lsnyc.legalserver.org/matter/dynamic-profile/view/1907758","19-1907758")</f>
        <v>0</v>
      </c>
      <c r="B597" t="s">
        <v>66</v>
      </c>
      <c r="C597" t="s">
        <v>149</v>
      </c>
      <c r="D597" t="s">
        <v>200</v>
      </c>
      <c r="E597" t="s">
        <v>202</v>
      </c>
      <c r="F597" t="s">
        <v>213</v>
      </c>
      <c r="G597" t="s">
        <v>202</v>
      </c>
      <c r="H597" t="s">
        <v>272</v>
      </c>
      <c r="I597" t="s">
        <v>202</v>
      </c>
      <c r="J597" t="s">
        <v>289</v>
      </c>
      <c r="K597" t="s">
        <v>292</v>
      </c>
      <c r="M597" t="s">
        <v>290</v>
      </c>
      <c r="N597" t="s">
        <v>202</v>
      </c>
      <c r="O597" t="s">
        <v>421</v>
      </c>
      <c r="P597" t="s">
        <v>427</v>
      </c>
      <c r="S597" t="s">
        <v>943</v>
      </c>
      <c r="T597" t="s">
        <v>1623</v>
      </c>
      <c r="U597" t="s">
        <v>213</v>
      </c>
      <c r="W597" t="s">
        <v>1876</v>
      </c>
      <c r="X597" t="s">
        <v>2435</v>
      </c>
      <c r="Y597" t="s">
        <v>3012</v>
      </c>
      <c r="Z597" t="s">
        <v>3099</v>
      </c>
      <c r="AA597" t="s">
        <v>3135</v>
      </c>
      <c r="AB597">
        <v>10026</v>
      </c>
      <c r="AC597" t="s">
        <v>3136</v>
      </c>
      <c r="AD597" t="s">
        <v>3691</v>
      </c>
      <c r="AE597">
        <v>19</v>
      </c>
      <c r="AG597" t="s">
        <v>4033</v>
      </c>
      <c r="AH597" t="s">
        <v>291</v>
      </c>
      <c r="AI597" t="s">
        <v>291</v>
      </c>
      <c r="AK597" t="s">
        <v>4041</v>
      </c>
      <c r="AM597">
        <v>0</v>
      </c>
      <c r="AN597">
        <v>435</v>
      </c>
      <c r="AO597">
        <v>0</v>
      </c>
      <c r="AQ597" t="s">
        <v>4632</v>
      </c>
      <c r="AR597" t="s">
        <v>5500</v>
      </c>
      <c r="AS597">
        <v>0</v>
      </c>
      <c r="AT597" t="s">
        <v>5837</v>
      </c>
      <c r="AU597">
        <v>2</v>
      </c>
      <c r="AV597">
        <v>3</v>
      </c>
      <c r="AW597">
        <v>1.99</v>
      </c>
      <c r="BA597" t="s">
        <v>329</v>
      </c>
      <c r="BB597" t="s">
        <v>1322</v>
      </c>
      <c r="BC597">
        <v>600</v>
      </c>
      <c r="BG597" t="s">
        <v>5918</v>
      </c>
      <c r="BJ597" t="s">
        <v>5961</v>
      </c>
      <c r="BL597" t="s">
        <v>6056</v>
      </c>
    </row>
    <row r="598" spans="1:64">
      <c r="A598" s="1">
        <f>HYPERLINK("https://lsnyc.legalserver.org/matter/dynamic-profile/view/1907043","19-1907043")</f>
        <v>0</v>
      </c>
      <c r="B598" t="s">
        <v>66</v>
      </c>
      <c r="C598" t="s">
        <v>150</v>
      </c>
      <c r="D598" t="s">
        <v>200</v>
      </c>
      <c r="E598" t="s">
        <v>202</v>
      </c>
      <c r="F598" t="s">
        <v>226</v>
      </c>
      <c r="G598" t="s">
        <v>202</v>
      </c>
      <c r="H598" t="s">
        <v>271</v>
      </c>
      <c r="I598" t="s">
        <v>202</v>
      </c>
      <c r="J598" t="s">
        <v>289</v>
      </c>
      <c r="K598" t="s">
        <v>292</v>
      </c>
      <c r="M598" t="s">
        <v>290</v>
      </c>
      <c r="N598" t="s">
        <v>202</v>
      </c>
      <c r="O598" t="s">
        <v>422</v>
      </c>
      <c r="P598" t="s">
        <v>427</v>
      </c>
      <c r="S598" t="s">
        <v>944</v>
      </c>
      <c r="T598" t="s">
        <v>1624</v>
      </c>
      <c r="U598" t="s">
        <v>226</v>
      </c>
      <c r="W598" t="s">
        <v>1876</v>
      </c>
      <c r="X598" t="s">
        <v>2436</v>
      </c>
      <c r="Y598">
        <v>1</v>
      </c>
      <c r="Z598" t="s">
        <v>3099</v>
      </c>
      <c r="AA598" t="s">
        <v>3135</v>
      </c>
      <c r="AB598">
        <v>10029</v>
      </c>
      <c r="AC598" t="s">
        <v>3138</v>
      </c>
      <c r="AD598" t="s">
        <v>3692</v>
      </c>
      <c r="AE598">
        <v>1</v>
      </c>
      <c r="AG598" t="s">
        <v>4032</v>
      </c>
      <c r="AH598" t="s">
        <v>291</v>
      </c>
      <c r="AI598" t="s">
        <v>291</v>
      </c>
      <c r="AK598" t="s">
        <v>4040</v>
      </c>
      <c r="AM598">
        <v>0</v>
      </c>
      <c r="AN598">
        <v>2900</v>
      </c>
      <c r="AO598">
        <v>1</v>
      </c>
      <c r="AQ598" t="s">
        <v>4633</v>
      </c>
      <c r="AR598" t="s">
        <v>5501</v>
      </c>
      <c r="AS598">
        <v>0</v>
      </c>
      <c r="AT598" t="s">
        <v>5836</v>
      </c>
      <c r="AU598">
        <v>2</v>
      </c>
      <c r="AV598">
        <v>0</v>
      </c>
      <c r="AW598">
        <v>418.1</v>
      </c>
      <c r="BA598" t="s">
        <v>329</v>
      </c>
      <c r="BB598" t="s">
        <v>1322</v>
      </c>
      <c r="BC598">
        <v>70700</v>
      </c>
      <c r="BG598" t="s">
        <v>5915</v>
      </c>
      <c r="BJ598" t="s">
        <v>6027</v>
      </c>
      <c r="BK598" t="s">
        <v>226</v>
      </c>
      <c r="BL598" t="s">
        <v>6056</v>
      </c>
    </row>
    <row r="599" spans="1:64">
      <c r="A599" s="1">
        <f>HYPERLINK("https://lsnyc.legalserver.org/matter/dynamic-profile/view/1907348","19-1907348")</f>
        <v>0</v>
      </c>
      <c r="B599" t="s">
        <v>66</v>
      </c>
      <c r="C599" t="s">
        <v>148</v>
      </c>
      <c r="D599" t="s">
        <v>200</v>
      </c>
      <c r="E599" t="s">
        <v>201</v>
      </c>
      <c r="G599" t="s">
        <v>202</v>
      </c>
      <c r="H599" t="s">
        <v>271</v>
      </c>
      <c r="I599" t="s">
        <v>202</v>
      </c>
      <c r="J599" t="s">
        <v>289</v>
      </c>
      <c r="K599" t="s">
        <v>292</v>
      </c>
      <c r="M599" t="s">
        <v>290</v>
      </c>
      <c r="N599" t="s">
        <v>202</v>
      </c>
      <c r="O599" t="s">
        <v>421</v>
      </c>
      <c r="P599" t="s">
        <v>427</v>
      </c>
      <c r="S599" t="s">
        <v>945</v>
      </c>
      <c r="T599" t="s">
        <v>1625</v>
      </c>
      <c r="U599" t="s">
        <v>257</v>
      </c>
      <c r="W599" t="s">
        <v>1876</v>
      </c>
      <c r="X599" t="s">
        <v>2437</v>
      </c>
      <c r="Y599" t="s">
        <v>3013</v>
      </c>
      <c r="Z599" t="s">
        <v>3099</v>
      </c>
      <c r="AA599" t="s">
        <v>3135</v>
      </c>
      <c r="AB599">
        <v>10025</v>
      </c>
      <c r="AC599" t="s">
        <v>3139</v>
      </c>
      <c r="AD599" t="s">
        <v>3693</v>
      </c>
      <c r="AE599">
        <v>30</v>
      </c>
      <c r="AG599" t="s">
        <v>4033</v>
      </c>
      <c r="AH599" t="s">
        <v>291</v>
      </c>
      <c r="AI599" t="s">
        <v>291</v>
      </c>
      <c r="AK599" t="s">
        <v>4040</v>
      </c>
      <c r="AL599" t="s">
        <v>4051</v>
      </c>
      <c r="AM599">
        <v>0</v>
      </c>
      <c r="AN599">
        <v>2500</v>
      </c>
      <c r="AO599">
        <v>15.5</v>
      </c>
      <c r="AQ599" t="s">
        <v>4634</v>
      </c>
      <c r="AR599" t="s">
        <v>5502</v>
      </c>
      <c r="AS599">
        <v>0</v>
      </c>
      <c r="AT599" t="s">
        <v>5840</v>
      </c>
      <c r="AU599">
        <v>1</v>
      </c>
      <c r="AV599">
        <v>0</v>
      </c>
      <c r="AW599">
        <v>62.45</v>
      </c>
      <c r="BA599" t="s">
        <v>5850</v>
      </c>
      <c r="BB599" t="s">
        <v>1322</v>
      </c>
      <c r="BC599">
        <v>7800</v>
      </c>
      <c r="BG599" t="s">
        <v>5914</v>
      </c>
      <c r="BJ599" t="s">
        <v>5955</v>
      </c>
      <c r="BK599" t="s">
        <v>234</v>
      </c>
      <c r="BL599" t="s">
        <v>6056</v>
      </c>
    </row>
    <row r="600" spans="1:64">
      <c r="A600" s="1">
        <f>HYPERLINK("https://lsnyc.legalserver.org/matter/dynamic-profile/view/1910227","19-1910227")</f>
        <v>0</v>
      </c>
      <c r="B600" t="s">
        <v>66</v>
      </c>
      <c r="C600" t="s">
        <v>148</v>
      </c>
      <c r="D600" t="s">
        <v>200</v>
      </c>
      <c r="E600" t="s">
        <v>202</v>
      </c>
      <c r="F600" t="s">
        <v>259</v>
      </c>
      <c r="G600" t="s">
        <v>202</v>
      </c>
      <c r="H600" t="s">
        <v>271</v>
      </c>
      <c r="I600" t="s">
        <v>202</v>
      </c>
      <c r="J600" t="s">
        <v>289</v>
      </c>
      <c r="K600" t="s">
        <v>292</v>
      </c>
      <c r="M600" t="s">
        <v>290</v>
      </c>
      <c r="N600" t="s">
        <v>419</v>
      </c>
      <c r="O600" t="s">
        <v>420</v>
      </c>
      <c r="P600" t="s">
        <v>427</v>
      </c>
      <c r="S600" t="s">
        <v>946</v>
      </c>
      <c r="T600" t="s">
        <v>1626</v>
      </c>
      <c r="U600" t="s">
        <v>259</v>
      </c>
      <c r="W600" t="s">
        <v>1876</v>
      </c>
      <c r="X600" t="s">
        <v>2438</v>
      </c>
      <c r="Y600">
        <v>5</v>
      </c>
      <c r="Z600" t="s">
        <v>3099</v>
      </c>
      <c r="AA600" t="s">
        <v>3135</v>
      </c>
      <c r="AB600">
        <v>10030</v>
      </c>
      <c r="AC600" t="s">
        <v>3141</v>
      </c>
      <c r="AD600" t="s">
        <v>3694</v>
      </c>
      <c r="AE600">
        <v>6</v>
      </c>
      <c r="AG600" t="s">
        <v>4032</v>
      </c>
      <c r="AH600" t="s">
        <v>291</v>
      </c>
      <c r="AI600" t="s">
        <v>291</v>
      </c>
      <c r="AK600" t="s">
        <v>4040</v>
      </c>
      <c r="AM600">
        <v>0</v>
      </c>
      <c r="AN600">
        <v>1000</v>
      </c>
      <c r="AO600">
        <v>0</v>
      </c>
      <c r="AQ600" t="s">
        <v>4635</v>
      </c>
      <c r="AR600" t="s">
        <v>5503</v>
      </c>
      <c r="AS600">
        <v>0</v>
      </c>
      <c r="AT600" t="s">
        <v>5836</v>
      </c>
      <c r="AU600">
        <v>1</v>
      </c>
      <c r="AV600">
        <v>0</v>
      </c>
      <c r="AW600">
        <v>249.8</v>
      </c>
      <c r="BA600" t="s">
        <v>329</v>
      </c>
      <c r="BB600" t="s">
        <v>5859</v>
      </c>
      <c r="BC600">
        <v>31200</v>
      </c>
      <c r="BG600" t="s">
        <v>5914</v>
      </c>
      <c r="BJ600" t="s">
        <v>5949</v>
      </c>
      <c r="BL600" t="s">
        <v>6056</v>
      </c>
    </row>
    <row r="601" spans="1:64">
      <c r="A601" s="1">
        <f>HYPERLINK("https://lsnyc.legalserver.org/matter/dynamic-profile/view/1909006","19-1909006")</f>
        <v>0</v>
      </c>
      <c r="B601" t="s">
        <v>66</v>
      </c>
      <c r="C601" t="s">
        <v>148</v>
      </c>
      <c r="D601" t="s">
        <v>200</v>
      </c>
      <c r="E601" t="s">
        <v>202</v>
      </c>
      <c r="F601" t="s">
        <v>256</v>
      </c>
      <c r="G601" t="s">
        <v>202</v>
      </c>
      <c r="H601" t="s">
        <v>272</v>
      </c>
      <c r="I601" t="s">
        <v>202</v>
      </c>
      <c r="J601" t="s">
        <v>289</v>
      </c>
      <c r="K601" t="s">
        <v>292</v>
      </c>
      <c r="M601" t="s">
        <v>290</v>
      </c>
      <c r="N601" t="s">
        <v>419</v>
      </c>
      <c r="O601" t="s">
        <v>420</v>
      </c>
      <c r="P601" t="s">
        <v>427</v>
      </c>
      <c r="S601" t="s">
        <v>947</v>
      </c>
      <c r="T601" t="s">
        <v>1243</v>
      </c>
      <c r="U601" t="s">
        <v>256</v>
      </c>
      <c r="W601" t="s">
        <v>1876</v>
      </c>
      <c r="X601" t="s">
        <v>2439</v>
      </c>
      <c r="Y601" t="s">
        <v>2844</v>
      </c>
      <c r="Z601" t="s">
        <v>3099</v>
      </c>
      <c r="AA601" t="s">
        <v>3135</v>
      </c>
      <c r="AB601">
        <v>10039</v>
      </c>
      <c r="AC601" t="s">
        <v>3139</v>
      </c>
      <c r="AD601" t="s">
        <v>3695</v>
      </c>
      <c r="AE601">
        <v>22</v>
      </c>
      <c r="AG601" t="s">
        <v>4032</v>
      </c>
      <c r="AH601" t="s">
        <v>291</v>
      </c>
      <c r="AI601" t="s">
        <v>291</v>
      </c>
      <c r="AK601" t="s">
        <v>4040</v>
      </c>
      <c r="AL601" t="s">
        <v>4046</v>
      </c>
      <c r="AM601">
        <v>0</v>
      </c>
      <c r="AN601">
        <v>1057.41</v>
      </c>
      <c r="AO601">
        <v>0.1</v>
      </c>
      <c r="AQ601" t="s">
        <v>4636</v>
      </c>
      <c r="AR601" t="s">
        <v>5504</v>
      </c>
      <c r="AS601">
        <v>27</v>
      </c>
      <c r="AT601" t="s">
        <v>5834</v>
      </c>
      <c r="AU601">
        <v>1</v>
      </c>
      <c r="AV601">
        <v>0</v>
      </c>
      <c r="AW601">
        <v>90.79000000000001</v>
      </c>
      <c r="BA601" t="s">
        <v>5850</v>
      </c>
      <c r="BB601" t="s">
        <v>1322</v>
      </c>
      <c r="BC601">
        <v>11340</v>
      </c>
      <c r="BG601" t="s">
        <v>5913</v>
      </c>
      <c r="BJ601" t="s">
        <v>5943</v>
      </c>
      <c r="BK601" t="s">
        <v>256</v>
      </c>
      <c r="BL601" t="s">
        <v>6056</v>
      </c>
    </row>
    <row r="602" spans="1:64">
      <c r="A602" s="1">
        <f>HYPERLINK("https://lsnyc.legalserver.org/matter/dynamic-profile/view/1909937","19-1909937")</f>
        <v>0</v>
      </c>
      <c r="B602" t="s">
        <v>66</v>
      </c>
      <c r="C602" t="s">
        <v>153</v>
      </c>
      <c r="D602" t="s">
        <v>200</v>
      </c>
      <c r="E602" t="s">
        <v>201</v>
      </c>
      <c r="G602" t="s">
        <v>202</v>
      </c>
      <c r="H602" t="s">
        <v>272</v>
      </c>
      <c r="I602" t="s">
        <v>202</v>
      </c>
      <c r="J602" t="s">
        <v>289</v>
      </c>
      <c r="K602" t="s">
        <v>202</v>
      </c>
      <c r="L602" t="s">
        <v>371</v>
      </c>
      <c r="M602" t="s">
        <v>290</v>
      </c>
      <c r="N602" t="s">
        <v>202</v>
      </c>
      <c r="O602" t="s">
        <v>421</v>
      </c>
      <c r="P602" t="s">
        <v>427</v>
      </c>
      <c r="S602" t="s">
        <v>541</v>
      </c>
      <c r="T602" t="s">
        <v>1311</v>
      </c>
      <c r="U602" t="s">
        <v>243</v>
      </c>
      <c r="W602" t="s">
        <v>1876</v>
      </c>
      <c r="X602" t="s">
        <v>2440</v>
      </c>
      <c r="Y602" t="s">
        <v>2809</v>
      </c>
      <c r="Z602" t="s">
        <v>3099</v>
      </c>
      <c r="AA602" t="s">
        <v>3135</v>
      </c>
      <c r="AB602">
        <v>10027</v>
      </c>
      <c r="AC602" t="s">
        <v>3139</v>
      </c>
      <c r="AD602" t="s">
        <v>3696</v>
      </c>
      <c r="AE602">
        <v>19</v>
      </c>
      <c r="AG602" t="s">
        <v>4033</v>
      </c>
      <c r="AH602" t="s">
        <v>291</v>
      </c>
      <c r="AI602" t="s">
        <v>291</v>
      </c>
      <c r="AK602" t="s">
        <v>4040</v>
      </c>
      <c r="AM602">
        <v>0</v>
      </c>
      <c r="AN602">
        <v>923.3</v>
      </c>
      <c r="AO602">
        <v>1</v>
      </c>
      <c r="AQ602" t="s">
        <v>4637</v>
      </c>
      <c r="AR602" t="s">
        <v>5505</v>
      </c>
      <c r="AS602">
        <v>0</v>
      </c>
      <c r="AT602" t="s">
        <v>5838</v>
      </c>
      <c r="AU602">
        <v>3</v>
      </c>
      <c r="AV602">
        <v>0</v>
      </c>
      <c r="AW602">
        <v>177.84</v>
      </c>
      <c r="BA602" t="s">
        <v>3143</v>
      </c>
      <c r="BB602" t="s">
        <v>1322</v>
      </c>
      <c r="BC602">
        <v>37934</v>
      </c>
      <c r="BG602" t="s">
        <v>5914</v>
      </c>
      <c r="BJ602" t="s">
        <v>6029</v>
      </c>
      <c r="BK602" t="s">
        <v>243</v>
      </c>
      <c r="BL602" t="s">
        <v>6057</v>
      </c>
    </row>
    <row r="603" spans="1:64">
      <c r="A603" s="1">
        <f>HYPERLINK("https://lsnyc.legalserver.org/matter/dynamic-profile/view/1904426","19-1904426")</f>
        <v>0</v>
      </c>
      <c r="B603" t="s">
        <v>66</v>
      </c>
      <c r="C603" t="s">
        <v>153</v>
      </c>
      <c r="D603" t="s">
        <v>200</v>
      </c>
      <c r="E603" t="s">
        <v>202</v>
      </c>
      <c r="F603" t="s">
        <v>204</v>
      </c>
      <c r="G603" t="s">
        <v>202</v>
      </c>
      <c r="H603" t="s">
        <v>272</v>
      </c>
      <c r="I603" t="s">
        <v>202</v>
      </c>
      <c r="J603" t="s">
        <v>289</v>
      </c>
      <c r="K603" t="s">
        <v>292</v>
      </c>
      <c r="M603" t="s">
        <v>290</v>
      </c>
      <c r="N603" t="s">
        <v>202</v>
      </c>
      <c r="O603" t="s">
        <v>421</v>
      </c>
      <c r="P603" t="s">
        <v>427</v>
      </c>
      <c r="S603" t="s">
        <v>497</v>
      </c>
      <c r="T603" t="s">
        <v>1627</v>
      </c>
      <c r="U603" t="s">
        <v>204</v>
      </c>
      <c r="W603" t="s">
        <v>1876</v>
      </c>
      <c r="X603" t="s">
        <v>2441</v>
      </c>
      <c r="Y603" t="s">
        <v>2809</v>
      </c>
      <c r="Z603" t="s">
        <v>3099</v>
      </c>
      <c r="AA603" t="s">
        <v>3135</v>
      </c>
      <c r="AB603">
        <v>10031</v>
      </c>
      <c r="AC603" t="s">
        <v>3139</v>
      </c>
      <c r="AD603" t="s">
        <v>3697</v>
      </c>
      <c r="AE603">
        <v>9</v>
      </c>
      <c r="AG603" t="s">
        <v>4033</v>
      </c>
      <c r="AH603" t="s">
        <v>291</v>
      </c>
      <c r="AI603" t="s">
        <v>291</v>
      </c>
      <c r="AK603" t="s">
        <v>4040</v>
      </c>
      <c r="AL603" t="s">
        <v>4046</v>
      </c>
      <c r="AM603">
        <v>0</v>
      </c>
      <c r="AN603">
        <v>713.02</v>
      </c>
      <c r="AO603">
        <v>3</v>
      </c>
      <c r="AQ603" t="s">
        <v>4638</v>
      </c>
      <c r="AR603" t="s">
        <v>5506</v>
      </c>
      <c r="AS603">
        <v>42</v>
      </c>
      <c r="AT603" t="s">
        <v>5838</v>
      </c>
      <c r="AU603">
        <v>4</v>
      </c>
      <c r="AV603">
        <v>0</v>
      </c>
      <c r="AW603">
        <v>130.67</v>
      </c>
      <c r="BA603" t="s">
        <v>5850</v>
      </c>
      <c r="BB603" t="s">
        <v>1322</v>
      </c>
      <c r="BC603">
        <v>33648</v>
      </c>
      <c r="BG603" t="s">
        <v>5914</v>
      </c>
      <c r="BJ603" t="s">
        <v>6030</v>
      </c>
      <c r="BK603" t="s">
        <v>263</v>
      </c>
      <c r="BL603" t="s">
        <v>6056</v>
      </c>
    </row>
    <row r="604" spans="1:64">
      <c r="A604" s="1">
        <f>HYPERLINK("https://lsnyc.legalserver.org/matter/dynamic-profile/view/1904402","19-1904402")</f>
        <v>0</v>
      </c>
      <c r="B604" t="s">
        <v>66</v>
      </c>
      <c r="C604" t="s">
        <v>153</v>
      </c>
      <c r="D604" t="s">
        <v>200</v>
      </c>
      <c r="E604" t="s">
        <v>202</v>
      </c>
      <c r="F604" t="s">
        <v>204</v>
      </c>
      <c r="G604" t="s">
        <v>202</v>
      </c>
      <c r="H604" t="s">
        <v>272</v>
      </c>
      <c r="I604" t="s">
        <v>202</v>
      </c>
      <c r="J604" t="s">
        <v>289</v>
      </c>
      <c r="K604" t="s">
        <v>292</v>
      </c>
      <c r="M604" t="s">
        <v>290</v>
      </c>
      <c r="N604" t="s">
        <v>202</v>
      </c>
      <c r="O604" t="s">
        <v>422</v>
      </c>
      <c r="P604" t="s">
        <v>428</v>
      </c>
      <c r="S604" t="s">
        <v>948</v>
      </c>
      <c r="T604" t="s">
        <v>1278</v>
      </c>
      <c r="U604" t="s">
        <v>204</v>
      </c>
      <c r="V604" t="s">
        <v>246</v>
      </c>
      <c r="W604" t="s">
        <v>1877</v>
      </c>
      <c r="X604" t="s">
        <v>2442</v>
      </c>
      <c r="Y604" t="s">
        <v>2865</v>
      </c>
      <c r="Z604" t="s">
        <v>3099</v>
      </c>
      <c r="AA604" t="s">
        <v>3135</v>
      </c>
      <c r="AB604">
        <v>10031</v>
      </c>
      <c r="AC604" t="s">
        <v>3139</v>
      </c>
      <c r="AD604" t="s">
        <v>3698</v>
      </c>
      <c r="AE604">
        <v>15</v>
      </c>
      <c r="AF604" t="s">
        <v>4023</v>
      </c>
      <c r="AG604" t="s">
        <v>4033</v>
      </c>
      <c r="AH604" t="s">
        <v>291</v>
      </c>
      <c r="AI604" t="s">
        <v>291</v>
      </c>
      <c r="AK604" t="s">
        <v>4045</v>
      </c>
      <c r="AL604" t="s">
        <v>4046</v>
      </c>
      <c r="AM604">
        <v>0</v>
      </c>
      <c r="AN604">
        <v>538</v>
      </c>
      <c r="AO604">
        <v>0.8</v>
      </c>
      <c r="AP604" t="s">
        <v>4052</v>
      </c>
      <c r="AQ604" t="s">
        <v>4639</v>
      </c>
      <c r="AR604" t="s">
        <v>5507</v>
      </c>
      <c r="AS604">
        <v>36</v>
      </c>
      <c r="AT604" t="s">
        <v>5840</v>
      </c>
      <c r="AU604">
        <v>1</v>
      </c>
      <c r="AV604">
        <v>0</v>
      </c>
      <c r="AW604">
        <v>307.45</v>
      </c>
      <c r="BA604" t="s">
        <v>5850</v>
      </c>
      <c r="BB604" t="s">
        <v>1322</v>
      </c>
      <c r="BC604">
        <v>38400</v>
      </c>
      <c r="BG604" t="s">
        <v>5914</v>
      </c>
      <c r="BJ604" t="s">
        <v>5949</v>
      </c>
      <c r="BK604" t="s">
        <v>204</v>
      </c>
      <c r="BL604" t="s">
        <v>6056</v>
      </c>
    </row>
    <row r="605" spans="1:64">
      <c r="A605" s="1">
        <f>HYPERLINK("https://lsnyc.legalserver.org/matter/dynamic-profile/view/1909922","19-1909922")</f>
        <v>0</v>
      </c>
      <c r="B605" t="s">
        <v>66</v>
      </c>
      <c r="C605" t="s">
        <v>153</v>
      </c>
      <c r="D605" t="s">
        <v>200</v>
      </c>
      <c r="E605" t="s">
        <v>202</v>
      </c>
      <c r="F605" t="s">
        <v>243</v>
      </c>
      <c r="G605" t="s">
        <v>202</v>
      </c>
      <c r="H605" t="s">
        <v>272</v>
      </c>
      <c r="I605" t="s">
        <v>202</v>
      </c>
      <c r="J605" t="s">
        <v>289</v>
      </c>
      <c r="K605" t="s">
        <v>292</v>
      </c>
      <c r="M605" t="s">
        <v>290</v>
      </c>
      <c r="N605" t="s">
        <v>202</v>
      </c>
      <c r="O605" t="s">
        <v>421</v>
      </c>
      <c r="P605" t="s">
        <v>427</v>
      </c>
      <c r="S605" t="s">
        <v>554</v>
      </c>
      <c r="T605" t="s">
        <v>1315</v>
      </c>
      <c r="U605" t="s">
        <v>243</v>
      </c>
      <c r="W605" t="s">
        <v>1876</v>
      </c>
      <c r="X605" t="s">
        <v>2443</v>
      </c>
      <c r="Y605" t="s">
        <v>2809</v>
      </c>
      <c r="Z605" t="s">
        <v>3099</v>
      </c>
      <c r="AA605" t="s">
        <v>3135</v>
      </c>
      <c r="AB605">
        <v>10031</v>
      </c>
      <c r="AC605" t="s">
        <v>3139</v>
      </c>
      <c r="AD605" t="s">
        <v>3699</v>
      </c>
      <c r="AE605">
        <v>30</v>
      </c>
      <c r="AG605" t="s">
        <v>4033</v>
      </c>
      <c r="AH605" t="s">
        <v>291</v>
      </c>
      <c r="AI605" t="s">
        <v>291</v>
      </c>
      <c r="AK605" t="s">
        <v>4040</v>
      </c>
      <c r="AM605">
        <v>0</v>
      </c>
      <c r="AN605">
        <v>821.29</v>
      </c>
      <c r="AO605">
        <v>1</v>
      </c>
      <c r="AQ605" t="s">
        <v>4640</v>
      </c>
      <c r="AR605" t="s">
        <v>5508</v>
      </c>
      <c r="AS605">
        <v>0</v>
      </c>
      <c r="AT605" t="s">
        <v>5838</v>
      </c>
      <c r="AU605">
        <v>1</v>
      </c>
      <c r="AV605">
        <v>0</v>
      </c>
      <c r="AW605">
        <v>158.53</v>
      </c>
      <c r="BA605" t="s">
        <v>5851</v>
      </c>
      <c r="BB605" t="s">
        <v>1322</v>
      </c>
      <c r="BC605">
        <v>19800</v>
      </c>
      <c r="BG605" t="s">
        <v>5915</v>
      </c>
      <c r="BJ605" t="s">
        <v>5944</v>
      </c>
      <c r="BK605" t="s">
        <v>243</v>
      </c>
      <c r="BL605" t="s">
        <v>6056</v>
      </c>
    </row>
    <row r="606" spans="1:64">
      <c r="A606" s="1">
        <f>HYPERLINK("https://lsnyc.legalserver.org/matter/dynamic-profile/view/1908999","19-1908999")</f>
        <v>0</v>
      </c>
      <c r="B606" t="s">
        <v>66</v>
      </c>
      <c r="C606" t="s">
        <v>149</v>
      </c>
      <c r="D606" t="s">
        <v>200</v>
      </c>
      <c r="E606" t="s">
        <v>201</v>
      </c>
      <c r="G606" t="s">
        <v>202</v>
      </c>
      <c r="H606" t="s">
        <v>271</v>
      </c>
      <c r="I606" t="s">
        <v>202</v>
      </c>
      <c r="J606" t="s">
        <v>289</v>
      </c>
      <c r="K606" t="s">
        <v>292</v>
      </c>
      <c r="M606" t="s">
        <v>290</v>
      </c>
      <c r="N606" t="s">
        <v>419</v>
      </c>
      <c r="O606" t="s">
        <v>420</v>
      </c>
      <c r="P606" t="s">
        <v>427</v>
      </c>
      <c r="S606" t="s">
        <v>949</v>
      </c>
      <c r="T606" t="s">
        <v>1181</v>
      </c>
      <c r="U606" t="s">
        <v>256</v>
      </c>
      <c r="W606" t="s">
        <v>1876</v>
      </c>
      <c r="X606" t="s">
        <v>2444</v>
      </c>
      <c r="Y606" t="s">
        <v>2784</v>
      </c>
      <c r="Z606" t="s">
        <v>3099</v>
      </c>
      <c r="AA606" t="s">
        <v>3135</v>
      </c>
      <c r="AB606">
        <v>10035</v>
      </c>
      <c r="AC606" t="s">
        <v>3138</v>
      </c>
      <c r="AD606" t="s">
        <v>3700</v>
      </c>
      <c r="AE606">
        <v>4</v>
      </c>
      <c r="AG606" t="s">
        <v>4032</v>
      </c>
      <c r="AH606" t="s">
        <v>291</v>
      </c>
      <c r="AI606" t="s">
        <v>291</v>
      </c>
      <c r="AK606" t="s">
        <v>4041</v>
      </c>
      <c r="AM606">
        <v>0</v>
      </c>
      <c r="AN606">
        <v>193</v>
      </c>
      <c r="AO606">
        <v>0.1</v>
      </c>
      <c r="AQ606" t="s">
        <v>4641</v>
      </c>
      <c r="AR606" t="s">
        <v>5509</v>
      </c>
      <c r="AS606">
        <v>0</v>
      </c>
      <c r="AT606" t="s">
        <v>5837</v>
      </c>
      <c r="AU606">
        <v>2</v>
      </c>
      <c r="AV606">
        <v>0</v>
      </c>
      <c r="AW606">
        <v>45.84</v>
      </c>
      <c r="BB606" t="s">
        <v>1322</v>
      </c>
      <c r="BC606">
        <v>7752</v>
      </c>
      <c r="BG606" t="s">
        <v>5915</v>
      </c>
      <c r="BJ606" t="s">
        <v>5957</v>
      </c>
      <c r="BK606" t="s">
        <v>256</v>
      </c>
      <c r="BL606" t="s">
        <v>6056</v>
      </c>
    </row>
    <row r="607" spans="1:64">
      <c r="A607" s="1">
        <f>HYPERLINK("https://lsnyc.legalserver.org/matter/dynamic-profile/view/1907342","19-1907342")</f>
        <v>0</v>
      </c>
      <c r="B607" t="s">
        <v>66</v>
      </c>
      <c r="C607" t="s">
        <v>153</v>
      </c>
      <c r="D607" t="s">
        <v>200</v>
      </c>
      <c r="E607" t="s">
        <v>201</v>
      </c>
      <c r="G607" t="s">
        <v>202</v>
      </c>
      <c r="H607" t="s">
        <v>271</v>
      </c>
      <c r="I607" t="s">
        <v>202</v>
      </c>
      <c r="J607" t="s">
        <v>289</v>
      </c>
      <c r="K607" t="s">
        <v>292</v>
      </c>
      <c r="M607" t="s">
        <v>290</v>
      </c>
      <c r="N607" t="s">
        <v>419</v>
      </c>
      <c r="O607" t="s">
        <v>420</v>
      </c>
      <c r="P607" t="s">
        <v>427</v>
      </c>
      <c r="S607" t="s">
        <v>950</v>
      </c>
      <c r="T607" t="s">
        <v>1628</v>
      </c>
      <c r="U607" t="s">
        <v>257</v>
      </c>
      <c r="W607" t="s">
        <v>1876</v>
      </c>
      <c r="X607" t="s">
        <v>2445</v>
      </c>
      <c r="Y607">
        <v>69</v>
      </c>
      <c r="Z607" t="s">
        <v>3099</v>
      </c>
      <c r="AA607" t="s">
        <v>3135</v>
      </c>
      <c r="AB607">
        <v>10027</v>
      </c>
      <c r="AC607" t="s">
        <v>3139</v>
      </c>
      <c r="AD607" t="s">
        <v>3701</v>
      </c>
      <c r="AE607">
        <v>5</v>
      </c>
      <c r="AG607" t="s">
        <v>4033</v>
      </c>
      <c r="AH607" t="s">
        <v>291</v>
      </c>
      <c r="AK607" t="s">
        <v>4040</v>
      </c>
      <c r="AM607">
        <v>0</v>
      </c>
      <c r="AN607">
        <v>864.74</v>
      </c>
      <c r="AO607">
        <v>2.9</v>
      </c>
      <c r="AQ607" t="s">
        <v>4642</v>
      </c>
      <c r="AR607" t="s">
        <v>5510</v>
      </c>
      <c r="AS607">
        <v>0</v>
      </c>
      <c r="AT607" t="s">
        <v>5838</v>
      </c>
      <c r="AU607">
        <v>1</v>
      </c>
      <c r="AV607">
        <v>0</v>
      </c>
      <c r="AW607">
        <v>0</v>
      </c>
      <c r="BA607" t="s">
        <v>329</v>
      </c>
      <c r="BC607">
        <v>0</v>
      </c>
      <c r="BG607" t="s">
        <v>5914</v>
      </c>
      <c r="BJ607" t="s">
        <v>5945</v>
      </c>
      <c r="BK607" t="s">
        <v>263</v>
      </c>
      <c r="BL607" t="s">
        <v>6056</v>
      </c>
    </row>
    <row r="608" spans="1:64">
      <c r="A608" s="1">
        <f>HYPERLINK("https://lsnyc.legalserver.org/matter/dynamic-profile/view/1907013","19-1907013")</f>
        <v>0</v>
      </c>
      <c r="B608" t="s">
        <v>66</v>
      </c>
      <c r="C608" t="s">
        <v>150</v>
      </c>
      <c r="D608" t="s">
        <v>200</v>
      </c>
      <c r="E608" t="s">
        <v>202</v>
      </c>
      <c r="F608" t="s">
        <v>226</v>
      </c>
      <c r="G608" t="s">
        <v>202</v>
      </c>
      <c r="H608" t="s">
        <v>271</v>
      </c>
      <c r="I608" t="s">
        <v>202</v>
      </c>
      <c r="J608" t="s">
        <v>289</v>
      </c>
      <c r="K608" t="s">
        <v>292</v>
      </c>
      <c r="M608" t="s">
        <v>290</v>
      </c>
      <c r="N608" t="s">
        <v>202</v>
      </c>
      <c r="O608" t="s">
        <v>422</v>
      </c>
      <c r="P608" t="s">
        <v>427</v>
      </c>
      <c r="S608" t="s">
        <v>951</v>
      </c>
      <c r="T608" t="s">
        <v>1629</v>
      </c>
      <c r="U608" t="s">
        <v>226</v>
      </c>
      <c r="W608" t="s">
        <v>1876</v>
      </c>
      <c r="X608" t="s">
        <v>2446</v>
      </c>
      <c r="Y608" t="s">
        <v>3014</v>
      </c>
      <c r="Z608" t="s">
        <v>3099</v>
      </c>
      <c r="AA608" t="s">
        <v>3135</v>
      </c>
      <c r="AB608">
        <v>10001</v>
      </c>
      <c r="AC608" t="s">
        <v>3136</v>
      </c>
      <c r="AD608" t="s">
        <v>3702</v>
      </c>
      <c r="AE608">
        <v>4</v>
      </c>
      <c r="AG608" t="s">
        <v>4032</v>
      </c>
      <c r="AH608" t="s">
        <v>291</v>
      </c>
      <c r="AI608" t="s">
        <v>291</v>
      </c>
      <c r="AK608" t="s">
        <v>4041</v>
      </c>
      <c r="AL608" t="s">
        <v>4046</v>
      </c>
      <c r="AM608">
        <v>0</v>
      </c>
      <c r="AN608">
        <v>356</v>
      </c>
      <c r="AO608">
        <v>1.4</v>
      </c>
      <c r="AQ608" t="s">
        <v>4468</v>
      </c>
      <c r="AR608" t="s">
        <v>5511</v>
      </c>
      <c r="AS608">
        <v>0</v>
      </c>
      <c r="AT608" t="s">
        <v>5841</v>
      </c>
      <c r="AU608">
        <v>1</v>
      </c>
      <c r="AV608">
        <v>0</v>
      </c>
      <c r="AW608">
        <v>18.73</v>
      </c>
      <c r="BA608" t="s">
        <v>329</v>
      </c>
      <c r="BB608" t="s">
        <v>1322</v>
      </c>
      <c r="BC608">
        <v>2340</v>
      </c>
      <c r="BG608" t="s">
        <v>5913</v>
      </c>
      <c r="BJ608" t="s">
        <v>5948</v>
      </c>
      <c r="BK608" t="s">
        <v>218</v>
      </c>
      <c r="BL608" t="s">
        <v>6056</v>
      </c>
    </row>
    <row r="609" spans="1:64">
      <c r="A609" s="1">
        <f>HYPERLINK("https://lsnyc.legalserver.org/matter/dynamic-profile/view/1909033","19-1909033")</f>
        <v>0</v>
      </c>
      <c r="B609" t="s">
        <v>66</v>
      </c>
      <c r="C609" t="s">
        <v>150</v>
      </c>
      <c r="D609" t="s">
        <v>200</v>
      </c>
      <c r="E609" t="s">
        <v>202</v>
      </c>
      <c r="F609" t="s">
        <v>256</v>
      </c>
      <c r="G609" t="s">
        <v>202</v>
      </c>
      <c r="H609" t="s">
        <v>271</v>
      </c>
      <c r="I609" t="s">
        <v>202</v>
      </c>
      <c r="J609" t="s">
        <v>289</v>
      </c>
      <c r="K609" t="s">
        <v>292</v>
      </c>
      <c r="M609" t="s">
        <v>290</v>
      </c>
      <c r="N609" t="s">
        <v>419</v>
      </c>
      <c r="O609" t="s">
        <v>420</v>
      </c>
      <c r="P609" t="s">
        <v>427</v>
      </c>
      <c r="S609" t="s">
        <v>952</v>
      </c>
      <c r="T609" t="s">
        <v>1630</v>
      </c>
      <c r="U609" t="s">
        <v>256</v>
      </c>
      <c r="W609" t="s">
        <v>1876</v>
      </c>
      <c r="X609" t="s">
        <v>2447</v>
      </c>
      <c r="Y609" t="s">
        <v>3015</v>
      </c>
      <c r="Z609" t="s">
        <v>3099</v>
      </c>
      <c r="AA609" t="s">
        <v>3135</v>
      </c>
      <c r="AB609">
        <v>10024</v>
      </c>
      <c r="AC609" t="s">
        <v>3136</v>
      </c>
      <c r="AD609" t="s">
        <v>3703</v>
      </c>
      <c r="AE609">
        <v>42</v>
      </c>
      <c r="AG609" t="s">
        <v>4032</v>
      </c>
      <c r="AH609" t="s">
        <v>291</v>
      </c>
      <c r="AI609" t="s">
        <v>291</v>
      </c>
      <c r="AK609" t="s">
        <v>4040</v>
      </c>
      <c r="AL609" t="s">
        <v>4046</v>
      </c>
      <c r="AM609">
        <v>0</v>
      </c>
      <c r="AN609">
        <v>1207</v>
      </c>
      <c r="AO609">
        <v>0</v>
      </c>
      <c r="AQ609" t="s">
        <v>4643</v>
      </c>
      <c r="AR609" t="s">
        <v>5512</v>
      </c>
      <c r="AS609">
        <v>60</v>
      </c>
      <c r="AT609" t="s">
        <v>5838</v>
      </c>
      <c r="AU609">
        <v>1</v>
      </c>
      <c r="AV609">
        <v>0</v>
      </c>
      <c r="AW609">
        <v>160.13</v>
      </c>
      <c r="BA609" t="s">
        <v>329</v>
      </c>
      <c r="BB609" t="s">
        <v>1322</v>
      </c>
      <c r="BC609">
        <v>20000</v>
      </c>
      <c r="BG609" t="s">
        <v>5913</v>
      </c>
      <c r="BJ609" t="s">
        <v>5955</v>
      </c>
      <c r="BL609" t="s">
        <v>6056</v>
      </c>
    </row>
    <row r="610" spans="1:64">
      <c r="A610" s="1">
        <f>HYPERLINK("https://lsnyc.legalserver.org/matter/dynamic-profile/view/1907889","19-1907889")</f>
        <v>0</v>
      </c>
      <c r="B610" t="s">
        <v>66</v>
      </c>
      <c r="C610" t="s">
        <v>150</v>
      </c>
      <c r="D610" t="s">
        <v>200</v>
      </c>
      <c r="E610" t="s">
        <v>202</v>
      </c>
      <c r="F610" t="s">
        <v>223</v>
      </c>
      <c r="G610" t="s">
        <v>202</v>
      </c>
      <c r="H610" t="s">
        <v>272</v>
      </c>
      <c r="I610" t="s">
        <v>202</v>
      </c>
      <c r="J610" t="s">
        <v>289</v>
      </c>
      <c r="K610" t="s">
        <v>292</v>
      </c>
      <c r="M610" t="s">
        <v>290</v>
      </c>
      <c r="N610" t="s">
        <v>202</v>
      </c>
      <c r="O610" t="s">
        <v>421</v>
      </c>
      <c r="P610" t="s">
        <v>427</v>
      </c>
      <c r="S610" t="s">
        <v>697</v>
      </c>
      <c r="T610" t="s">
        <v>1233</v>
      </c>
      <c r="U610" t="s">
        <v>223</v>
      </c>
      <c r="W610" t="s">
        <v>1876</v>
      </c>
      <c r="X610" t="s">
        <v>2448</v>
      </c>
      <c r="Y610" t="s">
        <v>2941</v>
      </c>
      <c r="Z610" t="s">
        <v>3099</v>
      </c>
      <c r="AA610" t="s">
        <v>3135</v>
      </c>
      <c r="AB610">
        <v>10026</v>
      </c>
      <c r="AC610" t="s">
        <v>3139</v>
      </c>
      <c r="AD610" t="s">
        <v>3704</v>
      </c>
      <c r="AE610">
        <v>14</v>
      </c>
      <c r="AG610" t="s">
        <v>4033</v>
      </c>
      <c r="AH610" t="s">
        <v>291</v>
      </c>
      <c r="AI610" t="s">
        <v>291</v>
      </c>
      <c r="AK610" t="s">
        <v>4040</v>
      </c>
      <c r="AL610" t="s">
        <v>4049</v>
      </c>
      <c r="AM610">
        <v>0</v>
      </c>
      <c r="AN610">
        <v>535</v>
      </c>
      <c r="AO610">
        <v>1.8</v>
      </c>
      <c r="AQ610" t="s">
        <v>4644</v>
      </c>
      <c r="AR610" t="s">
        <v>5513</v>
      </c>
      <c r="AS610">
        <v>48</v>
      </c>
      <c r="AT610" t="s">
        <v>5838</v>
      </c>
      <c r="AU610">
        <v>3</v>
      </c>
      <c r="AV610">
        <v>0</v>
      </c>
      <c r="AW610">
        <v>18.28</v>
      </c>
      <c r="BA610" t="s">
        <v>329</v>
      </c>
      <c r="BB610" t="s">
        <v>1322</v>
      </c>
      <c r="BC610">
        <v>3900</v>
      </c>
      <c r="BG610" t="s">
        <v>5914</v>
      </c>
      <c r="BJ610" t="s">
        <v>5949</v>
      </c>
      <c r="BK610" t="s">
        <v>216</v>
      </c>
      <c r="BL610" t="s">
        <v>6056</v>
      </c>
    </row>
    <row r="611" spans="1:64">
      <c r="A611" s="1">
        <f>HYPERLINK("https://lsnyc.legalserver.org/matter/dynamic-profile/view/1907010","19-1907010")</f>
        <v>0</v>
      </c>
      <c r="B611" t="s">
        <v>66</v>
      </c>
      <c r="C611" t="s">
        <v>150</v>
      </c>
      <c r="D611" t="s">
        <v>200</v>
      </c>
      <c r="E611" t="s">
        <v>202</v>
      </c>
      <c r="F611" t="s">
        <v>226</v>
      </c>
      <c r="G611" t="s">
        <v>202</v>
      </c>
      <c r="H611" t="s">
        <v>271</v>
      </c>
      <c r="I611" t="s">
        <v>202</v>
      </c>
      <c r="J611" t="s">
        <v>289</v>
      </c>
      <c r="K611" t="s">
        <v>292</v>
      </c>
      <c r="M611" t="s">
        <v>290</v>
      </c>
      <c r="N611" t="s">
        <v>202</v>
      </c>
      <c r="O611" t="s">
        <v>422</v>
      </c>
      <c r="P611" t="s">
        <v>427</v>
      </c>
      <c r="S611" t="s">
        <v>609</v>
      </c>
      <c r="T611" t="s">
        <v>1631</v>
      </c>
      <c r="U611" t="s">
        <v>226</v>
      </c>
      <c r="W611" t="s">
        <v>1876</v>
      </c>
      <c r="X611" t="s">
        <v>2449</v>
      </c>
      <c r="Y611" t="s">
        <v>2807</v>
      </c>
      <c r="Z611" t="s">
        <v>3099</v>
      </c>
      <c r="AA611" t="s">
        <v>3135</v>
      </c>
      <c r="AB611">
        <v>10021</v>
      </c>
      <c r="AC611" t="s">
        <v>3138</v>
      </c>
      <c r="AD611" t="s">
        <v>3705</v>
      </c>
      <c r="AE611">
        <v>3</v>
      </c>
      <c r="AG611" t="s">
        <v>4032</v>
      </c>
      <c r="AH611" t="s">
        <v>291</v>
      </c>
      <c r="AI611" t="s">
        <v>291</v>
      </c>
      <c r="AK611" t="s">
        <v>4040</v>
      </c>
      <c r="AM611">
        <v>0</v>
      </c>
      <c r="AN611">
        <v>1950</v>
      </c>
      <c r="AO611">
        <v>2.2</v>
      </c>
      <c r="AQ611" t="s">
        <v>4645</v>
      </c>
      <c r="AR611" t="s">
        <v>5514</v>
      </c>
      <c r="AS611">
        <v>0</v>
      </c>
      <c r="AT611" t="s">
        <v>5838</v>
      </c>
      <c r="AU611">
        <v>1</v>
      </c>
      <c r="AV611">
        <v>0</v>
      </c>
      <c r="AW611">
        <v>0</v>
      </c>
      <c r="BA611" t="s">
        <v>329</v>
      </c>
      <c r="BB611" t="s">
        <v>1322</v>
      </c>
      <c r="BC611">
        <v>0</v>
      </c>
      <c r="BG611" t="s">
        <v>5915</v>
      </c>
      <c r="BJ611" t="s">
        <v>5965</v>
      </c>
      <c r="BK611" t="s">
        <v>238</v>
      </c>
      <c r="BL611" t="s">
        <v>6056</v>
      </c>
    </row>
    <row r="612" spans="1:64">
      <c r="A612" s="1">
        <f>HYPERLINK("https://lsnyc.legalserver.org/matter/dynamic-profile/view/1906330","19-1906330")</f>
        <v>0</v>
      </c>
      <c r="B612" t="s">
        <v>66</v>
      </c>
      <c r="C612" t="s">
        <v>150</v>
      </c>
      <c r="D612" t="s">
        <v>200</v>
      </c>
      <c r="E612" t="s">
        <v>201</v>
      </c>
      <c r="G612" t="s">
        <v>202</v>
      </c>
      <c r="H612" t="s">
        <v>272</v>
      </c>
      <c r="I612" t="s">
        <v>202</v>
      </c>
      <c r="J612" t="s">
        <v>289</v>
      </c>
      <c r="K612" t="s">
        <v>292</v>
      </c>
      <c r="M612" t="s">
        <v>290</v>
      </c>
      <c r="N612" t="s">
        <v>419</v>
      </c>
      <c r="O612" t="s">
        <v>420</v>
      </c>
      <c r="P612" t="s">
        <v>427</v>
      </c>
      <c r="S612" t="s">
        <v>567</v>
      </c>
      <c r="T612" t="s">
        <v>1242</v>
      </c>
      <c r="U612" t="s">
        <v>249</v>
      </c>
      <c r="W612" t="s">
        <v>1876</v>
      </c>
      <c r="X612" t="s">
        <v>2450</v>
      </c>
      <c r="Y612" t="s">
        <v>3016</v>
      </c>
      <c r="Z612" t="s">
        <v>3099</v>
      </c>
      <c r="AA612" t="s">
        <v>3135</v>
      </c>
      <c r="AB612">
        <v>10026</v>
      </c>
      <c r="AC612" t="s">
        <v>3139</v>
      </c>
      <c r="AD612" t="s">
        <v>3706</v>
      </c>
      <c r="AE612">
        <v>7</v>
      </c>
      <c r="AG612" t="s">
        <v>4032</v>
      </c>
      <c r="AH612" t="s">
        <v>291</v>
      </c>
      <c r="AI612" t="s">
        <v>291</v>
      </c>
      <c r="AK612" t="s">
        <v>4040</v>
      </c>
      <c r="AM612">
        <v>0</v>
      </c>
      <c r="AN612">
        <v>1747.93</v>
      </c>
      <c r="AO612">
        <v>6.3</v>
      </c>
      <c r="AQ612" t="s">
        <v>4646</v>
      </c>
      <c r="AR612" t="s">
        <v>5515</v>
      </c>
      <c r="AS612">
        <v>72</v>
      </c>
      <c r="AT612" t="s">
        <v>5836</v>
      </c>
      <c r="AU612">
        <v>1</v>
      </c>
      <c r="AV612">
        <v>0</v>
      </c>
      <c r="AW612">
        <v>80.06</v>
      </c>
      <c r="BA612" t="s">
        <v>329</v>
      </c>
      <c r="BB612" t="s">
        <v>1322</v>
      </c>
      <c r="BC612">
        <v>10000</v>
      </c>
      <c r="BG612" t="s">
        <v>5914</v>
      </c>
      <c r="BJ612" t="s">
        <v>5955</v>
      </c>
      <c r="BK612" t="s">
        <v>264</v>
      </c>
      <c r="BL612" t="s">
        <v>6056</v>
      </c>
    </row>
    <row r="613" spans="1:64">
      <c r="A613" s="1">
        <f>HYPERLINK("https://lsnyc.legalserver.org/matter/dynamic-profile/view/1906265","19-1906265")</f>
        <v>0</v>
      </c>
      <c r="B613" t="s">
        <v>66</v>
      </c>
      <c r="C613" t="s">
        <v>150</v>
      </c>
      <c r="D613" t="s">
        <v>200</v>
      </c>
      <c r="E613" t="s">
        <v>202</v>
      </c>
      <c r="F613" t="s">
        <v>249</v>
      </c>
      <c r="G613" t="s">
        <v>202</v>
      </c>
      <c r="H613" t="s">
        <v>272</v>
      </c>
      <c r="I613" t="s">
        <v>202</v>
      </c>
      <c r="J613" t="s">
        <v>289</v>
      </c>
      <c r="K613" t="s">
        <v>292</v>
      </c>
      <c r="M613" t="s">
        <v>290</v>
      </c>
      <c r="N613" t="s">
        <v>202</v>
      </c>
      <c r="O613" t="s">
        <v>421</v>
      </c>
      <c r="P613" t="s">
        <v>427</v>
      </c>
      <c r="S613" t="s">
        <v>953</v>
      </c>
      <c r="T613" t="s">
        <v>1378</v>
      </c>
      <c r="U613" t="s">
        <v>249</v>
      </c>
      <c r="W613" t="s">
        <v>1876</v>
      </c>
      <c r="X613" t="s">
        <v>2451</v>
      </c>
      <c r="Y613" t="s">
        <v>2807</v>
      </c>
      <c r="Z613" t="s">
        <v>3099</v>
      </c>
      <c r="AA613" t="s">
        <v>3135</v>
      </c>
      <c r="AB613">
        <v>10026</v>
      </c>
      <c r="AC613" t="s">
        <v>3139</v>
      </c>
      <c r="AD613" t="s">
        <v>3707</v>
      </c>
      <c r="AE613">
        <v>38</v>
      </c>
      <c r="AG613" t="s">
        <v>4033</v>
      </c>
      <c r="AH613" t="s">
        <v>291</v>
      </c>
      <c r="AI613" t="s">
        <v>291</v>
      </c>
      <c r="AK613" t="s">
        <v>4040</v>
      </c>
      <c r="AL613" t="s">
        <v>4046</v>
      </c>
      <c r="AM613">
        <v>0</v>
      </c>
      <c r="AN613">
        <v>229</v>
      </c>
      <c r="AO613">
        <v>5.4</v>
      </c>
      <c r="AQ613" t="s">
        <v>4647</v>
      </c>
      <c r="AR613" t="s">
        <v>5516</v>
      </c>
      <c r="AS613">
        <v>0</v>
      </c>
      <c r="AT613" t="s">
        <v>5837</v>
      </c>
      <c r="AU613">
        <v>1</v>
      </c>
      <c r="AV613">
        <v>0</v>
      </c>
      <c r="AW613">
        <v>38.43</v>
      </c>
      <c r="BA613" t="s">
        <v>5850</v>
      </c>
      <c r="BB613" t="s">
        <v>1322</v>
      </c>
      <c r="BC613">
        <v>4800</v>
      </c>
      <c r="BG613" t="s">
        <v>5914</v>
      </c>
      <c r="BJ613" t="s">
        <v>5944</v>
      </c>
      <c r="BK613" t="s">
        <v>234</v>
      </c>
      <c r="BL613" t="s">
        <v>6056</v>
      </c>
    </row>
    <row r="614" spans="1:64">
      <c r="A614" s="1">
        <f>HYPERLINK("https://lsnyc.legalserver.org/matter/dynamic-profile/view/1907054","19-1907054")</f>
        <v>0</v>
      </c>
      <c r="B614" t="s">
        <v>66</v>
      </c>
      <c r="C614" t="s">
        <v>150</v>
      </c>
      <c r="D614" t="s">
        <v>200</v>
      </c>
      <c r="E614" t="s">
        <v>202</v>
      </c>
      <c r="F614" t="s">
        <v>226</v>
      </c>
      <c r="G614" t="s">
        <v>202</v>
      </c>
      <c r="H614" t="s">
        <v>274</v>
      </c>
      <c r="I614" t="s">
        <v>202</v>
      </c>
      <c r="J614" t="s">
        <v>289</v>
      </c>
      <c r="K614" t="s">
        <v>292</v>
      </c>
      <c r="M614" t="s">
        <v>290</v>
      </c>
      <c r="N614" t="s">
        <v>202</v>
      </c>
      <c r="O614" t="s">
        <v>425</v>
      </c>
      <c r="P614" t="s">
        <v>427</v>
      </c>
      <c r="S614" t="s">
        <v>954</v>
      </c>
      <c r="T614" t="s">
        <v>1632</v>
      </c>
      <c r="U614" t="s">
        <v>226</v>
      </c>
      <c r="W614" t="s">
        <v>1876</v>
      </c>
      <c r="X614" t="s">
        <v>2452</v>
      </c>
      <c r="Y614" t="s">
        <v>2903</v>
      </c>
      <c r="Z614" t="s">
        <v>3099</v>
      </c>
      <c r="AA614" t="s">
        <v>3135</v>
      </c>
      <c r="AB614">
        <v>10037</v>
      </c>
      <c r="AC614" t="s">
        <v>3138</v>
      </c>
      <c r="AD614" t="s">
        <v>3708</v>
      </c>
      <c r="AE614">
        <v>23</v>
      </c>
      <c r="AG614" t="s">
        <v>4032</v>
      </c>
      <c r="AH614" t="s">
        <v>291</v>
      </c>
      <c r="AI614" t="s">
        <v>291</v>
      </c>
      <c r="AK614" t="s">
        <v>4041</v>
      </c>
      <c r="AL614" t="s">
        <v>4046</v>
      </c>
      <c r="AM614">
        <v>0</v>
      </c>
      <c r="AN614">
        <v>822</v>
      </c>
      <c r="AO614">
        <v>8.9</v>
      </c>
      <c r="AQ614" t="s">
        <v>4648</v>
      </c>
      <c r="AR614" t="s">
        <v>5517</v>
      </c>
      <c r="AS614">
        <v>0</v>
      </c>
      <c r="AT614" t="s">
        <v>5841</v>
      </c>
      <c r="AU614">
        <v>2</v>
      </c>
      <c r="AV614">
        <v>0</v>
      </c>
      <c r="AW614">
        <v>120.85</v>
      </c>
      <c r="BA614" t="s">
        <v>329</v>
      </c>
      <c r="BB614" t="s">
        <v>1322</v>
      </c>
      <c r="BC614">
        <v>20436</v>
      </c>
      <c r="BG614" t="s">
        <v>5913</v>
      </c>
      <c r="BJ614" t="s">
        <v>5997</v>
      </c>
      <c r="BK614" t="s">
        <v>243</v>
      </c>
      <c r="BL614" t="s">
        <v>6056</v>
      </c>
    </row>
    <row r="615" spans="1:64">
      <c r="A615" s="1">
        <f>HYPERLINK("https://lsnyc.legalserver.org/matter/dynamic-profile/view/1904415","19-1904415")</f>
        <v>0</v>
      </c>
      <c r="B615" t="s">
        <v>66</v>
      </c>
      <c r="C615" t="s">
        <v>153</v>
      </c>
      <c r="D615" t="s">
        <v>200</v>
      </c>
      <c r="E615" t="s">
        <v>202</v>
      </c>
      <c r="F615" t="s">
        <v>204</v>
      </c>
      <c r="G615" t="s">
        <v>202</v>
      </c>
      <c r="H615" t="s">
        <v>272</v>
      </c>
      <c r="I615" t="s">
        <v>202</v>
      </c>
      <c r="J615" t="s">
        <v>289</v>
      </c>
      <c r="K615" t="s">
        <v>292</v>
      </c>
      <c r="M615" t="s">
        <v>290</v>
      </c>
      <c r="N615" t="s">
        <v>202</v>
      </c>
      <c r="O615" t="s">
        <v>421</v>
      </c>
      <c r="P615" t="s">
        <v>427</v>
      </c>
      <c r="S615" t="s">
        <v>955</v>
      </c>
      <c r="T615" t="s">
        <v>1633</v>
      </c>
      <c r="U615" t="s">
        <v>204</v>
      </c>
      <c r="W615" t="s">
        <v>1876</v>
      </c>
      <c r="X615" t="s">
        <v>2453</v>
      </c>
      <c r="Y615" t="s">
        <v>2906</v>
      </c>
      <c r="Z615" t="s">
        <v>3099</v>
      </c>
      <c r="AA615" t="s">
        <v>3135</v>
      </c>
      <c r="AB615">
        <v>10026</v>
      </c>
      <c r="AC615" t="s">
        <v>3139</v>
      </c>
      <c r="AD615" t="s">
        <v>3709</v>
      </c>
      <c r="AE615">
        <v>29</v>
      </c>
      <c r="AG615" t="s">
        <v>4033</v>
      </c>
      <c r="AH615" t="s">
        <v>291</v>
      </c>
      <c r="AI615" t="s">
        <v>291</v>
      </c>
      <c r="AK615" t="s">
        <v>4040</v>
      </c>
      <c r="AM615">
        <v>0</v>
      </c>
      <c r="AN615">
        <v>1269.25</v>
      </c>
      <c r="AO615">
        <v>17.5</v>
      </c>
      <c r="AQ615" t="s">
        <v>4649</v>
      </c>
      <c r="AR615" t="s">
        <v>5518</v>
      </c>
      <c r="AS615">
        <v>0</v>
      </c>
      <c r="AT615" t="s">
        <v>5846</v>
      </c>
      <c r="AU615">
        <v>3</v>
      </c>
      <c r="AV615">
        <v>1</v>
      </c>
      <c r="AW615">
        <v>182.91</v>
      </c>
      <c r="BA615" t="s">
        <v>329</v>
      </c>
      <c r="BB615" t="s">
        <v>1322</v>
      </c>
      <c r="BC615">
        <v>47100</v>
      </c>
      <c r="BG615" t="s">
        <v>5915</v>
      </c>
      <c r="BJ615" t="s">
        <v>5949</v>
      </c>
      <c r="BK615" t="s">
        <v>225</v>
      </c>
      <c r="BL615" t="s">
        <v>6056</v>
      </c>
    </row>
    <row r="616" spans="1:64">
      <c r="A616" s="1">
        <f>HYPERLINK("https://lsnyc.legalserver.org/matter/dynamic-profile/view/1910158","19-1910158")</f>
        <v>0</v>
      </c>
      <c r="B616" t="s">
        <v>66</v>
      </c>
      <c r="C616" t="s">
        <v>148</v>
      </c>
      <c r="D616" t="s">
        <v>200</v>
      </c>
      <c r="E616" t="s">
        <v>202</v>
      </c>
      <c r="F616" t="s">
        <v>259</v>
      </c>
      <c r="G616" t="s">
        <v>202</v>
      </c>
      <c r="H616" t="s">
        <v>271</v>
      </c>
      <c r="I616" t="s">
        <v>202</v>
      </c>
      <c r="J616" t="s">
        <v>289</v>
      </c>
      <c r="K616" t="s">
        <v>292</v>
      </c>
      <c r="M616" t="s">
        <v>290</v>
      </c>
      <c r="N616" t="s">
        <v>419</v>
      </c>
      <c r="O616" t="s">
        <v>420</v>
      </c>
      <c r="P616" t="s">
        <v>427</v>
      </c>
      <c r="S616" t="s">
        <v>782</v>
      </c>
      <c r="T616" t="s">
        <v>1231</v>
      </c>
      <c r="U616" t="s">
        <v>259</v>
      </c>
      <c r="W616" t="s">
        <v>1876</v>
      </c>
      <c r="X616" t="s">
        <v>2454</v>
      </c>
      <c r="Y616">
        <v>37</v>
      </c>
      <c r="Z616" t="s">
        <v>3099</v>
      </c>
      <c r="AA616" t="s">
        <v>3135</v>
      </c>
      <c r="AB616">
        <v>10032</v>
      </c>
      <c r="AC616" t="s">
        <v>3136</v>
      </c>
      <c r="AD616" t="s">
        <v>3710</v>
      </c>
      <c r="AE616">
        <v>20</v>
      </c>
      <c r="AG616" t="s">
        <v>4032</v>
      </c>
      <c r="AH616" t="s">
        <v>291</v>
      </c>
      <c r="AI616" t="s">
        <v>291</v>
      </c>
      <c r="AK616" t="s">
        <v>4040</v>
      </c>
      <c r="AM616">
        <v>0</v>
      </c>
      <c r="AN616">
        <v>1171</v>
      </c>
      <c r="AO616">
        <v>0.75</v>
      </c>
      <c r="AQ616" t="s">
        <v>4650</v>
      </c>
      <c r="AR616" t="s">
        <v>5519</v>
      </c>
      <c r="AS616">
        <v>0</v>
      </c>
      <c r="AT616" t="s">
        <v>5838</v>
      </c>
      <c r="AU616">
        <v>3</v>
      </c>
      <c r="AV616">
        <v>2</v>
      </c>
      <c r="AW616">
        <v>172.36</v>
      </c>
      <c r="BA616" t="s">
        <v>329</v>
      </c>
      <c r="BB616" t="s">
        <v>5859</v>
      </c>
      <c r="BC616">
        <v>52000</v>
      </c>
      <c r="BG616" t="s">
        <v>5915</v>
      </c>
      <c r="BJ616" t="s">
        <v>5949</v>
      </c>
      <c r="BK616" t="s">
        <v>259</v>
      </c>
      <c r="BL616" t="s">
        <v>6056</v>
      </c>
    </row>
    <row r="617" spans="1:64">
      <c r="A617" s="1">
        <f>HYPERLINK("https://lsnyc.legalserver.org/matter/dynamic-profile/view/1905071","19-1905071")</f>
        <v>0</v>
      </c>
      <c r="B617" t="s">
        <v>66</v>
      </c>
      <c r="C617" t="s">
        <v>154</v>
      </c>
      <c r="D617" t="s">
        <v>200</v>
      </c>
      <c r="E617" t="s">
        <v>202</v>
      </c>
      <c r="F617" t="s">
        <v>258</v>
      </c>
      <c r="G617" t="s">
        <v>202</v>
      </c>
      <c r="H617" t="s">
        <v>271</v>
      </c>
      <c r="I617" t="s">
        <v>202</v>
      </c>
      <c r="J617" t="s">
        <v>289</v>
      </c>
      <c r="K617" t="s">
        <v>292</v>
      </c>
      <c r="M617" t="s">
        <v>290</v>
      </c>
      <c r="N617" t="s">
        <v>202</v>
      </c>
      <c r="O617" t="s">
        <v>422</v>
      </c>
      <c r="P617" t="s">
        <v>428</v>
      </c>
      <c r="S617" t="s">
        <v>682</v>
      </c>
      <c r="T617" t="s">
        <v>1370</v>
      </c>
      <c r="U617" t="s">
        <v>258</v>
      </c>
      <c r="V617" t="s">
        <v>231</v>
      </c>
      <c r="W617" t="s">
        <v>1877</v>
      </c>
      <c r="X617" t="s">
        <v>2455</v>
      </c>
      <c r="Y617">
        <v>46</v>
      </c>
      <c r="Z617" t="s">
        <v>3099</v>
      </c>
      <c r="AA617" t="s">
        <v>3135</v>
      </c>
      <c r="AB617">
        <v>10031</v>
      </c>
      <c r="AC617" t="s">
        <v>3139</v>
      </c>
      <c r="AD617" t="s">
        <v>3711</v>
      </c>
      <c r="AE617">
        <v>1</v>
      </c>
      <c r="AF617" t="s">
        <v>4023</v>
      </c>
      <c r="AG617" t="s">
        <v>4033</v>
      </c>
      <c r="AH617" t="s">
        <v>291</v>
      </c>
      <c r="AI617" t="s">
        <v>291</v>
      </c>
      <c r="AK617" t="s">
        <v>4040</v>
      </c>
      <c r="AL617" t="s">
        <v>4046</v>
      </c>
      <c r="AM617">
        <v>0</v>
      </c>
      <c r="AN617">
        <v>1000</v>
      </c>
      <c r="AO617">
        <v>1</v>
      </c>
      <c r="AP617" t="s">
        <v>4052</v>
      </c>
      <c r="AQ617" t="s">
        <v>4651</v>
      </c>
      <c r="AS617">
        <v>47</v>
      </c>
      <c r="AT617" t="s">
        <v>5836</v>
      </c>
      <c r="AU617">
        <v>2</v>
      </c>
      <c r="AV617">
        <v>0</v>
      </c>
      <c r="AW617">
        <v>107.63</v>
      </c>
      <c r="BA617" t="s">
        <v>329</v>
      </c>
      <c r="BB617" t="s">
        <v>5859</v>
      </c>
      <c r="BC617">
        <v>18200</v>
      </c>
      <c r="BG617" t="s">
        <v>5914</v>
      </c>
      <c r="BJ617" t="s">
        <v>5955</v>
      </c>
      <c r="BK617" t="s">
        <v>258</v>
      </c>
      <c r="BL617" t="s">
        <v>6056</v>
      </c>
    </row>
    <row r="618" spans="1:64">
      <c r="A618" s="1">
        <f>HYPERLINK("https://lsnyc.legalserver.org/matter/dynamic-profile/view/1909373","19-1909373")</f>
        <v>0</v>
      </c>
      <c r="B618" t="s">
        <v>66</v>
      </c>
      <c r="C618" t="s">
        <v>155</v>
      </c>
      <c r="D618" t="s">
        <v>200</v>
      </c>
      <c r="E618" t="s">
        <v>201</v>
      </c>
      <c r="G618" t="s">
        <v>202</v>
      </c>
      <c r="H618" t="s">
        <v>272</v>
      </c>
      <c r="I618" t="s">
        <v>202</v>
      </c>
      <c r="J618" t="s">
        <v>289</v>
      </c>
      <c r="K618" t="s">
        <v>292</v>
      </c>
      <c r="M618" t="s">
        <v>290</v>
      </c>
      <c r="N618" t="s">
        <v>202</v>
      </c>
      <c r="O618" t="s">
        <v>421</v>
      </c>
      <c r="P618" t="s">
        <v>427</v>
      </c>
      <c r="S618" t="s">
        <v>956</v>
      </c>
      <c r="T618" t="s">
        <v>1373</v>
      </c>
      <c r="U618" t="s">
        <v>234</v>
      </c>
      <c r="W618" t="s">
        <v>1876</v>
      </c>
      <c r="X618" t="s">
        <v>2456</v>
      </c>
      <c r="Y618">
        <v>43</v>
      </c>
      <c r="Z618" t="s">
        <v>3099</v>
      </c>
      <c r="AA618" t="s">
        <v>3135</v>
      </c>
      <c r="AB618">
        <v>10031</v>
      </c>
      <c r="AC618" t="s">
        <v>3139</v>
      </c>
      <c r="AD618" t="s">
        <v>3712</v>
      </c>
      <c r="AE618">
        <v>25</v>
      </c>
      <c r="AG618" t="s">
        <v>4033</v>
      </c>
      <c r="AH618" t="s">
        <v>291</v>
      </c>
      <c r="AI618" t="s">
        <v>291</v>
      </c>
      <c r="AK618" t="s">
        <v>4040</v>
      </c>
      <c r="AL618" t="s">
        <v>4046</v>
      </c>
      <c r="AM618">
        <v>0</v>
      </c>
      <c r="AN618">
        <v>1020</v>
      </c>
      <c r="AO618">
        <v>2.2</v>
      </c>
      <c r="AQ618" t="s">
        <v>4652</v>
      </c>
      <c r="AR618" t="s">
        <v>5520</v>
      </c>
      <c r="AS618">
        <v>0</v>
      </c>
      <c r="AT618" t="s">
        <v>5838</v>
      </c>
      <c r="AU618">
        <v>1</v>
      </c>
      <c r="AV618">
        <v>1</v>
      </c>
      <c r="AW618">
        <v>122.7</v>
      </c>
      <c r="BA618" t="s">
        <v>329</v>
      </c>
      <c r="BB618" t="s">
        <v>1322</v>
      </c>
      <c r="BC618">
        <v>20748</v>
      </c>
      <c r="BG618" t="s">
        <v>5914</v>
      </c>
      <c r="BJ618" t="s">
        <v>5949</v>
      </c>
      <c r="BK618" t="s">
        <v>259</v>
      </c>
      <c r="BL618" t="s">
        <v>6056</v>
      </c>
    </row>
    <row r="619" spans="1:64">
      <c r="A619" s="1">
        <f>HYPERLINK("https://lsnyc.legalserver.org/matter/dynamic-profile/view/1908214","19-1908214")</f>
        <v>0</v>
      </c>
      <c r="B619" t="s">
        <v>66</v>
      </c>
      <c r="C619" t="s">
        <v>156</v>
      </c>
      <c r="D619" t="s">
        <v>200</v>
      </c>
      <c r="E619" t="s">
        <v>201</v>
      </c>
      <c r="G619" t="s">
        <v>202</v>
      </c>
      <c r="H619" t="s">
        <v>272</v>
      </c>
      <c r="I619" t="s">
        <v>288</v>
      </c>
      <c r="J619" t="s">
        <v>290</v>
      </c>
      <c r="K619" t="s">
        <v>292</v>
      </c>
      <c r="M619" t="s">
        <v>290</v>
      </c>
      <c r="N619" t="s">
        <v>202</v>
      </c>
      <c r="O619" t="s">
        <v>421</v>
      </c>
      <c r="P619" t="s">
        <v>427</v>
      </c>
      <c r="S619" t="s">
        <v>957</v>
      </c>
      <c r="T619" t="s">
        <v>1634</v>
      </c>
      <c r="U619" t="s">
        <v>1874</v>
      </c>
      <c r="W619" t="s">
        <v>1876</v>
      </c>
      <c r="X619" t="s">
        <v>2457</v>
      </c>
      <c r="Y619" t="s">
        <v>2917</v>
      </c>
      <c r="Z619" t="s">
        <v>3099</v>
      </c>
      <c r="AA619" t="s">
        <v>3135</v>
      </c>
      <c r="AB619">
        <v>10027</v>
      </c>
      <c r="AD619" t="s">
        <v>3713</v>
      </c>
      <c r="AE619">
        <v>9</v>
      </c>
      <c r="AG619" t="s">
        <v>4032</v>
      </c>
      <c r="AH619" t="s">
        <v>291</v>
      </c>
      <c r="AI619" t="s">
        <v>291</v>
      </c>
      <c r="AK619" t="s">
        <v>4040</v>
      </c>
      <c r="AM619">
        <v>0</v>
      </c>
      <c r="AN619">
        <v>962</v>
      </c>
      <c r="AO619">
        <v>3.5</v>
      </c>
      <c r="AQ619" t="s">
        <v>4653</v>
      </c>
      <c r="AR619" t="s">
        <v>5521</v>
      </c>
      <c r="AS619">
        <v>0</v>
      </c>
      <c r="AU619">
        <v>1</v>
      </c>
      <c r="AV619">
        <v>4</v>
      </c>
      <c r="AW619">
        <v>15.67</v>
      </c>
      <c r="BB619" t="s">
        <v>1322</v>
      </c>
      <c r="BC619">
        <v>4728</v>
      </c>
      <c r="BG619" t="s">
        <v>5916</v>
      </c>
      <c r="BJ619" t="s">
        <v>6031</v>
      </c>
      <c r="BK619" t="s">
        <v>256</v>
      </c>
    </row>
    <row r="620" spans="1:64">
      <c r="A620" s="1">
        <f>HYPERLINK("https://lsnyc.legalserver.org/matter/dynamic-profile/view/1908046","19-1908046")</f>
        <v>0</v>
      </c>
      <c r="B620" t="s">
        <v>66</v>
      </c>
      <c r="C620" t="s">
        <v>156</v>
      </c>
      <c r="D620" t="s">
        <v>200</v>
      </c>
      <c r="E620" t="s">
        <v>202</v>
      </c>
      <c r="F620" t="s">
        <v>221</v>
      </c>
      <c r="G620" t="s">
        <v>202</v>
      </c>
      <c r="H620" t="s">
        <v>271</v>
      </c>
      <c r="I620" t="s">
        <v>202</v>
      </c>
      <c r="J620" t="s">
        <v>289</v>
      </c>
      <c r="K620" t="s">
        <v>292</v>
      </c>
      <c r="M620" t="s">
        <v>290</v>
      </c>
      <c r="N620" t="s">
        <v>202</v>
      </c>
      <c r="O620" t="s">
        <v>422</v>
      </c>
      <c r="P620" t="s">
        <v>427</v>
      </c>
      <c r="S620" t="s">
        <v>958</v>
      </c>
      <c r="T620" t="s">
        <v>1635</v>
      </c>
      <c r="U620" t="s">
        <v>221</v>
      </c>
      <c r="W620" t="s">
        <v>1876</v>
      </c>
      <c r="X620" t="s">
        <v>2458</v>
      </c>
      <c r="Y620" t="s">
        <v>3017</v>
      </c>
      <c r="Z620" t="s">
        <v>3099</v>
      </c>
      <c r="AA620" t="s">
        <v>3135</v>
      </c>
      <c r="AB620">
        <v>10039</v>
      </c>
      <c r="AC620" t="s">
        <v>3138</v>
      </c>
      <c r="AD620" t="s">
        <v>3714</v>
      </c>
      <c r="AE620">
        <v>2</v>
      </c>
      <c r="AG620" t="s">
        <v>4032</v>
      </c>
      <c r="AH620" t="s">
        <v>291</v>
      </c>
      <c r="AI620" t="s">
        <v>291</v>
      </c>
      <c r="AK620" t="s">
        <v>4040</v>
      </c>
      <c r="AM620">
        <v>0</v>
      </c>
      <c r="AN620">
        <v>845</v>
      </c>
      <c r="AO620">
        <v>1.5</v>
      </c>
      <c r="AQ620" t="s">
        <v>4654</v>
      </c>
      <c r="AR620" t="s">
        <v>5522</v>
      </c>
      <c r="AS620">
        <v>0</v>
      </c>
      <c r="AT620" t="s">
        <v>5836</v>
      </c>
      <c r="AU620">
        <v>2</v>
      </c>
      <c r="AV620">
        <v>0</v>
      </c>
      <c r="AW620">
        <v>342.99</v>
      </c>
      <c r="BA620" t="s">
        <v>329</v>
      </c>
      <c r="BB620" t="s">
        <v>1322</v>
      </c>
      <c r="BC620">
        <v>58000</v>
      </c>
      <c r="BG620" t="s">
        <v>5915</v>
      </c>
      <c r="BJ620" t="s">
        <v>5949</v>
      </c>
      <c r="BK620" t="s">
        <v>221</v>
      </c>
      <c r="BL620" t="s">
        <v>6056</v>
      </c>
    </row>
    <row r="621" spans="1:64">
      <c r="A621" s="1">
        <f>HYPERLINK("https://lsnyc.legalserver.org/matter/dynamic-profile/view/1905765","19-1905765")</f>
        <v>0</v>
      </c>
      <c r="B621" t="s">
        <v>66</v>
      </c>
      <c r="C621" t="s">
        <v>156</v>
      </c>
      <c r="D621" t="s">
        <v>200</v>
      </c>
      <c r="E621" t="s">
        <v>202</v>
      </c>
      <c r="F621" t="s">
        <v>260</v>
      </c>
      <c r="G621" t="s">
        <v>202</v>
      </c>
      <c r="H621" t="s">
        <v>272</v>
      </c>
      <c r="I621" t="s">
        <v>202</v>
      </c>
      <c r="J621" t="s">
        <v>289</v>
      </c>
      <c r="K621" t="s">
        <v>292</v>
      </c>
      <c r="M621" t="s">
        <v>290</v>
      </c>
      <c r="N621" t="s">
        <v>202</v>
      </c>
      <c r="O621" t="s">
        <v>421</v>
      </c>
      <c r="P621" t="s">
        <v>427</v>
      </c>
      <c r="S621" t="s">
        <v>466</v>
      </c>
      <c r="T621" t="s">
        <v>1636</v>
      </c>
      <c r="U621" t="s">
        <v>260</v>
      </c>
      <c r="W621" t="s">
        <v>1876</v>
      </c>
      <c r="X621" t="s">
        <v>2459</v>
      </c>
      <c r="Y621" t="s">
        <v>2992</v>
      </c>
      <c r="Z621" t="s">
        <v>3099</v>
      </c>
      <c r="AA621" t="s">
        <v>3135</v>
      </c>
      <c r="AB621">
        <v>10026</v>
      </c>
      <c r="AC621" t="s">
        <v>3139</v>
      </c>
      <c r="AD621" t="s">
        <v>3715</v>
      </c>
      <c r="AE621">
        <v>0</v>
      </c>
      <c r="AG621" t="s">
        <v>4033</v>
      </c>
      <c r="AH621" t="s">
        <v>291</v>
      </c>
      <c r="AI621" t="s">
        <v>291</v>
      </c>
      <c r="AK621" t="s">
        <v>4040</v>
      </c>
      <c r="AM621">
        <v>0</v>
      </c>
      <c r="AN621">
        <v>0</v>
      </c>
      <c r="AO621">
        <v>2</v>
      </c>
      <c r="AQ621" t="s">
        <v>4655</v>
      </c>
      <c r="AR621" t="s">
        <v>5523</v>
      </c>
      <c r="AS621">
        <v>0</v>
      </c>
      <c r="AT621" t="s">
        <v>5838</v>
      </c>
      <c r="AU621">
        <v>1</v>
      </c>
      <c r="AV621">
        <v>1</v>
      </c>
      <c r="AW621">
        <v>425.78</v>
      </c>
      <c r="BA621" t="s">
        <v>329</v>
      </c>
      <c r="BB621" t="s">
        <v>1322</v>
      </c>
      <c r="BC621">
        <v>72000</v>
      </c>
      <c r="BG621" t="s">
        <v>5914</v>
      </c>
      <c r="BJ621" t="s">
        <v>5949</v>
      </c>
      <c r="BK621" t="s">
        <v>263</v>
      </c>
      <c r="BL621" t="s">
        <v>6056</v>
      </c>
    </row>
    <row r="622" spans="1:64">
      <c r="A622" s="1">
        <f>HYPERLINK("https://lsnyc.legalserver.org/matter/dynamic-profile/view/1904166","19-1904166")</f>
        <v>0</v>
      </c>
      <c r="B622" t="s">
        <v>66</v>
      </c>
      <c r="C622" t="s">
        <v>157</v>
      </c>
      <c r="D622" t="s">
        <v>200</v>
      </c>
      <c r="E622" t="s">
        <v>202</v>
      </c>
      <c r="F622" t="s">
        <v>227</v>
      </c>
      <c r="G622" t="s">
        <v>202</v>
      </c>
      <c r="H622" t="s">
        <v>272</v>
      </c>
      <c r="I622" t="s">
        <v>202</v>
      </c>
      <c r="J622" t="s">
        <v>289</v>
      </c>
      <c r="K622" t="s">
        <v>292</v>
      </c>
      <c r="M622" t="s">
        <v>290</v>
      </c>
      <c r="N622" t="s">
        <v>202</v>
      </c>
      <c r="O622" t="s">
        <v>422</v>
      </c>
      <c r="P622" t="s">
        <v>428</v>
      </c>
      <c r="S622" t="s">
        <v>959</v>
      </c>
      <c r="T622" t="s">
        <v>1637</v>
      </c>
      <c r="U622" t="s">
        <v>227</v>
      </c>
      <c r="V622" t="s">
        <v>217</v>
      </c>
      <c r="W622" t="s">
        <v>1877</v>
      </c>
      <c r="X622" t="s">
        <v>2460</v>
      </c>
      <c r="Y622" t="s">
        <v>2824</v>
      </c>
      <c r="Z622" t="s">
        <v>3099</v>
      </c>
      <c r="AA622" t="s">
        <v>3135</v>
      </c>
      <c r="AB622">
        <v>10026</v>
      </c>
      <c r="AD622" t="s">
        <v>3716</v>
      </c>
      <c r="AE622">
        <v>5</v>
      </c>
      <c r="AF622" t="s">
        <v>4023</v>
      </c>
      <c r="AG622" t="s">
        <v>4033</v>
      </c>
      <c r="AH622" t="s">
        <v>291</v>
      </c>
      <c r="AI622" t="s">
        <v>291</v>
      </c>
      <c r="AK622" t="s">
        <v>4040</v>
      </c>
      <c r="AM622">
        <v>0</v>
      </c>
      <c r="AN622">
        <v>800</v>
      </c>
      <c r="AO622">
        <v>1</v>
      </c>
      <c r="AP622" t="s">
        <v>4052</v>
      </c>
      <c r="AQ622" t="s">
        <v>4656</v>
      </c>
      <c r="AR622" t="s">
        <v>5524</v>
      </c>
      <c r="AS622">
        <v>21</v>
      </c>
      <c r="AT622" t="s">
        <v>5839</v>
      </c>
      <c r="AU622">
        <v>1</v>
      </c>
      <c r="AV622">
        <v>0</v>
      </c>
      <c r="AW622">
        <v>0</v>
      </c>
      <c r="BB622" t="s">
        <v>1322</v>
      </c>
      <c r="BC622">
        <v>0</v>
      </c>
      <c r="BG622" t="s">
        <v>5916</v>
      </c>
      <c r="BJ622" t="s">
        <v>5965</v>
      </c>
      <c r="BK622" t="s">
        <v>227</v>
      </c>
      <c r="BL622" t="s">
        <v>6056</v>
      </c>
    </row>
    <row r="623" spans="1:64">
      <c r="A623" s="1">
        <f>HYPERLINK("https://lsnyc.legalserver.org/matter/dynamic-profile/view/1904155","19-1904155")</f>
        <v>0</v>
      </c>
      <c r="B623" t="s">
        <v>66</v>
      </c>
      <c r="C623" t="s">
        <v>157</v>
      </c>
      <c r="D623" t="s">
        <v>200</v>
      </c>
      <c r="E623" t="s">
        <v>202</v>
      </c>
      <c r="F623" t="s">
        <v>227</v>
      </c>
      <c r="G623" t="s">
        <v>202</v>
      </c>
      <c r="H623" t="s">
        <v>272</v>
      </c>
      <c r="I623" t="s">
        <v>202</v>
      </c>
      <c r="J623" t="s">
        <v>289</v>
      </c>
      <c r="K623" t="s">
        <v>292</v>
      </c>
      <c r="M623" t="s">
        <v>290</v>
      </c>
      <c r="N623" t="s">
        <v>202</v>
      </c>
      <c r="O623" t="s">
        <v>421</v>
      </c>
      <c r="P623" t="s">
        <v>427</v>
      </c>
      <c r="S623" t="s">
        <v>559</v>
      </c>
      <c r="T623" t="s">
        <v>1562</v>
      </c>
      <c r="U623" t="s">
        <v>227</v>
      </c>
      <c r="W623" t="s">
        <v>1876</v>
      </c>
      <c r="X623" t="s">
        <v>2461</v>
      </c>
      <c r="Y623" t="s">
        <v>2784</v>
      </c>
      <c r="Z623" t="s">
        <v>3099</v>
      </c>
      <c r="AA623" t="s">
        <v>3135</v>
      </c>
      <c r="AB623">
        <v>10026</v>
      </c>
      <c r="AD623" t="s">
        <v>3717</v>
      </c>
      <c r="AE623">
        <v>5</v>
      </c>
      <c r="AG623" t="s">
        <v>4033</v>
      </c>
      <c r="AH623" t="s">
        <v>291</v>
      </c>
      <c r="AI623" t="s">
        <v>291</v>
      </c>
      <c r="AK623" t="s">
        <v>4041</v>
      </c>
      <c r="AM623">
        <v>0</v>
      </c>
      <c r="AN623">
        <v>552</v>
      </c>
      <c r="AO623">
        <v>12</v>
      </c>
      <c r="AQ623" t="s">
        <v>4657</v>
      </c>
      <c r="AR623" t="s">
        <v>5525</v>
      </c>
      <c r="AS623">
        <v>0</v>
      </c>
      <c r="AT623" t="s">
        <v>5836</v>
      </c>
      <c r="AU623">
        <v>1</v>
      </c>
      <c r="AV623">
        <v>1</v>
      </c>
      <c r="AW623">
        <v>196.64</v>
      </c>
      <c r="BA623" t="s">
        <v>329</v>
      </c>
      <c r="BB623" t="s">
        <v>1322</v>
      </c>
      <c r="BC623">
        <v>33252</v>
      </c>
      <c r="BG623" t="s">
        <v>5916</v>
      </c>
      <c r="BJ623" t="s">
        <v>5962</v>
      </c>
      <c r="BK623" t="s">
        <v>222</v>
      </c>
      <c r="BL623" t="s">
        <v>6056</v>
      </c>
    </row>
    <row r="624" spans="1:64">
      <c r="A624" s="1">
        <f>HYPERLINK("https://lsnyc.legalserver.org/matter/dynamic-profile/view/1906916","19-1906916")</f>
        <v>0</v>
      </c>
      <c r="B624" t="s">
        <v>66</v>
      </c>
      <c r="C624" t="s">
        <v>157</v>
      </c>
      <c r="D624" t="s">
        <v>200</v>
      </c>
      <c r="E624" t="s">
        <v>201</v>
      </c>
      <c r="G624" t="s">
        <v>202</v>
      </c>
      <c r="H624" t="s">
        <v>274</v>
      </c>
      <c r="I624" t="s">
        <v>202</v>
      </c>
      <c r="J624" t="s">
        <v>289</v>
      </c>
      <c r="K624" t="s">
        <v>292</v>
      </c>
      <c r="M624" t="s">
        <v>290</v>
      </c>
      <c r="N624" t="s">
        <v>202</v>
      </c>
      <c r="O624" t="s">
        <v>425</v>
      </c>
      <c r="P624" t="s">
        <v>427</v>
      </c>
      <c r="S624" t="s">
        <v>960</v>
      </c>
      <c r="T624" t="s">
        <v>1638</v>
      </c>
      <c r="U624" t="s">
        <v>239</v>
      </c>
      <c r="W624" t="s">
        <v>1876</v>
      </c>
      <c r="X624" t="s">
        <v>2462</v>
      </c>
      <c r="Y624" t="s">
        <v>3018</v>
      </c>
      <c r="Z624" t="s">
        <v>3099</v>
      </c>
      <c r="AA624" t="s">
        <v>3135</v>
      </c>
      <c r="AB624">
        <v>10038</v>
      </c>
      <c r="AC624" t="s">
        <v>3150</v>
      </c>
      <c r="AD624" t="s">
        <v>3718</v>
      </c>
      <c r="AE624">
        <v>20</v>
      </c>
      <c r="AG624" t="s">
        <v>4032</v>
      </c>
      <c r="AH624" t="s">
        <v>291</v>
      </c>
      <c r="AI624" t="s">
        <v>291</v>
      </c>
      <c r="AK624" t="s">
        <v>4041</v>
      </c>
      <c r="AM624">
        <v>0</v>
      </c>
      <c r="AN624">
        <v>350</v>
      </c>
      <c r="AO624">
        <v>15.9</v>
      </c>
      <c r="AQ624" t="s">
        <v>4658</v>
      </c>
      <c r="AS624">
        <v>0</v>
      </c>
      <c r="AT624" t="s">
        <v>5837</v>
      </c>
      <c r="AU624">
        <v>2</v>
      </c>
      <c r="AV624">
        <v>0</v>
      </c>
      <c r="AW624">
        <v>70.95999999999999</v>
      </c>
      <c r="BA624" t="s">
        <v>329</v>
      </c>
      <c r="BB624" t="s">
        <v>5868</v>
      </c>
      <c r="BC624">
        <v>12000</v>
      </c>
      <c r="BG624" t="s">
        <v>5914</v>
      </c>
      <c r="BJ624" t="s">
        <v>5959</v>
      </c>
      <c r="BK624" t="s">
        <v>230</v>
      </c>
      <c r="BL624" t="s">
        <v>6056</v>
      </c>
    </row>
    <row r="625" spans="1:64">
      <c r="A625" s="1">
        <f>HYPERLINK("https://lsnyc.legalserver.org/matter/dynamic-profile/view/1906932","19-1906932")</f>
        <v>0</v>
      </c>
      <c r="B625" t="s">
        <v>66</v>
      </c>
      <c r="C625" t="s">
        <v>157</v>
      </c>
      <c r="D625" t="s">
        <v>200</v>
      </c>
      <c r="E625" t="s">
        <v>201</v>
      </c>
      <c r="G625" t="s">
        <v>202</v>
      </c>
      <c r="H625" t="s">
        <v>278</v>
      </c>
      <c r="I625" t="s">
        <v>202</v>
      </c>
      <c r="J625" t="s">
        <v>289</v>
      </c>
      <c r="K625" t="s">
        <v>292</v>
      </c>
      <c r="M625" t="s">
        <v>290</v>
      </c>
      <c r="N625" t="s">
        <v>202</v>
      </c>
      <c r="O625" t="s">
        <v>421</v>
      </c>
      <c r="P625" t="s">
        <v>427</v>
      </c>
      <c r="S625" t="s">
        <v>961</v>
      </c>
      <c r="T625" t="s">
        <v>1639</v>
      </c>
      <c r="U625" t="s">
        <v>239</v>
      </c>
      <c r="W625" t="s">
        <v>1876</v>
      </c>
      <c r="X625" t="s">
        <v>2463</v>
      </c>
      <c r="Y625" t="s">
        <v>2806</v>
      </c>
      <c r="Z625" t="s">
        <v>3099</v>
      </c>
      <c r="AA625" t="s">
        <v>3135</v>
      </c>
      <c r="AB625">
        <v>10029</v>
      </c>
      <c r="AC625" t="s">
        <v>3150</v>
      </c>
      <c r="AE625">
        <v>10</v>
      </c>
      <c r="AG625" t="s">
        <v>4032</v>
      </c>
      <c r="AH625" t="s">
        <v>291</v>
      </c>
      <c r="AI625" t="s">
        <v>291</v>
      </c>
      <c r="AK625" t="s">
        <v>4040</v>
      </c>
      <c r="AM625">
        <v>0</v>
      </c>
      <c r="AN625">
        <v>1123.25</v>
      </c>
      <c r="AO625">
        <v>11.1</v>
      </c>
      <c r="AQ625" t="s">
        <v>4659</v>
      </c>
      <c r="AR625" t="s">
        <v>5526</v>
      </c>
      <c r="AS625">
        <v>0</v>
      </c>
      <c r="AT625" t="s">
        <v>5834</v>
      </c>
      <c r="AU625">
        <v>1</v>
      </c>
      <c r="AV625">
        <v>0</v>
      </c>
      <c r="AW625">
        <v>32.09</v>
      </c>
      <c r="BA625" t="s">
        <v>329</v>
      </c>
      <c r="BB625" t="s">
        <v>5868</v>
      </c>
      <c r="BC625">
        <v>4008</v>
      </c>
      <c r="BG625" t="s">
        <v>5914</v>
      </c>
      <c r="BJ625" t="s">
        <v>5943</v>
      </c>
      <c r="BK625" t="s">
        <v>222</v>
      </c>
      <c r="BL625" t="s">
        <v>6056</v>
      </c>
    </row>
    <row r="626" spans="1:64">
      <c r="A626" s="1">
        <f>HYPERLINK("https://lsnyc.legalserver.org/matter/dynamic-profile/view/1910151","19-1910151")</f>
        <v>0</v>
      </c>
      <c r="B626" t="s">
        <v>66</v>
      </c>
      <c r="C626" t="s">
        <v>158</v>
      </c>
      <c r="D626" t="s">
        <v>200</v>
      </c>
      <c r="E626" t="s">
        <v>202</v>
      </c>
      <c r="F626" t="s">
        <v>259</v>
      </c>
      <c r="G626" t="s">
        <v>202</v>
      </c>
      <c r="H626" t="s">
        <v>272</v>
      </c>
      <c r="I626" t="s">
        <v>202</v>
      </c>
      <c r="J626" t="s">
        <v>289</v>
      </c>
      <c r="K626" t="s">
        <v>202</v>
      </c>
      <c r="L626" t="s">
        <v>372</v>
      </c>
      <c r="M626" t="s">
        <v>290</v>
      </c>
      <c r="N626" t="s">
        <v>419</v>
      </c>
      <c r="O626" t="s">
        <v>420</v>
      </c>
      <c r="P626" t="s">
        <v>427</v>
      </c>
      <c r="S626" t="s">
        <v>962</v>
      </c>
      <c r="T626" t="s">
        <v>1640</v>
      </c>
      <c r="U626" t="s">
        <v>259</v>
      </c>
      <c r="W626" t="s">
        <v>1876</v>
      </c>
      <c r="X626" t="s">
        <v>2464</v>
      </c>
      <c r="Y626" t="s">
        <v>2896</v>
      </c>
      <c r="Z626" t="s">
        <v>3099</v>
      </c>
      <c r="AA626" t="s">
        <v>3135</v>
      </c>
      <c r="AB626">
        <v>10033</v>
      </c>
      <c r="AC626" t="s">
        <v>3136</v>
      </c>
      <c r="AD626" t="s">
        <v>3719</v>
      </c>
      <c r="AE626">
        <v>1</v>
      </c>
      <c r="AG626" t="s">
        <v>4032</v>
      </c>
      <c r="AH626" t="s">
        <v>291</v>
      </c>
      <c r="AI626" t="s">
        <v>291</v>
      </c>
      <c r="AK626" t="s">
        <v>4040</v>
      </c>
      <c r="AM626">
        <v>0</v>
      </c>
      <c r="AN626">
        <v>0</v>
      </c>
      <c r="AO626">
        <v>0</v>
      </c>
      <c r="AQ626" t="s">
        <v>4660</v>
      </c>
      <c r="AR626" t="s">
        <v>5527</v>
      </c>
      <c r="AS626">
        <v>0</v>
      </c>
      <c r="AT626" t="s">
        <v>5836</v>
      </c>
      <c r="AU626">
        <v>1</v>
      </c>
      <c r="AV626">
        <v>0</v>
      </c>
      <c r="AW626">
        <v>0</v>
      </c>
      <c r="BA626" t="s">
        <v>329</v>
      </c>
      <c r="BB626" t="s">
        <v>5859</v>
      </c>
      <c r="BC626">
        <v>0</v>
      </c>
      <c r="BG626" t="s">
        <v>5915</v>
      </c>
      <c r="BJ626" t="s">
        <v>5965</v>
      </c>
      <c r="BL626" t="s">
        <v>6057</v>
      </c>
    </row>
    <row r="627" spans="1:64">
      <c r="A627" s="1">
        <f>HYPERLINK("https://lsnyc.legalserver.org/matter/dynamic-profile/view/1908760","19-1908760")</f>
        <v>0</v>
      </c>
      <c r="B627" t="s">
        <v>66</v>
      </c>
      <c r="C627" t="s">
        <v>159</v>
      </c>
      <c r="D627" t="s">
        <v>200</v>
      </c>
      <c r="E627" t="s">
        <v>202</v>
      </c>
      <c r="F627" t="s">
        <v>219</v>
      </c>
      <c r="G627" t="s">
        <v>202</v>
      </c>
      <c r="H627" t="s">
        <v>271</v>
      </c>
      <c r="I627" t="s">
        <v>202</v>
      </c>
      <c r="J627" t="s">
        <v>289</v>
      </c>
      <c r="K627" t="s">
        <v>292</v>
      </c>
      <c r="M627" t="s">
        <v>290</v>
      </c>
      <c r="N627" t="s">
        <v>419</v>
      </c>
      <c r="O627" t="s">
        <v>420</v>
      </c>
      <c r="P627" t="s">
        <v>427</v>
      </c>
      <c r="S627" t="s">
        <v>963</v>
      </c>
      <c r="T627" t="s">
        <v>1641</v>
      </c>
      <c r="U627" t="s">
        <v>219</v>
      </c>
      <c r="W627" t="s">
        <v>1876</v>
      </c>
      <c r="X627" t="s">
        <v>2465</v>
      </c>
      <c r="Y627" t="s">
        <v>2809</v>
      </c>
      <c r="Z627" t="s">
        <v>3099</v>
      </c>
      <c r="AA627" t="s">
        <v>3135</v>
      </c>
      <c r="AB627">
        <v>10031</v>
      </c>
      <c r="AC627" t="s">
        <v>3139</v>
      </c>
      <c r="AD627" t="s">
        <v>3720</v>
      </c>
      <c r="AE627">
        <v>15</v>
      </c>
      <c r="AG627" t="s">
        <v>4033</v>
      </c>
      <c r="AH627" t="s">
        <v>291</v>
      </c>
      <c r="AI627" t="s">
        <v>291</v>
      </c>
      <c r="AK627" t="s">
        <v>4040</v>
      </c>
      <c r="AM627">
        <v>0</v>
      </c>
      <c r="AN627">
        <v>805</v>
      </c>
      <c r="AO627">
        <v>1</v>
      </c>
      <c r="AQ627" t="s">
        <v>4661</v>
      </c>
      <c r="AR627" t="s">
        <v>5528</v>
      </c>
      <c r="AS627">
        <v>0</v>
      </c>
      <c r="AT627" t="s">
        <v>5838</v>
      </c>
      <c r="AU627">
        <v>1</v>
      </c>
      <c r="AV627">
        <v>1</v>
      </c>
      <c r="AW627">
        <v>277.94</v>
      </c>
      <c r="BA627" t="s">
        <v>329</v>
      </c>
      <c r="BB627" t="s">
        <v>5859</v>
      </c>
      <c r="BC627">
        <v>47000</v>
      </c>
      <c r="BG627" t="s">
        <v>5915</v>
      </c>
      <c r="BJ627" t="s">
        <v>5949</v>
      </c>
      <c r="BK627" t="s">
        <v>219</v>
      </c>
      <c r="BL627" t="s">
        <v>6056</v>
      </c>
    </row>
    <row r="628" spans="1:64">
      <c r="A628" s="1">
        <f>HYPERLINK("https://lsnyc.legalserver.org/matter/dynamic-profile/view/1908868","19-1908868")</f>
        <v>0</v>
      </c>
      <c r="B628" t="s">
        <v>66</v>
      </c>
      <c r="C628" t="s">
        <v>159</v>
      </c>
      <c r="D628" t="s">
        <v>200</v>
      </c>
      <c r="E628" t="s">
        <v>202</v>
      </c>
      <c r="F628" t="s">
        <v>219</v>
      </c>
      <c r="G628" t="s">
        <v>202</v>
      </c>
      <c r="H628" t="s">
        <v>272</v>
      </c>
      <c r="I628" t="s">
        <v>202</v>
      </c>
      <c r="J628" t="s">
        <v>289</v>
      </c>
      <c r="K628" t="s">
        <v>202</v>
      </c>
      <c r="L628" t="s">
        <v>373</v>
      </c>
      <c r="M628" t="s">
        <v>290</v>
      </c>
      <c r="N628" t="s">
        <v>419</v>
      </c>
      <c r="O628" t="s">
        <v>420</v>
      </c>
      <c r="P628" t="s">
        <v>427</v>
      </c>
      <c r="S628" t="s">
        <v>964</v>
      </c>
      <c r="T628" t="s">
        <v>1642</v>
      </c>
      <c r="U628" t="s">
        <v>219</v>
      </c>
      <c r="W628" t="s">
        <v>1876</v>
      </c>
      <c r="X628" t="s">
        <v>2466</v>
      </c>
      <c r="Y628" t="s">
        <v>2807</v>
      </c>
      <c r="Z628" t="s">
        <v>3099</v>
      </c>
      <c r="AA628" t="s">
        <v>3135</v>
      </c>
      <c r="AB628">
        <v>10027</v>
      </c>
      <c r="AC628" t="s">
        <v>3136</v>
      </c>
      <c r="AD628" t="s">
        <v>3721</v>
      </c>
      <c r="AE628">
        <v>5</v>
      </c>
      <c r="AG628" t="s">
        <v>4033</v>
      </c>
      <c r="AH628" t="s">
        <v>291</v>
      </c>
      <c r="AI628" t="s">
        <v>291</v>
      </c>
      <c r="AK628" t="s">
        <v>4040</v>
      </c>
      <c r="AM628">
        <v>0</v>
      </c>
      <c r="AN628">
        <v>810.59</v>
      </c>
      <c r="AO628">
        <v>2.9</v>
      </c>
      <c r="AQ628" t="s">
        <v>4662</v>
      </c>
      <c r="AR628" t="s">
        <v>5529</v>
      </c>
      <c r="AS628">
        <v>0</v>
      </c>
      <c r="AT628" t="s">
        <v>5838</v>
      </c>
      <c r="AU628">
        <v>1</v>
      </c>
      <c r="AV628">
        <v>0</v>
      </c>
      <c r="AW628">
        <v>76.86</v>
      </c>
      <c r="BA628" t="s">
        <v>329</v>
      </c>
      <c r="BB628" t="s">
        <v>1322</v>
      </c>
      <c r="BC628">
        <v>9600</v>
      </c>
      <c r="BG628" t="s">
        <v>5915</v>
      </c>
      <c r="BJ628" t="s">
        <v>6003</v>
      </c>
      <c r="BK628" t="s">
        <v>259</v>
      </c>
      <c r="BL628" t="s">
        <v>6057</v>
      </c>
    </row>
    <row r="629" spans="1:64">
      <c r="A629" s="1">
        <f>HYPERLINK("https://lsnyc.legalserver.org/matter/dynamic-profile/view/1908780","19-1908780")</f>
        <v>0</v>
      </c>
      <c r="B629" t="s">
        <v>66</v>
      </c>
      <c r="C629" t="s">
        <v>159</v>
      </c>
      <c r="D629" t="s">
        <v>200</v>
      </c>
      <c r="E629" t="s">
        <v>202</v>
      </c>
      <c r="F629" t="s">
        <v>219</v>
      </c>
      <c r="G629" t="s">
        <v>202</v>
      </c>
      <c r="H629" t="s">
        <v>272</v>
      </c>
      <c r="I629" t="s">
        <v>202</v>
      </c>
      <c r="J629" t="s">
        <v>289</v>
      </c>
      <c r="K629" t="s">
        <v>292</v>
      </c>
      <c r="M629" t="s">
        <v>290</v>
      </c>
      <c r="N629" t="s">
        <v>202</v>
      </c>
      <c r="O629" t="s">
        <v>421</v>
      </c>
      <c r="P629" t="s">
        <v>427</v>
      </c>
      <c r="S629" t="s">
        <v>667</v>
      </c>
      <c r="T629" t="s">
        <v>1245</v>
      </c>
      <c r="U629" t="s">
        <v>219</v>
      </c>
      <c r="W629" t="s">
        <v>1876</v>
      </c>
      <c r="X629" t="s">
        <v>2467</v>
      </c>
      <c r="Y629" t="s">
        <v>3019</v>
      </c>
      <c r="Z629" t="s">
        <v>3099</v>
      </c>
      <c r="AA629" t="s">
        <v>3135</v>
      </c>
      <c r="AB629">
        <v>10031</v>
      </c>
      <c r="AC629" t="s">
        <v>3139</v>
      </c>
      <c r="AD629" t="s">
        <v>3722</v>
      </c>
      <c r="AE629">
        <v>8</v>
      </c>
      <c r="AG629" t="s">
        <v>4033</v>
      </c>
      <c r="AH629" t="s">
        <v>291</v>
      </c>
      <c r="AI629" t="s">
        <v>291</v>
      </c>
      <c r="AK629" t="s">
        <v>4040</v>
      </c>
      <c r="AM629">
        <v>0</v>
      </c>
      <c r="AN629">
        <v>199</v>
      </c>
      <c r="AO629">
        <v>1.2</v>
      </c>
      <c r="AQ629" t="s">
        <v>4663</v>
      </c>
      <c r="AR629" t="s">
        <v>5530</v>
      </c>
      <c r="AS629">
        <v>0</v>
      </c>
      <c r="AT629" t="s">
        <v>5836</v>
      </c>
      <c r="AU629">
        <v>1</v>
      </c>
      <c r="AV629">
        <v>0</v>
      </c>
      <c r="AW629">
        <v>78.3</v>
      </c>
      <c r="BA629" t="s">
        <v>5850</v>
      </c>
      <c r="BB629" t="s">
        <v>1322</v>
      </c>
      <c r="BC629">
        <v>9780</v>
      </c>
      <c r="BG629" t="s">
        <v>5915</v>
      </c>
      <c r="BJ629" t="s">
        <v>5943</v>
      </c>
      <c r="BK629" t="s">
        <v>222</v>
      </c>
      <c r="BL629" t="s">
        <v>6056</v>
      </c>
    </row>
    <row r="630" spans="1:64">
      <c r="A630" s="1">
        <f>HYPERLINK("https://lsnyc.legalserver.org/matter/dynamic-profile/view/1906812","19-1906812")</f>
        <v>0</v>
      </c>
      <c r="B630" t="s">
        <v>66</v>
      </c>
      <c r="C630" t="s">
        <v>159</v>
      </c>
      <c r="D630" t="s">
        <v>200</v>
      </c>
      <c r="E630" t="s">
        <v>202</v>
      </c>
      <c r="F630" t="s">
        <v>240</v>
      </c>
      <c r="G630" t="s">
        <v>202</v>
      </c>
      <c r="H630" t="s">
        <v>271</v>
      </c>
      <c r="I630" t="s">
        <v>202</v>
      </c>
      <c r="J630" t="s">
        <v>289</v>
      </c>
      <c r="K630" t="s">
        <v>292</v>
      </c>
      <c r="M630" t="s">
        <v>290</v>
      </c>
      <c r="N630" t="s">
        <v>202</v>
      </c>
      <c r="O630" t="s">
        <v>421</v>
      </c>
      <c r="P630" t="s">
        <v>427</v>
      </c>
      <c r="S630" t="s">
        <v>556</v>
      </c>
      <c r="T630" t="s">
        <v>1643</v>
      </c>
      <c r="U630" t="s">
        <v>240</v>
      </c>
      <c r="W630" t="s">
        <v>1876</v>
      </c>
      <c r="X630" t="s">
        <v>2468</v>
      </c>
      <c r="Y630" t="s">
        <v>3020</v>
      </c>
      <c r="Z630" t="s">
        <v>3099</v>
      </c>
      <c r="AA630" t="s">
        <v>3135</v>
      </c>
      <c r="AB630">
        <v>10026</v>
      </c>
      <c r="AC630" t="s">
        <v>3139</v>
      </c>
      <c r="AD630" t="s">
        <v>3723</v>
      </c>
      <c r="AE630">
        <v>4</v>
      </c>
      <c r="AG630" t="s">
        <v>4033</v>
      </c>
      <c r="AH630" t="s">
        <v>291</v>
      </c>
      <c r="AI630" t="s">
        <v>291</v>
      </c>
      <c r="AK630" t="s">
        <v>4040</v>
      </c>
      <c r="AM630">
        <v>0</v>
      </c>
      <c r="AN630">
        <v>1600</v>
      </c>
      <c r="AO630">
        <v>8.5</v>
      </c>
      <c r="AQ630" t="s">
        <v>4664</v>
      </c>
      <c r="AR630" t="s">
        <v>5531</v>
      </c>
      <c r="AS630">
        <v>59</v>
      </c>
      <c r="AT630" t="s">
        <v>5838</v>
      </c>
      <c r="AU630">
        <v>1</v>
      </c>
      <c r="AV630">
        <v>1</v>
      </c>
      <c r="AW630">
        <v>177.41</v>
      </c>
      <c r="BA630" t="s">
        <v>329</v>
      </c>
      <c r="BB630" t="s">
        <v>1322</v>
      </c>
      <c r="BC630">
        <v>30000</v>
      </c>
      <c r="BG630" t="s">
        <v>5915</v>
      </c>
      <c r="BJ630" t="s">
        <v>5949</v>
      </c>
      <c r="BK630" t="s">
        <v>259</v>
      </c>
      <c r="BL630" t="s">
        <v>6056</v>
      </c>
    </row>
    <row r="631" spans="1:64">
      <c r="A631" s="1">
        <f>HYPERLINK("https://lsnyc.legalserver.org/matter/dynamic-profile/view/1907032","19-1907032")</f>
        <v>0</v>
      </c>
      <c r="B631" t="s">
        <v>66</v>
      </c>
      <c r="C631" t="s">
        <v>159</v>
      </c>
      <c r="D631" t="s">
        <v>200</v>
      </c>
      <c r="E631" t="s">
        <v>202</v>
      </c>
      <c r="F631" t="s">
        <v>226</v>
      </c>
      <c r="G631" t="s">
        <v>202</v>
      </c>
      <c r="H631" t="s">
        <v>272</v>
      </c>
      <c r="I631" t="s">
        <v>202</v>
      </c>
      <c r="J631" t="s">
        <v>289</v>
      </c>
      <c r="K631" t="s">
        <v>292</v>
      </c>
      <c r="M631" t="s">
        <v>290</v>
      </c>
      <c r="N631" t="s">
        <v>419</v>
      </c>
      <c r="O631" t="s">
        <v>420</v>
      </c>
      <c r="P631" t="s">
        <v>427</v>
      </c>
      <c r="S631" t="s">
        <v>965</v>
      </c>
      <c r="T631" t="s">
        <v>1130</v>
      </c>
      <c r="U631" t="s">
        <v>226</v>
      </c>
      <c r="W631" t="s">
        <v>1876</v>
      </c>
      <c r="X631" t="s">
        <v>2469</v>
      </c>
      <c r="Y631" t="s">
        <v>2889</v>
      </c>
      <c r="Z631" t="s">
        <v>3099</v>
      </c>
      <c r="AA631" t="s">
        <v>3135</v>
      </c>
      <c r="AB631">
        <v>10009</v>
      </c>
      <c r="AC631" t="s">
        <v>3136</v>
      </c>
      <c r="AD631" t="s">
        <v>3724</v>
      </c>
      <c r="AE631">
        <v>1</v>
      </c>
      <c r="AG631" t="s">
        <v>4032</v>
      </c>
      <c r="AH631" t="s">
        <v>291</v>
      </c>
      <c r="AI631" t="s">
        <v>291</v>
      </c>
      <c r="AK631" t="s">
        <v>4041</v>
      </c>
      <c r="AL631" t="s">
        <v>4046</v>
      </c>
      <c r="AM631">
        <v>0</v>
      </c>
      <c r="AN631">
        <v>342</v>
      </c>
      <c r="AO631">
        <v>0</v>
      </c>
      <c r="AQ631" t="s">
        <v>4665</v>
      </c>
      <c r="AR631" t="s">
        <v>5532</v>
      </c>
      <c r="AS631">
        <v>0</v>
      </c>
      <c r="AT631" t="s">
        <v>5841</v>
      </c>
      <c r="AU631">
        <v>1</v>
      </c>
      <c r="AV631">
        <v>2</v>
      </c>
      <c r="AW631">
        <v>19.14</v>
      </c>
      <c r="BA631" t="s">
        <v>329</v>
      </c>
      <c r="BB631" t="s">
        <v>1322</v>
      </c>
      <c r="BC631">
        <v>4082</v>
      </c>
      <c r="BG631" t="s">
        <v>5913</v>
      </c>
      <c r="BJ631" t="s">
        <v>6031</v>
      </c>
      <c r="BL631" t="s">
        <v>6056</v>
      </c>
    </row>
    <row r="632" spans="1:64">
      <c r="A632" s="1">
        <f>HYPERLINK("https://lsnyc.legalserver.org/matter/dynamic-profile/view/1907000","19-1907000")</f>
        <v>0</v>
      </c>
      <c r="B632" t="s">
        <v>66</v>
      </c>
      <c r="C632" t="s">
        <v>159</v>
      </c>
      <c r="D632" t="s">
        <v>200</v>
      </c>
      <c r="E632" t="s">
        <v>202</v>
      </c>
      <c r="F632" t="s">
        <v>226</v>
      </c>
      <c r="G632" t="s">
        <v>202</v>
      </c>
      <c r="H632" t="s">
        <v>272</v>
      </c>
      <c r="I632" t="s">
        <v>202</v>
      </c>
      <c r="J632" t="s">
        <v>289</v>
      </c>
      <c r="K632" t="s">
        <v>292</v>
      </c>
      <c r="M632" t="s">
        <v>290</v>
      </c>
      <c r="N632" t="s">
        <v>202</v>
      </c>
      <c r="O632" t="s">
        <v>422</v>
      </c>
      <c r="P632" t="s">
        <v>427</v>
      </c>
      <c r="S632" t="s">
        <v>966</v>
      </c>
      <c r="T632" t="s">
        <v>1644</v>
      </c>
      <c r="U632" t="s">
        <v>226</v>
      </c>
      <c r="W632" t="s">
        <v>1876</v>
      </c>
      <c r="X632" t="s">
        <v>2470</v>
      </c>
      <c r="Y632" t="s">
        <v>3021</v>
      </c>
      <c r="Z632" t="s">
        <v>3099</v>
      </c>
      <c r="AA632" t="s">
        <v>3135</v>
      </c>
      <c r="AB632">
        <v>10036</v>
      </c>
      <c r="AC632" t="s">
        <v>3136</v>
      </c>
      <c r="AD632" t="s">
        <v>3725</v>
      </c>
      <c r="AE632">
        <v>8</v>
      </c>
      <c r="AG632" t="s">
        <v>4032</v>
      </c>
      <c r="AH632" t="s">
        <v>291</v>
      </c>
      <c r="AI632" t="s">
        <v>291</v>
      </c>
      <c r="AK632" t="s">
        <v>4040</v>
      </c>
      <c r="AL632" t="s">
        <v>4046</v>
      </c>
      <c r="AM632">
        <v>0</v>
      </c>
      <c r="AN632">
        <v>503</v>
      </c>
      <c r="AO632">
        <v>2.2</v>
      </c>
      <c r="AQ632" t="s">
        <v>4666</v>
      </c>
      <c r="AR632" t="s">
        <v>5533</v>
      </c>
      <c r="AS632">
        <v>683</v>
      </c>
      <c r="AT632" t="s">
        <v>5846</v>
      </c>
      <c r="AU632">
        <v>1</v>
      </c>
      <c r="AV632">
        <v>0</v>
      </c>
      <c r="AW632">
        <v>122.79</v>
      </c>
      <c r="BA632" t="s">
        <v>329</v>
      </c>
      <c r="BB632" t="s">
        <v>1322</v>
      </c>
      <c r="BC632">
        <v>15336</v>
      </c>
      <c r="BG632" t="s">
        <v>5913</v>
      </c>
      <c r="BJ632" t="s">
        <v>5950</v>
      </c>
      <c r="BK632" t="s">
        <v>220</v>
      </c>
      <c r="BL632" t="s">
        <v>6056</v>
      </c>
    </row>
    <row r="633" spans="1:64">
      <c r="A633" s="1">
        <f>HYPERLINK("https://lsnyc.legalserver.org/matter/dynamic-profile/view/1909726","19-1909726")</f>
        <v>0</v>
      </c>
      <c r="B633" t="s">
        <v>66</v>
      </c>
      <c r="C633" t="s">
        <v>160</v>
      </c>
      <c r="D633" t="s">
        <v>200</v>
      </c>
      <c r="E633" t="s">
        <v>201</v>
      </c>
      <c r="G633" t="s">
        <v>270</v>
      </c>
      <c r="I633" t="s">
        <v>288</v>
      </c>
      <c r="J633" t="s">
        <v>290</v>
      </c>
      <c r="K633" t="s">
        <v>292</v>
      </c>
      <c r="M633" t="s">
        <v>290</v>
      </c>
      <c r="N633" t="s">
        <v>419</v>
      </c>
      <c r="P633" t="s">
        <v>428</v>
      </c>
      <c r="S633" t="s">
        <v>511</v>
      </c>
      <c r="T633" t="s">
        <v>1196</v>
      </c>
      <c r="U633" t="s">
        <v>264</v>
      </c>
      <c r="V633" t="s">
        <v>264</v>
      </c>
      <c r="W633" t="s">
        <v>1877</v>
      </c>
      <c r="X633" t="s">
        <v>2471</v>
      </c>
      <c r="Y633" t="s">
        <v>2960</v>
      </c>
      <c r="Z633" t="s">
        <v>3097</v>
      </c>
      <c r="AA633" t="s">
        <v>3135</v>
      </c>
      <c r="AB633">
        <v>11205</v>
      </c>
      <c r="AE633">
        <v>0</v>
      </c>
      <c r="AF633" t="s">
        <v>4023</v>
      </c>
      <c r="AG633" t="s">
        <v>4032</v>
      </c>
      <c r="AH633" t="s">
        <v>291</v>
      </c>
      <c r="AK633" t="s">
        <v>4041</v>
      </c>
      <c r="AM633">
        <v>0</v>
      </c>
      <c r="AN633">
        <v>0</v>
      </c>
      <c r="AO633">
        <v>1.75</v>
      </c>
      <c r="AP633" t="s">
        <v>4052</v>
      </c>
      <c r="AQ633" t="s">
        <v>4667</v>
      </c>
      <c r="AR633" t="s">
        <v>5534</v>
      </c>
      <c r="AS633">
        <v>0</v>
      </c>
      <c r="AU633">
        <v>1</v>
      </c>
      <c r="AV633">
        <v>0</v>
      </c>
      <c r="AW633">
        <v>74.08</v>
      </c>
      <c r="BB633" t="s">
        <v>1322</v>
      </c>
      <c r="BC633">
        <v>9252</v>
      </c>
      <c r="BG633" t="s">
        <v>5897</v>
      </c>
      <c r="BJ633" t="s">
        <v>5943</v>
      </c>
      <c r="BK633" t="s">
        <v>264</v>
      </c>
    </row>
    <row r="634" spans="1:64">
      <c r="A634" s="1">
        <f>HYPERLINK("https://lsnyc.legalserver.org/matter/dynamic-profile/view/1906826","19-1906826")</f>
        <v>0</v>
      </c>
      <c r="B634" t="s">
        <v>66</v>
      </c>
      <c r="C634" t="s">
        <v>159</v>
      </c>
      <c r="D634" t="s">
        <v>200</v>
      </c>
      <c r="E634" t="s">
        <v>201</v>
      </c>
      <c r="G634" t="s">
        <v>202</v>
      </c>
      <c r="H634" t="s">
        <v>272</v>
      </c>
      <c r="I634" t="s">
        <v>202</v>
      </c>
      <c r="J634" t="s">
        <v>289</v>
      </c>
      <c r="K634" t="s">
        <v>292</v>
      </c>
      <c r="M634" t="s">
        <v>290</v>
      </c>
      <c r="N634" t="s">
        <v>419</v>
      </c>
      <c r="O634" t="s">
        <v>420</v>
      </c>
      <c r="P634" t="s">
        <v>427</v>
      </c>
      <c r="S634" t="s">
        <v>967</v>
      </c>
      <c r="T634" t="s">
        <v>1645</v>
      </c>
      <c r="U634" t="s">
        <v>240</v>
      </c>
      <c r="W634" t="s">
        <v>1876</v>
      </c>
      <c r="X634" t="s">
        <v>2472</v>
      </c>
      <c r="Y634" t="s">
        <v>3022</v>
      </c>
      <c r="Z634" t="s">
        <v>3099</v>
      </c>
      <c r="AA634" t="s">
        <v>3135</v>
      </c>
      <c r="AB634">
        <v>10031</v>
      </c>
      <c r="AC634" t="s">
        <v>3139</v>
      </c>
      <c r="AD634" t="s">
        <v>3726</v>
      </c>
      <c r="AE634">
        <v>15</v>
      </c>
      <c r="AG634" t="s">
        <v>4032</v>
      </c>
      <c r="AH634" t="s">
        <v>291</v>
      </c>
      <c r="AI634" t="s">
        <v>291</v>
      </c>
      <c r="AK634" t="s">
        <v>4040</v>
      </c>
      <c r="AM634">
        <v>0</v>
      </c>
      <c r="AN634">
        <v>1400</v>
      </c>
      <c r="AO634">
        <v>0.5</v>
      </c>
      <c r="AQ634" t="s">
        <v>4668</v>
      </c>
      <c r="AR634" t="s">
        <v>5535</v>
      </c>
      <c r="AS634">
        <v>0</v>
      </c>
      <c r="AT634" t="s">
        <v>5838</v>
      </c>
      <c r="AU634">
        <v>2</v>
      </c>
      <c r="AV634">
        <v>0</v>
      </c>
      <c r="AW634">
        <v>827.91</v>
      </c>
      <c r="BA634" t="s">
        <v>329</v>
      </c>
      <c r="BB634" t="s">
        <v>1322</v>
      </c>
      <c r="BC634">
        <v>140000</v>
      </c>
      <c r="BG634" t="s">
        <v>5914</v>
      </c>
      <c r="BJ634" t="s">
        <v>5949</v>
      </c>
      <c r="BK634" t="s">
        <v>240</v>
      </c>
      <c r="BL634" t="s">
        <v>6056</v>
      </c>
    </row>
    <row r="635" spans="1:64">
      <c r="A635" s="1">
        <f>HYPERLINK("https://lsnyc.legalserver.org/matter/dynamic-profile/view/1908041","19-1908041")</f>
        <v>0</v>
      </c>
      <c r="B635" t="s">
        <v>66</v>
      </c>
      <c r="C635" t="s">
        <v>159</v>
      </c>
      <c r="D635" t="s">
        <v>200</v>
      </c>
      <c r="E635" t="s">
        <v>201</v>
      </c>
      <c r="G635" t="s">
        <v>202</v>
      </c>
      <c r="H635" t="s">
        <v>272</v>
      </c>
      <c r="I635" t="s">
        <v>202</v>
      </c>
      <c r="J635" t="s">
        <v>289</v>
      </c>
      <c r="K635" t="s">
        <v>292</v>
      </c>
      <c r="M635" t="s">
        <v>290</v>
      </c>
      <c r="N635" t="s">
        <v>202</v>
      </c>
      <c r="O635" t="s">
        <v>422</v>
      </c>
      <c r="P635" t="s">
        <v>427</v>
      </c>
      <c r="S635" t="s">
        <v>928</v>
      </c>
      <c r="T635" t="s">
        <v>1345</v>
      </c>
      <c r="U635" t="s">
        <v>221</v>
      </c>
      <c r="W635" t="s">
        <v>1876</v>
      </c>
      <c r="X635" t="s">
        <v>2473</v>
      </c>
      <c r="Y635">
        <v>6</v>
      </c>
      <c r="Z635" t="s">
        <v>3099</v>
      </c>
      <c r="AA635" t="s">
        <v>3135</v>
      </c>
      <c r="AB635">
        <v>10009</v>
      </c>
      <c r="AC635" t="s">
        <v>3136</v>
      </c>
      <c r="AD635" t="s">
        <v>3727</v>
      </c>
      <c r="AE635">
        <v>30</v>
      </c>
      <c r="AG635" t="s">
        <v>4032</v>
      </c>
      <c r="AH635" t="s">
        <v>291</v>
      </c>
      <c r="AI635" t="s">
        <v>291</v>
      </c>
      <c r="AK635" t="s">
        <v>4040</v>
      </c>
      <c r="AL635" t="s">
        <v>4049</v>
      </c>
      <c r="AM635">
        <v>0</v>
      </c>
      <c r="AN635">
        <v>0</v>
      </c>
      <c r="AO635">
        <v>1</v>
      </c>
      <c r="AQ635" t="s">
        <v>4669</v>
      </c>
      <c r="AR635" t="s">
        <v>5536</v>
      </c>
      <c r="AS635">
        <v>0</v>
      </c>
      <c r="AT635" t="s">
        <v>5839</v>
      </c>
      <c r="AU635">
        <v>3</v>
      </c>
      <c r="AV635">
        <v>0</v>
      </c>
      <c r="AW635">
        <v>129.92</v>
      </c>
      <c r="BA635" t="s">
        <v>329</v>
      </c>
      <c r="BB635" t="s">
        <v>1322</v>
      </c>
      <c r="BC635">
        <v>27711</v>
      </c>
      <c r="BG635" t="s">
        <v>5914</v>
      </c>
      <c r="BJ635" t="s">
        <v>5949</v>
      </c>
      <c r="BK635" t="s">
        <v>221</v>
      </c>
      <c r="BL635" t="s">
        <v>6056</v>
      </c>
    </row>
    <row r="636" spans="1:64">
      <c r="A636" s="1">
        <f>HYPERLINK("https://lsnyc.legalserver.org/matter/dynamic-profile/view/1910217","19-1910217")</f>
        <v>0</v>
      </c>
      <c r="B636" t="s">
        <v>66</v>
      </c>
      <c r="C636" t="s">
        <v>158</v>
      </c>
      <c r="D636" t="s">
        <v>200</v>
      </c>
      <c r="E636" t="s">
        <v>202</v>
      </c>
      <c r="F636" t="s">
        <v>259</v>
      </c>
      <c r="G636" t="s">
        <v>202</v>
      </c>
      <c r="H636" t="s">
        <v>272</v>
      </c>
      <c r="I636" t="s">
        <v>202</v>
      </c>
      <c r="J636" t="s">
        <v>289</v>
      </c>
      <c r="K636" t="s">
        <v>202</v>
      </c>
      <c r="L636" t="s">
        <v>374</v>
      </c>
      <c r="M636" t="s">
        <v>290</v>
      </c>
      <c r="N636" t="s">
        <v>419</v>
      </c>
      <c r="O636" t="s">
        <v>420</v>
      </c>
      <c r="P636" t="s">
        <v>427</v>
      </c>
      <c r="S636" t="s">
        <v>878</v>
      </c>
      <c r="T636" t="s">
        <v>1646</v>
      </c>
      <c r="U636" t="s">
        <v>259</v>
      </c>
      <c r="W636" t="s">
        <v>1876</v>
      </c>
      <c r="X636" t="s">
        <v>2474</v>
      </c>
      <c r="Y636" t="s">
        <v>3023</v>
      </c>
      <c r="Z636" t="s">
        <v>3099</v>
      </c>
      <c r="AA636" t="s">
        <v>3135</v>
      </c>
      <c r="AB636">
        <v>10011</v>
      </c>
      <c r="AC636" t="s">
        <v>3138</v>
      </c>
      <c r="AD636" t="s">
        <v>3728</v>
      </c>
      <c r="AE636">
        <v>2</v>
      </c>
      <c r="AG636" t="s">
        <v>4032</v>
      </c>
      <c r="AH636" t="s">
        <v>291</v>
      </c>
      <c r="AI636" t="s">
        <v>291</v>
      </c>
      <c r="AK636" t="s">
        <v>4041</v>
      </c>
      <c r="AM636">
        <v>0</v>
      </c>
      <c r="AN636">
        <v>802</v>
      </c>
      <c r="AO636">
        <v>0.75</v>
      </c>
      <c r="AQ636" t="s">
        <v>4670</v>
      </c>
      <c r="AR636" t="s">
        <v>5537</v>
      </c>
      <c r="AS636">
        <v>0</v>
      </c>
      <c r="AT636" t="s">
        <v>5837</v>
      </c>
      <c r="AU636">
        <v>1</v>
      </c>
      <c r="AV636">
        <v>1</v>
      </c>
      <c r="AW636">
        <v>123</v>
      </c>
      <c r="BA636" t="s">
        <v>329</v>
      </c>
      <c r="BB636" t="s">
        <v>1322</v>
      </c>
      <c r="BC636">
        <v>20800</v>
      </c>
      <c r="BG636" t="s">
        <v>5915</v>
      </c>
      <c r="BJ636" t="s">
        <v>5951</v>
      </c>
      <c r="BK636" t="s">
        <v>259</v>
      </c>
      <c r="BL636" t="s">
        <v>6057</v>
      </c>
    </row>
    <row r="637" spans="1:64">
      <c r="A637" s="1">
        <f>HYPERLINK("https://lsnyc.legalserver.org/matter/dynamic-profile/view/1909386","19-1909386")</f>
        <v>0</v>
      </c>
      <c r="B637" t="s">
        <v>66</v>
      </c>
      <c r="C637" t="s">
        <v>161</v>
      </c>
      <c r="D637" t="s">
        <v>200</v>
      </c>
      <c r="E637" t="s">
        <v>202</v>
      </c>
      <c r="F637" t="s">
        <v>234</v>
      </c>
      <c r="G637" t="s">
        <v>202</v>
      </c>
      <c r="H637" t="s">
        <v>272</v>
      </c>
      <c r="I637" t="s">
        <v>202</v>
      </c>
      <c r="J637" t="s">
        <v>289</v>
      </c>
      <c r="K637" t="s">
        <v>292</v>
      </c>
      <c r="M637" t="s">
        <v>290</v>
      </c>
      <c r="N637" t="s">
        <v>202</v>
      </c>
      <c r="O637" t="s">
        <v>421</v>
      </c>
      <c r="P637" t="s">
        <v>427</v>
      </c>
      <c r="S637" t="s">
        <v>694</v>
      </c>
      <c r="T637" t="s">
        <v>1647</v>
      </c>
      <c r="U637" t="s">
        <v>234</v>
      </c>
      <c r="W637" t="s">
        <v>1876</v>
      </c>
      <c r="X637" t="s">
        <v>2475</v>
      </c>
      <c r="Y637" t="s">
        <v>2899</v>
      </c>
      <c r="Z637" t="s">
        <v>3099</v>
      </c>
      <c r="AA637" t="s">
        <v>3135</v>
      </c>
      <c r="AB637">
        <v>10027</v>
      </c>
      <c r="AC637" t="s">
        <v>3139</v>
      </c>
      <c r="AD637" t="s">
        <v>3729</v>
      </c>
      <c r="AE637">
        <v>7</v>
      </c>
      <c r="AG637" t="s">
        <v>4033</v>
      </c>
      <c r="AH637" t="s">
        <v>291</v>
      </c>
      <c r="AI637" t="s">
        <v>291</v>
      </c>
      <c r="AK637" t="s">
        <v>4040</v>
      </c>
      <c r="AL637" t="s">
        <v>4046</v>
      </c>
      <c r="AM637">
        <v>0</v>
      </c>
      <c r="AN637">
        <v>465</v>
      </c>
      <c r="AO637">
        <v>1.5</v>
      </c>
      <c r="AQ637" t="s">
        <v>4671</v>
      </c>
      <c r="AR637" t="s">
        <v>5538</v>
      </c>
      <c r="AS637">
        <v>0</v>
      </c>
      <c r="AT637" t="s">
        <v>5839</v>
      </c>
      <c r="AU637">
        <v>1</v>
      </c>
      <c r="AV637">
        <v>0</v>
      </c>
      <c r="AW637">
        <v>233.15</v>
      </c>
      <c r="AX637" t="s">
        <v>234</v>
      </c>
      <c r="AY637" t="s">
        <v>5849</v>
      </c>
      <c r="BA637" t="s">
        <v>5850</v>
      </c>
      <c r="BB637" t="s">
        <v>1322</v>
      </c>
      <c r="BC637">
        <v>29120</v>
      </c>
      <c r="BG637" t="s">
        <v>5915</v>
      </c>
      <c r="BJ637" t="s">
        <v>5949</v>
      </c>
      <c r="BK637" t="s">
        <v>234</v>
      </c>
      <c r="BL637" t="s">
        <v>6056</v>
      </c>
    </row>
    <row r="638" spans="1:64">
      <c r="A638" s="1">
        <f>HYPERLINK("https://lsnyc.legalserver.org/matter/dynamic-profile/view/1904371","19-1904371")</f>
        <v>0</v>
      </c>
      <c r="B638" t="s">
        <v>66</v>
      </c>
      <c r="C638" t="s">
        <v>156</v>
      </c>
      <c r="D638" t="s">
        <v>200</v>
      </c>
      <c r="E638" t="s">
        <v>202</v>
      </c>
      <c r="F638" t="s">
        <v>204</v>
      </c>
      <c r="G638" t="s">
        <v>202</v>
      </c>
      <c r="H638" t="s">
        <v>272</v>
      </c>
      <c r="I638" t="s">
        <v>202</v>
      </c>
      <c r="J638" t="s">
        <v>289</v>
      </c>
      <c r="K638" t="s">
        <v>292</v>
      </c>
      <c r="M638" t="s">
        <v>290</v>
      </c>
      <c r="N638" t="s">
        <v>202</v>
      </c>
      <c r="O638" t="s">
        <v>421</v>
      </c>
      <c r="P638" t="s">
        <v>427</v>
      </c>
      <c r="S638" t="s">
        <v>968</v>
      </c>
      <c r="T638" t="s">
        <v>1648</v>
      </c>
      <c r="U638" t="s">
        <v>204</v>
      </c>
      <c r="W638" t="s">
        <v>1876</v>
      </c>
      <c r="X638" t="s">
        <v>2476</v>
      </c>
      <c r="Y638" t="s">
        <v>3024</v>
      </c>
      <c r="Z638" t="s">
        <v>3099</v>
      </c>
      <c r="AA638" t="s">
        <v>3135</v>
      </c>
      <c r="AB638">
        <v>10025</v>
      </c>
      <c r="AC638" t="s">
        <v>3139</v>
      </c>
      <c r="AD638" t="s">
        <v>3730</v>
      </c>
      <c r="AE638">
        <v>35</v>
      </c>
      <c r="AG638" t="s">
        <v>4033</v>
      </c>
      <c r="AH638" t="s">
        <v>291</v>
      </c>
      <c r="AI638" t="s">
        <v>291</v>
      </c>
      <c r="AK638" t="s">
        <v>4040</v>
      </c>
      <c r="AL638" t="s">
        <v>4046</v>
      </c>
      <c r="AM638">
        <v>0</v>
      </c>
      <c r="AN638">
        <v>2450</v>
      </c>
      <c r="AO638">
        <v>7.1</v>
      </c>
      <c r="AQ638" t="s">
        <v>4672</v>
      </c>
      <c r="AR638" t="s">
        <v>5539</v>
      </c>
      <c r="AS638">
        <v>0</v>
      </c>
      <c r="AT638" t="s">
        <v>5838</v>
      </c>
      <c r="AU638">
        <v>1</v>
      </c>
      <c r="AV638">
        <v>0</v>
      </c>
      <c r="AW638">
        <v>128.1</v>
      </c>
      <c r="BA638" t="s">
        <v>329</v>
      </c>
      <c r="BB638" t="s">
        <v>1322</v>
      </c>
      <c r="BC638">
        <v>16000</v>
      </c>
      <c r="BG638" t="s">
        <v>5914</v>
      </c>
      <c r="BJ638" t="s">
        <v>5949</v>
      </c>
      <c r="BK638" t="s">
        <v>216</v>
      </c>
      <c r="BL638" t="s">
        <v>6056</v>
      </c>
    </row>
    <row r="639" spans="1:64">
      <c r="A639" s="1">
        <f>HYPERLINK("https://lsnyc.legalserver.org/matter/dynamic-profile/view/1907823","19-1907823")</f>
        <v>0</v>
      </c>
      <c r="B639" t="s">
        <v>66</v>
      </c>
      <c r="C639" t="s">
        <v>156</v>
      </c>
      <c r="D639" t="s">
        <v>200</v>
      </c>
      <c r="E639" t="s">
        <v>202</v>
      </c>
      <c r="F639" t="s">
        <v>223</v>
      </c>
      <c r="G639" t="s">
        <v>202</v>
      </c>
      <c r="H639" t="s">
        <v>271</v>
      </c>
      <c r="I639" t="s">
        <v>202</v>
      </c>
      <c r="J639" t="s">
        <v>289</v>
      </c>
      <c r="K639" t="s">
        <v>292</v>
      </c>
      <c r="M639" t="s">
        <v>290</v>
      </c>
      <c r="N639" t="s">
        <v>202</v>
      </c>
      <c r="O639" t="s">
        <v>421</v>
      </c>
      <c r="P639" t="s">
        <v>427</v>
      </c>
      <c r="S639" t="s">
        <v>658</v>
      </c>
      <c r="T639" t="s">
        <v>1568</v>
      </c>
      <c r="U639" t="s">
        <v>223</v>
      </c>
      <c r="W639" t="s">
        <v>1876</v>
      </c>
      <c r="X639" t="s">
        <v>2477</v>
      </c>
      <c r="Y639" t="s">
        <v>2822</v>
      </c>
      <c r="Z639" t="s">
        <v>3099</v>
      </c>
      <c r="AA639" t="s">
        <v>3135</v>
      </c>
      <c r="AB639">
        <v>10031</v>
      </c>
      <c r="AC639" t="s">
        <v>3139</v>
      </c>
      <c r="AD639" t="s">
        <v>3731</v>
      </c>
      <c r="AE639">
        <v>4</v>
      </c>
      <c r="AG639" t="s">
        <v>4033</v>
      </c>
      <c r="AH639" t="s">
        <v>291</v>
      </c>
      <c r="AI639" t="s">
        <v>291</v>
      </c>
      <c r="AK639" t="s">
        <v>4040</v>
      </c>
      <c r="AM639">
        <v>0</v>
      </c>
      <c r="AN639">
        <v>650</v>
      </c>
      <c r="AO639">
        <v>1.5</v>
      </c>
      <c r="AQ639" t="s">
        <v>4673</v>
      </c>
      <c r="AR639" t="s">
        <v>5540</v>
      </c>
      <c r="AS639">
        <v>0</v>
      </c>
      <c r="AT639" t="s">
        <v>5839</v>
      </c>
      <c r="AU639">
        <v>1</v>
      </c>
      <c r="AV639">
        <v>0</v>
      </c>
      <c r="AW639">
        <v>19.15</v>
      </c>
      <c r="BB639" t="s">
        <v>1322</v>
      </c>
      <c r="BC639">
        <v>2392</v>
      </c>
      <c r="BG639" t="s">
        <v>5915</v>
      </c>
      <c r="BJ639" t="s">
        <v>6025</v>
      </c>
      <c r="BK639" t="s">
        <v>223</v>
      </c>
      <c r="BL639" t="s">
        <v>6056</v>
      </c>
    </row>
    <row r="640" spans="1:64">
      <c r="A640" s="1">
        <f>HYPERLINK("https://lsnyc.legalserver.org/matter/dynamic-profile/view/1907028","19-1907028")</f>
        <v>0</v>
      </c>
      <c r="B640" t="s">
        <v>66</v>
      </c>
      <c r="C640" t="s">
        <v>162</v>
      </c>
      <c r="D640" t="s">
        <v>200</v>
      </c>
      <c r="E640" t="s">
        <v>202</v>
      </c>
      <c r="F640" t="s">
        <v>226</v>
      </c>
      <c r="G640" t="s">
        <v>202</v>
      </c>
      <c r="H640" t="s">
        <v>272</v>
      </c>
      <c r="I640" t="s">
        <v>202</v>
      </c>
      <c r="J640" t="s">
        <v>289</v>
      </c>
      <c r="K640" t="s">
        <v>202</v>
      </c>
      <c r="L640" t="s">
        <v>375</v>
      </c>
      <c r="M640" t="s">
        <v>290</v>
      </c>
      <c r="N640" t="s">
        <v>202</v>
      </c>
      <c r="O640" t="s">
        <v>422</v>
      </c>
      <c r="P640" t="s">
        <v>428</v>
      </c>
      <c r="S640" t="s">
        <v>969</v>
      </c>
      <c r="T640" t="s">
        <v>1649</v>
      </c>
      <c r="U640" t="s">
        <v>226</v>
      </c>
      <c r="V640" t="s">
        <v>237</v>
      </c>
      <c r="W640" t="s">
        <v>1877</v>
      </c>
      <c r="X640" t="s">
        <v>2478</v>
      </c>
      <c r="Y640">
        <v>1</v>
      </c>
      <c r="Z640" t="s">
        <v>3099</v>
      </c>
      <c r="AA640" t="s">
        <v>3135</v>
      </c>
      <c r="AB640">
        <v>10035</v>
      </c>
      <c r="AC640" t="s">
        <v>3138</v>
      </c>
      <c r="AD640" t="s">
        <v>3732</v>
      </c>
      <c r="AE640">
        <v>10</v>
      </c>
      <c r="AF640" t="s">
        <v>4023</v>
      </c>
      <c r="AG640" t="s">
        <v>4032</v>
      </c>
      <c r="AH640" t="s">
        <v>291</v>
      </c>
      <c r="AI640" t="s">
        <v>291</v>
      </c>
      <c r="AK640" t="s">
        <v>4045</v>
      </c>
      <c r="AM640">
        <v>0</v>
      </c>
      <c r="AN640">
        <v>612</v>
      </c>
      <c r="AO640">
        <v>0.2</v>
      </c>
      <c r="AP640" t="s">
        <v>4052</v>
      </c>
      <c r="AQ640" t="s">
        <v>4674</v>
      </c>
      <c r="AR640" t="s">
        <v>5541</v>
      </c>
      <c r="AS640">
        <v>0</v>
      </c>
      <c r="AT640" t="s">
        <v>5847</v>
      </c>
      <c r="AU640">
        <v>2</v>
      </c>
      <c r="AV640">
        <v>0</v>
      </c>
      <c r="AW640">
        <v>15.07</v>
      </c>
      <c r="BA640" t="s">
        <v>3143</v>
      </c>
      <c r="BB640" t="s">
        <v>1322</v>
      </c>
      <c r="BC640">
        <v>2548</v>
      </c>
      <c r="BG640" t="s">
        <v>5915</v>
      </c>
      <c r="BJ640" t="s">
        <v>6025</v>
      </c>
      <c r="BK640" t="s">
        <v>237</v>
      </c>
      <c r="BL640" t="s">
        <v>6057</v>
      </c>
    </row>
    <row r="641" spans="1:64">
      <c r="A641" s="1">
        <f>HYPERLINK("https://lsnyc.legalserver.org/matter/dynamic-profile/view/1910163","19-1910163")</f>
        <v>0</v>
      </c>
      <c r="B641" t="s">
        <v>66</v>
      </c>
      <c r="C641" t="s">
        <v>158</v>
      </c>
      <c r="D641" t="s">
        <v>200</v>
      </c>
      <c r="E641" t="s">
        <v>201</v>
      </c>
      <c r="G641" t="s">
        <v>202</v>
      </c>
      <c r="H641" t="s">
        <v>271</v>
      </c>
      <c r="I641" t="s">
        <v>202</v>
      </c>
      <c r="J641" t="s">
        <v>289</v>
      </c>
      <c r="K641" t="s">
        <v>202</v>
      </c>
      <c r="L641" t="s">
        <v>376</v>
      </c>
      <c r="M641" t="s">
        <v>290</v>
      </c>
      <c r="N641" t="s">
        <v>419</v>
      </c>
      <c r="O641" t="s">
        <v>420</v>
      </c>
      <c r="P641" t="s">
        <v>427</v>
      </c>
      <c r="S641" t="s">
        <v>678</v>
      </c>
      <c r="T641" t="s">
        <v>1650</v>
      </c>
      <c r="U641" t="s">
        <v>259</v>
      </c>
      <c r="W641" t="s">
        <v>1876</v>
      </c>
      <c r="X641" t="s">
        <v>2479</v>
      </c>
      <c r="Y641" t="s">
        <v>2917</v>
      </c>
      <c r="Z641" t="s">
        <v>3099</v>
      </c>
      <c r="AA641" t="s">
        <v>3135</v>
      </c>
      <c r="AB641">
        <v>10032</v>
      </c>
      <c r="AC641" t="s">
        <v>3136</v>
      </c>
      <c r="AD641" t="s">
        <v>3733</v>
      </c>
      <c r="AE641">
        <v>-1</v>
      </c>
      <c r="AG641" t="s">
        <v>4032</v>
      </c>
      <c r="AH641" t="s">
        <v>291</v>
      </c>
      <c r="AI641" t="s">
        <v>291</v>
      </c>
      <c r="AK641" t="s">
        <v>4045</v>
      </c>
      <c r="AL641" t="s">
        <v>4046</v>
      </c>
      <c r="AM641">
        <v>0</v>
      </c>
      <c r="AN641">
        <v>224</v>
      </c>
      <c r="AO641">
        <v>0</v>
      </c>
      <c r="AQ641" t="s">
        <v>4675</v>
      </c>
      <c r="AR641" t="s">
        <v>5542</v>
      </c>
      <c r="AS641">
        <v>0</v>
      </c>
      <c r="AT641" t="s">
        <v>5840</v>
      </c>
      <c r="AU641">
        <v>1</v>
      </c>
      <c r="AV641">
        <v>0</v>
      </c>
      <c r="AW641">
        <v>88.01000000000001</v>
      </c>
      <c r="BA641" t="s">
        <v>329</v>
      </c>
      <c r="BB641" t="s">
        <v>1322</v>
      </c>
      <c r="BC641">
        <v>10992</v>
      </c>
      <c r="BG641" t="s">
        <v>5914</v>
      </c>
      <c r="BJ641" t="s">
        <v>6032</v>
      </c>
      <c r="BL641" t="s">
        <v>329</v>
      </c>
    </row>
    <row r="642" spans="1:64">
      <c r="A642" s="1">
        <f>HYPERLINK("https://lsnyc.legalserver.org/matter/dynamic-profile/view/1910247","19-1910247")</f>
        <v>0</v>
      </c>
      <c r="B642" t="s">
        <v>66</v>
      </c>
      <c r="C642" t="s">
        <v>158</v>
      </c>
      <c r="D642" t="s">
        <v>200</v>
      </c>
      <c r="E642" t="s">
        <v>202</v>
      </c>
      <c r="F642" t="s">
        <v>259</v>
      </c>
      <c r="G642" t="s">
        <v>202</v>
      </c>
      <c r="H642" t="s">
        <v>272</v>
      </c>
      <c r="I642" t="s">
        <v>202</v>
      </c>
      <c r="J642" t="s">
        <v>289</v>
      </c>
      <c r="K642" t="s">
        <v>292</v>
      </c>
      <c r="M642" t="s">
        <v>290</v>
      </c>
      <c r="N642" t="s">
        <v>419</v>
      </c>
      <c r="O642" t="s">
        <v>420</v>
      </c>
      <c r="P642" t="s">
        <v>427</v>
      </c>
      <c r="S642" t="s">
        <v>970</v>
      </c>
      <c r="T642" t="s">
        <v>1651</v>
      </c>
      <c r="U642" t="s">
        <v>259</v>
      </c>
      <c r="W642" t="s">
        <v>1876</v>
      </c>
      <c r="X642" t="s">
        <v>2480</v>
      </c>
      <c r="Y642" t="s">
        <v>2843</v>
      </c>
      <c r="Z642" t="s">
        <v>3099</v>
      </c>
      <c r="AA642" t="s">
        <v>3135</v>
      </c>
      <c r="AB642">
        <v>10032</v>
      </c>
      <c r="AC642" t="s">
        <v>3139</v>
      </c>
      <c r="AD642" t="s">
        <v>3734</v>
      </c>
      <c r="AE642">
        <v>7</v>
      </c>
      <c r="AG642" t="s">
        <v>4032</v>
      </c>
      <c r="AH642" t="s">
        <v>291</v>
      </c>
      <c r="AI642" t="s">
        <v>291</v>
      </c>
      <c r="AK642" t="s">
        <v>4040</v>
      </c>
      <c r="AM642">
        <v>0</v>
      </c>
      <c r="AN642">
        <v>1632.38</v>
      </c>
      <c r="AO642">
        <v>0</v>
      </c>
      <c r="AQ642" t="s">
        <v>4676</v>
      </c>
      <c r="AR642" t="s">
        <v>5543</v>
      </c>
      <c r="AS642">
        <v>0</v>
      </c>
      <c r="AT642" t="s">
        <v>5838</v>
      </c>
      <c r="AU642">
        <v>1</v>
      </c>
      <c r="AV642">
        <v>0</v>
      </c>
      <c r="AW642">
        <v>128.1</v>
      </c>
      <c r="BA642" t="s">
        <v>329</v>
      </c>
      <c r="BB642" t="s">
        <v>1322</v>
      </c>
      <c r="BC642">
        <v>16000</v>
      </c>
      <c r="BG642" t="s">
        <v>5914</v>
      </c>
      <c r="BJ642" t="s">
        <v>5955</v>
      </c>
      <c r="BL642" t="s">
        <v>6056</v>
      </c>
    </row>
    <row r="643" spans="1:64">
      <c r="A643" s="1">
        <f>HYPERLINK("https://lsnyc.legalserver.org/matter/dynamic-profile/view/1909380","19-1909380")</f>
        <v>0</v>
      </c>
      <c r="B643" t="s">
        <v>66</v>
      </c>
      <c r="C643" t="s">
        <v>158</v>
      </c>
      <c r="D643" t="s">
        <v>200</v>
      </c>
      <c r="E643" t="s">
        <v>202</v>
      </c>
      <c r="F643" t="s">
        <v>234</v>
      </c>
      <c r="G643" t="s">
        <v>202</v>
      </c>
      <c r="H643" t="s">
        <v>272</v>
      </c>
      <c r="I643" t="s">
        <v>202</v>
      </c>
      <c r="J643" t="s">
        <v>289</v>
      </c>
      <c r="K643" t="s">
        <v>292</v>
      </c>
      <c r="M643" t="s">
        <v>290</v>
      </c>
      <c r="N643" t="s">
        <v>202</v>
      </c>
      <c r="O643" t="s">
        <v>421</v>
      </c>
      <c r="P643" t="s">
        <v>427</v>
      </c>
      <c r="S643" t="s">
        <v>971</v>
      </c>
      <c r="T643" t="s">
        <v>1652</v>
      </c>
      <c r="U643" t="s">
        <v>234</v>
      </c>
      <c r="W643" t="s">
        <v>1876</v>
      </c>
      <c r="X643" t="s">
        <v>2481</v>
      </c>
      <c r="Y643" t="s">
        <v>3025</v>
      </c>
      <c r="Z643" t="s">
        <v>3099</v>
      </c>
      <c r="AA643" t="s">
        <v>3135</v>
      </c>
      <c r="AB643">
        <v>10025</v>
      </c>
      <c r="AC643" t="s">
        <v>3139</v>
      </c>
      <c r="AD643" t="s">
        <v>3735</v>
      </c>
      <c r="AE643">
        <v>10</v>
      </c>
      <c r="AG643" t="s">
        <v>4033</v>
      </c>
      <c r="AH643" t="s">
        <v>291</v>
      </c>
      <c r="AI643" t="s">
        <v>291</v>
      </c>
      <c r="AK643" t="s">
        <v>4040</v>
      </c>
      <c r="AM643">
        <v>0</v>
      </c>
      <c r="AN643">
        <v>1125.16</v>
      </c>
      <c r="AO643">
        <v>1.5</v>
      </c>
      <c r="AQ643" t="s">
        <v>4677</v>
      </c>
      <c r="AR643" t="s">
        <v>5544</v>
      </c>
      <c r="AS643">
        <v>0</v>
      </c>
      <c r="AT643" t="s">
        <v>5838</v>
      </c>
      <c r="AU643">
        <v>1</v>
      </c>
      <c r="AV643">
        <v>0</v>
      </c>
      <c r="AW643">
        <v>104.08</v>
      </c>
      <c r="BA643" t="s">
        <v>5857</v>
      </c>
      <c r="BB643" t="s">
        <v>1322</v>
      </c>
      <c r="BC643">
        <v>13000</v>
      </c>
      <c r="BG643" t="s">
        <v>5915</v>
      </c>
      <c r="BJ643" t="s">
        <v>5951</v>
      </c>
      <c r="BK643" t="s">
        <v>230</v>
      </c>
      <c r="BL643" t="s">
        <v>6056</v>
      </c>
    </row>
    <row r="644" spans="1:64">
      <c r="A644" s="1">
        <f>HYPERLINK("https://lsnyc.legalserver.org/matter/dynamic-profile/view/1910212","19-1910212")</f>
        <v>0</v>
      </c>
      <c r="B644" t="s">
        <v>66</v>
      </c>
      <c r="C644" t="s">
        <v>158</v>
      </c>
      <c r="D644" t="s">
        <v>200</v>
      </c>
      <c r="E644" t="s">
        <v>201</v>
      </c>
      <c r="G644" t="s">
        <v>202</v>
      </c>
      <c r="H644" t="s">
        <v>271</v>
      </c>
      <c r="I644" t="s">
        <v>202</v>
      </c>
      <c r="J644" t="s">
        <v>289</v>
      </c>
      <c r="K644" t="s">
        <v>202</v>
      </c>
      <c r="L644" t="s">
        <v>377</v>
      </c>
      <c r="M644" t="s">
        <v>290</v>
      </c>
      <c r="N644" t="s">
        <v>419</v>
      </c>
      <c r="O644" t="s">
        <v>420</v>
      </c>
      <c r="P644" t="s">
        <v>427</v>
      </c>
      <c r="S644" t="s">
        <v>972</v>
      </c>
      <c r="T644" t="s">
        <v>1653</v>
      </c>
      <c r="U644" t="s">
        <v>259</v>
      </c>
      <c r="W644" t="s">
        <v>1876</v>
      </c>
      <c r="X644" t="s">
        <v>2482</v>
      </c>
      <c r="Y644">
        <v>19</v>
      </c>
      <c r="Z644" t="s">
        <v>3099</v>
      </c>
      <c r="AA644" t="s">
        <v>3135</v>
      </c>
      <c r="AB644">
        <v>10002</v>
      </c>
      <c r="AC644" t="s">
        <v>3136</v>
      </c>
      <c r="AD644" t="s">
        <v>3736</v>
      </c>
      <c r="AE644">
        <v>29</v>
      </c>
      <c r="AG644" t="s">
        <v>4032</v>
      </c>
      <c r="AH644" t="s">
        <v>291</v>
      </c>
      <c r="AI644" t="s">
        <v>291</v>
      </c>
      <c r="AK644" t="s">
        <v>4040</v>
      </c>
      <c r="AM644">
        <v>0</v>
      </c>
      <c r="AN644">
        <v>760.42</v>
      </c>
      <c r="AO644">
        <v>0.5</v>
      </c>
      <c r="AQ644" t="s">
        <v>4678</v>
      </c>
      <c r="AR644" t="s">
        <v>5545</v>
      </c>
      <c r="AS644">
        <v>0</v>
      </c>
      <c r="AT644" t="s">
        <v>5838</v>
      </c>
      <c r="AU644">
        <v>2</v>
      </c>
      <c r="AV644">
        <v>0</v>
      </c>
      <c r="AW644">
        <v>38.32</v>
      </c>
      <c r="BA644" t="s">
        <v>329</v>
      </c>
      <c r="BB644" t="s">
        <v>5869</v>
      </c>
      <c r="BC644">
        <v>6480</v>
      </c>
      <c r="BG644" t="s">
        <v>5914</v>
      </c>
      <c r="BJ644" t="s">
        <v>5957</v>
      </c>
      <c r="BK644" t="s">
        <v>259</v>
      </c>
      <c r="BL644" t="s">
        <v>6057</v>
      </c>
    </row>
    <row r="645" spans="1:64">
      <c r="A645" s="1">
        <f>HYPERLINK("https://lsnyc.legalserver.org/matter/dynamic-profile/view/1910223","19-1910223")</f>
        <v>0</v>
      </c>
      <c r="B645" t="s">
        <v>66</v>
      </c>
      <c r="C645" t="s">
        <v>158</v>
      </c>
      <c r="D645" t="s">
        <v>200</v>
      </c>
      <c r="E645" t="s">
        <v>202</v>
      </c>
      <c r="F645" t="s">
        <v>259</v>
      </c>
      <c r="G645" t="s">
        <v>202</v>
      </c>
      <c r="H645" t="s">
        <v>273</v>
      </c>
      <c r="I645" t="s">
        <v>202</v>
      </c>
      <c r="J645" t="s">
        <v>289</v>
      </c>
      <c r="K645" t="s">
        <v>292</v>
      </c>
      <c r="M645" t="s">
        <v>290</v>
      </c>
      <c r="N645" t="s">
        <v>202</v>
      </c>
      <c r="O645" t="s">
        <v>422</v>
      </c>
      <c r="P645" t="s">
        <v>427</v>
      </c>
      <c r="S645" t="s">
        <v>911</v>
      </c>
      <c r="T645" t="s">
        <v>1540</v>
      </c>
      <c r="U645" t="s">
        <v>259</v>
      </c>
      <c r="W645" t="s">
        <v>1876</v>
      </c>
      <c r="X645" t="s">
        <v>2483</v>
      </c>
      <c r="Y645" t="s">
        <v>2783</v>
      </c>
      <c r="Z645" t="s">
        <v>3099</v>
      </c>
      <c r="AA645" t="s">
        <v>3135</v>
      </c>
      <c r="AB645">
        <v>10023</v>
      </c>
      <c r="AC645" t="s">
        <v>3138</v>
      </c>
      <c r="AD645" t="s">
        <v>3737</v>
      </c>
      <c r="AE645">
        <v>50</v>
      </c>
      <c r="AG645" t="s">
        <v>4032</v>
      </c>
      <c r="AH645" t="s">
        <v>291</v>
      </c>
      <c r="AI645" t="s">
        <v>291</v>
      </c>
      <c r="AK645" t="s">
        <v>4040</v>
      </c>
      <c r="AM645">
        <v>0</v>
      </c>
      <c r="AN645">
        <v>545.5599999999999</v>
      </c>
      <c r="AO645">
        <v>0</v>
      </c>
      <c r="AQ645" t="s">
        <v>4679</v>
      </c>
      <c r="AR645" t="s">
        <v>5546</v>
      </c>
      <c r="AS645">
        <v>0</v>
      </c>
      <c r="AT645" t="s">
        <v>5838</v>
      </c>
      <c r="AU645">
        <v>1</v>
      </c>
      <c r="AV645">
        <v>0</v>
      </c>
      <c r="AW645">
        <v>103.67</v>
      </c>
      <c r="BA645" t="s">
        <v>329</v>
      </c>
      <c r="BB645" t="s">
        <v>1322</v>
      </c>
      <c r="BC645">
        <v>12948</v>
      </c>
      <c r="BG645" t="s">
        <v>5915</v>
      </c>
      <c r="BJ645" t="s">
        <v>5942</v>
      </c>
      <c r="BL645" t="s">
        <v>6056</v>
      </c>
    </row>
    <row r="646" spans="1:64">
      <c r="A646" s="1">
        <f>HYPERLINK("https://lsnyc.legalserver.org/matter/dynamic-profile/view/1908033","19-1908033")</f>
        <v>0</v>
      </c>
      <c r="B646" t="s">
        <v>66</v>
      </c>
      <c r="C646" t="s">
        <v>156</v>
      </c>
      <c r="D646" t="s">
        <v>200</v>
      </c>
      <c r="E646" t="s">
        <v>201</v>
      </c>
      <c r="G646" t="s">
        <v>202</v>
      </c>
      <c r="H646" t="s">
        <v>272</v>
      </c>
      <c r="I646" t="s">
        <v>202</v>
      </c>
      <c r="J646" t="s">
        <v>289</v>
      </c>
      <c r="K646" t="s">
        <v>292</v>
      </c>
      <c r="M646" t="s">
        <v>290</v>
      </c>
      <c r="N646" t="s">
        <v>419</v>
      </c>
      <c r="O646" t="s">
        <v>420</v>
      </c>
      <c r="P646" t="s">
        <v>427</v>
      </c>
      <c r="S646" t="s">
        <v>466</v>
      </c>
      <c r="T646" t="s">
        <v>1370</v>
      </c>
      <c r="U646" t="s">
        <v>221</v>
      </c>
      <c r="W646" t="s">
        <v>1876</v>
      </c>
      <c r="X646" t="s">
        <v>2484</v>
      </c>
      <c r="Y646" t="s">
        <v>3026</v>
      </c>
      <c r="Z646" t="s">
        <v>3099</v>
      </c>
      <c r="AA646" t="s">
        <v>3135</v>
      </c>
      <c r="AB646">
        <v>10034</v>
      </c>
      <c r="AC646" t="s">
        <v>3136</v>
      </c>
      <c r="AD646" t="s">
        <v>3738</v>
      </c>
      <c r="AE646">
        <v>9</v>
      </c>
      <c r="AG646" t="s">
        <v>4032</v>
      </c>
      <c r="AH646" t="s">
        <v>291</v>
      </c>
      <c r="AI646" t="s">
        <v>291</v>
      </c>
      <c r="AK646" t="s">
        <v>4041</v>
      </c>
      <c r="AL646" t="s">
        <v>4047</v>
      </c>
      <c r="AM646">
        <v>0</v>
      </c>
      <c r="AN646">
        <v>1201.76</v>
      </c>
      <c r="AO646">
        <v>1.5</v>
      </c>
      <c r="AQ646" t="s">
        <v>4680</v>
      </c>
      <c r="AR646" t="s">
        <v>5547</v>
      </c>
      <c r="AS646">
        <v>0</v>
      </c>
      <c r="AT646" t="s">
        <v>5838</v>
      </c>
      <c r="AU646">
        <v>2</v>
      </c>
      <c r="AV646">
        <v>1</v>
      </c>
      <c r="AW646">
        <v>126.13</v>
      </c>
      <c r="BA646" t="s">
        <v>3143</v>
      </c>
      <c r="BB646" t="s">
        <v>1322</v>
      </c>
      <c r="BC646">
        <v>26904</v>
      </c>
      <c r="BG646" t="s">
        <v>5914</v>
      </c>
      <c r="BJ646" t="s">
        <v>5950</v>
      </c>
      <c r="BK646" t="s">
        <v>221</v>
      </c>
      <c r="BL646" t="s">
        <v>6056</v>
      </c>
    </row>
    <row r="647" spans="1:64">
      <c r="A647" s="1">
        <f>HYPERLINK("https://lsnyc.legalserver.org/matter/dynamic-profile/view/1904447","19-1904447")</f>
        <v>0</v>
      </c>
      <c r="B647" t="s">
        <v>66</v>
      </c>
      <c r="C647" t="s">
        <v>156</v>
      </c>
      <c r="D647" t="s">
        <v>200</v>
      </c>
      <c r="E647" t="s">
        <v>202</v>
      </c>
      <c r="F647" t="s">
        <v>204</v>
      </c>
      <c r="G647" t="s">
        <v>202</v>
      </c>
      <c r="H647" t="s">
        <v>272</v>
      </c>
      <c r="I647" t="s">
        <v>202</v>
      </c>
      <c r="J647" t="s">
        <v>289</v>
      </c>
      <c r="K647" t="s">
        <v>292</v>
      </c>
      <c r="M647" t="s">
        <v>290</v>
      </c>
      <c r="N647" t="s">
        <v>202</v>
      </c>
      <c r="O647" t="s">
        <v>421</v>
      </c>
      <c r="P647" t="s">
        <v>427</v>
      </c>
      <c r="S647" t="s">
        <v>973</v>
      </c>
      <c r="T647" t="s">
        <v>1654</v>
      </c>
      <c r="U647" t="s">
        <v>204</v>
      </c>
      <c r="W647" t="s">
        <v>1876</v>
      </c>
      <c r="X647" t="s">
        <v>2485</v>
      </c>
      <c r="Y647" t="s">
        <v>3027</v>
      </c>
      <c r="Z647" t="s">
        <v>3099</v>
      </c>
      <c r="AA647" t="s">
        <v>3135</v>
      </c>
      <c r="AB647">
        <v>10023</v>
      </c>
      <c r="AC647" t="s">
        <v>3136</v>
      </c>
      <c r="AD647" t="s">
        <v>3739</v>
      </c>
      <c r="AE647">
        <v>4</v>
      </c>
      <c r="AG647" t="s">
        <v>4032</v>
      </c>
      <c r="AH647" t="s">
        <v>291</v>
      </c>
      <c r="AI647" t="s">
        <v>291</v>
      </c>
      <c r="AK647" t="s">
        <v>4040</v>
      </c>
      <c r="AM647">
        <v>0</v>
      </c>
      <c r="AN647">
        <v>750</v>
      </c>
      <c r="AO647">
        <v>10.6</v>
      </c>
      <c r="AQ647" t="s">
        <v>4681</v>
      </c>
      <c r="AR647" t="s">
        <v>5548</v>
      </c>
      <c r="AS647">
        <v>0</v>
      </c>
      <c r="AT647" t="s">
        <v>5838</v>
      </c>
      <c r="AU647">
        <v>1</v>
      </c>
      <c r="AV647">
        <v>1</v>
      </c>
      <c r="AW647">
        <v>153.76</v>
      </c>
      <c r="BA647" t="s">
        <v>329</v>
      </c>
      <c r="BB647" t="s">
        <v>1322</v>
      </c>
      <c r="BC647">
        <v>26000</v>
      </c>
      <c r="BG647" t="s">
        <v>5915</v>
      </c>
      <c r="BJ647" t="s">
        <v>5949</v>
      </c>
      <c r="BK647" t="s">
        <v>262</v>
      </c>
      <c r="BL647" t="s">
        <v>6056</v>
      </c>
    </row>
    <row r="648" spans="1:64">
      <c r="A648" s="1">
        <f>HYPERLINK("https://lsnyc.legalserver.org/matter/dynamic-profile/view/1905688","19-1905688")</f>
        <v>0</v>
      </c>
      <c r="B648" t="s">
        <v>66</v>
      </c>
      <c r="C648" t="s">
        <v>156</v>
      </c>
      <c r="D648" t="s">
        <v>200</v>
      </c>
      <c r="E648" t="s">
        <v>202</v>
      </c>
      <c r="F648" t="s">
        <v>260</v>
      </c>
      <c r="G648" t="s">
        <v>202</v>
      </c>
      <c r="H648" t="s">
        <v>272</v>
      </c>
      <c r="I648" t="s">
        <v>202</v>
      </c>
      <c r="J648" t="s">
        <v>289</v>
      </c>
      <c r="K648" t="s">
        <v>292</v>
      </c>
      <c r="M648" t="s">
        <v>290</v>
      </c>
      <c r="N648" t="s">
        <v>202</v>
      </c>
      <c r="O648" t="s">
        <v>421</v>
      </c>
      <c r="P648" t="s">
        <v>427</v>
      </c>
      <c r="S648" t="s">
        <v>974</v>
      </c>
      <c r="T648" t="s">
        <v>1233</v>
      </c>
      <c r="U648" t="s">
        <v>260</v>
      </c>
      <c r="W648" t="s">
        <v>1876</v>
      </c>
      <c r="X648" t="s">
        <v>2394</v>
      </c>
      <c r="Y648">
        <v>216</v>
      </c>
      <c r="Z648" t="s">
        <v>3099</v>
      </c>
      <c r="AA648" t="s">
        <v>3135</v>
      </c>
      <c r="AB648">
        <v>10027</v>
      </c>
      <c r="AC648" t="s">
        <v>3136</v>
      </c>
      <c r="AD648" t="s">
        <v>3740</v>
      </c>
      <c r="AE648">
        <v>6</v>
      </c>
      <c r="AG648" t="s">
        <v>4033</v>
      </c>
      <c r="AH648" t="s">
        <v>291</v>
      </c>
      <c r="AI648" t="s">
        <v>291</v>
      </c>
      <c r="AK648" t="s">
        <v>4040</v>
      </c>
      <c r="AL648" t="s">
        <v>4046</v>
      </c>
      <c r="AM648">
        <v>0</v>
      </c>
      <c r="AN648">
        <v>903.02</v>
      </c>
      <c r="AO648">
        <v>6</v>
      </c>
      <c r="AQ648" t="s">
        <v>4682</v>
      </c>
      <c r="AR648" t="s">
        <v>5549</v>
      </c>
      <c r="AS648">
        <v>158</v>
      </c>
      <c r="AT648" t="s">
        <v>5838</v>
      </c>
      <c r="AU648">
        <v>1</v>
      </c>
      <c r="AV648">
        <v>0</v>
      </c>
      <c r="AW648">
        <v>136.11</v>
      </c>
      <c r="BA648" t="s">
        <v>329</v>
      </c>
      <c r="BB648" t="s">
        <v>1322</v>
      </c>
      <c r="BC648">
        <v>17000</v>
      </c>
      <c r="BG648" t="s">
        <v>5914</v>
      </c>
      <c r="BJ648" t="s">
        <v>5949</v>
      </c>
      <c r="BK648" t="s">
        <v>238</v>
      </c>
      <c r="BL648" t="s">
        <v>6056</v>
      </c>
    </row>
    <row r="649" spans="1:64">
      <c r="A649" s="1">
        <f>HYPERLINK("https://lsnyc.legalserver.org/matter/dynamic-profile/view/1908225","19-1908225")</f>
        <v>0</v>
      </c>
      <c r="B649" t="s">
        <v>66</v>
      </c>
      <c r="C649" t="s">
        <v>156</v>
      </c>
      <c r="D649" t="s">
        <v>200</v>
      </c>
      <c r="E649" t="s">
        <v>201</v>
      </c>
      <c r="G649" t="s">
        <v>270</v>
      </c>
      <c r="I649" t="s">
        <v>288</v>
      </c>
      <c r="J649" t="s">
        <v>290</v>
      </c>
      <c r="K649" t="s">
        <v>292</v>
      </c>
      <c r="M649" t="s">
        <v>290</v>
      </c>
      <c r="N649" t="s">
        <v>419</v>
      </c>
      <c r="P649" t="s">
        <v>427</v>
      </c>
      <c r="S649" t="s">
        <v>975</v>
      </c>
      <c r="T649" t="s">
        <v>1227</v>
      </c>
      <c r="U649" t="s">
        <v>1874</v>
      </c>
      <c r="W649" t="s">
        <v>1876</v>
      </c>
      <c r="X649" t="s">
        <v>2486</v>
      </c>
      <c r="Y649">
        <v>31</v>
      </c>
      <c r="Z649" t="s">
        <v>3099</v>
      </c>
      <c r="AA649" t="s">
        <v>3135</v>
      </c>
      <c r="AB649">
        <v>10031</v>
      </c>
      <c r="AD649" t="s">
        <v>3741</v>
      </c>
      <c r="AE649">
        <v>22</v>
      </c>
      <c r="AG649" t="s">
        <v>4032</v>
      </c>
      <c r="AH649" t="s">
        <v>291</v>
      </c>
      <c r="AK649" t="s">
        <v>4040</v>
      </c>
      <c r="AM649">
        <v>0</v>
      </c>
      <c r="AN649">
        <v>1279</v>
      </c>
      <c r="AO649">
        <v>0</v>
      </c>
      <c r="AQ649" t="s">
        <v>4683</v>
      </c>
      <c r="AR649" t="s">
        <v>5550</v>
      </c>
      <c r="AS649">
        <v>0</v>
      </c>
      <c r="AU649">
        <v>1</v>
      </c>
      <c r="AV649">
        <v>1</v>
      </c>
      <c r="AW649">
        <v>0</v>
      </c>
      <c r="BB649" t="s">
        <v>1322</v>
      </c>
      <c r="BC649">
        <v>0</v>
      </c>
      <c r="BG649" t="s">
        <v>5916</v>
      </c>
      <c r="BJ649" t="s">
        <v>5965</v>
      </c>
    </row>
    <row r="650" spans="1:64">
      <c r="A650" s="1">
        <f>HYPERLINK("https://lsnyc.legalserver.org/matter/dynamic-profile/view/1907898","19-1907898")</f>
        <v>0</v>
      </c>
      <c r="B650" t="s">
        <v>66</v>
      </c>
      <c r="C650" t="s">
        <v>156</v>
      </c>
      <c r="D650" t="s">
        <v>200</v>
      </c>
      <c r="E650" t="s">
        <v>202</v>
      </c>
      <c r="F650" t="s">
        <v>223</v>
      </c>
      <c r="G650" t="s">
        <v>202</v>
      </c>
      <c r="H650" t="s">
        <v>272</v>
      </c>
      <c r="I650" t="s">
        <v>202</v>
      </c>
      <c r="J650" t="s">
        <v>289</v>
      </c>
      <c r="K650" t="s">
        <v>292</v>
      </c>
      <c r="M650" t="s">
        <v>290</v>
      </c>
      <c r="N650" t="s">
        <v>202</v>
      </c>
      <c r="O650" t="s">
        <v>422</v>
      </c>
      <c r="P650" t="s">
        <v>427</v>
      </c>
      <c r="S650" t="s">
        <v>976</v>
      </c>
      <c r="T650" t="s">
        <v>1655</v>
      </c>
      <c r="U650" t="s">
        <v>223</v>
      </c>
      <c r="W650" t="s">
        <v>1876</v>
      </c>
      <c r="X650" t="s">
        <v>2487</v>
      </c>
      <c r="Y650" t="s">
        <v>3028</v>
      </c>
      <c r="Z650" t="s">
        <v>3099</v>
      </c>
      <c r="AA650" t="s">
        <v>3135</v>
      </c>
      <c r="AB650">
        <v>10025</v>
      </c>
      <c r="AC650" t="s">
        <v>3136</v>
      </c>
      <c r="AD650" t="s">
        <v>3742</v>
      </c>
      <c r="AE650">
        <v>4</v>
      </c>
      <c r="AG650" t="s">
        <v>4033</v>
      </c>
      <c r="AH650" t="s">
        <v>291</v>
      </c>
      <c r="AI650" t="s">
        <v>291</v>
      </c>
      <c r="AK650" t="s">
        <v>4040</v>
      </c>
      <c r="AM650">
        <v>0</v>
      </c>
      <c r="AN650">
        <v>998</v>
      </c>
      <c r="AO650">
        <v>4.5</v>
      </c>
      <c r="AQ650" t="s">
        <v>4684</v>
      </c>
      <c r="AR650" t="s">
        <v>5551</v>
      </c>
      <c r="AS650">
        <v>0</v>
      </c>
      <c r="AT650" t="s">
        <v>5836</v>
      </c>
      <c r="AU650">
        <v>3</v>
      </c>
      <c r="AV650">
        <v>1</v>
      </c>
      <c r="AW650">
        <v>41.94</v>
      </c>
      <c r="BA650" t="s">
        <v>329</v>
      </c>
      <c r="BB650" t="s">
        <v>1322</v>
      </c>
      <c r="BC650">
        <v>10800</v>
      </c>
      <c r="BG650" t="s">
        <v>5915</v>
      </c>
      <c r="BJ650" t="s">
        <v>5944</v>
      </c>
      <c r="BK650" t="s">
        <v>247</v>
      </c>
      <c r="BL650" t="s">
        <v>6056</v>
      </c>
    </row>
    <row r="651" spans="1:64">
      <c r="A651" s="1">
        <f>HYPERLINK("https://lsnyc.legalserver.org/matter/dynamic-profile/view/1909368","19-1909368")</f>
        <v>0</v>
      </c>
      <c r="B651" t="s">
        <v>66</v>
      </c>
      <c r="C651" t="s">
        <v>161</v>
      </c>
      <c r="D651" t="s">
        <v>200</v>
      </c>
      <c r="E651" t="s">
        <v>202</v>
      </c>
      <c r="F651" t="s">
        <v>234</v>
      </c>
      <c r="G651" t="s">
        <v>202</v>
      </c>
      <c r="H651" t="s">
        <v>272</v>
      </c>
      <c r="I651" t="s">
        <v>202</v>
      </c>
      <c r="J651" t="s">
        <v>289</v>
      </c>
      <c r="K651" t="s">
        <v>292</v>
      </c>
      <c r="M651" t="s">
        <v>290</v>
      </c>
      <c r="N651" t="s">
        <v>202</v>
      </c>
      <c r="O651" t="s">
        <v>421</v>
      </c>
      <c r="P651" t="s">
        <v>427</v>
      </c>
      <c r="S651" t="s">
        <v>977</v>
      </c>
      <c r="T651" t="s">
        <v>1278</v>
      </c>
      <c r="U651" t="s">
        <v>234</v>
      </c>
      <c r="W651" t="s">
        <v>1876</v>
      </c>
      <c r="X651" t="s">
        <v>2488</v>
      </c>
      <c r="Y651" t="s">
        <v>2899</v>
      </c>
      <c r="Z651" t="s">
        <v>3099</v>
      </c>
      <c r="AA651" t="s">
        <v>3135</v>
      </c>
      <c r="AB651">
        <v>10027</v>
      </c>
      <c r="AC651" t="s">
        <v>3139</v>
      </c>
      <c r="AD651" t="s">
        <v>3743</v>
      </c>
      <c r="AE651">
        <v>5</v>
      </c>
      <c r="AG651" t="s">
        <v>4033</v>
      </c>
      <c r="AH651" t="s">
        <v>291</v>
      </c>
      <c r="AI651" t="s">
        <v>291</v>
      </c>
      <c r="AK651" t="s">
        <v>4040</v>
      </c>
      <c r="AL651" t="s">
        <v>4046</v>
      </c>
      <c r="AM651">
        <v>0</v>
      </c>
      <c r="AN651">
        <v>1448</v>
      </c>
      <c r="AO651">
        <v>2.5</v>
      </c>
      <c r="AQ651" t="s">
        <v>4685</v>
      </c>
      <c r="AR651" t="s">
        <v>5552</v>
      </c>
      <c r="AS651">
        <v>0</v>
      </c>
      <c r="AT651" t="s">
        <v>5838</v>
      </c>
      <c r="AU651">
        <v>2</v>
      </c>
      <c r="AV651">
        <v>2</v>
      </c>
      <c r="AW651">
        <v>198.06</v>
      </c>
      <c r="BA651" t="s">
        <v>329</v>
      </c>
      <c r="BB651" t="s">
        <v>1322</v>
      </c>
      <c r="BC651">
        <v>51000</v>
      </c>
      <c r="BG651" t="s">
        <v>5915</v>
      </c>
      <c r="BJ651" t="s">
        <v>5949</v>
      </c>
      <c r="BK651" t="s">
        <v>222</v>
      </c>
      <c r="BL651" t="s">
        <v>6056</v>
      </c>
    </row>
    <row r="652" spans="1:64">
      <c r="A652" s="1">
        <f>HYPERLINK("https://lsnyc.legalserver.org/matter/dynamic-profile/view/1904147","19-1904147")</f>
        <v>0</v>
      </c>
      <c r="B652" t="s">
        <v>66</v>
      </c>
      <c r="C652" t="s">
        <v>158</v>
      </c>
      <c r="D652" t="s">
        <v>200</v>
      </c>
      <c r="E652" t="s">
        <v>201</v>
      </c>
      <c r="G652" t="s">
        <v>202</v>
      </c>
      <c r="H652" t="s">
        <v>272</v>
      </c>
      <c r="I652" t="s">
        <v>288</v>
      </c>
      <c r="J652" t="s">
        <v>290</v>
      </c>
      <c r="K652" t="s">
        <v>292</v>
      </c>
      <c r="M652" t="s">
        <v>290</v>
      </c>
      <c r="N652" t="s">
        <v>202</v>
      </c>
      <c r="O652" t="s">
        <v>421</v>
      </c>
      <c r="P652" t="s">
        <v>427</v>
      </c>
      <c r="S652" t="s">
        <v>978</v>
      </c>
      <c r="T652" t="s">
        <v>1656</v>
      </c>
      <c r="U652" t="s">
        <v>227</v>
      </c>
      <c r="W652" t="s">
        <v>1876</v>
      </c>
      <c r="X652" t="s">
        <v>2489</v>
      </c>
      <c r="Y652" t="s">
        <v>2836</v>
      </c>
      <c r="Z652" t="s">
        <v>3099</v>
      </c>
      <c r="AA652" t="s">
        <v>3135</v>
      </c>
      <c r="AB652">
        <v>10026</v>
      </c>
      <c r="AD652" t="s">
        <v>3744</v>
      </c>
      <c r="AE652">
        <v>4</v>
      </c>
      <c r="AG652" t="s">
        <v>4033</v>
      </c>
      <c r="AH652" t="s">
        <v>291</v>
      </c>
      <c r="AI652" t="s">
        <v>291</v>
      </c>
      <c r="AK652" t="s">
        <v>4040</v>
      </c>
      <c r="AM652">
        <v>0</v>
      </c>
      <c r="AN652">
        <v>247</v>
      </c>
      <c r="AO652">
        <v>6.5</v>
      </c>
      <c r="AQ652" t="s">
        <v>4686</v>
      </c>
      <c r="AR652" t="s">
        <v>5553</v>
      </c>
      <c r="AS652">
        <v>0</v>
      </c>
      <c r="AU652">
        <v>1</v>
      </c>
      <c r="AV652">
        <v>0</v>
      </c>
      <c r="AW652">
        <v>78.01000000000001</v>
      </c>
      <c r="BB652" t="s">
        <v>1322</v>
      </c>
      <c r="BC652">
        <v>9744</v>
      </c>
      <c r="BG652" t="s">
        <v>5919</v>
      </c>
      <c r="BJ652" t="s">
        <v>5988</v>
      </c>
      <c r="BK652" t="s">
        <v>206</v>
      </c>
    </row>
    <row r="653" spans="1:64">
      <c r="A653" s="1">
        <f>HYPERLINK("https://lsnyc.legalserver.org/matter/dynamic-profile/view/1906279","19-1906279")</f>
        <v>0</v>
      </c>
      <c r="B653" t="s">
        <v>66</v>
      </c>
      <c r="C653" t="s">
        <v>158</v>
      </c>
      <c r="D653" t="s">
        <v>200</v>
      </c>
      <c r="E653" t="s">
        <v>202</v>
      </c>
      <c r="F653" t="s">
        <v>249</v>
      </c>
      <c r="G653" t="s">
        <v>202</v>
      </c>
      <c r="H653" t="s">
        <v>271</v>
      </c>
      <c r="I653" t="s">
        <v>202</v>
      </c>
      <c r="J653" t="s">
        <v>289</v>
      </c>
      <c r="K653" t="s">
        <v>292</v>
      </c>
      <c r="M653" t="s">
        <v>290</v>
      </c>
      <c r="N653" t="s">
        <v>202</v>
      </c>
      <c r="O653" t="s">
        <v>422</v>
      </c>
      <c r="P653" t="s">
        <v>428</v>
      </c>
      <c r="S653" t="s">
        <v>726</v>
      </c>
      <c r="T653" t="s">
        <v>1467</v>
      </c>
      <c r="U653" t="s">
        <v>249</v>
      </c>
      <c r="V653" t="s">
        <v>220</v>
      </c>
      <c r="W653" t="s">
        <v>1877</v>
      </c>
      <c r="X653" t="s">
        <v>2490</v>
      </c>
      <c r="Y653" t="s">
        <v>2824</v>
      </c>
      <c r="Z653" t="s">
        <v>3099</v>
      </c>
      <c r="AA653" t="s">
        <v>3135</v>
      </c>
      <c r="AB653">
        <v>10026</v>
      </c>
      <c r="AC653" t="s">
        <v>3139</v>
      </c>
      <c r="AD653" t="s">
        <v>3707</v>
      </c>
      <c r="AE653">
        <v>4</v>
      </c>
      <c r="AF653" t="s">
        <v>4023</v>
      </c>
      <c r="AG653" t="s">
        <v>4033</v>
      </c>
      <c r="AH653" t="s">
        <v>291</v>
      </c>
      <c r="AI653" t="s">
        <v>291</v>
      </c>
      <c r="AK653" t="s">
        <v>4040</v>
      </c>
      <c r="AL653" t="s">
        <v>4046</v>
      </c>
      <c r="AM653">
        <v>0</v>
      </c>
      <c r="AN653">
        <v>0</v>
      </c>
      <c r="AO653">
        <v>3.75</v>
      </c>
      <c r="AP653" t="s">
        <v>4052</v>
      </c>
      <c r="AQ653" t="s">
        <v>4687</v>
      </c>
      <c r="AR653" t="s">
        <v>5554</v>
      </c>
      <c r="AS653">
        <v>47</v>
      </c>
      <c r="AT653" t="s">
        <v>5836</v>
      </c>
      <c r="AU653">
        <v>2</v>
      </c>
      <c r="AV653">
        <v>1</v>
      </c>
      <c r="AW653">
        <v>39.01</v>
      </c>
      <c r="BA653" t="s">
        <v>329</v>
      </c>
      <c r="BB653" t="s">
        <v>1322</v>
      </c>
      <c r="BC653">
        <v>8320</v>
      </c>
      <c r="BG653" t="s">
        <v>5914</v>
      </c>
      <c r="BJ653" t="s">
        <v>6002</v>
      </c>
      <c r="BK653" t="s">
        <v>235</v>
      </c>
      <c r="BL653" t="s">
        <v>6056</v>
      </c>
    </row>
    <row r="654" spans="1:64">
      <c r="A654" s="1">
        <f>HYPERLINK("https://lsnyc.legalserver.org/matter/dynamic-profile/view/1905706","19-1905706")</f>
        <v>0</v>
      </c>
      <c r="B654" t="s">
        <v>66</v>
      </c>
      <c r="C654" t="s">
        <v>158</v>
      </c>
      <c r="D654" t="s">
        <v>200</v>
      </c>
      <c r="E654" t="s">
        <v>202</v>
      </c>
      <c r="F654" t="s">
        <v>260</v>
      </c>
      <c r="G654" t="s">
        <v>202</v>
      </c>
      <c r="H654" t="s">
        <v>272</v>
      </c>
      <c r="I654" t="s">
        <v>202</v>
      </c>
      <c r="J654" t="s">
        <v>289</v>
      </c>
      <c r="K654" t="s">
        <v>292</v>
      </c>
      <c r="M654" t="s">
        <v>290</v>
      </c>
      <c r="N654" t="s">
        <v>202</v>
      </c>
      <c r="O654" t="s">
        <v>421</v>
      </c>
      <c r="P654" t="s">
        <v>427</v>
      </c>
      <c r="S654" t="s">
        <v>979</v>
      </c>
      <c r="T654" t="s">
        <v>1657</v>
      </c>
      <c r="U654" t="s">
        <v>260</v>
      </c>
      <c r="W654" t="s">
        <v>1876</v>
      </c>
      <c r="X654" t="s">
        <v>2491</v>
      </c>
      <c r="Y654">
        <v>31</v>
      </c>
      <c r="Z654" t="s">
        <v>3099</v>
      </c>
      <c r="AA654" t="s">
        <v>3135</v>
      </c>
      <c r="AB654">
        <v>10031</v>
      </c>
      <c r="AC654" t="s">
        <v>3139</v>
      </c>
      <c r="AD654" t="s">
        <v>3745</v>
      </c>
      <c r="AE654">
        <v>9</v>
      </c>
      <c r="AG654" t="s">
        <v>4033</v>
      </c>
      <c r="AH654" t="s">
        <v>291</v>
      </c>
      <c r="AI654" t="s">
        <v>291</v>
      </c>
      <c r="AK654" t="s">
        <v>4040</v>
      </c>
      <c r="AM654">
        <v>0</v>
      </c>
      <c r="AN654">
        <v>1120</v>
      </c>
      <c r="AO654">
        <v>7.75</v>
      </c>
      <c r="AQ654" t="s">
        <v>4688</v>
      </c>
      <c r="AR654" t="s">
        <v>5555</v>
      </c>
      <c r="AS654">
        <v>21</v>
      </c>
      <c r="AT654" t="s">
        <v>5838</v>
      </c>
      <c r="AU654">
        <v>1</v>
      </c>
      <c r="AV654">
        <v>0</v>
      </c>
      <c r="AW654">
        <v>187.35</v>
      </c>
      <c r="BA654" t="s">
        <v>329</v>
      </c>
      <c r="BB654" t="s">
        <v>1322</v>
      </c>
      <c r="BC654">
        <v>23400</v>
      </c>
      <c r="BG654" t="s">
        <v>5915</v>
      </c>
      <c r="BJ654" t="s">
        <v>5946</v>
      </c>
      <c r="BK654" t="s">
        <v>267</v>
      </c>
      <c r="BL654" t="s">
        <v>6056</v>
      </c>
    </row>
    <row r="655" spans="1:64">
      <c r="A655" s="1">
        <f>HYPERLINK("https://lsnyc.legalserver.org/matter/dynamic-profile/view/1910203","19-1910203")</f>
        <v>0</v>
      </c>
      <c r="B655" t="s">
        <v>66</v>
      </c>
      <c r="C655" t="s">
        <v>158</v>
      </c>
      <c r="D655" t="s">
        <v>200</v>
      </c>
      <c r="E655" t="s">
        <v>202</v>
      </c>
      <c r="F655" t="s">
        <v>259</v>
      </c>
      <c r="G655" t="s">
        <v>202</v>
      </c>
      <c r="H655" t="s">
        <v>271</v>
      </c>
      <c r="I655" t="s">
        <v>202</v>
      </c>
      <c r="J655" t="s">
        <v>289</v>
      </c>
      <c r="K655" t="s">
        <v>292</v>
      </c>
      <c r="M655" t="s">
        <v>290</v>
      </c>
      <c r="N655" t="s">
        <v>419</v>
      </c>
      <c r="O655" t="s">
        <v>420</v>
      </c>
      <c r="P655" t="s">
        <v>427</v>
      </c>
      <c r="S655" t="s">
        <v>980</v>
      </c>
      <c r="T655" t="s">
        <v>1658</v>
      </c>
      <c r="U655" t="s">
        <v>259</v>
      </c>
      <c r="W655" t="s">
        <v>1876</v>
      </c>
      <c r="X655" t="s">
        <v>2492</v>
      </c>
      <c r="Y655" t="s">
        <v>3029</v>
      </c>
      <c r="Z655" t="s">
        <v>3099</v>
      </c>
      <c r="AA655" t="s">
        <v>3135</v>
      </c>
      <c r="AB655">
        <v>10029</v>
      </c>
      <c r="AC655" t="s">
        <v>3138</v>
      </c>
      <c r="AD655" t="s">
        <v>3746</v>
      </c>
      <c r="AE655">
        <v>4</v>
      </c>
      <c r="AG655" t="s">
        <v>4032</v>
      </c>
      <c r="AH655" t="s">
        <v>291</v>
      </c>
      <c r="AI655" t="s">
        <v>291</v>
      </c>
      <c r="AK655" t="s">
        <v>4040</v>
      </c>
      <c r="AM655">
        <v>0</v>
      </c>
      <c r="AN655">
        <v>215</v>
      </c>
      <c r="AO655">
        <v>0</v>
      </c>
      <c r="AQ655" t="s">
        <v>4689</v>
      </c>
      <c r="AR655" t="s">
        <v>5556</v>
      </c>
      <c r="AS655">
        <v>0</v>
      </c>
      <c r="AT655" t="s">
        <v>5838</v>
      </c>
      <c r="AU655">
        <v>1</v>
      </c>
      <c r="AV655">
        <v>0</v>
      </c>
      <c r="AW655">
        <v>16.24</v>
      </c>
      <c r="BA655" t="s">
        <v>329</v>
      </c>
      <c r="BB655" t="s">
        <v>1322</v>
      </c>
      <c r="BC655">
        <v>2028</v>
      </c>
      <c r="BG655" t="s">
        <v>5915</v>
      </c>
      <c r="BJ655" t="s">
        <v>6025</v>
      </c>
      <c r="BL655" t="s">
        <v>6056</v>
      </c>
    </row>
    <row r="656" spans="1:64">
      <c r="A656" s="1">
        <f>HYPERLINK("https://lsnyc.legalserver.org/matter/dynamic-profile/view/1910237","19-1910237")</f>
        <v>0</v>
      </c>
      <c r="B656" t="s">
        <v>66</v>
      </c>
      <c r="C656" t="s">
        <v>158</v>
      </c>
      <c r="D656" t="s">
        <v>200</v>
      </c>
      <c r="E656" t="s">
        <v>201</v>
      </c>
      <c r="G656" t="s">
        <v>202</v>
      </c>
      <c r="H656" t="s">
        <v>271</v>
      </c>
      <c r="I656" t="s">
        <v>202</v>
      </c>
      <c r="J656" t="s">
        <v>289</v>
      </c>
      <c r="K656" t="s">
        <v>292</v>
      </c>
      <c r="M656" t="s">
        <v>290</v>
      </c>
      <c r="N656" t="s">
        <v>419</v>
      </c>
      <c r="O656" t="s">
        <v>420</v>
      </c>
      <c r="P656" t="s">
        <v>427</v>
      </c>
      <c r="S656" t="s">
        <v>843</v>
      </c>
      <c r="T656" t="s">
        <v>1659</v>
      </c>
      <c r="U656" t="s">
        <v>259</v>
      </c>
      <c r="W656" t="s">
        <v>1876</v>
      </c>
      <c r="X656" t="s">
        <v>2493</v>
      </c>
      <c r="Y656" t="s">
        <v>2798</v>
      </c>
      <c r="Z656" t="s">
        <v>3099</v>
      </c>
      <c r="AA656" t="s">
        <v>3135</v>
      </c>
      <c r="AB656">
        <v>10029</v>
      </c>
      <c r="AC656" t="s">
        <v>3139</v>
      </c>
      <c r="AD656" t="s">
        <v>3747</v>
      </c>
      <c r="AE656">
        <v>0</v>
      </c>
      <c r="AG656" t="s">
        <v>4032</v>
      </c>
      <c r="AH656" t="s">
        <v>291</v>
      </c>
      <c r="AI656" t="s">
        <v>291</v>
      </c>
      <c r="AK656" t="s">
        <v>4041</v>
      </c>
      <c r="AL656" t="s">
        <v>4046</v>
      </c>
      <c r="AM656">
        <v>0</v>
      </c>
      <c r="AN656">
        <v>248.6</v>
      </c>
      <c r="AO656">
        <v>0.5</v>
      </c>
      <c r="AQ656" t="s">
        <v>4690</v>
      </c>
      <c r="AR656" t="s">
        <v>5557</v>
      </c>
      <c r="AS656">
        <v>0</v>
      </c>
      <c r="AT656" t="s">
        <v>5837</v>
      </c>
      <c r="AU656">
        <v>1</v>
      </c>
      <c r="AV656">
        <v>0</v>
      </c>
      <c r="AW656">
        <v>101.04</v>
      </c>
      <c r="BA656" t="s">
        <v>329</v>
      </c>
      <c r="BB656" t="s">
        <v>5859</v>
      </c>
      <c r="BC656">
        <v>12620.52</v>
      </c>
      <c r="BG656" t="s">
        <v>5914</v>
      </c>
      <c r="BJ656" t="s">
        <v>5957</v>
      </c>
      <c r="BK656" t="s">
        <v>259</v>
      </c>
      <c r="BL656" t="s">
        <v>6056</v>
      </c>
    </row>
    <row r="657" spans="1:64">
      <c r="A657" s="1">
        <f>HYPERLINK("https://lsnyc.legalserver.org/matter/dynamic-profile/view/1910216","19-1910216")</f>
        <v>0</v>
      </c>
      <c r="B657" t="s">
        <v>66</v>
      </c>
      <c r="C657" t="s">
        <v>158</v>
      </c>
      <c r="D657" t="s">
        <v>200</v>
      </c>
      <c r="E657" t="s">
        <v>202</v>
      </c>
      <c r="F657" t="s">
        <v>259</v>
      </c>
      <c r="G657" t="s">
        <v>202</v>
      </c>
      <c r="H657" t="s">
        <v>272</v>
      </c>
      <c r="I657" t="s">
        <v>202</v>
      </c>
      <c r="J657" t="s">
        <v>289</v>
      </c>
      <c r="K657" t="s">
        <v>292</v>
      </c>
      <c r="M657" t="s">
        <v>290</v>
      </c>
      <c r="N657" t="s">
        <v>419</v>
      </c>
      <c r="O657" t="s">
        <v>420</v>
      </c>
      <c r="P657" t="s">
        <v>427</v>
      </c>
      <c r="S657" t="s">
        <v>763</v>
      </c>
      <c r="T657" t="s">
        <v>1660</v>
      </c>
      <c r="U657" t="s">
        <v>259</v>
      </c>
      <c r="W657" t="s">
        <v>1876</v>
      </c>
      <c r="X657" t="s">
        <v>2494</v>
      </c>
      <c r="Y657" t="s">
        <v>2926</v>
      </c>
      <c r="Z657" t="s">
        <v>3099</v>
      </c>
      <c r="AA657" t="s">
        <v>3135</v>
      </c>
      <c r="AB657">
        <v>10037</v>
      </c>
      <c r="AC657" t="s">
        <v>3140</v>
      </c>
      <c r="AD657" t="s">
        <v>3748</v>
      </c>
      <c r="AE657">
        <v>9</v>
      </c>
      <c r="AG657" t="s">
        <v>4032</v>
      </c>
      <c r="AH657" t="s">
        <v>291</v>
      </c>
      <c r="AI657" t="s">
        <v>291</v>
      </c>
      <c r="AK657" t="s">
        <v>4040</v>
      </c>
      <c r="AM657">
        <v>0</v>
      </c>
      <c r="AN657">
        <v>723</v>
      </c>
      <c r="AO657">
        <v>0</v>
      </c>
      <c r="AQ657" t="s">
        <v>4691</v>
      </c>
      <c r="AR657" t="s">
        <v>5558</v>
      </c>
      <c r="AS657">
        <v>0</v>
      </c>
      <c r="AT657" t="s">
        <v>5838</v>
      </c>
      <c r="AU657">
        <v>1</v>
      </c>
      <c r="AV657">
        <v>0</v>
      </c>
      <c r="AW657">
        <v>243.11</v>
      </c>
      <c r="BA657" t="s">
        <v>329</v>
      </c>
      <c r="BB657" t="s">
        <v>5859</v>
      </c>
      <c r="BC657">
        <v>30364</v>
      </c>
      <c r="BG657" t="s">
        <v>5914</v>
      </c>
      <c r="BJ657" t="s">
        <v>6033</v>
      </c>
      <c r="BL657" t="s">
        <v>6056</v>
      </c>
    </row>
    <row r="658" spans="1:64">
      <c r="A658" s="1">
        <f>HYPERLINK("https://lsnyc.legalserver.org/matter/dynamic-profile/view/1910184","19-1910184")</f>
        <v>0</v>
      </c>
      <c r="B658" t="s">
        <v>66</v>
      </c>
      <c r="C658" t="s">
        <v>158</v>
      </c>
      <c r="D658" t="s">
        <v>200</v>
      </c>
      <c r="E658" t="s">
        <v>201</v>
      </c>
      <c r="G658" t="s">
        <v>202</v>
      </c>
      <c r="H658" t="s">
        <v>272</v>
      </c>
      <c r="I658" t="s">
        <v>202</v>
      </c>
      <c r="J658" t="s">
        <v>289</v>
      </c>
      <c r="K658" t="s">
        <v>202</v>
      </c>
      <c r="L658" t="s">
        <v>378</v>
      </c>
      <c r="M658" t="s">
        <v>290</v>
      </c>
      <c r="N658" t="s">
        <v>419</v>
      </c>
      <c r="O658" t="s">
        <v>420</v>
      </c>
      <c r="P658" t="s">
        <v>427</v>
      </c>
      <c r="S658" t="s">
        <v>761</v>
      </c>
      <c r="T658" t="s">
        <v>1661</v>
      </c>
      <c r="U658" t="s">
        <v>259</v>
      </c>
      <c r="W658" t="s">
        <v>1876</v>
      </c>
      <c r="X658" t="s">
        <v>2495</v>
      </c>
      <c r="Y658" t="s">
        <v>2917</v>
      </c>
      <c r="Z658" t="s">
        <v>3099</v>
      </c>
      <c r="AA658" t="s">
        <v>3135</v>
      </c>
      <c r="AB658">
        <v>10034</v>
      </c>
      <c r="AC658" t="s">
        <v>3136</v>
      </c>
      <c r="AD658" t="s">
        <v>3749</v>
      </c>
      <c r="AE658">
        <v>20</v>
      </c>
      <c r="AG658" t="s">
        <v>4032</v>
      </c>
      <c r="AH658" t="s">
        <v>291</v>
      </c>
      <c r="AI658" t="s">
        <v>291</v>
      </c>
      <c r="AK658" t="s">
        <v>4040</v>
      </c>
      <c r="AM658">
        <v>0</v>
      </c>
      <c r="AN658">
        <v>976.48</v>
      </c>
      <c r="AO658">
        <v>0.75</v>
      </c>
      <c r="AQ658" t="s">
        <v>4692</v>
      </c>
      <c r="AR658" t="s">
        <v>5559</v>
      </c>
      <c r="AS658">
        <v>0</v>
      </c>
      <c r="AU658">
        <v>1</v>
      </c>
      <c r="AV658">
        <v>2</v>
      </c>
      <c r="AW658">
        <v>55.2</v>
      </c>
      <c r="BA658" t="s">
        <v>3143</v>
      </c>
      <c r="BB658" t="s">
        <v>1322</v>
      </c>
      <c r="BC658">
        <v>11774</v>
      </c>
      <c r="BG658" t="s">
        <v>5914</v>
      </c>
      <c r="BJ658" t="s">
        <v>6034</v>
      </c>
      <c r="BK658" t="s">
        <v>259</v>
      </c>
      <c r="BL658" t="s">
        <v>6057</v>
      </c>
    </row>
    <row r="659" spans="1:64">
      <c r="A659" s="1">
        <f>HYPERLINK("https://lsnyc.legalserver.org/matter/dynamic-profile/view/1906324","19-1906324")</f>
        <v>0</v>
      </c>
      <c r="B659" t="s">
        <v>66</v>
      </c>
      <c r="C659" t="s">
        <v>158</v>
      </c>
      <c r="D659" t="s">
        <v>200</v>
      </c>
      <c r="E659" t="s">
        <v>201</v>
      </c>
      <c r="G659" t="s">
        <v>202</v>
      </c>
      <c r="H659" t="s">
        <v>272</v>
      </c>
      <c r="I659" t="s">
        <v>288</v>
      </c>
      <c r="J659" t="s">
        <v>290</v>
      </c>
      <c r="K659" t="s">
        <v>292</v>
      </c>
      <c r="M659" t="s">
        <v>290</v>
      </c>
      <c r="N659" t="s">
        <v>202</v>
      </c>
      <c r="O659" t="s">
        <v>421</v>
      </c>
      <c r="P659" t="s">
        <v>427</v>
      </c>
      <c r="S659" t="s">
        <v>489</v>
      </c>
      <c r="T659" t="s">
        <v>1662</v>
      </c>
      <c r="U659" t="s">
        <v>249</v>
      </c>
      <c r="W659" t="s">
        <v>1876</v>
      </c>
      <c r="X659" t="s">
        <v>2496</v>
      </c>
      <c r="Y659" t="s">
        <v>2830</v>
      </c>
      <c r="Z659" t="s">
        <v>3099</v>
      </c>
      <c r="AA659" t="s">
        <v>3135</v>
      </c>
      <c r="AB659">
        <v>10027</v>
      </c>
      <c r="AC659" t="s">
        <v>3139</v>
      </c>
      <c r="AD659" t="s">
        <v>3750</v>
      </c>
      <c r="AE659">
        <v>0</v>
      </c>
      <c r="AG659" t="s">
        <v>4032</v>
      </c>
      <c r="AH659" t="s">
        <v>291</v>
      </c>
      <c r="AI659" t="s">
        <v>291</v>
      </c>
      <c r="AK659" t="s">
        <v>4041</v>
      </c>
      <c r="AM659">
        <v>0</v>
      </c>
      <c r="AN659">
        <v>728.4</v>
      </c>
      <c r="AO659">
        <v>4.5</v>
      </c>
      <c r="AQ659" t="s">
        <v>4693</v>
      </c>
      <c r="AR659" t="s">
        <v>5560</v>
      </c>
      <c r="AS659">
        <v>0</v>
      </c>
      <c r="AU659">
        <v>1</v>
      </c>
      <c r="AV659">
        <v>2</v>
      </c>
      <c r="AW659">
        <v>84.39</v>
      </c>
      <c r="BB659" t="s">
        <v>1322</v>
      </c>
      <c r="BC659">
        <v>18000</v>
      </c>
      <c r="BG659" t="s">
        <v>5916</v>
      </c>
      <c r="BJ659" t="s">
        <v>5959</v>
      </c>
      <c r="BK659" t="s">
        <v>230</v>
      </c>
    </row>
    <row r="660" spans="1:64">
      <c r="A660" s="1">
        <f>HYPERLINK("https://lsnyc.legalserver.org/matter/dynamic-profile/view/1904619","19-1904619")</f>
        <v>0</v>
      </c>
      <c r="B660" t="s">
        <v>66</v>
      </c>
      <c r="C660" t="s">
        <v>158</v>
      </c>
      <c r="D660" t="s">
        <v>200</v>
      </c>
      <c r="E660" t="s">
        <v>202</v>
      </c>
      <c r="F660" t="s">
        <v>246</v>
      </c>
      <c r="G660" t="s">
        <v>202</v>
      </c>
      <c r="H660" t="s">
        <v>271</v>
      </c>
      <c r="I660" t="s">
        <v>202</v>
      </c>
      <c r="J660" t="s">
        <v>289</v>
      </c>
      <c r="K660" t="s">
        <v>292</v>
      </c>
      <c r="M660" t="s">
        <v>290</v>
      </c>
      <c r="N660" t="s">
        <v>202</v>
      </c>
      <c r="O660" t="s">
        <v>422</v>
      </c>
      <c r="P660" t="s">
        <v>428</v>
      </c>
      <c r="S660" t="s">
        <v>678</v>
      </c>
      <c r="T660" t="s">
        <v>1663</v>
      </c>
      <c r="U660" t="s">
        <v>246</v>
      </c>
      <c r="V660" t="s">
        <v>235</v>
      </c>
      <c r="W660" t="s">
        <v>1877</v>
      </c>
      <c r="X660" t="s">
        <v>2497</v>
      </c>
      <c r="Y660" t="s">
        <v>3030</v>
      </c>
      <c r="Z660" t="s">
        <v>3099</v>
      </c>
      <c r="AA660" t="s">
        <v>3135</v>
      </c>
      <c r="AB660">
        <v>10029</v>
      </c>
      <c r="AC660" t="s">
        <v>3136</v>
      </c>
      <c r="AD660" t="s">
        <v>3751</v>
      </c>
      <c r="AE660">
        <v>2</v>
      </c>
      <c r="AF660" t="s">
        <v>4023</v>
      </c>
      <c r="AG660" t="s">
        <v>4032</v>
      </c>
      <c r="AH660" t="s">
        <v>291</v>
      </c>
      <c r="AI660" t="s">
        <v>291</v>
      </c>
      <c r="AK660" t="s">
        <v>4041</v>
      </c>
      <c r="AL660" t="s">
        <v>4046</v>
      </c>
      <c r="AM660">
        <v>0</v>
      </c>
      <c r="AN660">
        <v>268</v>
      </c>
      <c r="AO660">
        <v>1</v>
      </c>
      <c r="AP660" t="s">
        <v>4052</v>
      </c>
      <c r="AQ660" t="s">
        <v>4694</v>
      </c>
      <c r="AR660" t="s">
        <v>5561</v>
      </c>
      <c r="AS660">
        <v>595</v>
      </c>
      <c r="AT660" t="s">
        <v>5841</v>
      </c>
      <c r="AU660">
        <v>1</v>
      </c>
      <c r="AV660">
        <v>0</v>
      </c>
      <c r="AW660">
        <v>160.54</v>
      </c>
      <c r="BA660" t="s">
        <v>329</v>
      </c>
      <c r="BB660" t="s">
        <v>1322</v>
      </c>
      <c r="BC660">
        <v>20052</v>
      </c>
      <c r="BG660" t="s">
        <v>5913</v>
      </c>
      <c r="BJ660" t="s">
        <v>5950</v>
      </c>
      <c r="BK660" t="s">
        <v>250</v>
      </c>
      <c r="BL660" t="s">
        <v>6056</v>
      </c>
    </row>
    <row r="661" spans="1:64">
      <c r="A661" s="1">
        <f>HYPERLINK("https://lsnyc.legalserver.org/matter/dynamic-profile/view/1910166","19-1910166")</f>
        <v>0</v>
      </c>
      <c r="B661" t="s">
        <v>66</v>
      </c>
      <c r="C661" t="s">
        <v>158</v>
      </c>
      <c r="D661" t="s">
        <v>200</v>
      </c>
      <c r="E661" t="s">
        <v>202</v>
      </c>
      <c r="F661" t="s">
        <v>259</v>
      </c>
      <c r="G661" t="s">
        <v>202</v>
      </c>
      <c r="H661" t="s">
        <v>272</v>
      </c>
      <c r="I661" t="s">
        <v>202</v>
      </c>
      <c r="J661" t="s">
        <v>289</v>
      </c>
      <c r="K661" t="s">
        <v>292</v>
      </c>
      <c r="M661" t="s">
        <v>290</v>
      </c>
      <c r="N661" t="s">
        <v>419</v>
      </c>
      <c r="O661" t="s">
        <v>420</v>
      </c>
      <c r="P661" t="s">
        <v>427</v>
      </c>
      <c r="S661" t="s">
        <v>981</v>
      </c>
      <c r="T661" t="s">
        <v>1664</v>
      </c>
      <c r="U661" t="s">
        <v>259</v>
      </c>
      <c r="W661" t="s">
        <v>1876</v>
      </c>
      <c r="X661" t="s">
        <v>2498</v>
      </c>
      <c r="Y661" t="s">
        <v>2824</v>
      </c>
      <c r="Z661" t="s">
        <v>3099</v>
      </c>
      <c r="AA661" t="s">
        <v>3135</v>
      </c>
      <c r="AB661">
        <v>10039</v>
      </c>
      <c r="AC661" t="s">
        <v>3136</v>
      </c>
      <c r="AD661" t="s">
        <v>3752</v>
      </c>
      <c r="AE661">
        <v>18</v>
      </c>
      <c r="AG661" t="s">
        <v>4032</v>
      </c>
      <c r="AH661" t="s">
        <v>291</v>
      </c>
      <c r="AI661" t="s">
        <v>291</v>
      </c>
      <c r="AK661" t="s">
        <v>4040</v>
      </c>
      <c r="AM661">
        <v>0</v>
      </c>
      <c r="AN661">
        <v>1096</v>
      </c>
      <c r="AO661">
        <v>0.75</v>
      </c>
      <c r="AQ661" t="s">
        <v>4695</v>
      </c>
      <c r="AR661" t="s">
        <v>5562</v>
      </c>
      <c r="AS661">
        <v>0</v>
      </c>
      <c r="AT661" t="s">
        <v>5838</v>
      </c>
      <c r="AU661">
        <v>2</v>
      </c>
      <c r="AV661">
        <v>0</v>
      </c>
      <c r="AW661">
        <v>88.7</v>
      </c>
      <c r="BA661" t="s">
        <v>5851</v>
      </c>
      <c r="BB661" t="s">
        <v>5859</v>
      </c>
      <c r="BC661">
        <v>15000</v>
      </c>
      <c r="BG661" t="s">
        <v>5915</v>
      </c>
      <c r="BJ661" t="s">
        <v>6004</v>
      </c>
      <c r="BK661" t="s">
        <v>259</v>
      </c>
      <c r="BL661" t="s">
        <v>6056</v>
      </c>
    </row>
    <row r="662" spans="1:64">
      <c r="A662" s="1">
        <f>HYPERLINK("https://lsnyc.legalserver.org/matter/dynamic-profile/view/1904168","19-1904168")</f>
        <v>0</v>
      </c>
      <c r="B662" t="s">
        <v>66</v>
      </c>
      <c r="C662" t="s">
        <v>158</v>
      </c>
      <c r="D662" t="s">
        <v>200</v>
      </c>
      <c r="E662" t="s">
        <v>201</v>
      </c>
      <c r="G662" t="s">
        <v>202</v>
      </c>
      <c r="H662" t="s">
        <v>271</v>
      </c>
      <c r="I662" t="s">
        <v>288</v>
      </c>
      <c r="J662" t="s">
        <v>290</v>
      </c>
      <c r="K662" t="s">
        <v>292</v>
      </c>
      <c r="M662" t="s">
        <v>290</v>
      </c>
      <c r="N662" t="s">
        <v>202</v>
      </c>
      <c r="O662" t="s">
        <v>422</v>
      </c>
      <c r="P662" t="s">
        <v>427</v>
      </c>
      <c r="S662" t="s">
        <v>982</v>
      </c>
      <c r="T662" t="s">
        <v>1242</v>
      </c>
      <c r="U662" t="s">
        <v>227</v>
      </c>
      <c r="W662" t="s">
        <v>1876</v>
      </c>
      <c r="X662" t="s">
        <v>2499</v>
      </c>
      <c r="Y662" t="s">
        <v>2928</v>
      </c>
      <c r="Z662" t="s">
        <v>3099</v>
      </c>
      <c r="AA662" t="s">
        <v>3135</v>
      </c>
      <c r="AB662">
        <v>10031</v>
      </c>
      <c r="AD662" t="s">
        <v>3753</v>
      </c>
      <c r="AE662">
        <v>1</v>
      </c>
      <c r="AG662" t="s">
        <v>4033</v>
      </c>
      <c r="AH662" t="s">
        <v>291</v>
      </c>
      <c r="AI662" t="s">
        <v>291</v>
      </c>
      <c r="AK662" t="s">
        <v>4040</v>
      </c>
      <c r="AL662" t="s">
        <v>4046</v>
      </c>
      <c r="AM662">
        <v>0</v>
      </c>
      <c r="AN662">
        <v>500</v>
      </c>
      <c r="AO662">
        <v>1.25</v>
      </c>
      <c r="AQ662" t="s">
        <v>4696</v>
      </c>
      <c r="AR662" t="s">
        <v>5563</v>
      </c>
      <c r="AS662">
        <v>0</v>
      </c>
      <c r="AU662">
        <v>2</v>
      </c>
      <c r="AV662">
        <v>1</v>
      </c>
      <c r="AW662">
        <v>170.65</v>
      </c>
      <c r="BB662" t="s">
        <v>1322</v>
      </c>
      <c r="BC662">
        <v>36400</v>
      </c>
      <c r="BG662" t="s">
        <v>5919</v>
      </c>
      <c r="BJ662" t="s">
        <v>5949</v>
      </c>
      <c r="BK662" t="s">
        <v>252</v>
      </c>
    </row>
    <row r="663" spans="1:64">
      <c r="A663" s="1">
        <f>HYPERLINK("https://lsnyc.legalserver.org/matter/dynamic-profile/view/1909388","19-1909388")</f>
        <v>0</v>
      </c>
      <c r="B663" t="s">
        <v>66</v>
      </c>
      <c r="C663" t="s">
        <v>161</v>
      </c>
      <c r="D663" t="s">
        <v>200</v>
      </c>
      <c r="E663" t="s">
        <v>201</v>
      </c>
      <c r="G663" t="s">
        <v>202</v>
      </c>
      <c r="H663" t="s">
        <v>272</v>
      </c>
      <c r="I663" t="s">
        <v>202</v>
      </c>
      <c r="J663" t="s">
        <v>289</v>
      </c>
      <c r="K663" t="s">
        <v>292</v>
      </c>
      <c r="M663" t="s">
        <v>290</v>
      </c>
      <c r="N663" t="s">
        <v>202</v>
      </c>
      <c r="O663" t="s">
        <v>422</v>
      </c>
      <c r="P663" t="s">
        <v>428</v>
      </c>
      <c r="S663" t="s">
        <v>466</v>
      </c>
      <c r="T663" t="s">
        <v>1665</v>
      </c>
      <c r="U663" t="s">
        <v>234</v>
      </c>
      <c r="V663" t="s">
        <v>264</v>
      </c>
      <c r="W663" t="s">
        <v>1877</v>
      </c>
      <c r="X663" t="s">
        <v>2500</v>
      </c>
      <c r="Y663" t="s">
        <v>2922</v>
      </c>
      <c r="Z663" t="s">
        <v>3099</v>
      </c>
      <c r="AA663" t="s">
        <v>3135</v>
      </c>
      <c r="AB663">
        <v>10031</v>
      </c>
      <c r="AC663" t="s">
        <v>3139</v>
      </c>
      <c r="AD663" t="s">
        <v>3754</v>
      </c>
      <c r="AE663">
        <v>14</v>
      </c>
      <c r="AF663" t="s">
        <v>4023</v>
      </c>
      <c r="AG663" t="s">
        <v>4033</v>
      </c>
      <c r="AH663" t="s">
        <v>291</v>
      </c>
      <c r="AI663" t="s">
        <v>291</v>
      </c>
      <c r="AK663" t="s">
        <v>4040</v>
      </c>
      <c r="AM663">
        <v>0</v>
      </c>
      <c r="AN663">
        <v>2353.49</v>
      </c>
      <c r="AO663">
        <v>1.5</v>
      </c>
      <c r="AP663" t="s">
        <v>4052</v>
      </c>
      <c r="AQ663" t="s">
        <v>4697</v>
      </c>
      <c r="AR663" t="s">
        <v>5564</v>
      </c>
      <c r="AS663">
        <v>0</v>
      </c>
      <c r="AT663" t="s">
        <v>5836</v>
      </c>
      <c r="AU663">
        <v>5</v>
      </c>
      <c r="AV663">
        <v>2</v>
      </c>
      <c r="AW663">
        <v>266.6</v>
      </c>
      <c r="BA663" t="s">
        <v>329</v>
      </c>
      <c r="BB663" t="s">
        <v>5859</v>
      </c>
      <c r="BC663">
        <v>104000</v>
      </c>
      <c r="BG663" t="s">
        <v>5914</v>
      </c>
      <c r="BJ663" t="s">
        <v>5949</v>
      </c>
      <c r="BK663" t="s">
        <v>234</v>
      </c>
      <c r="BL663" t="s">
        <v>6056</v>
      </c>
    </row>
    <row r="664" spans="1:64">
      <c r="A664" s="1">
        <f>HYPERLINK("https://lsnyc.legalserver.org/matter/dynamic-profile/view/1908386","19-1908386")</f>
        <v>0</v>
      </c>
      <c r="B664" t="s">
        <v>66</v>
      </c>
      <c r="C664" t="s">
        <v>158</v>
      </c>
      <c r="D664" t="s">
        <v>200</v>
      </c>
      <c r="E664" t="s">
        <v>202</v>
      </c>
      <c r="F664" t="s">
        <v>218</v>
      </c>
      <c r="G664" t="s">
        <v>202</v>
      </c>
      <c r="H664" t="s">
        <v>272</v>
      </c>
      <c r="I664" t="s">
        <v>202</v>
      </c>
      <c r="J664" t="s">
        <v>289</v>
      </c>
      <c r="K664" t="s">
        <v>292</v>
      </c>
      <c r="M664" t="s">
        <v>290</v>
      </c>
      <c r="N664" t="s">
        <v>202</v>
      </c>
      <c r="O664" t="s">
        <v>421</v>
      </c>
      <c r="P664" t="s">
        <v>427</v>
      </c>
      <c r="S664" t="s">
        <v>983</v>
      </c>
      <c r="T664" t="s">
        <v>1666</v>
      </c>
      <c r="U664" t="s">
        <v>218</v>
      </c>
      <c r="W664" t="s">
        <v>1876</v>
      </c>
      <c r="X664" t="s">
        <v>2501</v>
      </c>
      <c r="Y664" t="s">
        <v>2806</v>
      </c>
      <c r="Z664" t="s">
        <v>3099</v>
      </c>
      <c r="AA664" t="s">
        <v>3135</v>
      </c>
      <c r="AB664">
        <v>10025</v>
      </c>
      <c r="AC664" t="s">
        <v>3136</v>
      </c>
      <c r="AD664" t="s">
        <v>3755</v>
      </c>
      <c r="AE664">
        <v>50</v>
      </c>
      <c r="AG664" t="s">
        <v>4033</v>
      </c>
      <c r="AH664" t="s">
        <v>291</v>
      </c>
      <c r="AI664" t="s">
        <v>291</v>
      </c>
      <c r="AK664" t="s">
        <v>4040</v>
      </c>
      <c r="AM664">
        <v>0</v>
      </c>
      <c r="AN664">
        <v>1300</v>
      </c>
      <c r="AO664">
        <v>4</v>
      </c>
      <c r="AQ664" t="s">
        <v>4698</v>
      </c>
      <c r="AR664" t="s">
        <v>5565</v>
      </c>
      <c r="AS664">
        <v>0</v>
      </c>
      <c r="AT664" t="s">
        <v>5846</v>
      </c>
      <c r="AU664">
        <v>5</v>
      </c>
      <c r="AV664">
        <v>1</v>
      </c>
      <c r="AW664">
        <v>41.63</v>
      </c>
      <c r="BA664" t="s">
        <v>329</v>
      </c>
      <c r="BB664" t="s">
        <v>1322</v>
      </c>
      <c r="BC664">
        <v>14400</v>
      </c>
      <c r="BG664" t="s">
        <v>5915</v>
      </c>
      <c r="BJ664" t="s">
        <v>6010</v>
      </c>
      <c r="BK664" t="s">
        <v>206</v>
      </c>
      <c r="BL664" t="s">
        <v>6056</v>
      </c>
    </row>
    <row r="665" spans="1:64">
      <c r="A665" s="1">
        <f>HYPERLINK("https://lsnyc.legalserver.org/matter/dynamic-profile/view/1909381","19-1909381")</f>
        <v>0</v>
      </c>
      <c r="B665" t="s">
        <v>66</v>
      </c>
      <c r="C665" t="s">
        <v>161</v>
      </c>
      <c r="D665" t="s">
        <v>200</v>
      </c>
      <c r="E665" t="s">
        <v>202</v>
      </c>
      <c r="F665" t="s">
        <v>234</v>
      </c>
      <c r="G665" t="s">
        <v>202</v>
      </c>
      <c r="H665" t="s">
        <v>272</v>
      </c>
      <c r="I665" t="s">
        <v>202</v>
      </c>
      <c r="J665" t="s">
        <v>289</v>
      </c>
      <c r="K665" t="s">
        <v>292</v>
      </c>
      <c r="M665" t="s">
        <v>290</v>
      </c>
      <c r="N665" t="s">
        <v>202</v>
      </c>
      <c r="O665" t="s">
        <v>421</v>
      </c>
      <c r="P665" t="s">
        <v>427</v>
      </c>
      <c r="S665" t="s">
        <v>984</v>
      </c>
      <c r="T665" t="s">
        <v>1248</v>
      </c>
      <c r="U665" t="s">
        <v>234</v>
      </c>
      <c r="W665" t="s">
        <v>1876</v>
      </c>
      <c r="X665" t="s">
        <v>2502</v>
      </c>
      <c r="Y665" t="s">
        <v>2824</v>
      </c>
      <c r="Z665" t="s">
        <v>3099</v>
      </c>
      <c r="AA665" t="s">
        <v>3135</v>
      </c>
      <c r="AB665">
        <v>10031</v>
      </c>
      <c r="AC665" t="s">
        <v>3139</v>
      </c>
      <c r="AD665" t="s">
        <v>3756</v>
      </c>
      <c r="AE665">
        <v>-1</v>
      </c>
      <c r="AG665" t="s">
        <v>4033</v>
      </c>
      <c r="AH665" t="s">
        <v>291</v>
      </c>
      <c r="AI665" t="s">
        <v>291</v>
      </c>
      <c r="AK665" t="s">
        <v>4040</v>
      </c>
      <c r="AL665" t="s">
        <v>4046</v>
      </c>
      <c r="AM665">
        <v>0</v>
      </c>
      <c r="AN665">
        <v>779</v>
      </c>
      <c r="AO665">
        <v>2</v>
      </c>
      <c r="AQ665" t="s">
        <v>4699</v>
      </c>
      <c r="AR665" t="s">
        <v>5566</v>
      </c>
      <c r="AS665">
        <v>0</v>
      </c>
      <c r="AT665" t="s">
        <v>5838</v>
      </c>
      <c r="AU665">
        <v>1</v>
      </c>
      <c r="AV665">
        <v>1</v>
      </c>
      <c r="AW665">
        <v>106.09</v>
      </c>
      <c r="BA665" t="s">
        <v>5850</v>
      </c>
      <c r="BB665" t="s">
        <v>1322</v>
      </c>
      <c r="BC665">
        <v>17940</v>
      </c>
      <c r="BG665" t="s">
        <v>5914</v>
      </c>
      <c r="BJ665" t="s">
        <v>5951</v>
      </c>
      <c r="BK665" t="s">
        <v>234</v>
      </c>
      <c r="BL665" t="s">
        <v>6056</v>
      </c>
    </row>
    <row r="666" spans="1:64">
      <c r="A666" s="1">
        <f>HYPERLINK("https://lsnyc.legalserver.org/matter/dynamic-profile/view/1907814","19-1907814")</f>
        <v>0</v>
      </c>
      <c r="B666" t="s">
        <v>66</v>
      </c>
      <c r="C666" t="s">
        <v>163</v>
      </c>
      <c r="D666" t="s">
        <v>200</v>
      </c>
      <c r="E666" t="s">
        <v>202</v>
      </c>
      <c r="F666" t="s">
        <v>223</v>
      </c>
      <c r="G666" t="s">
        <v>202</v>
      </c>
      <c r="H666" t="s">
        <v>271</v>
      </c>
      <c r="I666" t="s">
        <v>202</v>
      </c>
      <c r="J666" t="s">
        <v>289</v>
      </c>
      <c r="K666" t="s">
        <v>292</v>
      </c>
      <c r="M666" t="s">
        <v>290</v>
      </c>
      <c r="N666" t="s">
        <v>202</v>
      </c>
      <c r="O666" t="s">
        <v>421</v>
      </c>
      <c r="P666" t="s">
        <v>427</v>
      </c>
      <c r="S666" t="s">
        <v>985</v>
      </c>
      <c r="T666" t="s">
        <v>1667</v>
      </c>
      <c r="U666" t="s">
        <v>223</v>
      </c>
      <c r="W666" t="s">
        <v>1876</v>
      </c>
      <c r="X666" t="s">
        <v>2503</v>
      </c>
      <c r="Y666" t="s">
        <v>3031</v>
      </c>
      <c r="Z666" t="s">
        <v>3099</v>
      </c>
      <c r="AA666" t="s">
        <v>3135</v>
      </c>
      <c r="AB666">
        <v>10027</v>
      </c>
      <c r="AC666" t="s">
        <v>3139</v>
      </c>
      <c r="AD666" t="s">
        <v>3757</v>
      </c>
      <c r="AE666">
        <v>2</v>
      </c>
      <c r="AG666" t="s">
        <v>4033</v>
      </c>
      <c r="AH666" t="s">
        <v>291</v>
      </c>
      <c r="AI666" t="s">
        <v>291</v>
      </c>
      <c r="AK666" t="s">
        <v>4040</v>
      </c>
      <c r="AL666" t="s">
        <v>4046</v>
      </c>
      <c r="AM666">
        <v>0</v>
      </c>
      <c r="AN666">
        <v>400</v>
      </c>
      <c r="AO666">
        <v>1</v>
      </c>
      <c r="AQ666" t="s">
        <v>4700</v>
      </c>
      <c r="AR666" t="s">
        <v>5567</v>
      </c>
      <c r="AS666">
        <v>0</v>
      </c>
      <c r="AT666" t="s">
        <v>5838</v>
      </c>
      <c r="AU666">
        <v>1</v>
      </c>
      <c r="AV666">
        <v>0</v>
      </c>
      <c r="AW666">
        <v>74.56</v>
      </c>
      <c r="BA666" t="s">
        <v>329</v>
      </c>
      <c r="BB666" t="s">
        <v>1322</v>
      </c>
      <c r="BC666">
        <v>9312</v>
      </c>
      <c r="BG666" t="s">
        <v>5914</v>
      </c>
      <c r="BJ666" t="s">
        <v>5976</v>
      </c>
      <c r="BK666" t="s">
        <v>223</v>
      </c>
      <c r="BL666" t="s">
        <v>6056</v>
      </c>
    </row>
    <row r="667" spans="1:64">
      <c r="A667" s="1">
        <f>HYPERLINK("https://lsnyc.legalserver.org/matter/dynamic-profile/view/1909928","19-1909928")</f>
        <v>0</v>
      </c>
      <c r="B667" t="s">
        <v>66</v>
      </c>
      <c r="C667" t="s">
        <v>161</v>
      </c>
      <c r="D667" t="s">
        <v>200</v>
      </c>
      <c r="E667" t="s">
        <v>202</v>
      </c>
      <c r="F667" t="s">
        <v>243</v>
      </c>
      <c r="G667" t="s">
        <v>202</v>
      </c>
      <c r="H667" t="s">
        <v>272</v>
      </c>
      <c r="I667" t="s">
        <v>202</v>
      </c>
      <c r="J667" t="s">
        <v>289</v>
      </c>
      <c r="K667" t="s">
        <v>292</v>
      </c>
      <c r="M667" t="s">
        <v>290</v>
      </c>
      <c r="N667" t="s">
        <v>202</v>
      </c>
      <c r="O667" t="s">
        <v>421</v>
      </c>
      <c r="P667" t="s">
        <v>427</v>
      </c>
      <c r="S667" t="s">
        <v>986</v>
      </c>
      <c r="T667" t="s">
        <v>1668</v>
      </c>
      <c r="U667" t="s">
        <v>243</v>
      </c>
      <c r="W667" t="s">
        <v>1876</v>
      </c>
      <c r="X667" t="s">
        <v>2504</v>
      </c>
      <c r="Z667" t="s">
        <v>3099</v>
      </c>
      <c r="AA667" t="s">
        <v>3135</v>
      </c>
      <c r="AB667">
        <v>10031</v>
      </c>
      <c r="AC667" t="s">
        <v>3139</v>
      </c>
      <c r="AD667" t="s">
        <v>3758</v>
      </c>
      <c r="AE667">
        <v>3</v>
      </c>
      <c r="AG667" t="s">
        <v>4033</v>
      </c>
      <c r="AH667" t="s">
        <v>291</v>
      </c>
      <c r="AI667" t="s">
        <v>291</v>
      </c>
      <c r="AK667" t="s">
        <v>4040</v>
      </c>
      <c r="AL667" t="s">
        <v>4046</v>
      </c>
      <c r="AM667">
        <v>0</v>
      </c>
      <c r="AN667">
        <v>1200</v>
      </c>
      <c r="AO667">
        <v>0</v>
      </c>
      <c r="AQ667" t="s">
        <v>4701</v>
      </c>
      <c r="AR667" t="s">
        <v>5568</v>
      </c>
      <c r="AS667">
        <v>15</v>
      </c>
      <c r="AT667" t="s">
        <v>5838</v>
      </c>
      <c r="AU667">
        <v>1</v>
      </c>
      <c r="AV667">
        <v>2</v>
      </c>
      <c r="AW667">
        <v>85.33</v>
      </c>
      <c r="BA667" t="s">
        <v>5858</v>
      </c>
      <c r="BB667" t="s">
        <v>1322</v>
      </c>
      <c r="BC667">
        <v>18200</v>
      </c>
      <c r="BG667" t="s">
        <v>5914</v>
      </c>
      <c r="BJ667" t="s">
        <v>5949</v>
      </c>
      <c r="BL667" t="s">
        <v>6056</v>
      </c>
    </row>
    <row r="668" spans="1:64">
      <c r="A668" s="1">
        <f>HYPERLINK("https://lsnyc.legalserver.org/matter/dynamic-profile/view/1904643","19-1904643")</f>
        <v>0</v>
      </c>
      <c r="B668" t="s">
        <v>66</v>
      </c>
      <c r="C668" t="s">
        <v>163</v>
      </c>
      <c r="D668" t="s">
        <v>200</v>
      </c>
      <c r="E668" t="s">
        <v>202</v>
      </c>
      <c r="F668" t="s">
        <v>246</v>
      </c>
      <c r="G668" t="s">
        <v>202</v>
      </c>
      <c r="H668" t="s">
        <v>271</v>
      </c>
      <c r="I668" t="s">
        <v>202</v>
      </c>
      <c r="J668" t="s">
        <v>289</v>
      </c>
      <c r="K668" t="s">
        <v>292</v>
      </c>
      <c r="M668" t="s">
        <v>290</v>
      </c>
      <c r="N668" t="s">
        <v>202</v>
      </c>
      <c r="O668" t="s">
        <v>421</v>
      </c>
      <c r="P668" t="s">
        <v>427</v>
      </c>
      <c r="S668" t="s">
        <v>469</v>
      </c>
      <c r="T668" t="s">
        <v>1669</v>
      </c>
      <c r="U668" t="s">
        <v>246</v>
      </c>
      <c r="W668" t="s">
        <v>1876</v>
      </c>
      <c r="X668" t="s">
        <v>2505</v>
      </c>
      <c r="Y668" t="s">
        <v>2839</v>
      </c>
      <c r="Z668" t="s">
        <v>3099</v>
      </c>
      <c r="AA668" t="s">
        <v>3135</v>
      </c>
      <c r="AB668">
        <v>10029</v>
      </c>
      <c r="AC668" t="s">
        <v>3145</v>
      </c>
      <c r="AD668" t="s">
        <v>3759</v>
      </c>
      <c r="AE668">
        <v>3</v>
      </c>
      <c r="AG668" t="s">
        <v>4032</v>
      </c>
      <c r="AH668" t="s">
        <v>291</v>
      </c>
      <c r="AI668" t="s">
        <v>291</v>
      </c>
      <c r="AK668" t="s">
        <v>4041</v>
      </c>
      <c r="AL668" t="s">
        <v>4046</v>
      </c>
      <c r="AM668">
        <v>0</v>
      </c>
      <c r="AN668">
        <v>368</v>
      </c>
      <c r="AO668">
        <v>5.6</v>
      </c>
      <c r="AQ668" t="s">
        <v>4702</v>
      </c>
      <c r="AR668" t="s">
        <v>5569</v>
      </c>
      <c r="AS668">
        <v>81</v>
      </c>
      <c r="AT668" t="s">
        <v>5841</v>
      </c>
      <c r="AU668">
        <v>1</v>
      </c>
      <c r="AV668">
        <v>3</v>
      </c>
      <c r="AW668">
        <v>71.39</v>
      </c>
      <c r="BA668" t="s">
        <v>329</v>
      </c>
      <c r="BB668" t="s">
        <v>1322</v>
      </c>
      <c r="BC668">
        <v>18384</v>
      </c>
      <c r="BG668" t="s">
        <v>5913</v>
      </c>
      <c r="BJ668" t="s">
        <v>5942</v>
      </c>
      <c r="BK668" t="s">
        <v>239</v>
      </c>
      <c r="BL668" t="s">
        <v>6056</v>
      </c>
    </row>
    <row r="669" spans="1:64">
      <c r="A669" s="1">
        <f>HYPERLINK("https://lsnyc.legalserver.org/matter/dynamic-profile/view/1907062","19-1907062")</f>
        <v>0</v>
      </c>
      <c r="B669" t="s">
        <v>66</v>
      </c>
      <c r="C669" t="s">
        <v>164</v>
      </c>
      <c r="D669" t="s">
        <v>200</v>
      </c>
      <c r="E669" t="s">
        <v>202</v>
      </c>
      <c r="F669" t="s">
        <v>226</v>
      </c>
      <c r="G669" t="s">
        <v>202</v>
      </c>
      <c r="H669" t="s">
        <v>271</v>
      </c>
      <c r="I669" t="s">
        <v>202</v>
      </c>
      <c r="J669" t="s">
        <v>289</v>
      </c>
      <c r="K669" t="s">
        <v>292</v>
      </c>
      <c r="M669" t="s">
        <v>290</v>
      </c>
      <c r="N669" t="s">
        <v>419</v>
      </c>
      <c r="O669" t="s">
        <v>420</v>
      </c>
      <c r="P669" t="s">
        <v>427</v>
      </c>
      <c r="S669" t="s">
        <v>987</v>
      </c>
      <c r="T669" t="s">
        <v>1262</v>
      </c>
      <c r="U669" t="s">
        <v>226</v>
      </c>
      <c r="W669" t="s">
        <v>1876</v>
      </c>
      <c r="X669" t="s">
        <v>2506</v>
      </c>
      <c r="Y669">
        <v>1024</v>
      </c>
      <c r="Z669" t="s">
        <v>3099</v>
      </c>
      <c r="AA669" t="s">
        <v>3135</v>
      </c>
      <c r="AB669">
        <v>10001</v>
      </c>
      <c r="AC669" t="s">
        <v>3138</v>
      </c>
      <c r="AD669" t="s">
        <v>3760</v>
      </c>
      <c r="AE669">
        <v>1</v>
      </c>
      <c r="AG669" t="s">
        <v>4032</v>
      </c>
      <c r="AH669" t="s">
        <v>291</v>
      </c>
      <c r="AI669" t="s">
        <v>291</v>
      </c>
      <c r="AK669" t="s">
        <v>4040</v>
      </c>
      <c r="AM669">
        <v>0</v>
      </c>
      <c r="AN669">
        <v>1200</v>
      </c>
      <c r="AO669">
        <v>0</v>
      </c>
      <c r="AQ669" t="s">
        <v>4703</v>
      </c>
      <c r="AR669" t="s">
        <v>5570</v>
      </c>
      <c r="AS669">
        <v>0</v>
      </c>
      <c r="AT669" t="s">
        <v>5836</v>
      </c>
      <c r="AU669">
        <v>1</v>
      </c>
      <c r="AV669">
        <v>0</v>
      </c>
      <c r="AW669">
        <v>280.22</v>
      </c>
      <c r="BA669" t="s">
        <v>329</v>
      </c>
      <c r="BB669" t="s">
        <v>1322</v>
      </c>
      <c r="BC669">
        <v>35000</v>
      </c>
      <c r="BG669" t="s">
        <v>5913</v>
      </c>
      <c r="BJ669" t="s">
        <v>5949</v>
      </c>
      <c r="BL669" t="s">
        <v>6056</v>
      </c>
    </row>
    <row r="670" spans="1:64">
      <c r="A670" s="1">
        <f>HYPERLINK("https://lsnyc.legalserver.org/matter/dynamic-profile/view/1904925","19-1904925")</f>
        <v>0</v>
      </c>
      <c r="B670" t="s">
        <v>66</v>
      </c>
      <c r="C670" t="s">
        <v>164</v>
      </c>
      <c r="D670" t="s">
        <v>200</v>
      </c>
      <c r="E670" t="s">
        <v>201</v>
      </c>
      <c r="G670" t="s">
        <v>202</v>
      </c>
      <c r="H670" t="s">
        <v>272</v>
      </c>
      <c r="I670" t="s">
        <v>202</v>
      </c>
      <c r="J670" t="s">
        <v>289</v>
      </c>
      <c r="K670" t="s">
        <v>292</v>
      </c>
      <c r="M670" t="s">
        <v>290</v>
      </c>
      <c r="N670" t="s">
        <v>202</v>
      </c>
      <c r="O670" t="s">
        <v>421</v>
      </c>
      <c r="P670" t="s">
        <v>427</v>
      </c>
      <c r="S670" t="s">
        <v>988</v>
      </c>
      <c r="T670" t="s">
        <v>1670</v>
      </c>
      <c r="U670" t="s">
        <v>245</v>
      </c>
      <c r="W670" t="s">
        <v>1876</v>
      </c>
      <c r="X670" t="s">
        <v>2507</v>
      </c>
      <c r="Y670" t="s">
        <v>2933</v>
      </c>
      <c r="Z670" t="s">
        <v>3099</v>
      </c>
      <c r="AA670" t="s">
        <v>3135</v>
      </c>
      <c r="AB670">
        <v>10027</v>
      </c>
      <c r="AC670" t="s">
        <v>3139</v>
      </c>
      <c r="AD670" t="s">
        <v>3761</v>
      </c>
      <c r="AE670">
        <v>30</v>
      </c>
      <c r="AG670" t="s">
        <v>4033</v>
      </c>
      <c r="AH670" t="s">
        <v>291</v>
      </c>
      <c r="AI670" t="s">
        <v>291</v>
      </c>
      <c r="AK670" t="s">
        <v>4041</v>
      </c>
      <c r="AM670">
        <v>0</v>
      </c>
      <c r="AN670">
        <v>448</v>
      </c>
      <c r="AO670">
        <v>0.4</v>
      </c>
      <c r="AQ670" t="s">
        <v>4704</v>
      </c>
      <c r="AR670" t="s">
        <v>5571</v>
      </c>
      <c r="AS670">
        <v>0</v>
      </c>
      <c r="AT670" t="s">
        <v>5837</v>
      </c>
      <c r="AU670">
        <v>1</v>
      </c>
      <c r="AV670">
        <v>0</v>
      </c>
      <c r="AW670">
        <v>187.35</v>
      </c>
      <c r="BC670">
        <v>23400</v>
      </c>
      <c r="BG670" t="s">
        <v>5920</v>
      </c>
      <c r="BJ670" t="s">
        <v>5949</v>
      </c>
      <c r="BK670" t="s">
        <v>209</v>
      </c>
      <c r="BL670" t="s">
        <v>6056</v>
      </c>
    </row>
    <row r="671" spans="1:64">
      <c r="A671" s="1">
        <f>HYPERLINK("https://lsnyc.legalserver.org/matter/dynamic-profile/view/1908858","19-1908858")</f>
        <v>0</v>
      </c>
      <c r="B671" t="s">
        <v>66</v>
      </c>
      <c r="C671" t="s">
        <v>164</v>
      </c>
      <c r="D671" t="s">
        <v>200</v>
      </c>
      <c r="E671" t="s">
        <v>202</v>
      </c>
      <c r="F671" t="s">
        <v>219</v>
      </c>
      <c r="G671" t="s">
        <v>202</v>
      </c>
      <c r="H671" t="s">
        <v>272</v>
      </c>
      <c r="I671" t="s">
        <v>202</v>
      </c>
      <c r="J671" t="s">
        <v>289</v>
      </c>
      <c r="K671" t="s">
        <v>292</v>
      </c>
      <c r="M671" t="s">
        <v>290</v>
      </c>
      <c r="N671" t="s">
        <v>202</v>
      </c>
      <c r="O671" t="s">
        <v>422</v>
      </c>
      <c r="P671" t="s">
        <v>428</v>
      </c>
      <c r="S671" t="s">
        <v>989</v>
      </c>
      <c r="T671" t="s">
        <v>1208</v>
      </c>
      <c r="U671" t="s">
        <v>219</v>
      </c>
      <c r="V671" t="s">
        <v>222</v>
      </c>
      <c r="W671" t="s">
        <v>1877</v>
      </c>
      <c r="X671" t="s">
        <v>2508</v>
      </c>
      <c r="Y671" t="s">
        <v>2928</v>
      </c>
      <c r="Z671" t="s">
        <v>3099</v>
      </c>
      <c r="AA671" t="s">
        <v>3135</v>
      </c>
      <c r="AB671">
        <v>10031</v>
      </c>
      <c r="AC671" t="s">
        <v>3139</v>
      </c>
      <c r="AD671" t="s">
        <v>3762</v>
      </c>
      <c r="AE671">
        <v>38</v>
      </c>
      <c r="AF671" t="s">
        <v>4023</v>
      </c>
      <c r="AG671" t="s">
        <v>4032</v>
      </c>
      <c r="AH671" t="s">
        <v>291</v>
      </c>
      <c r="AI671" t="s">
        <v>291</v>
      </c>
      <c r="AK671" t="s">
        <v>4040</v>
      </c>
      <c r="AL671" t="s">
        <v>4046</v>
      </c>
      <c r="AM671">
        <v>0</v>
      </c>
      <c r="AN671">
        <v>624</v>
      </c>
      <c r="AO671">
        <v>0.5</v>
      </c>
      <c r="AP671" t="s">
        <v>4052</v>
      </c>
      <c r="AQ671" t="s">
        <v>4705</v>
      </c>
      <c r="AR671" t="s">
        <v>5572</v>
      </c>
      <c r="AS671">
        <v>0</v>
      </c>
      <c r="AT671" t="s">
        <v>5836</v>
      </c>
      <c r="AU671">
        <v>2</v>
      </c>
      <c r="AV671">
        <v>0</v>
      </c>
      <c r="AW671">
        <v>260.2</v>
      </c>
      <c r="BA671" t="s">
        <v>329</v>
      </c>
      <c r="BB671" t="s">
        <v>5859</v>
      </c>
      <c r="BC671">
        <v>44000</v>
      </c>
      <c r="BG671" t="s">
        <v>5915</v>
      </c>
      <c r="BJ671" t="s">
        <v>5949</v>
      </c>
      <c r="BK671" t="s">
        <v>219</v>
      </c>
      <c r="BL671" t="s">
        <v>6056</v>
      </c>
    </row>
    <row r="672" spans="1:64">
      <c r="A672" s="1">
        <f>HYPERLINK("https://lsnyc.legalserver.org/matter/dynamic-profile/view/1909029","19-1909029")</f>
        <v>0</v>
      </c>
      <c r="B672" t="s">
        <v>66</v>
      </c>
      <c r="C672" t="s">
        <v>149</v>
      </c>
      <c r="D672" t="s">
        <v>200</v>
      </c>
      <c r="E672" t="s">
        <v>202</v>
      </c>
      <c r="F672" t="s">
        <v>256</v>
      </c>
      <c r="G672" t="s">
        <v>202</v>
      </c>
      <c r="H672" t="s">
        <v>271</v>
      </c>
      <c r="I672" t="s">
        <v>202</v>
      </c>
      <c r="J672" t="s">
        <v>289</v>
      </c>
      <c r="K672" t="s">
        <v>202</v>
      </c>
      <c r="L672" t="s">
        <v>379</v>
      </c>
      <c r="M672" t="s">
        <v>290</v>
      </c>
      <c r="N672" t="s">
        <v>419</v>
      </c>
      <c r="O672" t="s">
        <v>420</v>
      </c>
      <c r="P672" t="s">
        <v>427</v>
      </c>
      <c r="S672" t="s">
        <v>990</v>
      </c>
      <c r="T672" t="s">
        <v>1671</v>
      </c>
      <c r="U672" t="s">
        <v>256</v>
      </c>
      <c r="W672" t="s">
        <v>1876</v>
      </c>
      <c r="X672" t="s">
        <v>2509</v>
      </c>
      <c r="Y672" t="s">
        <v>3032</v>
      </c>
      <c r="Z672" t="s">
        <v>3098</v>
      </c>
      <c r="AA672" t="s">
        <v>3135</v>
      </c>
      <c r="AB672">
        <v>10463</v>
      </c>
      <c r="AC672" t="s">
        <v>3136</v>
      </c>
      <c r="AD672" t="s">
        <v>3763</v>
      </c>
      <c r="AE672">
        <v>25</v>
      </c>
      <c r="AG672" t="s">
        <v>4032</v>
      </c>
      <c r="AH672" t="s">
        <v>291</v>
      </c>
      <c r="AI672" t="s">
        <v>291</v>
      </c>
      <c r="AK672" t="s">
        <v>4040</v>
      </c>
      <c r="AM672">
        <v>0</v>
      </c>
      <c r="AN672">
        <v>1054</v>
      </c>
      <c r="AO672">
        <v>0</v>
      </c>
      <c r="AQ672" t="s">
        <v>4706</v>
      </c>
      <c r="AR672" t="s">
        <v>5573</v>
      </c>
      <c r="AS672">
        <v>0</v>
      </c>
      <c r="AT672" t="s">
        <v>5838</v>
      </c>
      <c r="AU672">
        <v>1</v>
      </c>
      <c r="AV672">
        <v>0</v>
      </c>
      <c r="AW672">
        <v>110.49</v>
      </c>
      <c r="BA672" t="s">
        <v>329</v>
      </c>
      <c r="BB672" t="s">
        <v>1322</v>
      </c>
      <c r="BC672">
        <v>13800</v>
      </c>
      <c r="BG672" t="s">
        <v>5915</v>
      </c>
      <c r="BJ672" t="s">
        <v>5943</v>
      </c>
      <c r="BL672" t="s">
        <v>6057</v>
      </c>
    </row>
    <row r="673" spans="1:64">
      <c r="A673" s="1">
        <f>HYPERLINK("https://lsnyc.legalserver.org/matter/dynamic-profile/view/1903986","19-1903986")</f>
        <v>0</v>
      </c>
      <c r="B673" t="s">
        <v>66</v>
      </c>
      <c r="C673" t="s">
        <v>164</v>
      </c>
      <c r="D673" t="s">
        <v>200</v>
      </c>
      <c r="E673" t="s">
        <v>202</v>
      </c>
      <c r="F673" t="s">
        <v>255</v>
      </c>
      <c r="G673" t="s">
        <v>202</v>
      </c>
      <c r="H673" t="s">
        <v>272</v>
      </c>
      <c r="I673" t="s">
        <v>202</v>
      </c>
      <c r="J673" t="s">
        <v>289</v>
      </c>
      <c r="K673" t="s">
        <v>292</v>
      </c>
      <c r="M673" t="s">
        <v>290</v>
      </c>
      <c r="N673" t="s">
        <v>202</v>
      </c>
      <c r="O673" t="s">
        <v>421</v>
      </c>
      <c r="P673" t="s">
        <v>427</v>
      </c>
      <c r="S673" t="s">
        <v>787</v>
      </c>
      <c r="T673" t="s">
        <v>1672</v>
      </c>
      <c r="U673" t="s">
        <v>255</v>
      </c>
      <c r="W673" t="s">
        <v>1876</v>
      </c>
      <c r="X673" t="s">
        <v>2510</v>
      </c>
      <c r="Y673" t="s">
        <v>2828</v>
      </c>
      <c r="Z673" t="s">
        <v>3099</v>
      </c>
      <c r="AA673" t="s">
        <v>3135</v>
      </c>
      <c r="AB673">
        <v>10026</v>
      </c>
      <c r="AC673" t="s">
        <v>3139</v>
      </c>
      <c r="AD673" t="s">
        <v>3764</v>
      </c>
      <c r="AE673">
        <v>25</v>
      </c>
      <c r="AG673" t="s">
        <v>4033</v>
      </c>
      <c r="AH673" t="s">
        <v>291</v>
      </c>
      <c r="AI673" t="s">
        <v>291</v>
      </c>
      <c r="AK673" t="s">
        <v>4041</v>
      </c>
      <c r="AL673" t="s">
        <v>4046</v>
      </c>
      <c r="AM673">
        <v>0</v>
      </c>
      <c r="AN673">
        <v>387</v>
      </c>
      <c r="AO673">
        <v>3.4</v>
      </c>
      <c r="AQ673" t="s">
        <v>4707</v>
      </c>
      <c r="AR673" t="s">
        <v>5574</v>
      </c>
      <c r="AS673">
        <v>10</v>
      </c>
      <c r="AT673" t="s">
        <v>5840</v>
      </c>
      <c r="AU673">
        <v>1</v>
      </c>
      <c r="AV673">
        <v>0</v>
      </c>
      <c r="AW673">
        <v>160.13</v>
      </c>
      <c r="BA673" t="s">
        <v>329</v>
      </c>
      <c r="BB673" t="s">
        <v>1322</v>
      </c>
      <c r="BC673">
        <v>20000</v>
      </c>
      <c r="BG673" t="s">
        <v>5914</v>
      </c>
      <c r="BJ673" t="s">
        <v>5949</v>
      </c>
      <c r="BK673" t="s">
        <v>264</v>
      </c>
      <c r="BL673" t="s">
        <v>6056</v>
      </c>
    </row>
    <row r="674" spans="1:64">
      <c r="A674" s="1">
        <f>HYPERLINK("https://lsnyc.legalserver.org/matter/dynamic-profile/view/1908787","19-1908787")</f>
        <v>0</v>
      </c>
      <c r="B674" t="s">
        <v>66</v>
      </c>
      <c r="C674" t="s">
        <v>164</v>
      </c>
      <c r="D674" t="s">
        <v>200</v>
      </c>
      <c r="E674" t="s">
        <v>201</v>
      </c>
      <c r="G674" t="s">
        <v>202</v>
      </c>
      <c r="H674" t="s">
        <v>272</v>
      </c>
      <c r="I674" t="s">
        <v>202</v>
      </c>
      <c r="J674" t="s">
        <v>289</v>
      </c>
      <c r="K674" t="s">
        <v>202</v>
      </c>
      <c r="L674" t="s">
        <v>380</v>
      </c>
      <c r="M674" t="s">
        <v>290</v>
      </c>
      <c r="N674" t="s">
        <v>202</v>
      </c>
      <c r="O674" t="s">
        <v>421</v>
      </c>
      <c r="P674" t="s">
        <v>427</v>
      </c>
      <c r="S674" t="s">
        <v>481</v>
      </c>
      <c r="T674" t="s">
        <v>1673</v>
      </c>
      <c r="U674" t="s">
        <v>219</v>
      </c>
      <c r="W674" t="s">
        <v>1876</v>
      </c>
      <c r="X674" t="s">
        <v>2511</v>
      </c>
      <c r="Y674" t="s">
        <v>2816</v>
      </c>
      <c r="Z674" t="s">
        <v>3099</v>
      </c>
      <c r="AA674" t="s">
        <v>3135</v>
      </c>
      <c r="AB674">
        <v>10026</v>
      </c>
      <c r="AC674" t="s">
        <v>3136</v>
      </c>
      <c r="AD674" t="s">
        <v>3765</v>
      </c>
      <c r="AE674">
        <v>-1</v>
      </c>
      <c r="AG674" t="s">
        <v>4033</v>
      </c>
      <c r="AH674" t="s">
        <v>291</v>
      </c>
      <c r="AI674" t="s">
        <v>291</v>
      </c>
      <c r="AK674" t="s">
        <v>4040</v>
      </c>
      <c r="AL674" t="s">
        <v>4046</v>
      </c>
      <c r="AM674">
        <v>0</v>
      </c>
      <c r="AN674">
        <v>1559</v>
      </c>
      <c r="AO674">
        <v>3.2</v>
      </c>
      <c r="AQ674" t="s">
        <v>4708</v>
      </c>
      <c r="AR674" t="s">
        <v>5575</v>
      </c>
      <c r="AS674">
        <v>0</v>
      </c>
      <c r="AT674" t="s">
        <v>5839</v>
      </c>
      <c r="AU674">
        <v>1</v>
      </c>
      <c r="AV674">
        <v>0</v>
      </c>
      <c r="AW674">
        <v>39.14</v>
      </c>
      <c r="BA674" t="s">
        <v>5857</v>
      </c>
      <c r="BB674" t="s">
        <v>1322</v>
      </c>
      <c r="BC674">
        <v>4888</v>
      </c>
      <c r="BG674" t="s">
        <v>5914</v>
      </c>
      <c r="BJ674" t="s">
        <v>6025</v>
      </c>
      <c r="BK674" t="s">
        <v>230</v>
      </c>
      <c r="BL674" t="s">
        <v>6057</v>
      </c>
    </row>
    <row r="675" spans="1:64">
      <c r="A675" s="1">
        <f>HYPERLINK("https://lsnyc.legalserver.org/matter/dynamic-profile/view/1908821","19-1908821")</f>
        <v>0</v>
      </c>
      <c r="B675" t="s">
        <v>66</v>
      </c>
      <c r="C675" t="s">
        <v>164</v>
      </c>
      <c r="D675" t="s">
        <v>200</v>
      </c>
      <c r="E675" t="s">
        <v>202</v>
      </c>
      <c r="F675" t="s">
        <v>219</v>
      </c>
      <c r="G675" t="s">
        <v>202</v>
      </c>
      <c r="H675" t="s">
        <v>271</v>
      </c>
      <c r="I675" t="s">
        <v>202</v>
      </c>
      <c r="J675" t="s">
        <v>289</v>
      </c>
      <c r="K675" t="s">
        <v>292</v>
      </c>
      <c r="M675" t="s">
        <v>290</v>
      </c>
      <c r="N675" t="s">
        <v>202</v>
      </c>
      <c r="O675" t="s">
        <v>421</v>
      </c>
      <c r="P675" t="s">
        <v>427</v>
      </c>
      <c r="S675" t="s">
        <v>778</v>
      </c>
      <c r="T675" t="s">
        <v>1674</v>
      </c>
      <c r="U675" t="s">
        <v>219</v>
      </c>
      <c r="W675" t="s">
        <v>1876</v>
      </c>
      <c r="X675" t="s">
        <v>2512</v>
      </c>
      <c r="Y675" t="s">
        <v>3033</v>
      </c>
      <c r="Z675" t="s">
        <v>3099</v>
      </c>
      <c r="AA675" t="s">
        <v>3135</v>
      </c>
      <c r="AB675">
        <v>10031</v>
      </c>
      <c r="AC675" t="s">
        <v>3139</v>
      </c>
      <c r="AD675" t="s">
        <v>3766</v>
      </c>
      <c r="AE675">
        <v>2</v>
      </c>
      <c r="AG675" t="s">
        <v>4033</v>
      </c>
      <c r="AH675" t="s">
        <v>291</v>
      </c>
      <c r="AI675" t="s">
        <v>291</v>
      </c>
      <c r="AK675" t="s">
        <v>4040</v>
      </c>
      <c r="AM675">
        <v>0</v>
      </c>
      <c r="AN675">
        <v>1192</v>
      </c>
      <c r="AO675">
        <v>0.2</v>
      </c>
      <c r="AQ675" t="s">
        <v>4709</v>
      </c>
      <c r="AR675" t="s">
        <v>5576</v>
      </c>
      <c r="AS675">
        <v>0</v>
      </c>
      <c r="AT675" t="s">
        <v>5834</v>
      </c>
      <c r="AU675">
        <v>2</v>
      </c>
      <c r="AV675">
        <v>1</v>
      </c>
      <c r="AW675">
        <v>10</v>
      </c>
      <c r="BA675" t="s">
        <v>329</v>
      </c>
      <c r="BB675" t="s">
        <v>1322</v>
      </c>
      <c r="BC675">
        <v>2132</v>
      </c>
      <c r="BG675" t="s">
        <v>5915</v>
      </c>
      <c r="BJ675" t="s">
        <v>6025</v>
      </c>
      <c r="BK675" t="s">
        <v>222</v>
      </c>
      <c r="BL675" t="s">
        <v>6056</v>
      </c>
    </row>
    <row r="676" spans="1:64">
      <c r="A676" s="1">
        <f>HYPERLINK("https://lsnyc.legalserver.org/matter/dynamic-profile/view/1904912","19-1904912")</f>
        <v>0</v>
      </c>
      <c r="B676" t="s">
        <v>66</v>
      </c>
      <c r="C676" t="s">
        <v>163</v>
      </c>
      <c r="D676" t="s">
        <v>200</v>
      </c>
      <c r="E676" t="s">
        <v>202</v>
      </c>
      <c r="F676" t="s">
        <v>245</v>
      </c>
      <c r="G676" t="s">
        <v>202</v>
      </c>
      <c r="H676" t="s">
        <v>272</v>
      </c>
      <c r="I676" t="s">
        <v>202</v>
      </c>
      <c r="J676" t="s">
        <v>289</v>
      </c>
      <c r="K676" t="s">
        <v>292</v>
      </c>
      <c r="M676" t="s">
        <v>290</v>
      </c>
      <c r="N676" t="s">
        <v>202</v>
      </c>
      <c r="O676" t="s">
        <v>421</v>
      </c>
      <c r="P676" t="s">
        <v>427</v>
      </c>
      <c r="S676" t="s">
        <v>991</v>
      </c>
      <c r="T676" t="s">
        <v>1371</v>
      </c>
      <c r="U676" t="s">
        <v>245</v>
      </c>
      <c r="W676" t="s">
        <v>1876</v>
      </c>
      <c r="X676" t="s">
        <v>2513</v>
      </c>
      <c r="Y676" t="s">
        <v>3034</v>
      </c>
      <c r="Z676" t="s">
        <v>3099</v>
      </c>
      <c r="AA676" t="s">
        <v>3135</v>
      </c>
      <c r="AB676">
        <v>10026</v>
      </c>
      <c r="AC676" t="s">
        <v>3140</v>
      </c>
      <c r="AD676" t="s">
        <v>3767</v>
      </c>
      <c r="AE676">
        <v>27</v>
      </c>
      <c r="AG676" t="s">
        <v>4033</v>
      </c>
      <c r="AH676" t="s">
        <v>291</v>
      </c>
      <c r="AI676" t="s">
        <v>291</v>
      </c>
      <c r="AK676" t="s">
        <v>4040</v>
      </c>
      <c r="AM676">
        <v>0</v>
      </c>
      <c r="AN676">
        <v>783</v>
      </c>
      <c r="AO676">
        <v>6</v>
      </c>
      <c r="AQ676" t="s">
        <v>4710</v>
      </c>
      <c r="AR676" t="s">
        <v>5577</v>
      </c>
      <c r="AS676">
        <v>42</v>
      </c>
      <c r="AT676" t="s">
        <v>5839</v>
      </c>
      <c r="AU676">
        <v>2</v>
      </c>
      <c r="AV676">
        <v>1</v>
      </c>
      <c r="AW676">
        <v>0</v>
      </c>
      <c r="BA676" t="s">
        <v>5852</v>
      </c>
      <c r="BB676" t="s">
        <v>5859</v>
      </c>
      <c r="BC676">
        <v>0</v>
      </c>
      <c r="BG676" t="s">
        <v>5915</v>
      </c>
      <c r="BJ676" t="s">
        <v>5945</v>
      </c>
      <c r="BK676" t="s">
        <v>237</v>
      </c>
      <c r="BL676" t="s">
        <v>6056</v>
      </c>
    </row>
    <row r="677" spans="1:64">
      <c r="A677" s="1">
        <f>HYPERLINK("https://lsnyc.legalserver.org/matter/dynamic-profile/view/1904482","19-1904482")</f>
        <v>0</v>
      </c>
      <c r="B677" t="s">
        <v>66</v>
      </c>
      <c r="C677" t="s">
        <v>165</v>
      </c>
      <c r="D677" t="s">
        <v>200</v>
      </c>
      <c r="E677" t="s">
        <v>201</v>
      </c>
      <c r="G677" t="s">
        <v>202</v>
      </c>
      <c r="H677" t="s">
        <v>273</v>
      </c>
      <c r="I677" t="s">
        <v>288</v>
      </c>
      <c r="J677" t="s">
        <v>290</v>
      </c>
      <c r="K677" t="s">
        <v>292</v>
      </c>
      <c r="M677" t="s">
        <v>290</v>
      </c>
      <c r="N677" t="s">
        <v>419</v>
      </c>
      <c r="O677" t="s">
        <v>420</v>
      </c>
      <c r="P677" t="s">
        <v>427</v>
      </c>
      <c r="S677" t="s">
        <v>992</v>
      </c>
      <c r="T677" t="s">
        <v>1675</v>
      </c>
      <c r="U677" t="s">
        <v>205</v>
      </c>
      <c r="W677" t="s">
        <v>1876</v>
      </c>
      <c r="X677" t="s">
        <v>2514</v>
      </c>
      <c r="Y677" t="s">
        <v>2815</v>
      </c>
      <c r="Z677" t="s">
        <v>3099</v>
      </c>
      <c r="AA677" t="s">
        <v>3135</v>
      </c>
      <c r="AB677">
        <v>10002</v>
      </c>
      <c r="AC677" t="s">
        <v>3138</v>
      </c>
      <c r="AE677">
        <v>51</v>
      </c>
      <c r="AG677" t="s">
        <v>4032</v>
      </c>
      <c r="AH677" t="s">
        <v>291</v>
      </c>
      <c r="AI677" t="s">
        <v>291</v>
      </c>
      <c r="AK677" t="s">
        <v>4041</v>
      </c>
      <c r="AM677">
        <v>0</v>
      </c>
      <c r="AN677">
        <v>197.3</v>
      </c>
      <c r="AO677">
        <v>1.75</v>
      </c>
      <c r="AQ677" t="s">
        <v>4711</v>
      </c>
      <c r="AR677" t="s">
        <v>5578</v>
      </c>
      <c r="AS677">
        <v>2391</v>
      </c>
      <c r="AU677">
        <v>1</v>
      </c>
      <c r="AV677">
        <v>0</v>
      </c>
      <c r="AW677">
        <v>74.08</v>
      </c>
      <c r="BB677" t="s">
        <v>5859</v>
      </c>
      <c r="BC677">
        <v>9252</v>
      </c>
      <c r="BG677" t="s">
        <v>5921</v>
      </c>
      <c r="BJ677" t="s">
        <v>6035</v>
      </c>
      <c r="BK677" t="s">
        <v>220</v>
      </c>
    </row>
    <row r="678" spans="1:64">
      <c r="A678" s="1">
        <f>HYPERLINK("https://lsnyc.legalserver.org/matter/dynamic-profile/view/1905015","19-1905015")</f>
        <v>0</v>
      </c>
      <c r="B678" t="s">
        <v>66</v>
      </c>
      <c r="C678" t="s">
        <v>163</v>
      </c>
      <c r="D678" t="s">
        <v>200</v>
      </c>
      <c r="E678" t="s">
        <v>201</v>
      </c>
      <c r="G678" t="s">
        <v>202</v>
      </c>
      <c r="H678" t="s">
        <v>272</v>
      </c>
      <c r="I678" t="s">
        <v>288</v>
      </c>
      <c r="J678" t="s">
        <v>290</v>
      </c>
      <c r="K678" t="s">
        <v>292</v>
      </c>
      <c r="M678" t="s">
        <v>290</v>
      </c>
      <c r="N678" t="s">
        <v>419</v>
      </c>
      <c r="P678" t="s">
        <v>427</v>
      </c>
      <c r="S678" t="s">
        <v>993</v>
      </c>
      <c r="T678" t="s">
        <v>1676</v>
      </c>
      <c r="U678" t="s">
        <v>245</v>
      </c>
      <c r="W678" t="s">
        <v>1876</v>
      </c>
      <c r="X678" t="s">
        <v>2515</v>
      </c>
      <c r="Y678" t="s">
        <v>3035</v>
      </c>
      <c r="Z678" t="s">
        <v>3099</v>
      </c>
      <c r="AA678" t="s">
        <v>3135</v>
      </c>
      <c r="AB678">
        <v>10027</v>
      </c>
      <c r="AD678" t="s">
        <v>3768</v>
      </c>
      <c r="AE678">
        <v>0</v>
      </c>
      <c r="AG678" t="s">
        <v>4033</v>
      </c>
      <c r="AH678" t="s">
        <v>291</v>
      </c>
      <c r="AK678" t="s">
        <v>4041</v>
      </c>
      <c r="AM678">
        <v>0</v>
      </c>
      <c r="AN678">
        <v>0</v>
      </c>
      <c r="AO678">
        <v>2.9</v>
      </c>
      <c r="AQ678" t="s">
        <v>4712</v>
      </c>
      <c r="AR678" t="s">
        <v>5579</v>
      </c>
      <c r="AS678">
        <v>0</v>
      </c>
      <c r="AU678">
        <v>1</v>
      </c>
      <c r="AV678">
        <v>0</v>
      </c>
      <c r="AW678">
        <v>0</v>
      </c>
      <c r="BB678" t="s">
        <v>1322</v>
      </c>
      <c r="BC678">
        <v>0</v>
      </c>
      <c r="BG678" t="s">
        <v>5917</v>
      </c>
      <c r="BJ678" t="s">
        <v>5945</v>
      </c>
      <c r="BK678" t="s">
        <v>223</v>
      </c>
    </row>
    <row r="679" spans="1:64">
      <c r="A679" s="1">
        <f>HYPERLINK("https://lsnyc.legalserver.org/matter/dynamic-profile/view/1907237","19-1907237")</f>
        <v>0</v>
      </c>
      <c r="B679" t="s">
        <v>66</v>
      </c>
      <c r="C679" t="s">
        <v>166</v>
      </c>
      <c r="D679" t="s">
        <v>200</v>
      </c>
      <c r="E679" t="s">
        <v>201</v>
      </c>
      <c r="G679" t="s">
        <v>202</v>
      </c>
      <c r="H679" t="s">
        <v>272</v>
      </c>
      <c r="I679" t="s">
        <v>202</v>
      </c>
      <c r="J679" t="s">
        <v>289</v>
      </c>
      <c r="K679" t="s">
        <v>292</v>
      </c>
      <c r="M679" t="s">
        <v>290</v>
      </c>
      <c r="N679" t="s">
        <v>419</v>
      </c>
      <c r="O679" t="s">
        <v>420</v>
      </c>
      <c r="P679" t="s">
        <v>427</v>
      </c>
      <c r="S679" t="s">
        <v>994</v>
      </c>
      <c r="T679" t="s">
        <v>1677</v>
      </c>
      <c r="U679" t="s">
        <v>235</v>
      </c>
      <c r="W679" t="s">
        <v>1876</v>
      </c>
      <c r="X679" t="s">
        <v>2516</v>
      </c>
      <c r="Y679" t="s">
        <v>3036</v>
      </c>
      <c r="Z679" t="s">
        <v>3099</v>
      </c>
      <c r="AA679" t="s">
        <v>3135</v>
      </c>
      <c r="AB679">
        <v>10027</v>
      </c>
      <c r="AC679" t="s">
        <v>3145</v>
      </c>
      <c r="AD679" t="s">
        <v>3769</v>
      </c>
      <c r="AE679">
        <v>12</v>
      </c>
      <c r="AG679" t="s">
        <v>4032</v>
      </c>
      <c r="AH679" t="s">
        <v>291</v>
      </c>
      <c r="AI679" t="s">
        <v>291</v>
      </c>
      <c r="AK679" t="s">
        <v>4041</v>
      </c>
      <c r="AM679">
        <v>0</v>
      </c>
      <c r="AN679">
        <v>1270</v>
      </c>
      <c r="AO679">
        <v>3.25</v>
      </c>
      <c r="AQ679" t="s">
        <v>4713</v>
      </c>
      <c r="AR679" t="s">
        <v>5580</v>
      </c>
      <c r="AS679">
        <v>0</v>
      </c>
      <c r="AT679" t="s">
        <v>5837</v>
      </c>
      <c r="AU679">
        <v>1</v>
      </c>
      <c r="AV679">
        <v>1</v>
      </c>
      <c r="AW679">
        <v>289.77</v>
      </c>
      <c r="BA679" t="s">
        <v>329</v>
      </c>
      <c r="BB679" t="s">
        <v>1322</v>
      </c>
      <c r="BC679">
        <v>49000</v>
      </c>
      <c r="BG679" t="s">
        <v>5915</v>
      </c>
      <c r="BJ679" t="s">
        <v>5949</v>
      </c>
      <c r="BK679" t="s">
        <v>237</v>
      </c>
      <c r="BL679" t="s">
        <v>6056</v>
      </c>
    </row>
    <row r="680" spans="1:64">
      <c r="A680" s="1">
        <f>HYPERLINK("https://lsnyc.legalserver.org/matter/dynamic-profile/view/1907050","19-1907050")</f>
        <v>0</v>
      </c>
      <c r="B680" t="s">
        <v>66</v>
      </c>
      <c r="C680" t="s">
        <v>164</v>
      </c>
      <c r="D680" t="s">
        <v>200</v>
      </c>
      <c r="E680" t="s">
        <v>202</v>
      </c>
      <c r="F680" t="s">
        <v>226</v>
      </c>
      <c r="G680" t="s">
        <v>202</v>
      </c>
      <c r="H680" t="s">
        <v>272</v>
      </c>
      <c r="I680" t="s">
        <v>202</v>
      </c>
      <c r="J680" t="s">
        <v>289</v>
      </c>
      <c r="K680" t="s">
        <v>202</v>
      </c>
      <c r="L680" t="s">
        <v>381</v>
      </c>
      <c r="M680" t="s">
        <v>290</v>
      </c>
      <c r="N680" t="s">
        <v>419</v>
      </c>
      <c r="O680" t="s">
        <v>420</v>
      </c>
      <c r="P680" t="s">
        <v>427</v>
      </c>
      <c r="S680" t="s">
        <v>995</v>
      </c>
      <c r="T680" t="s">
        <v>1678</v>
      </c>
      <c r="U680" t="s">
        <v>226</v>
      </c>
      <c r="W680" t="s">
        <v>1876</v>
      </c>
      <c r="X680" t="s">
        <v>2517</v>
      </c>
      <c r="Y680" t="s">
        <v>3017</v>
      </c>
      <c r="Z680" t="s">
        <v>3099</v>
      </c>
      <c r="AA680" t="s">
        <v>3135</v>
      </c>
      <c r="AB680">
        <v>10035</v>
      </c>
      <c r="AC680" t="s">
        <v>3138</v>
      </c>
      <c r="AD680" t="s">
        <v>3770</v>
      </c>
      <c r="AE680">
        <v>20</v>
      </c>
      <c r="AG680" t="s">
        <v>4032</v>
      </c>
      <c r="AH680" t="s">
        <v>291</v>
      </c>
      <c r="AI680" t="s">
        <v>291</v>
      </c>
      <c r="AK680" t="s">
        <v>4040</v>
      </c>
      <c r="AM680">
        <v>0</v>
      </c>
      <c r="AN680">
        <v>3257</v>
      </c>
      <c r="AO680">
        <v>0</v>
      </c>
      <c r="AQ680" t="s">
        <v>4714</v>
      </c>
      <c r="AR680" t="s">
        <v>5581</v>
      </c>
      <c r="AS680">
        <v>0</v>
      </c>
      <c r="AT680" t="s">
        <v>5843</v>
      </c>
      <c r="AU680">
        <v>2</v>
      </c>
      <c r="AV680">
        <v>0</v>
      </c>
      <c r="AW680">
        <v>131.87</v>
      </c>
      <c r="BA680" t="s">
        <v>5850</v>
      </c>
      <c r="BB680" t="s">
        <v>1322</v>
      </c>
      <c r="BC680">
        <v>22300</v>
      </c>
      <c r="BG680" t="s">
        <v>5915</v>
      </c>
      <c r="BJ680" t="s">
        <v>6036</v>
      </c>
      <c r="BL680" t="s">
        <v>6057</v>
      </c>
    </row>
    <row r="681" spans="1:64">
      <c r="A681" s="1">
        <f>HYPERLINK("https://lsnyc.legalserver.org/matter/dynamic-profile/view/1909363","19-1909363")</f>
        <v>0</v>
      </c>
      <c r="B681" t="s">
        <v>66</v>
      </c>
      <c r="C681" t="s">
        <v>155</v>
      </c>
      <c r="D681" t="s">
        <v>200</v>
      </c>
      <c r="E681" t="s">
        <v>201</v>
      </c>
      <c r="G681" t="s">
        <v>202</v>
      </c>
      <c r="H681" t="s">
        <v>272</v>
      </c>
      <c r="I681" t="s">
        <v>288</v>
      </c>
      <c r="J681" t="s">
        <v>290</v>
      </c>
      <c r="K681" t="s">
        <v>292</v>
      </c>
      <c r="M681" t="s">
        <v>290</v>
      </c>
      <c r="N681" t="s">
        <v>202</v>
      </c>
      <c r="O681" t="s">
        <v>421</v>
      </c>
      <c r="P681" t="s">
        <v>427</v>
      </c>
      <c r="S681" t="s">
        <v>485</v>
      </c>
      <c r="T681" t="s">
        <v>1679</v>
      </c>
      <c r="U681" t="s">
        <v>263</v>
      </c>
      <c r="W681" t="s">
        <v>1876</v>
      </c>
      <c r="X681" t="s">
        <v>2518</v>
      </c>
      <c r="Y681">
        <v>38</v>
      </c>
      <c r="Z681" t="s">
        <v>3099</v>
      </c>
      <c r="AA681" t="s">
        <v>3135</v>
      </c>
      <c r="AB681">
        <v>10030</v>
      </c>
      <c r="AC681" t="s">
        <v>3145</v>
      </c>
      <c r="AE681">
        <v>8</v>
      </c>
      <c r="AG681" t="s">
        <v>4032</v>
      </c>
      <c r="AH681" t="s">
        <v>291</v>
      </c>
      <c r="AI681" t="s">
        <v>291</v>
      </c>
      <c r="AK681" t="s">
        <v>4040</v>
      </c>
      <c r="AM681">
        <v>0</v>
      </c>
      <c r="AN681">
        <v>350.77</v>
      </c>
      <c r="AO681">
        <v>1</v>
      </c>
      <c r="AQ681" t="s">
        <v>4715</v>
      </c>
      <c r="AR681" t="s">
        <v>5582</v>
      </c>
      <c r="AS681">
        <v>72</v>
      </c>
      <c r="AT681" t="s">
        <v>5846</v>
      </c>
      <c r="AU681">
        <v>1</v>
      </c>
      <c r="AV681">
        <v>0</v>
      </c>
      <c r="AW681">
        <v>134.51</v>
      </c>
      <c r="BC681">
        <v>16800</v>
      </c>
      <c r="BG681" t="s">
        <v>5897</v>
      </c>
      <c r="BJ681" t="s">
        <v>5944</v>
      </c>
      <c r="BK681" t="s">
        <v>234</v>
      </c>
    </row>
    <row r="682" spans="1:64">
      <c r="A682" s="1">
        <f>HYPERLINK("https://lsnyc.legalserver.org/matter/dynamic-profile/view/1908761","19-1908761")</f>
        <v>0</v>
      </c>
      <c r="B682" t="s">
        <v>66</v>
      </c>
      <c r="C682" t="s">
        <v>164</v>
      </c>
      <c r="D682" t="s">
        <v>200</v>
      </c>
      <c r="E682" t="s">
        <v>201</v>
      </c>
      <c r="G682" t="s">
        <v>202</v>
      </c>
      <c r="H682" t="s">
        <v>272</v>
      </c>
      <c r="I682" t="s">
        <v>202</v>
      </c>
      <c r="J682" t="s">
        <v>289</v>
      </c>
      <c r="K682" t="s">
        <v>292</v>
      </c>
      <c r="M682" t="s">
        <v>290</v>
      </c>
      <c r="N682" t="s">
        <v>419</v>
      </c>
      <c r="O682" t="s">
        <v>420</v>
      </c>
      <c r="P682" t="s">
        <v>427</v>
      </c>
      <c r="S682" t="s">
        <v>996</v>
      </c>
      <c r="T682" t="s">
        <v>1456</v>
      </c>
      <c r="U682" t="s">
        <v>219</v>
      </c>
      <c r="W682" t="s">
        <v>1876</v>
      </c>
      <c r="X682" t="s">
        <v>2519</v>
      </c>
      <c r="Y682">
        <v>42</v>
      </c>
      <c r="Z682" t="s">
        <v>3099</v>
      </c>
      <c r="AA682" t="s">
        <v>3135</v>
      </c>
      <c r="AB682">
        <v>10031</v>
      </c>
      <c r="AC682" t="s">
        <v>3139</v>
      </c>
      <c r="AD682" t="s">
        <v>3771</v>
      </c>
      <c r="AE682">
        <v>2</v>
      </c>
      <c r="AG682" t="s">
        <v>4033</v>
      </c>
      <c r="AH682" t="s">
        <v>291</v>
      </c>
      <c r="AI682" t="s">
        <v>291</v>
      </c>
      <c r="AK682" t="s">
        <v>4040</v>
      </c>
      <c r="AL682" t="s">
        <v>4046</v>
      </c>
      <c r="AM682">
        <v>0</v>
      </c>
      <c r="AN682">
        <v>2900</v>
      </c>
      <c r="AO682">
        <v>1</v>
      </c>
      <c r="AQ682" t="s">
        <v>4716</v>
      </c>
      <c r="AR682" t="s">
        <v>5583</v>
      </c>
      <c r="AS682">
        <v>0</v>
      </c>
      <c r="AT682" t="s">
        <v>5838</v>
      </c>
      <c r="AU682">
        <v>1</v>
      </c>
      <c r="AV682">
        <v>0</v>
      </c>
      <c r="AW682">
        <v>191.51</v>
      </c>
      <c r="BA682" t="s">
        <v>329</v>
      </c>
      <c r="BB682" t="s">
        <v>5859</v>
      </c>
      <c r="BC682">
        <v>23920</v>
      </c>
      <c r="BG682" t="s">
        <v>5914</v>
      </c>
      <c r="BJ682" t="s">
        <v>5949</v>
      </c>
      <c r="BK682" t="s">
        <v>219</v>
      </c>
      <c r="BL682" t="s">
        <v>6056</v>
      </c>
    </row>
    <row r="683" spans="1:64">
      <c r="A683" s="1">
        <f>HYPERLINK("https://lsnyc.legalserver.org/matter/dynamic-profile/view/1906992","19-1906992")</f>
        <v>0</v>
      </c>
      <c r="B683" t="s">
        <v>66</v>
      </c>
      <c r="C683" t="s">
        <v>164</v>
      </c>
      <c r="D683" t="s">
        <v>200</v>
      </c>
      <c r="E683" t="s">
        <v>202</v>
      </c>
      <c r="F683" t="s">
        <v>226</v>
      </c>
      <c r="G683" t="s">
        <v>202</v>
      </c>
      <c r="H683" t="s">
        <v>271</v>
      </c>
      <c r="I683" t="s">
        <v>202</v>
      </c>
      <c r="J683" t="s">
        <v>289</v>
      </c>
      <c r="K683" t="s">
        <v>292</v>
      </c>
      <c r="M683" t="s">
        <v>290</v>
      </c>
      <c r="N683" t="s">
        <v>419</v>
      </c>
      <c r="O683" t="s">
        <v>420</v>
      </c>
      <c r="P683" t="s">
        <v>428</v>
      </c>
      <c r="S683" t="s">
        <v>997</v>
      </c>
      <c r="T683" t="s">
        <v>1680</v>
      </c>
      <c r="U683" t="s">
        <v>226</v>
      </c>
      <c r="V683" t="s">
        <v>222</v>
      </c>
      <c r="W683" t="s">
        <v>1877</v>
      </c>
      <c r="X683" t="s">
        <v>2520</v>
      </c>
      <c r="Y683">
        <v>2</v>
      </c>
      <c r="Z683" t="s">
        <v>3099</v>
      </c>
      <c r="AA683" t="s">
        <v>3135</v>
      </c>
      <c r="AB683">
        <v>10033</v>
      </c>
      <c r="AC683" t="s">
        <v>3136</v>
      </c>
      <c r="AD683" t="s">
        <v>3772</v>
      </c>
      <c r="AE683">
        <v>1</v>
      </c>
      <c r="AF683" t="s">
        <v>4023</v>
      </c>
      <c r="AG683" t="s">
        <v>4032</v>
      </c>
      <c r="AH683" t="s">
        <v>291</v>
      </c>
      <c r="AI683" t="s">
        <v>291</v>
      </c>
      <c r="AK683" t="s">
        <v>4040</v>
      </c>
      <c r="AL683" t="s">
        <v>4046</v>
      </c>
      <c r="AM683">
        <v>0</v>
      </c>
      <c r="AN683">
        <v>1500</v>
      </c>
      <c r="AO683">
        <v>0.5</v>
      </c>
      <c r="AP683" t="s">
        <v>4052</v>
      </c>
      <c r="AQ683" t="s">
        <v>4717</v>
      </c>
      <c r="AR683" t="s">
        <v>5584</v>
      </c>
      <c r="AS683">
        <v>3</v>
      </c>
      <c r="AT683" t="s">
        <v>5836</v>
      </c>
      <c r="AU683">
        <v>3</v>
      </c>
      <c r="AV683">
        <v>1</v>
      </c>
      <c r="AW683">
        <v>100.96</v>
      </c>
      <c r="BA683" t="s">
        <v>329</v>
      </c>
      <c r="BB683" t="s">
        <v>5859</v>
      </c>
      <c r="BC683">
        <v>25998</v>
      </c>
      <c r="BG683" t="s">
        <v>5913</v>
      </c>
      <c r="BJ683" t="s">
        <v>6027</v>
      </c>
      <c r="BK683" t="s">
        <v>222</v>
      </c>
      <c r="BL683" t="s">
        <v>6056</v>
      </c>
    </row>
    <row r="684" spans="1:64">
      <c r="A684" s="1">
        <f>HYPERLINK("https://lsnyc.legalserver.org/matter/dynamic-profile/view/1904457","19-1904457")</f>
        <v>0</v>
      </c>
      <c r="B684" t="s">
        <v>66</v>
      </c>
      <c r="C684" t="s">
        <v>167</v>
      </c>
      <c r="D684" t="s">
        <v>200</v>
      </c>
      <c r="E684" t="s">
        <v>202</v>
      </c>
      <c r="F684" t="s">
        <v>204</v>
      </c>
      <c r="G684" t="s">
        <v>202</v>
      </c>
      <c r="H684" t="s">
        <v>272</v>
      </c>
      <c r="I684" t="s">
        <v>202</v>
      </c>
      <c r="J684" t="s">
        <v>289</v>
      </c>
      <c r="K684" t="s">
        <v>202</v>
      </c>
      <c r="L684" t="s">
        <v>382</v>
      </c>
      <c r="M684" t="s">
        <v>290</v>
      </c>
      <c r="N684" t="s">
        <v>419</v>
      </c>
      <c r="O684" t="s">
        <v>420</v>
      </c>
      <c r="P684" t="s">
        <v>427</v>
      </c>
      <c r="S684" t="s">
        <v>998</v>
      </c>
      <c r="T684" t="s">
        <v>1681</v>
      </c>
      <c r="U684" t="s">
        <v>204</v>
      </c>
      <c r="W684" t="s">
        <v>1876</v>
      </c>
      <c r="X684" t="s">
        <v>2521</v>
      </c>
      <c r="Y684" t="s">
        <v>3037</v>
      </c>
      <c r="Z684" t="s">
        <v>3099</v>
      </c>
      <c r="AA684" t="s">
        <v>3135</v>
      </c>
      <c r="AB684">
        <v>10025</v>
      </c>
      <c r="AC684" t="s">
        <v>3136</v>
      </c>
      <c r="AD684" t="s">
        <v>3773</v>
      </c>
      <c r="AE684">
        <v>35</v>
      </c>
      <c r="AG684" t="s">
        <v>4033</v>
      </c>
      <c r="AH684" t="s">
        <v>291</v>
      </c>
      <c r="AI684" t="s">
        <v>291</v>
      </c>
      <c r="AK684" t="s">
        <v>4040</v>
      </c>
      <c r="AM684">
        <v>0</v>
      </c>
      <c r="AN684">
        <v>0</v>
      </c>
      <c r="AO684">
        <v>1.2</v>
      </c>
      <c r="AQ684" t="s">
        <v>4718</v>
      </c>
      <c r="AR684" t="s">
        <v>5585</v>
      </c>
      <c r="AS684">
        <v>1</v>
      </c>
      <c r="AT684" t="s">
        <v>5836</v>
      </c>
      <c r="AU684">
        <v>1</v>
      </c>
      <c r="AV684">
        <v>0</v>
      </c>
      <c r="AW684">
        <v>84.06999999999999</v>
      </c>
      <c r="BA684" t="s">
        <v>329</v>
      </c>
      <c r="BB684" t="s">
        <v>1322</v>
      </c>
      <c r="BC684">
        <v>10500</v>
      </c>
      <c r="BG684" t="s">
        <v>5914</v>
      </c>
      <c r="BJ684" t="s">
        <v>5942</v>
      </c>
      <c r="BK684" t="s">
        <v>204</v>
      </c>
      <c r="BL684" t="s">
        <v>6057</v>
      </c>
    </row>
    <row r="685" spans="1:64">
      <c r="A685" s="1">
        <f>HYPERLINK("https://lsnyc.legalserver.org/matter/dynamic-profile/view/1908372","19-1908372")</f>
        <v>0</v>
      </c>
      <c r="B685" t="s">
        <v>66</v>
      </c>
      <c r="C685" t="s">
        <v>167</v>
      </c>
      <c r="D685" t="s">
        <v>200</v>
      </c>
      <c r="E685" t="s">
        <v>202</v>
      </c>
      <c r="F685" t="s">
        <v>218</v>
      </c>
      <c r="G685" t="s">
        <v>202</v>
      </c>
      <c r="H685" t="s">
        <v>271</v>
      </c>
      <c r="I685" t="s">
        <v>202</v>
      </c>
      <c r="J685" t="s">
        <v>289</v>
      </c>
      <c r="K685" t="s">
        <v>292</v>
      </c>
      <c r="M685" t="s">
        <v>290</v>
      </c>
      <c r="N685" t="s">
        <v>202</v>
      </c>
      <c r="O685" t="s">
        <v>421</v>
      </c>
      <c r="P685" t="s">
        <v>427</v>
      </c>
      <c r="S685" t="s">
        <v>999</v>
      </c>
      <c r="T685" t="s">
        <v>1354</v>
      </c>
      <c r="U685" t="s">
        <v>218</v>
      </c>
      <c r="W685" t="s">
        <v>1876</v>
      </c>
      <c r="X685" t="s">
        <v>2522</v>
      </c>
      <c r="Y685" t="s">
        <v>2865</v>
      </c>
      <c r="Z685" t="s">
        <v>3099</v>
      </c>
      <c r="AA685" t="s">
        <v>3135</v>
      </c>
      <c r="AB685">
        <v>10025</v>
      </c>
      <c r="AC685" t="s">
        <v>3136</v>
      </c>
      <c r="AD685" t="s">
        <v>3774</v>
      </c>
      <c r="AE685">
        <v>37</v>
      </c>
      <c r="AG685" t="s">
        <v>4033</v>
      </c>
      <c r="AH685" t="s">
        <v>291</v>
      </c>
      <c r="AI685" t="s">
        <v>291</v>
      </c>
      <c r="AK685" t="s">
        <v>4040</v>
      </c>
      <c r="AL685" t="s">
        <v>4046</v>
      </c>
      <c r="AM685">
        <v>0</v>
      </c>
      <c r="AN685">
        <v>732.95</v>
      </c>
      <c r="AO685">
        <v>5</v>
      </c>
      <c r="AQ685" t="s">
        <v>4719</v>
      </c>
      <c r="AR685" t="s">
        <v>5586</v>
      </c>
      <c r="AS685">
        <v>35</v>
      </c>
      <c r="AT685" t="s">
        <v>5838</v>
      </c>
      <c r="AU685">
        <v>2</v>
      </c>
      <c r="AV685">
        <v>0</v>
      </c>
      <c r="AW685">
        <v>75.22</v>
      </c>
      <c r="BA685" t="s">
        <v>5851</v>
      </c>
      <c r="BB685" t="s">
        <v>1322</v>
      </c>
      <c r="BC685">
        <v>12720</v>
      </c>
      <c r="BG685" t="s">
        <v>5914</v>
      </c>
      <c r="BJ685" t="s">
        <v>5942</v>
      </c>
      <c r="BK685" t="s">
        <v>230</v>
      </c>
      <c r="BL685" t="s">
        <v>6056</v>
      </c>
    </row>
    <row r="686" spans="1:64">
      <c r="A686" s="1">
        <f>HYPERLINK("https://lsnyc.legalserver.org/matter/dynamic-profile/view/1905967","19-1905967")</f>
        <v>0</v>
      </c>
      <c r="B686" t="s">
        <v>66</v>
      </c>
      <c r="C686" t="s">
        <v>167</v>
      </c>
      <c r="D686" t="s">
        <v>200</v>
      </c>
      <c r="E686" t="s">
        <v>202</v>
      </c>
      <c r="F686" t="s">
        <v>250</v>
      </c>
      <c r="G686" t="s">
        <v>202</v>
      </c>
      <c r="H686" t="s">
        <v>274</v>
      </c>
      <c r="I686" t="s">
        <v>202</v>
      </c>
      <c r="J686" t="s">
        <v>289</v>
      </c>
      <c r="K686" t="s">
        <v>292</v>
      </c>
      <c r="M686" t="s">
        <v>290</v>
      </c>
      <c r="N686" t="s">
        <v>419</v>
      </c>
      <c r="O686" t="s">
        <v>420</v>
      </c>
      <c r="P686" t="s">
        <v>427</v>
      </c>
      <c r="S686" t="s">
        <v>928</v>
      </c>
      <c r="T686" t="s">
        <v>1228</v>
      </c>
      <c r="U686" t="s">
        <v>250</v>
      </c>
      <c r="W686" t="s">
        <v>1876</v>
      </c>
      <c r="X686" t="s">
        <v>2523</v>
      </c>
      <c r="Y686" t="s">
        <v>3038</v>
      </c>
      <c r="Z686" t="s">
        <v>3099</v>
      </c>
      <c r="AA686" t="s">
        <v>3135</v>
      </c>
      <c r="AB686">
        <v>10030</v>
      </c>
      <c r="AC686" t="s">
        <v>3141</v>
      </c>
      <c r="AD686" t="s">
        <v>3775</v>
      </c>
      <c r="AE686">
        <v>21</v>
      </c>
      <c r="AG686" t="s">
        <v>4032</v>
      </c>
      <c r="AH686" t="s">
        <v>291</v>
      </c>
      <c r="AI686" t="s">
        <v>289</v>
      </c>
      <c r="AK686" t="s">
        <v>4041</v>
      </c>
      <c r="AM686">
        <v>0</v>
      </c>
      <c r="AN686">
        <v>240.6</v>
      </c>
      <c r="AO686">
        <v>1</v>
      </c>
      <c r="AQ686" t="s">
        <v>4720</v>
      </c>
      <c r="AR686" t="s">
        <v>5587</v>
      </c>
      <c r="AS686">
        <v>245</v>
      </c>
      <c r="AT686" t="s">
        <v>5837</v>
      </c>
      <c r="AU686">
        <v>1</v>
      </c>
      <c r="AV686">
        <v>0</v>
      </c>
      <c r="AW686">
        <v>72.06</v>
      </c>
      <c r="BA686" t="s">
        <v>329</v>
      </c>
      <c r="BB686" t="s">
        <v>1322</v>
      </c>
      <c r="BC686">
        <v>9000</v>
      </c>
      <c r="BG686" t="s">
        <v>5914</v>
      </c>
      <c r="BJ686" t="s">
        <v>5942</v>
      </c>
      <c r="BK686" t="s">
        <v>250</v>
      </c>
      <c r="BL686" t="s">
        <v>6056</v>
      </c>
    </row>
    <row r="687" spans="1:64">
      <c r="A687" s="1">
        <f>HYPERLINK("https://lsnyc.legalserver.org/matter/dynamic-profile/view/1906177","19-1906177")</f>
        <v>0</v>
      </c>
      <c r="B687" t="s">
        <v>66</v>
      </c>
      <c r="C687" t="s">
        <v>167</v>
      </c>
      <c r="D687" t="s">
        <v>200</v>
      </c>
      <c r="E687" t="s">
        <v>202</v>
      </c>
      <c r="F687" t="s">
        <v>261</v>
      </c>
      <c r="G687" t="s">
        <v>202</v>
      </c>
      <c r="H687" t="s">
        <v>271</v>
      </c>
      <c r="I687" t="s">
        <v>202</v>
      </c>
      <c r="J687" t="s">
        <v>289</v>
      </c>
      <c r="K687" t="s">
        <v>292</v>
      </c>
      <c r="M687" t="s">
        <v>290</v>
      </c>
      <c r="N687" t="s">
        <v>202</v>
      </c>
      <c r="O687" t="s">
        <v>421</v>
      </c>
      <c r="P687" t="s">
        <v>427</v>
      </c>
      <c r="S687" t="s">
        <v>548</v>
      </c>
      <c r="T687" t="s">
        <v>1555</v>
      </c>
      <c r="U687" t="s">
        <v>261</v>
      </c>
      <c r="W687" t="s">
        <v>1876</v>
      </c>
      <c r="X687" t="s">
        <v>2524</v>
      </c>
      <c r="Y687" t="s">
        <v>2784</v>
      </c>
      <c r="Z687" t="s">
        <v>3099</v>
      </c>
      <c r="AA687" t="s">
        <v>3135</v>
      </c>
      <c r="AB687">
        <v>10026</v>
      </c>
      <c r="AC687" t="s">
        <v>3140</v>
      </c>
      <c r="AD687" t="s">
        <v>3776</v>
      </c>
      <c r="AE687">
        <v>30</v>
      </c>
      <c r="AG687" t="s">
        <v>4033</v>
      </c>
      <c r="AH687" t="s">
        <v>291</v>
      </c>
      <c r="AI687" t="s">
        <v>291</v>
      </c>
      <c r="AK687" t="s">
        <v>4040</v>
      </c>
      <c r="AM687">
        <v>0</v>
      </c>
      <c r="AN687">
        <v>0</v>
      </c>
      <c r="AO687">
        <v>3.5</v>
      </c>
      <c r="AQ687" t="s">
        <v>4721</v>
      </c>
      <c r="AR687" t="s">
        <v>5588</v>
      </c>
      <c r="AS687">
        <v>54</v>
      </c>
      <c r="AT687" t="s">
        <v>5838</v>
      </c>
      <c r="AU687">
        <v>1</v>
      </c>
      <c r="AV687">
        <v>0</v>
      </c>
      <c r="AW687">
        <v>73.69</v>
      </c>
      <c r="BB687" t="s">
        <v>1322</v>
      </c>
      <c r="BC687">
        <v>9204</v>
      </c>
      <c r="BG687" t="s">
        <v>5915</v>
      </c>
      <c r="BJ687" t="s">
        <v>5942</v>
      </c>
      <c r="BK687" t="s">
        <v>239</v>
      </c>
      <c r="BL687" t="s">
        <v>6056</v>
      </c>
    </row>
    <row r="688" spans="1:64">
      <c r="A688" s="1">
        <f>HYPERLINK("https://lsnyc.legalserver.org/matter/dynamic-profile/view/1909776","19-1909776")</f>
        <v>0</v>
      </c>
      <c r="B688" t="s">
        <v>66</v>
      </c>
      <c r="C688" t="s">
        <v>168</v>
      </c>
      <c r="D688" t="s">
        <v>200</v>
      </c>
      <c r="E688" t="s">
        <v>201</v>
      </c>
      <c r="G688" t="s">
        <v>270</v>
      </c>
      <c r="I688" t="s">
        <v>288</v>
      </c>
      <c r="J688" t="s">
        <v>290</v>
      </c>
      <c r="K688" t="s">
        <v>292</v>
      </c>
      <c r="M688" t="s">
        <v>290</v>
      </c>
      <c r="N688" t="s">
        <v>419</v>
      </c>
      <c r="P688" t="s">
        <v>427</v>
      </c>
      <c r="S688" t="s">
        <v>1000</v>
      </c>
      <c r="T688" t="s">
        <v>1682</v>
      </c>
      <c r="U688" t="s">
        <v>264</v>
      </c>
      <c r="W688" t="s">
        <v>1876</v>
      </c>
      <c r="X688" t="s">
        <v>2525</v>
      </c>
      <c r="Y688" t="s">
        <v>3039</v>
      </c>
      <c r="Z688" t="s">
        <v>3099</v>
      </c>
      <c r="AA688" t="s">
        <v>3135</v>
      </c>
      <c r="AB688">
        <v>10038</v>
      </c>
      <c r="AE688">
        <v>0</v>
      </c>
      <c r="AG688" t="s">
        <v>4032</v>
      </c>
      <c r="AH688" t="s">
        <v>291</v>
      </c>
      <c r="AK688" t="s">
        <v>4041</v>
      </c>
      <c r="AM688">
        <v>0</v>
      </c>
      <c r="AN688">
        <v>0</v>
      </c>
      <c r="AO688">
        <v>2.1</v>
      </c>
      <c r="AQ688" t="s">
        <v>4647</v>
      </c>
      <c r="AS688">
        <v>0</v>
      </c>
      <c r="AU688">
        <v>1</v>
      </c>
      <c r="AV688">
        <v>0</v>
      </c>
      <c r="AW688">
        <v>76.86</v>
      </c>
      <c r="BB688" t="s">
        <v>1322</v>
      </c>
      <c r="BC688">
        <v>9600</v>
      </c>
      <c r="BG688" t="s">
        <v>5897</v>
      </c>
      <c r="BJ688" t="s">
        <v>5959</v>
      </c>
      <c r="BK688" t="s">
        <v>266</v>
      </c>
    </row>
    <row r="689" spans="1:64">
      <c r="A689" s="1">
        <f>HYPERLINK("https://lsnyc.legalserver.org/matter/dynamic-profile/view/1909679","19-1909679")</f>
        <v>0</v>
      </c>
      <c r="B689" t="s">
        <v>66</v>
      </c>
      <c r="C689" t="s">
        <v>168</v>
      </c>
      <c r="D689" t="s">
        <v>200</v>
      </c>
      <c r="E689" t="s">
        <v>201</v>
      </c>
      <c r="G689" t="s">
        <v>270</v>
      </c>
      <c r="I689" t="s">
        <v>288</v>
      </c>
      <c r="J689" t="s">
        <v>290</v>
      </c>
      <c r="K689" t="s">
        <v>292</v>
      </c>
      <c r="M689" t="s">
        <v>290</v>
      </c>
      <c r="N689" t="s">
        <v>419</v>
      </c>
      <c r="P689" t="s">
        <v>427</v>
      </c>
      <c r="S689" t="s">
        <v>1001</v>
      </c>
      <c r="T689" t="s">
        <v>1683</v>
      </c>
      <c r="U689" t="s">
        <v>222</v>
      </c>
      <c r="W689" t="s">
        <v>1876</v>
      </c>
      <c r="X689" t="s">
        <v>2526</v>
      </c>
      <c r="Y689" t="s">
        <v>2846</v>
      </c>
      <c r="Z689" t="s">
        <v>3097</v>
      </c>
      <c r="AA689" t="s">
        <v>3135</v>
      </c>
      <c r="AB689">
        <v>11212</v>
      </c>
      <c r="AE689">
        <v>0</v>
      </c>
      <c r="AG689" t="s">
        <v>4032</v>
      </c>
      <c r="AH689" t="s">
        <v>291</v>
      </c>
      <c r="AK689" t="s">
        <v>4040</v>
      </c>
      <c r="AM689">
        <v>0</v>
      </c>
      <c r="AN689">
        <v>0</v>
      </c>
      <c r="AO689">
        <v>1</v>
      </c>
      <c r="AQ689" t="s">
        <v>4722</v>
      </c>
      <c r="AR689" t="s">
        <v>5589</v>
      </c>
      <c r="AS689">
        <v>0</v>
      </c>
      <c r="AU689">
        <v>6</v>
      </c>
      <c r="AV689">
        <v>1</v>
      </c>
      <c r="AW689">
        <v>157.34</v>
      </c>
      <c r="BB689" t="s">
        <v>1322</v>
      </c>
      <c r="BC689">
        <v>61380</v>
      </c>
      <c r="BG689" t="s">
        <v>5897</v>
      </c>
      <c r="BJ689" t="s">
        <v>6037</v>
      </c>
      <c r="BK689" t="s">
        <v>222</v>
      </c>
    </row>
    <row r="690" spans="1:64">
      <c r="A690" s="1">
        <f>HYPERLINK("https://lsnyc.legalserver.org/matter/dynamic-profile/view/1904154","19-1904154")</f>
        <v>0</v>
      </c>
      <c r="B690" t="s">
        <v>66</v>
      </c>
      <c r="C690" t="s">
        <v>154</v>
      </c>
      <c r="D690" t="s">
        <v>200</v>
      </c>
      <c r="E690" t="s">
        <v>202</v>
      </c>
      <c r="F690" t="s">
        <v>207</v>
      </c>
      <c r="G690" t="s">
        <v>202</v>
      </c>
      <c r="H690" t="s">
        <v>272</v>
      </c>
      <c r="I690" t="s">
        <v>202</v>
      </c>
      <c r="J690" t="s">
        <v>289</v>
      </c>
      <c r="K690" t="s">
        <v>292</v>
      </c>
      <c r="M690" t="s">
        <v>290</v>
      </c>
      <c r="N690" t="s">
        <v>202</v>
      </c>
      <c r="O690" t="s">
        <v>421</v>
      </c>
      <c r="P690" t="s">
        <v>427</v>
      </c>
      <c r="S690" t="s">
        <v>1002</v>
      </c>
      <c r="T690" t="s">
        <v>1357</v>
      </c>
      <c r="U690" t="s">
        <v>227</v>
      </c>
      <c r="W690" t="s">
        <v>1876</v>
      </c>
      <c r="X690" t="s">
        <v>2527</v>
      </c>
      <c r="Y690" t="s">
        <v>2928</v>
      </c>
      <c r="Z690" t="s">
        <v>3099</v>
      </c>
      <c r="AA690" t="s">
        <v>3135</v>
      </c>
      <c r="AB690">
        <v>10027</v>
      </c>
      <c r="AD690" t="s">
        <v>3777</v>
      </c>
      <c r="AE690">
        <v>23</v>
      </c>
      <c r="AG690" t="s">
        <v>4033</v>
      </c>
      <c r="AH690" t="s">
        <v>291</v>
      </c>
      <c r="AI690" t="s">
        <v>291</v>
      </c>
      <c r="AK690" t="s">
        <v>4040</v>
      </c>
      <c r="AM690">
        <v>0</v>
      </c>
      <c r="AN690">
        <v>869.02</v>
      </c>
      <c r="AO690">
        <v>10.58</v>
      </c>
      <c r="AQ690" t="s">
        <v>4723</v>
      </c>
      <c r="AR690" t="s">
        <v>5590</v>
      </c>
      <c r="AS690">
        <v>18</v>
      </c>
      <c r="AT690" t="s">
        <v>5838</v>
      </c>
      <c r="AU690">
        <v>2</v>
      </c>
      <c r="AV690">
        <v>1</v>
      </c>
      <c r="AW690">
        <v>109.7</v>
      </c>
      <c r="BA690" t="s">
        <v>3143</v>
      </c>
      <c r="BB690" t="s">
        <v>1322</v>
      </c>
      <c r="BC690">
        <v>23400</v>
      </c>
      <c r="BG690" t="s">
        <v>5919</v>
      </c>
      <c r="BJ690" t="s">
        <v>5946</v>
      </c>
      <c r="BK690" t="s">
        <v>264</v>
      </c>
      <c r="BL690" t="s">
        <v>6056</v>
      </c>
    </row>
    <row r="691" spans="1:64">
      <c r="A691" s="1">
        <f>HYPERLINK("https://lsnyc.legalserver.org/matter/dynamic-profile/view/1905157","19-1905157")</f>
        <v>0</v>
      </c>
      <c r="B691" t="s">
        <v>66</v>
      </c>
      <c r="C691" t="s">
        <v>154</v>
      </c>
      <c r="D691" t="s">
        <v>200</v>
      </c>
      <c r="E691" t="s">
        <v>202</v>
      </c>
      <c r="F691" t="s">
        <v>258</v>
      </c>
      <c r="G691" t="s">
        <v>202</v>
      </c>
      <c r="H691" t="s">
        <v>272</v>
      </c>
      <c r="I691" t="s">
        <v>202</v>
      </c>
      <c r="J691" t="s">
        <v>289</v>
      </c>
      <c r="K691" t="s">
        <v>292</v>
      </c>
      <c r="M691" t="s">
        <v>290</v>
      </c>
      <c r="N691" t="s">
        <v>202</v>
      </c>
      <c r="O691" t="s">
        <v>421</v>
      </c>
      <c r="P691" t="s">
        <v>427</v>
      </c>
      <c r="S691" t="s">
        <v>1003</v>
      </c>
      <c r="T691" t="s">
        <v>1684</v>
      </c>
      <c r="U691" t="s">
        <v>258</v>
      </c>
      <c r="W691" t="s">
        <v>1876</v>
      </c>
      <c r="X691" t="s">
        <v>2528</v>
      </c>
      <c r="Y691" t="s">
        <v>2784</v>
      </c>
      <c r="Z691" t="s">
        <v>3099</v>
      </c>
      <c r="AA691" t="s">
        <v>3135</v>
      </c>
      <c r="AB691">
        <v>10031</v>
      </c>
      <c r="AC691" t="s">
        <v>3139</v>
      </c>
      <c r="AD691" t="s">
        <v>3778</v>
      </c>
      <c r="AE691">
        <v>34</v>
      </c>
      <c r="AG691" t="s">
        <v>4033</v>
      </c>
      <c r="AH691" t="s">
        <v>291</v>
      </c>
      <c r="AI691" t="s">
        <v>291</v>
      </c>
      <c r="AK691" t="s">
        <v>4040</v>
      </c>
      <c r="AM691">
        <v>0</v>
      </c>
      <c r="AN691">
        <v>855.5599999999999</v>
      </c>
      <c r="AO691">
        <v>13.9</v>
      </c>
      <c r="AQ691" t="s">
        <v>4724</v>
      </c>
      <c r="AR691" t="s">
        <v>5591</v>
      </c>
      <c r="AS691">
        <v>24</v>
      </c>
      <c r="AT691" t="s">
        <v>5838</v>
      </c>
      <c r="AU691">
        <v>1</v>
      </c>
      <c r="AV691">
        <v>0</v>
      </c>
      <c r="AW691">
        <v>99.92</v>
      </c>
      <c r="BA691" t="s">
        <v>329</v>
      </c>
      <c r="BB691" t="s">
        <v>1322</v>
      </c>
      <c r="BC691">
        <v>12480</v>
      </c>
      <c r="BG691" t="s">
        <v>5915</v>
      </c>
      <c r="BJ691" t="s">
        <v>5949</v>
      </c>
      <c r="BK691" t="s">
        <v>267</v>
      </c>
      <c r="BL691" t="s">
        <v>6056</v>
      </c>
    </row>
    <row r="692" spans="1:64">
      <c r="A692" s="1">
        <f>HYPERLINK("https://lsnyc.legalserver.org/matter/dynamic-profile/view/1907354","19-1907354")</f>
        <v>0</v>
      </c>
      <c r="B692" t="s">
        <v>66</v>
      </c>
      <c r="C692" t="s">
        <v>164</v>
      </c>
      <c r="D692" t="s">
        <v>200</v>
      </c>
      <c r="E692" t="s">
        <v>202</v>
      </c>
      <c r="F692" t="s">
        <v>257</v>
      </c>
      <c r="G692" t="s">
        <v>202</v>
      </c>
      <c r="H692" t="s">
        <v>272</v>
      </c>
      <c r="I692" t="s">
        <v>202</v>
      </c>
      <c r="J692" t="s">
        <v>289</v>
      </c>
      <c r="K692" t="s">
        <v>292</v>
      </c>
      <c r="M692" t="s">
        <v>290</v>
      </c>
      <c r="N692" t="s">
        <v>202</v>
      </c>
      <c r="O692" t="s">
        <v>421</v>
      </c>
      <c r="P692" t="s">
        <v>427</v>
      </c>
      <c r="S692" t="s">
        <v>994</v>
      </c>
      <c r="T692" t="s">
        <v>1685</v>
      </c>
      <c r="U692" t="s">
        <v>257</v>
      </c>
      <c r="W692" t="s">
        <v>1876</v>
      </c>
      <c r="X692" t="s">
        <v>2529</v>
      </c>
      <c r="Y692" t="s">
        <v>2800</v>
      </c>
      <c r="Z692" t="s">
        <v>3099</v>
      </c>
      <c r="AA692" t="s">
        <v>3135</v>
      </c>
      <c r="AB692">
        <v>10027</v>
      </c>
      <c r="AC692" t="s">
        <v>3139</v>
      </c>
      <c r="AD692" t="s">
        <v>3779</v>
      </c>
      <c r="AE692">
        <v>12</v>
      </c>
      <c r="AG692" t="s">
        <v>4033</v>
      </c>
      <c r="AH692" t="s">
        <v>291</v>
      </c>
      <c r="AI692" t="s">
        <v>291</v>
      </c>
      <c r="AK692" t="s">
        <v>4040</v>
      </c>
      <c r="AM692">
        <v>0</v>
      </c>
      <c r="AN692">
        <v>667</v>
      </c>
      <c r="AO692">
        <v>2.25</v>
      </c>
      <c r="AQ692" t="s">
        <v>4725</v>
      </c>
      <c r="AR692" t="s">
        <v>5592</v>
      </c>
      <c r="AS692">
        <v>11</v>
      </c>
      <c r="AT692" t="s">
        <v>5846</v>
      </c>
      <c r="AU692">
        <v>2</v>
      </c>
      <c r="AV692">
        <v>2</v>
      </c>
      <c r="AW692">
        <v>20.7</v>
      </c>
      <c r="BA692" t="s">
        <v>3143</v>
      </c>
      <c r="BB692" t="s">
        <v>1322</v>
      </c>
      <c r="BC692">
        <v>5330</v>
      </c>
      <c r="BG692" t="s">
        <v>5914</v>
      </c>
      <c r="BJ692" t="s">
        <v>6025</v>
      </c>
      <c r="BK692" t="s">
        <v>220</v>
      </c>
      <c r="BL692" t="s">
        <v>6056</v>
      </c>
    </row>
    <row r="693" spans="1:64">
      <c r="A693" s="1">
        <f>HYPERLINK("https://lsnyc.legalserver.org/matter/dynamic-profile/view/1904908","19-1904908")</f>
        <v>0</v>
      </c>
      <c r="B693" t="s">
        <v>66</v>
      </c>
      <c r="C693" t="s">
        <v>163</v>
      </c>
      <c r="D693" t="s">
        <v>200</v>
      </c>
      <c r="E693" t="s">
        <v>201</v>
      </c>
      <c r="G693" t="s">
        <v>202</v>
      </c>
      <c r="H693" t="s">
        <v>272</v>
      </c>
      <c r="I693" t="s">
        <v>202</v>
      </c>
      <c r="J693" t="s">
        <v>289</v>
      </c>
      <c r="K693" t="s">
        <v>292</v>
      </c>
      <c r="M693" t="s">
        <v>290</v>
      </c>
      <c r="N693" t="s">
        <v>419</v>
      </c>
      <c r="P693" t="s">
        <v>427</v>
      </c>
      <c r="S693" t="s">
        <v>898</v>
      </c>
      <c r="T693" t="s">
        <v>1411</v>
      </c>
      <c r="U693" t="s">
        <v>245</v>
      </c>
      <c r="W693" t="s">
        <v>1876</v>
      </c>
      <c r="X693" t="s">
        <v>2530</v>
      </c>
      <c r="Y693" t="s">
        <v>3040</v>
      </c>
      <c r="Z693" t="s">
        <v>3099</v>
      </c>
      <c r="AA693" t="s">
        <v>3135</v>
      </c>
      <c r="AB693">
        <v>10027</v>
      </c>
      <c r="AC693" t="s">
        <v>3139</v>
      </c>
      <c r="AE693">
        <v>11</v>
      </c>
      <c r="AG693" t="s">
        <v>4033</v>
      </c>
      <c r="AH693" t="s">
        <v>291</v>
      </c>
      <c r="AI693" t="s">
        <v>291</v>
      </c>
      <c r="AK693" t="s">
        <v>4041</v>
      </c>
      <c r="AM693">
        <v>0</v>
      </c>
      <c r="AN693">
        <v>986</v>
      </c>
      <c r="AO693">
        <v>2.6</v>
      </c>
      <c r="AQ693" t="s">
        <v>4726</v>
      </c>
      <c r="AR693" t="s">
        <v>5593</v>
      </c>
      <c r="AS693">
        <v>0</v>
      </c>
      <c r="AT693" t="s">
        <v>5837</v>
      </c>
      <c r="AU693">
        <v>4</v>
      </c>
      <c r="AV693">
        <v>0</v>
      </c>
      <c r="AW693">
        <v>54.37</v>
      </c>
      <c r="BC693">
        <v>14000</v>
      </c>
      <c r="BG693" t="s">
        <v>5920</v>
      </c>
      <c r="BJ693" t="s">
        <v>6032</v>
      </c>
      <c r="BK693" t="s">
        <v>248</v>
      </c>
      <c r="BL693" t="s">
        <v>6056</v>
      </c>
    </row>
    <row r="694" spans="1:64">
      <c r="A694" s="1">
        <f>HYPERLINK("https://lsnyc.legalserver.org/matter/dynamic-profile/view/1907886","19-1907886")</f>
        <v>0</v>
      </c>
      <c r="B694" t="s">
        <v>66</v>
      </c>
      <c r="C694" t="s">
        <v>163</v>
      </c>
      <c r="D694" t="s">
        <v>200</v>
      </c>
      <c r="E694" t="s">
        <v>202</v>
      </c>
      <c r="F694" t="s">
        <v>223</v>
      </c>
      <c r="G694" t="s">
        <v>202</v>
      </c>
      <c r="H694" t="s">
        <v>271</v>
      </c>
      <c r="I694" t="s">
        <v>202</v>
      </c>
      <c r="J694" t="s">
        <v>289</v>
      </c>
      <c r="K694" t="s">
        <v>292</v>
      </c>
      <c r="M694" t="s">
        <v>290</v>
      </c>
      <c r="N694" t="s">
        <v>202</v>
      </c>
      <c r="O694" t="s">
        <v>421</v>
      </c>
      <c r="P694" t="s">
        <v>427</v>
      </c>
      <c r="S694" t="s">
        <v>1004</v>
      </c>
      <c r="T694" t="s">
        <v>1686</v>
      </c>
      <c r="U694" t="s">
        <v>223</v>
      </c>
      <c r="W694" t="s">
        <v>1876</v>
      </c>
      <c r="X694" t="s">
        <v>2531</v>
      </c>
      <c r="Y694" t="s">
        <v>2806</v>
      </c>
      <c r="Z694" t="s">
        <v>3099</v>
      </c>
      <c r="AA694" t="s">
        <v>3135</v>
      </c>
      <c r="AB694">
        <v>10039</v>
      </c>
      <c r="AC694" t="s">
        <v>3136</v>
      </c>
      <c r="AD694" t="s">
        <v>3780</v>
      </c>
      <c r="AE694">
        <v>14</v>
      </c>
      <c r="AG694" t="s">
        <v>4032</v>
      </c>
      <c r="AH694" t="s">
        <v>291</v>
      </c>
      <c r="AI694" t="s">
        <v>291</v>
      </c>
      <c r="AK694" t="s">
        <v>4040</v>
      </c>
      <c r="AM694">
        <v>0</v>
      </c>
      <c r="AN694">
        <v>989.15</v>
      </c>
      <c r="AO694">
        <v>6.2</v>
      </c>
      <c r="AQ694" t="s">
        <v>4628</v>
      </c>
      <c r="AR694" t="s">
        <v>5594</v>
      </c>
      <c r="AS694">
        <v>0</v>
      </c>
      <c r="AT694" t="s">
        <v>5838</v>
      </c>
      <c r="AU694">
        <v>1</v>
      </c>
      <c r="AV694">
        <v>0</v>
      </c>
      <c r="AW694">
        <v>0</v>
      </c>
      <c r="BA694" t="s">
        <v>329</v>
      </c>
      <c r="BB694" t="s">
        <v>1322</v>
      </c>
      <c r="BC694">
        <v>0</v>
      </c>
      <c r="BG694" t="s">
        <v>5915</v>
      </c>
      <c r="BJ694" t="s">
        <v>5945</v>
      </c>
      <c r="BK694" t="s">
        <v>237</v>
      </c>
      <c r="BL694" t="s">
        <v>6056</v>
      </c>
    </row>
    <row r="695" spans="1:64">
      <c r="A695" s="1">
        <f>HYPERLINK("https://lsnyc.legalserver.org/matter/dynamic-profile/view/1906814","19-1906814")</f>
        <v>0</v>
      </c>
      <c r="B695" t="s">
        <v>66</v>
      </c>
      <c r="C695" t="s">
        <v>169</v>
      </c>
      <c r="D695" t="s">
        <v>200</v>
      </c>
      <c r="E695" t="s">
        <v>202</v>
      </c>
      <c r="F695" t="s">
        <v>240</v>
      </c>
      <c r="G695" t="s">
        <v>202</v>
      </c>
      <c r="H695" t="s">
        <v>272</v>
      </c>
      <c r="I695" t="s">
        <v>202</v>
      </c>
      <c r="J695" t="s">
        <v>289</v>
      </c>
      <c r="K695" t="s">
        <v>292</v>
      </c>
      <c r="M695" t="s">
        <v>290</v>
      </c>
      <c r="N695" t="s">
        <v>202</v>
      </c>
      <c r="O695" t="s">
        <v>421</v>
      </c>
      <c r="P695" t="s">
        <v>427</v>
      </c>
      <c r="S695" t="s">
        <v>896</v>
      </c>
      <c r="T695" t="s">
        <v>1370</v>
      </c>
      <c r="U695" t="s">
        <v>240</v>
      </c>
      <c r="W695" t="s">
        <v>1876</v>
      </c>
      <c r="X695" t="s">
        <v>2532</v>
      </c>
      <c r="Y695" t="s">
        <v>3041</v>
      </c>
      <c r="Z695" t="s">
        <v>3099</v>
      </c>
      <c r="AA695" t="s">
        <v>3135</v>
      </c>
      <c r="AB695">
        <v>10025</v>
      </c>
      <c r="AC695" t="s">
        <v>3139</v>
      </c>
      <c r="AD695" t="s">
        <v>3781</v>
      </c>
      <c r="AE695">
        <v>30</v>
      </c>
      <c r="AG695" t="s">
        <v>4033</v>
      </c>
      <c r="AH695" t="s">
        <v>291</v>
      </c>
      <c r="AI695" t="s">
        <v>291</v>
      </c>
      <c r="AK695" t="s">
        <v>4040</v>
      </c>
      <c r="AM695">
        <v>0</v>
      </c>
      <c r="AN695">
        <v>241</v>
      </c>
      <c r="AO695">
        <v>3.1</v>
      </c>
      <c r="AQ695" t="s">
        <v>4727</v>
      </c>
      <c r="AR695" t="s">
        <v>5595</v>
      </c>
      <c r="AS695">
        <v>0</v>
      </c>
      <c r="AT695" t="s">
        <v>5847</v>
      </c>
      <c r="AU695">
        <v>1</v>
      </c>
      <c r="AV695">
        <v>0</v>
      </c>
      <c r="AW695">
        <v>82.45999999999999</v>
      </c>
      <c r="BA695" t="s">
        <v>5850</v>
      </c>
      <c r="BB695" t="s">
        <v>1322</v>
      </c>
      <c r="BC695">
        <v>10299</v>
      </c>
      <c r="BG695" t="s">
        <v>5914</v>
      </c>
      <c r="BJ695" t="s">
        <v>5957</v>
      </c>
      <c r="BK695" t="s">
        <v>263</v>
      </c>
      <c r="BL695" t="s">
        <v>6056</v>
      </c>
    </row>
    <row r="696" spans="1:64">
      <c r="A696" s="1">
        <f>HYPERLINK("https://lsnyc.legalserver.org/matter/dynamic-profile/view/1908789","19-1908789")</f>
        <v>0</v>
      </c>
      <c r="B696" t="s">
        <v>66</v>
      </c>
      <c r="C696" t="s">
        <v>169</v>
      </c>
      <c r="D696" t="s">
        <v>200</v>
      </c>
      <c r="E696" t="s">
        <v>202</v>
      </c>
      <c r="F696" t="s">
        <v>219</v>
      </c>
      <c r="G696" t="s">
        <v>202</v>
      </c>
      <c r="H696" t="s">
        <v>272</v>
      </c>
      <c r="I696" t="s">
        <v>202</v>
      </c>
      <c r="J696" t="s">
        <v>289</v>
      </c>
      <c r="K696" t="s">
        <v>292</v>
      </c>
      <c r="M696" t="s">
        <v>290</v>
      </c>
      <c r="N696" t="s">
        <v>202</v>
      </c>
      <c r="O696" t="s">
        <v>421</v>
      </c>
      <c r="P696" t="s">
        <v>427</v>
      </c>
      <c r="S696" t="s">
        <v>1005</v>
      </c>
      <c r="T696" t="s">
        <v>1687</v>
      </c>
      <c r="U696" t="s">
        <v>219</v>
      </c>
      <c r="W696" t="s">
        <v>1876</v>
      </c>
      <c r="X696" t="s">
        <v>2533</v>
      </c>
      <c r="Y696" t="s">
        <v>2838</v>
      </c>
      <c r="Z696" t="s">
        <v>3099</v>
      </c>
      <c r="AA696" t="s">
        <v>3135</v>
      </c>
      <c r="AB696">
        <v>10026</v>
      </c>
      <c r="AC696" t="s">
        <v>3139</v>
      </c>
      <c r="AD696" t="s">
        <v>3782</v>
      </c>
      <c r="AE696">
        <v>20</v>
      </c>
      <c r="AG696" t="s">
        <v>4033</v>
      </c>
      <c r="AH696" t="s">
        <v>291</v>
      </c>
      <c r="AI696" t="s">
        <v>291</v>
      </c>
      <c r="AK696" t="s">
        <v>4040</v>
      </c>
      <c r="AM696">
        <v>0</v>
      </c>
      <c r="AN696">
        <v>648</v>
      </c>
      <c r="AO696">
        <v>0</v>
      </c>
      <c r="AQ696" t="s">
        <v>4728</v>
      </c>
      <c r="AR696" t="s">
        <v>5596</v>
      </c>
      <c r="AS696">
        <v>0</v>
      </c>
      <c r="AT696" t="s">
        <v>5839</v>
      </c>
      <c r="AU696">
        <v>2</v>
      </c>
      <c r="AV696">
        <v>3</v>
      </c>
      <c r="AW696">
        <v>46.54</v>
      </c>
      <c r="BA696" t="s">
        <v>3143</v>
      </c>
      <c r="BB696" t="s">
        <v>5865</v>
      </c>
      <c r="BC696">
        <v>14040</v>
      </c>
      <c r="BG696" t="s">
        <v>5915</v>
      </c>
      <c r="BJ696" t="s">
        <v>5942</v>
      </c>
      <c r="BL696" t="s">
        <v>6056</v>
      </c>
    </row>
    <row r="697" spans="1:64">
      <c r="A697" s="1">
        <f>HYPERLINK("https://lsnyc.legalserver.org/matter/dynamic-profile/view/1908775","19-1908775")</f>
        <v>0</v>
      </c>
      <c r="B697" t="s">
        <v>66</v>
      </c>
      <c r="C697" t="s">
        <v>169</v>
      </c>
      <c r="D697" t="s">
        <v>200</v>
      </c>
      <c r="E697" t="s">
        <v>201</v>
      </c>
      <c r="G697" t="s">
        <v>202</v>
      </c>
      <c r="H697" t="s">
        <v>271</v>
      </c>
      <c r="I697" t="s">
        <v>202</v>
      </c>
      <c r="J697" t="s">
        <v>289</v>
      </c>
      <c r="K697" t="s">
        <v>292</v>
      </c>
      <c r="M697" t="s">
        <v>290</v>
      </c>
      <c r="N697" t="s">
        <v>202</v>
      </c>
      <c r="O697" t="s">
        <v>421</v>
      </c>
      <c r="P697" t="s">
        <v>427</v>
      </c>
      <c r="S697" t="s">
        <v>1006</v>
      </c>
      <c r="T697" t="s">
        <v>1688</v>
      </c>
      <c r="U697" t="s">
        <v>219</v>
      </c>
      <c r="W697" t="s">
        <v>1876</v>
      </c>
      <c r="X697" t="s">
        <v>2534</v>
      </c>
      <c r="Y697">
        <v>1</v>
      </c>
      <c r="Z697" t="s">
        <v>3099</v>
      </c>
      <c r="AA697" t="s">
        <v>3135</v>
      </c>
      <c r="AB697">
        <v>10031</v>
      </c>
      <c r="AC697" t="s">
        <v>3139</v>
      </c>
      <c r="AD697" t="s">
        <v>3783</v>
      </c>
      <c r="AE697">
        <v>2</v>
      </c>
      <c r="AG697" t="s">
        <v>4033</v>
      </c>
      <c r="AH697" t="s">
        <v>291</v>
      </c>
      <c r="AI697" t="s">
        <v>291</v>
      </c>
      <c r="AK697" t="s">
        <v>4040</v>
      </c>
      <c r="AL697" t="s">
        <v>4046</v>
      </c>
      <c r="AM697">
        <v>0</v>
      </c>
      <c r="AN697">
        <v>0</v>
      </c>
      <c r="AO697">
        <v>0</v>
      </c>
      <c r="AQ697" t="s">
        <v>4729</v>
      </c>
      <c r="AR697" t="s">
        <v>5597</v>
      </c>
      <c r="AS697">
        <v>0</v>
      </c>
      <c r="AT697" t="s">
        <v>5836</v>
      </c>
      <c r="AU697">
        <v>1</v>
      </c>
      <c r="AV697">
        <v>0</v>
      </c>
      <c r="AW697">
        <v>144.12</v>
      </c>
      <c r="BA697" t="s">
        <v>329</v>
      </c>
      <c r="BB697" t="s">
        <v>1322</v>
      </c>
      <c r="BC697">
        <v>18000</v>
      </c>
      <c r="BG697" t="s">
        <v>5914</v>
      </c>
      <c r="BJ697" t="s">
        <v>5955</v>
      </c>
    </row>
    <row r="698" spans="1:64">
      <c r="A698" s="1">
        <f>HYPERLINK("https://lsnyc.legalserver.org/matter/dynamic-profile/view/1906844","19-1906844")</f>
        <v>0</v>
      </c>
      <c r="B698" t="s">
        <v>66</v>
      </c>
      <c r="C698" t="s">
        <v>169</v>
      </c>
      <c r="D698" t="s">
        <v>200</v>
      </c>
      <c r="E698" t="s">
        <v>202</v>
      </c>
      <c r="F698" t="s">
        <v>240</v>
      </c>
      <c r="G698" t="s">
        <v>202</v>
      </c>
      <c r="H698" t="s">
        <v>271</v>
      </c>
      <c r="I698" t="s">
        <v>202</v>
      </c>
      <c r="J698" t="s">
        <v>289</v>
      </c>
      <c r="K698" t="s">
        <v>292</v>
      </c>
      <c r="M698" t="s">
        <v>290</v>
      </c>
      <c r="N698" t="s">
        <v>202</v>
      </c>
      <c r="O698" t="s">
        <v>421</v>
      </c>
      <c r="P698" t="s">
        <v>427</v>
      </c>
      <c r="S698" t="s">
        <v>1007</v>
      </c>
      <c r="T698" t="s">
        <v>1689</v>
      </c>
      <c r="U698" t="s">
        <v>240</v>
      </c>
      <c r="W698" t="s">
        <v>1876</v>
      </c>
      <c r="X698" t="s">
        <v>2535</v>
      </c>
      <c r="Y698">
        <v>84</v>
      </c>
      <c r="Z698" t="s">
        <v>3099</v>
      </c>
      <c r="AA698" t="s">
        <v>3135</v>
      </c>
      <c r="AB698">
        <v>10031</v>
      </c>
      <c r="AC698" t="s">
        <v>3139</v>
      </c>
      <c r="AD698" t="s">
        <v>3784</v>
      </c>
      <c r="AE698">
        <v>7</v>
      </c>
      <c r="AG698" t="s">
        <v>4033</v>
      </c>
      <c r="AH698" t="s">
        <v>291</v>
      </c>
      <c r="AI698" t="s">
        <v>291</v>
      </c>
      <c r="AK698" t="s">
        <v>4040</v>
      </c>
      <c r="AL698" t="s">
        <v>4046</v>
      </c>
      <c r="AM698">
        <v>0</v>
      </c>
      <c r="AN698">
        <v>1287.3</v>
      </c>
      <c r="AO698">
        <v>2.1</v>
      </c>
      <c r="AQ698" t="s">
        <v>4730</v>
      </c>
      <c r="AR698" t="s">
        <v>5598</v>
      </c>
      <c r="AS698">
        <v>0</v>
      </c>
      <c r="AT698" t="s">
        <v>5846</v>
      </c>
      <c r="AU698">
        <v>1</v>
      </c>
      <c r="AV698">
        <v>0</v>
      </c>
      <c r="AW698">
        <v>160.13</v>
      </c>
      <c r="BA698" t="s">
        <v>329</v>
      </c>
      <c r="BB698" t="s">
        <v>1322</v>
      </c>
      <c r="BC698">
        <v>20000</v>
      </c>
      <c r="BG698" t="s">
        <v>5914</v>
      </c>
      <c r="BJ698" t="s">
        <v>5951</v>
      </c>
      <c r="BK698" t="s">
        <v>223</v>
      </c>
      <c r="BL698" t="s">
        <v>6056</v>
      </c>
    </row>
    <row r="699" spans="1:64">
      <c r="A699" s="1">
        <f>HYPERLINK("https://lsnyc.legalserver.org/matter/dynamic-profile/view/1909898","19-1909898")</f>
        <v>0</v>
      </c>
      <c r="B699" t="s">
        <v>66</v>
      </c>
      <c r="C699" t="s">
        <v>161</v>
      </c>
      <c r="D699" t="s">
        <v>200</v>
      </c>
      <c r="E699" t="s">
        <v>202</v>
      </c>
      <c r="F699" t="s">
        <v>243</v>
      </c>
      <c r="G699" t="s">
        <v>202</v>
      </c>
      <c r="H699" t="s">
        <v>272</v>
      </c>
      <c r="I699" t="s">
        <v>202</v>
      </c>
      <c r="J699" t="s">
        <v>289</v>
      </c>
      <c r="K699" t="s">
        <v>292</v>
      </c>
      <c r="M699" t="s">
        <v>290</v>
      </c>
      <c r="N699" t="s">
        <v>202</v>
      </c>
      <c r="O699" t="s">
        <v>421</v>
      </c>
      <c r="P699" t="s">
        <v>427</v>
      </c>
      <c r="S699" t="s">
        <v>948</v>
      </c>
      <c r="T699" t="s">
        <v>1690</v>
      </c>
      <c r="U699" t="s">
        <v>243</v>
      </c>
      <c r="W699" t="s">
        <v>1876</v>
      </c>
      <c r="X699" t="s">
        <v>2536</v>
      </c>
      <c r="Y699">
        <v>64</v>
      </c>
      <c r="Z699" t="s">
        <v>3099</v>
      </c>
      <c r="AA699" t="s">
        <v>3135</v>
      </c>
      <c r="AB699">
        <v>10031</v>
      </c>
      <c r="AD699" t="s">
        <v>3785</v>
      </c>
      <c r="AE699">
        <v>48</v>
      </c>
      <c r="AG699" t="s">
        <v>4033</v>
      </c>
      <c r="AH699" t="s">
        <v>291</v>
      </c>
      <c r="AI699" t="s">
        <v>291</v>
      </c>
      <c r="AK699" t="s">
        <v>4040</v>
      </c>
      <c r="AL699" t="s">
        <v>4046</v>
      </c>
      <c r="AM699">
        <v>0</v>
      </c>
      <c r="AN699">
        <v>977</v>
      </c>
      <c r="AO699">
        <v>0</v>
      </c>
      <c r="AQ699" t="s">
        <v>4731</v>
      </c>
      <c r="AR699" t="s">
        <v>5599</v>
      </c>
      <c r="AS699">
        <v>0</v>
      </c>
      <c r="AT699" t="s">
        <v>5838</v>
      </c>
      <c r="AU699">
        <v>1</v>
      </c>
      <c r="AV699">
        <v>0</v>
      </c>
      <c r="AW699">
        <v>105.68</v>
      </c>
      <c r="BA699" t="s">
        <v>5851</v>
      </c>
      <c r="BB699" t="s">
        <v>1322</v>
      </c>
      <c r="BC699">
        <v>13200</v>
      </c>
      <c r="BG699" t="s">
        <v>5915</v>
      </c>
      <c r="BJ699" t="s">
        <v>5944</v>
      </c>
      <c r="BL699" t="s">
        <v>6056</v>
      </c>
    </row>
    <row r="700" spans="1:64">
      <c r="A700" s="1">
        <f>HYPERLINK("https://lsnyc.legalserver.org/matter/dynamic-profile/view/1908815","19-1908815")</f>
        <v>0</v>
      </c>
      <c r="B700" t="s">
        <v>66</v>
      </c>
      <c r="C700" t="s">
        <v>169</v>
      </c>
      <c r="D700" t="s">
        <v>200</v>
      </c>
      <c r="E700" t="s">
        <v>201</v>
      </c>
      <c r="G700" t="s">
        <v>202</v>
      </c>
      <c r="H700" t="s">
        <v>272</v>
      </c>
      <c r="I700" t="s">
        <v>202</v>
      </c>
      <c r="J700" t="s">
        <v>289</v>
      </c>
      <c r="K700" t="s">
        <v>292</v>
      </c>
      <c r="M700" t="s">
        <v>290</v>
      </c>
      <c r="N700" t="s">
        <v>202</v>
      </c>
      <c r="O700" t="s">
        <v>421</v>
      </c>
      <c r="P700" t="s">
        <v>427</v>
      </c>
      <c r="S700" t="s">
        <v>1008</v>
      </c>
      <c r="T700" t="s">
        <v>1242</v>
      </c>
      <c r="U700" t="s">
        <v>219</v>
      </c>
      <c r="W700" t="s">
        <v>1876</v>
      </c>
      <c r="X700" t="s">
        <v>2537</v>
      </c>
      <c r="Y700">
        <v>51</v>
      </c>
      <c r="Z700" t="s">
        <v>3099</v>
      </c>
      <c r="AA700" t="s">
        <v>3135</v>
      </c>
      <c r="AB700">
        <v>10025</v>
      </c>
      <c r="AC700" t="s">
        <v>3139</v>
      </c>
      <c r="AD700" t="s">
        <v>3786</v>
      </c>
      <c r="AE700">
        <v>1</v>
      </c>
      <c r="AG700" t="s">
        <v>4033</v>
      </c>
      <c r="AH700" t="s">
        <v>291</v>
      </c>
      <c r="AI700" t="s">
        <v>291</v>
      </c>
      <c r="AK700" t="s">
        <v>4040</v>
      </c>
      <c r="AM700">
        <v>0</v>
      </c>
      <c r="AN700">
        <v>1518</v>
      </c>
      <c r="AO700">
        <v>0</v>
      </c>
      <c r="AQ700" t="s">
        <v>4732</v>
      </c>
      <c r="AR700" t="s">
        <v>5600</v>
      </c>
      <c r="AS700">
        <v>0</v>
      </c>
      <c r="AT700" t="s">
        <v>5840</v>
      </c>
      <c r="AU700">
        <v>1</v>
      </c>
      <c r="AV700">
        <v>2</v>
      </c>
      <c r="AW700">
        <v>26.33</v>
      </c>
      <c r="BA700" t="s">
        <v>5850</v>
      </c>
      <c r="BB700" t="s">
        <v>1322</v>
      </c>
      <c r="BC700">
        <v>5616</v>
      </c>
      <c r="BG700" t="s">
        <v>5914</v>
      </c>
      <c r="BJ700" t="s">
        <v>5944</v>
      </c>
      <c r="BL700" t="s">
        <v>6056</v>
      </c>
    </row>
    <row r="701" spans="1:64">
      <c r="A701" s="1">
        <f>HYPERLINK("https://lsnyc.legalserver.org/matter/dynamic-profile/view/1909901","19-1909901")</f>
        <v>0</v>
      </c>
      <c r="B701" t="s">
        <v>66</v>
      </c>
      <c r="C701" t="s">
        <v>161</v>
      </c>
      <c r="D701" t="s">
        <v>200</v>
      </c>
      <c r="E701" t="s">
        <v>202</v>
      </c>
      <c r="F701" t="s">
        <v>243</v>
      </c>
      <c r="G701" t="s">
        <v>202</v>
      </c>
      <c r="H701" t="s">
        <v>272</v>
      </c>
      <c r="I701" t="s">
        <v>202</v>
      </c>
      <c r="J701" t="s">
        <v>289</v>
      </c>
      <c r="K701" t="s">
        <v>292</v>
      </c>
      <c r="M701" t="s">
        <v>290</v>
      </c>
      <c r="N701" t="s">
        <v>202</v>
      </c>
      <c r="O701" t="s">
        <v>421</v>
      </c>
      <c r="P701" t="s">
        <v>427</v>
      </c>
      <c r="S701" t="s">
        <v>1009</v>
      </c>
      <c r="T701" t="s">
        <v>1691</v>
      </c>
      <c r="U701" t="s">
        <v>243</v>
      </c>
      <c r="W701" t="s">
        <v>1876</v>
      </c>
      <c r="X701" t="s">
        <v>2538</v>
      </c>
      <c r="Z701" t="s">
        <v>3099</v>
      </c>
      <c r="AA701" t="s">
        <v>3135</v>
      </c>
      <c r="AB701">
        <v>10027</v>
      </c>
      <c r="AC701" t="s">
        <v>3136</v>
      </c>
      <c r="AD701" t="s">
        <v>3787</v>
      </c>
      <c r="AE701">
        <v>23</v>
      </c>
      <c r="AG701" t="s">
        <v>4033</v>
      </c>
      <c r="AH701" t="s">
        <v>291</v>
      </c>
      <c r="AI701" t="s">
        <v>291</v>
      </c>
      <c r="AK701" t="s">
        <v>4040</v>
      </c>
      <c r="AL701" t="s">
        <v>4046</v>
      </c>
      <c r="AM701">
        <v>0</v>
      </c>
      <c r="AN701">
        <v>754</v>
      </c>
      <c r="AO701">
        <v>0</v>
      </c>
      <c r="AQ701" t="s">
        <v>4733</v>
      </c>
      <c r="AR701" t="s">
        <v>5601</v>
      </c>
      <c r="AS701">
        <v>21</v>
      </c>
      <c r="AT701" t="s">
        <v>5838</v>
      </c>
      <c r="AU701">
        <v>1</v>
      </c>
      <c r="AV701">
        <v>0</v>
      </c>
      <c r="AW701">
        <v>0</v>
      </c>
      <c r="BA701" t="s">
        <v>329</v>
      </c>
      <c r="BB701" t="s">
        <v>1322</v>
      </c>
      <c r="BC701">
        <v>0</v>
      </c>
      <c r="BG701" t="s">
        <v>5914</v>
      </c>
      <c r="BJ701" t="s">
        <v>5945</v>
      </c>
      <c r="BL701" t="s">
        <v>6056</v>
      </c>
    </row>
    <row r="702" spans="1:64">
      <c r="A702" s="1">
        <f>HYPERLINK("https://lsnyc.legalserver.org/matter/dynamic-profile/view/1907565","19-1907565")</f>
        <v>0</v>
      </c>
      <c r="B702" t="s">
        <v>67</v>
      </c>
      <c r="C702" t="s">
        <v>170</v>
      </c>
      <c r="D702" t="s">
        <v>200</v>
      </c>
      <c r="E702" t="s">
        <v>202</v>
      </c>
      <c r="F702" t="s">
        <v>254</v>
      </c>
      <c r="G702" t="s">
        <v>202</v>
      </c>
      <c r="H702" t="s">
        <v>271</v>
      </c>
      <c r="I702" t="s">
        <v>202</v>
      </c>
      <c r="J702" t="s">
        <v>289</v>
      </c>
      <c r="K702" t="s">
        <v>292</v>
      </c>
      <c r="M702" t="s">
        <v>290</v>
      </c>
      <c r="N702" t="s">
        <v>202</v>
      </c>
      <c r="O702" t="s">
        <v>422</v>
      </c>
      <c r="P702" t="s">
        <v>428</v>
      </c>
      <c r="S702" t="s">
        <v>1010</v>
      </c>
      <c r="T702" t="s">
        <v>1692</v>
      </c>
      <c r="U702" t="s">
        <v>254</v>
      </c>
      <c r="V702" t="s">
        <v>219</v>
      </c>
      <c r="W702" t="s">
        <v>1877</v>
      </c>
      <c r="X702" t="s">
        <v>2539</v>
      </c>
      <c r="Y702">
        <v>2</v>
      </c>
      <c r="Z702" t="s">
        <v>3100</v>
      </c>
      <c r="AA702" t="s">
        <v>3135</v>
      </c>
      <c r="AB702">
        <v>11368</v>
      </c>
      <c r="AC702" t="s">
        <v>3136</v>
      </c>
      <c r="AD702" t="s">
        <v>3788</v>
      </c>
      <c r="AE702">
        <v>9</v>
      </c>
      <c r="AF702" t="s">
        <v>4023</v>
      </c>
      <c r="AG702" t="s">
        <v>4034</v>
      </c>
      <c r="AH702" t="s">
        <v>291</v>
      </c>
      <c r="AI702" t="s">
        <v>291</v>
      </c>
      <c r="AK702" t="s">
        <v>4040</v>
      </c>
      <c r="AL702" t="s">
        <v>4046</v>
      </c>
      <c r="AM702">
        <v>0</v>
      </c>
      <c r="AN702">
        <v>1647</v>
      </c>
      <c r="AO702">
        <v>0.7</v>
      </c>
      <c r="AP702" t="s">
        <v>4052</v>
      </c>
      <c r="AQ702" t="s">
        <v>4734</v>
      </c>
      <c r="AR702" t="s">
        <v>5602</v>
      </c>
      <c r="AS702">
        <v>2</v>
      </c>
      <c r="AT702" t="s">
        <v>5836</v>
      </c>
      <c r="AU702">
        <v>2</v>
      </c>
      <c r="AV702">
        <v>1</v>
      </c>
      <c r="AW702">
        <v>174.66</v>
      </c>
      <c r="BA702" t="s">
        <v>5850</v>
      </c>
      <c r="BB702" t="s">
        <v>1322</v>
      </c>
      <c r="BC702">
        <v>37255.4</v>
      </c>
      <c r="BG702" t="s">
        <v>5922</v>
      </c>
      <c r="BJ702" t="s">
        <v>5949</v>
      </c>
      <c r="BK702" t="s">
        <v>219</v>
      </c>
      <c r="BL702" t="s">
        <v>6056</v>
      </c>
    </row>
    <row r="703" spans="1:64">
      <c r="A703" s="1">
        <f>HYPERLINK("https://lsnyc.legalserver.org/matter/dynamic-profile/view/1908346","19-1908346")</f>
        <v>0</v>
      </c>
      <c r="B703" t="s">
        <v>67</v>
      </c>
      <c r="C703" t="s">
        <v>171</v>
      </c>
      <c r="D703" t="s">
        <v>200</v>
      </c>
      <c r="E703" t="s">
        <v>202</v>
      </c>
      <c r="F703" t="s">
        <v>225</v>
      </c>
      <c r="G703" t="s">
        <v>202</v>
      </c>
      <c r="H703" t="s">
        <v>271</v>
      </c>
      <c r="I703" t="s">
        <v>202</v>
      </c>
      <c r="J703" t="s">
        <v>289</v>
      </c>
      <c r="K703" t="s">
        <v>202</v>
      </c>
      <c r="L703" t="s">
        <v>383</v>
      </c>
      <c r="M703" t="s">
        <v>290</v>
      </c>
      <c r="N703" t="s">
        <v>419</v>
      </c>
      <c r="O703" t="s">
        <v>420</v>
      </c>
      <c r="P703" t="s">
        <v>427</v>
      </c>
      <c r="S703" t="s">
        <v>1011</v>
      </c>
      <c r="T703" t="s">
        <v>1693</v>
      </c>
      <c r="U703" t="s">
        <v>218</v>
      </c>
      <c r="W703" t="s">
        <v>1876</v>
      </c>
      <c r="X703" t="s">
        <v>2540</v>
      </c>
      <c r="Y703" t="s">
        <v>2797</v>
      </c>
      <c r="Z703" t="s">
        <v>3101</v>
      </c>
      <c r="AA703" t="s">
        <v>3135</v>
      </c>
      <c r="AB703">
        <v>11417</v>
      </c>
      <c r="AC703" t="s">
        <v>3136</v>
      </c>
      <c r="AD703" t="s">
        <v>3789</v>
      </c>
      <c r="AE703">
        <v>0</v>
      </c>
      <c r="AG703" t="s">
        <v>4034</v>
      </c>
      <c r="AH703" t="s">
        <v>291</v>
      </c>
      <c r="AI703" t="s">
        <v>291</v>
      </c>
      <c r="AK703" t="s">
        <v>4040</v>
      </c>
      <c r="AM703">
        <v>0</v>
      </c>
      <c r="AN703">
        <v>2150</v>
      </c>
      <c r="AO703">
        <v>0.5</v>
      </c>
      <c r="AQ703" t="s">
        <v>4735</v>
      </c>
      <c r="AS703">
        <v>2</v>
      </c>
      <c r="AT703" t="s">
        <v>5835</v>
      </c>
      <c r="AU703">
        <v>1</v>
      </c>
      <c r="AV703">
        <v>1</v>
      </c>
      <c r="AW703">
        <v>0</v>
      </c>
      <c r="BB703" t="s">
        <v>1322</v>
      </c>
      <c r="BC703">
        <v>0</v>
      </c>
      <c r="BG703" t="s">
        <v>5923</v>
      </c>
      <c r="BJ703" t="s">
        <v>5965</v>
      </c>
      <c r="BK703" t="s">
        <v>218</v>
      </c>
      <c r="BL703" t="s">
        <v>6056</v>
      </c>
    </row>
    <row r="704" spans="1:64">
      <c r="A704" s="1">
        <f>HYPERLINK("https://lsnyc.legalserver.org/matter/dynamic-profile/view/1905332","19-1905332")</f>
        <v>0</v>
      </c>
      <c r="B704" t="s">
        <v>67</v>
      </c>
      <c r="C704" t="s">
        <v>171</v>
      </c>
      <c r="D704" t="s">
        <v>200</v>
      </c>
      <c r="E704" t="s">
        <v>202</v>
      </c>
      <c r="F704" t="s">
        <v>261</v>
      </c>
      <c r="G704" t="s">
        <v>202</v>
      </c>
      <c r="H704" t="s">
        <v>271</v>
      </c>
      <c r="I704" t="s">
        <v>202</v>
      </c>
      <c r="J704" t="s">
        <v>289</v>
      </c>
      <c r="K704" t="s">
        <v>292</v>
      </c>
      <c r="M704" t="s">
        <v>290</v>
      </c>
      <c r="N704" t="s">
        <v>202</v>
      </c>
      <c r="O704" t="s">
        <v>422</v>
      </c>
      <c r="P704" t="s">
        <v>427</v>
      </c>
      <c r="S704" t="s">
        <v>1012</v>
      </c>
      <c r="T704" t="s">
        <v>1694</v>
      </c>
      <c r="U704" t="s">
        <v>214</v>
      </c>
      <c r="W704" t="s">
        <v>1876</v>
      </c>
      <c r="X704" t="s">
        <v>2541</v>
      </c>
      <c r="Y704" t="s">
        <v>2782</v>
      </c>
      <c r="Z704" t="s">
        <v>3102</v>
      </c>
      <c r="AA704" t="s">
        <v>3135</v>
      </c>
      <c r="AB704">
        <v>11377</v>
      </c>
      <c r="AC704" t="s">
        <v>3136</v>
      </c>
      <c r="AD704" t="s">
        <v>3790</v>
      </c>
      <c r="AE704">
        <v>9</v>
      </c>
      <c r="AG704" t="s">
        <v>4034</v>
      </c>
      <c r="AH704" t="s">
        <v>291</v>
      </c>
      <c r="AI704" t="s">
        <v>291</v>
      </c>
      <c r="AK704" t="s">
        <v>4040</v>
      </c>
      <c r="AL704" t="s">
        <v>4046</v>
      </c>
      <c r="AM704">
        <v>0</v>
      </c>
      <c r="AN704">
        <v>1850</v>
      </c>
      <c r="AO704">
        <v>1.95</v>
      </c>
      <c r="AQ704" t="s">
        <v>4736</v>
      </c>
      <c r="AR704" t="s">
        <v>5603</v>
      </c>
      <c r="AS704">
        <v>2</v>
      </c>
      <c r="AT704" t="s">
        <v>5835</v>
      </c>
      <c r="AU704">
        <v>3</v>
      </c>
      <c r="AV704">
        <v>1</v>
      </c>
      <c r="AW704">
        <v>99.63</v>
      </c>
      <c r="BA704" t="s">
        <v>329</v>
      </c>
      <c r="BB704" t="s">
        <v>5859</v>
      </c>
      <c r="BC704">
        <v>25656</v>
      </c>
      <c r="BG704" t="s">
        <v>5923</v>
      </c>
      <c r="BJ704" t="s">
        <v>6038</v>
      </c>
      <c r="BK704" t="s">
        <v>1874</v>
      </c>
      <c r="BL704" t="s">
        <v>6056</v>
      </c>
    </row>
    <row r="705" spans="1:64">
      <c r="A705" s="1">
        <f>HYPERLINK("https://lsnyc.legalserver.org/matter/dynamic-profile/view/1910047","19-1910047")</f>
        <v>0</v>
      </c>
      <c r="B705" t="s">
        <v>67</v>
      </c>
      <c r="C705" t="s">
        <v>172</v>
      </c>
      <c r="D705" t="s">
        <v>200</v>
      </c>
      <c r="E705" t="s">
        <v>202</v>
      </c>
      <c r="F705" t="s">
        <v>206</v>
      </c>
      <c r="G705" t="s">
        <v>202</v>
      </c>
      <c r="H705" t="s">
        <v>271</v>
      </c>
      <c r="I705" t="s">
        <v>202</v>
      </c>
      <c r="J705" t="s">
        <v>289</v>
      </c>
      <c r="K705" t="s">
        <v>202</v>
      </c>
      <c r="L705" t="s">
        <v>384</v>
      </c>
      <c r="M705" t="s">
        <v>290</v>
      </c>
      <c r="N705" t="s">
        <v>419</v>
      </c>
      <c r="O705" t="s">
        <v>420</v>
      </c>
      <c r="P705" t="s">
        <v>427</v>
      </c>
      <c r="S705" t="s">
        <v>1013</v>
      </c>
      <c r="T705" t="s">
        <v>1695</v>
      </c>
      <c r="U705" t="s">
        <v>206</v>
      </c>
      <c r="W705" t="s">
        <v>1876</v>
      </c>
      <c r="X705" t="s">
        <v>2542</v>
      </c>
      <c r="Z705" t="s">
        <v>3103</v>
      </c>
      <c r="AA705" t="s">
        <v>3135</v>
      </c>
      <c r="AB705">
        <v>11413</v>
      </c>
      <c r="AC705" t="s">
        <v>3136</v>
      </c>
      <c r="AD705" t="s">
        <v>3791</v>
      </c>
      <c r="AE705">
        <v>4</v>
      </c>
      <c r="AG705" t="s">
        <v>4034</v>
      </c>
      <c r="AH705" t="s">
        <v>291</v>
      </c>
      <c r="AI705" t="s">
        <v>291</v>
      </c>
      <c r="AK705" t="s">
        <v>4040</v>
      </c>
      <c r="AM705">
        <v>0</v>
      </c>
      <c r="AN705">
        <v>800</v>
      </c>
      <c r="AO705">
        <v>1.3</v>
      </c>
      <c r="AQ705" t="s">
        <v>4737</v>
      </c>
      <c r="AR705" t="s">
        <v>5604</v>
      </c>
      <c r="AS705">
        <v>1</v>
      </c>
      <c r="AT705" t="s">
        <v>5836</v>
      </c>
      <c r="AU705">
        <v>1</v>
      </c>
      <c r="AV705">
        <v>0</v>
      </c>
      <c r="AW705">
        <v>67.25</v>
      </c>
      <c r="BA705" t="s">
        <v>329</v>
      </c>
      <c r="BB705" t="s">
        <v>1322</v>
      </c>
      <c r="BC705">
        <v>8400</v>
      </c>
      <c r="BG705" t="s">
        <v>5922</v>
      </c>
      <c r="BJ705" t="s">
        <v>5959</v>
      </c>
      <c r="BK705" t="s">
        <v>206</v>
      </c>
      <c r="BL705" t="s">
        <v>6056</v>
      </c>
    </row>
    <row r="706" spans="1:64">
      <c r="A706" s="1">
        <f>HYPERLINK("https://lsnyc.legalserver.org/matter/dynamic-profile/view/1908640","19-1908640")</f>
        <v>0</v>
      </c>
      <c r="B706" t="s">
        <v>67</v>
      </c>
      <c r="C706" t="s">
        <v>172</v>
      </c>
      <c r="D706" t="s">
        <v>200</v>
      </c>
      <c r="E706" t="s">
        <v>202</v>
      </c>
      <c r="F706" t="s">
        <v>236</v>
      </c>
      <c r="G706" t="s">
        <v>202</v>
      </c>
      <c r="H706" t="s">
        <v>271</v>
      </c>
      <c r="I706" t="s">
        <v>202</v>
      </c>
      <c r="J706" t="s">
        <v>289</v>
      </c>
      <c r="K706" t="s">
        <v>292</v>
      </c>
      <c r="M706" t="s">
        <v>290</v>
      </c>
      <c r="N706" t="s">
        <v>419</v>
      </c>
      <c r="O706" t="s">
        <v>420</v>
      </c>
      <c r="P706" t="s">
        <v>427</v>
      </c>
      <c r="S706" t="s">
        <v>1014</v>
      </c>
      <c r="T706" t="s">
        <v>1696</v>
      </c>
      <c r="U706" t="s">
        <v>236</v>
      </c>
      <c r="W706" t="s">
        <v>1876</v>
      </c>
      <c r="X706" t="s">
        <v>2543</v>
      </c>
      <c r="Y706" t="s">
        <v>3042</v>
      </c>
      <c r="Z706" t="s">
        <v>3104</v>
      </c>
      <c r="AA706" t="s">
        <v>3135</v>
      </c>
      <c r="AB706">
        <v>11378</v>
      </c>
      <c r="AC706" t="s">
        <v>3136</v>
      </c>
      <c r="AD706" t="s">
        <v>3792</v>
      </c>
      <c r="AE706">
        <v>0</v>
      </c>
      <c r="AG706" t="s">
        <v>4034</v>
      </c>
      <c r="AH706" t="s">
        <v>291</v>
      </c>
      <c r="AI706" t="s">
        <v>291</v>
      </c>
      <c r="AK706" t="s">
        <v>4040</v>
      </c>
      <c r="AM706">
        <v>0</v>
      </c>
      <c r="AN706">
        <v>1800</v>
      </c>
      <c r="AO706">
        <v>1.3</v>
      </c>
      <c r="AQ706" t="s">
        <v>4483</v>
      </c>
      <c r="AR706" t="s">
        <v>5605</v>
      </c>
      <c r="AS706">
        <v>0</v>
      </c>
      <c r="AT706" t="s">
        <v>5836</v>
      </c>
      <c r="AU706">
        <v>4</v>
      </c>
      <c r="AV706">
        <v>1</v>
      </c>
      <c r="AW706">
        <v>147.17</v>
      </c>
      <c r="BA706" t="s">
        <v>329</v>
      </c>
      <c r="BB706" t="s">
        <v>1322</v>
      </c>
      <c r="BC706">
        <v>44400</v>
      </c>
      <c r="BG706" t="s">
        <v>5922</v>
      </c>
      <c r="BJ706" t="s">
        <v>5949</v>
      </c>
      <c r="BK706" t="s">
        <v>236</v>
      </c>
      <c r="BL706" t="s">
        <v>6056</v>
      </c>
    </row>
    <row r="707" spans="1:64">
      <c r="A707" s="1">
        <f>HYPERLINK("https://lsnyc.legalserver.org/matter/dynamic-profile/view/1907327","19-1907327")</f>
        <v>0</v>
      </c>
      <c r="B707" t="s">
        <v>67</v>
      </c>
      <c r="C707" t="s">
        <v>171</v>
      </c>
      <c r="D707" t="s">
        <v>200</v>
      </c>
      <c r="E707" t="s">
        <v>201</v>
      </c>
      <c r="G707" t="s">
        <v>202</v>
      </c>
      <c r="H707" t="s">
        <v>272</v>
      </c>
      <c r="I707" t="s">
        <v>202</v>
      </c>
      <c r="J707" t="s">
        <v>289</v>
      </c>
      <c r="K707" t="s">
        <v>292</v>
      </c>
      <c r="M707" t="s">
        <v>290</v>
      </c>
      <c r="N707" t="s">
        <v>202</v>
      </c>
      <c r="O707" t="s">
        <v>422</v>
      </c>
      <c r="P707" t="s">
        <v>427</v>
      </c>
      <c r="S707" t="s">
        <v>726</v>
      </c>
      <c r="T707" t="s">
        <v>1474</v>
      </c>
      <c r="U707" t="s">
        <v>235</v>
      </c>
      <c r="W707" t="s">
        <v>1876</v>
      </c>
      <c r="X707" t="s">
        <v>2544</v>
      </c>
      <c r="Y707" t="s">
        <v>2941</v>
      </c>
      <c r="Z707" t="s">
        <v>3105</v>
      </c>
      <c r="AA707" t="s">
        <v>3135</v>
      </c>
      <c r="AB707">
        <v>11106</v>
      </c>
      <c r="AC707" t="s">
        <v>3136</v>
      </c>
      <c r="AD707" t="s">
        <v>3793</v>
      </c>
      <c r="AE707">
        <v>20</v>
      </c>
      <c r="AG707" t="s">
        <v>4034</v>
      </c>
      <c r="AH707" t="s">
        <v>291</v>
      </c>
      <c r="AI707" t="s">
        <v>291</v>
      </c>
      <c r="AK707" t="s">
        <v>4041</v>
      </c>
      <c r="AM707">
        <v>0</v>
      </c>
      <c r="AN707">
        <v>560</v>
      </c>
      <c r="AO707">
        <v>2.43</v>
      </c>
      <c r="AQ707" t="s">
        <v>4738</v>
      </c>
      <c r="AR707" t="s">
        <v>5606</v>
      </c>
      <c r="AS707">
        <v>48</v>
      </c>
      <c r="AT707" t="s">
        <v>5841</v>
      </c>
      <c r="AU707">
        <v>2</v>
      </c>
      <c r="AV707">
        <v>0</v>
      </c>
      <c r="AW707">
        <v>107.63</v>
      </c>
      <c r="BA707" t="s">
        <v>329</v>
      </c>
      <c r="BB707" t="s">
        <v>1322</v>
      </c>
      <c r="BC707">
        <v>18200</v>
      </c>
      <c r="BG707" t="s">
        <v>5923</v>
      </c>
      <c r="BJ707" t="s">
        <v>5949</v>
      </c>
      <c r="BK707" t="s">
        <v>225</v>
      </c>
      <c r="BL707" t="s">
        <v>6056</v>
      </c>
    </row>
    <row r="708" spans="1:64">
      <c r="A708" s="1">
        <f>HYPERLINK("https://lsnyc.legalserver.org/matter/dynamic-profile/view/1905238","19-1905238")</f>
        <v>0</v>
      </c>
      <c r="B708" t="s">
        <v>67</v>
      </c>
      <c r="C708" t="s">
        <v>171</v>
      </c>
      <c r="D708" t="s">
        <v>200</v>
      </c>
      <c r="E708" t="s">
        <v>202</v>
      </c>
      <c r="F708" t="s">
        <v>231</v>
      </c>
      <c r="G708" t="s">
        <v>202</v>
      </c>
      <c r="H708" t="s">
        <v>271</v>
      </c>
      <c r="I708" t="s">
        <v>202</v>
      </c>
      <c r="J708" t="s">
        <v>289</v>
      </c>
      <c r="K708" t="s">
        <v>292</v>
      </c>
      <c r="M708" t="s">
        <v>290</v>
      </c>
      <c r="N708" t="s">
        <v>202</v>
      </c>
      <c r="O708" t="s">
        <v>422</v>
      </c>
      <c r="P708" t="s">
        <v>427</v>
      </c>
      <c r="S708" t="s">
        <v>1015</v>
      </c>
      <c r="T708" t="s">
        <v>1697</v>
      </c>
      <c r="U708" t="s">
        <v>231</v>
      </c>
      <c r="W708" t="s">
        <v>1876</v>
      </c>
      <c r="X708" t="s">
        <v>2545</v>
      </c>
      <c r="Y708" t="s">
        <v>3042</v>
      </c>
      <c r="Z708" t="s">
        <v>3106</v>
      </c>
      <c r="AA708" t="s">
        <v>3135</v>
      </c>
      <c r="AB708">
        <v>11356</v>
      </c>
      <c r="AC708" t="s">
        <v>3136</v>
      </c>
      <c r="AD708" t="s">
        <v>3794</v>
      </c>
      <c r="AE708">
        <v>1</v>
      </c>
      <c r="AG708" t="s">
        <v>4034</v>
      </c>
      <c r="AH708" t="s">
        <v>291</v>
      </c>
      <c r="AI708" t="s">
        <v>291</v>
      </c>
      <c r="AK708" t="s">
        <v>4040</v>
      </c>
      <c r="AL708" t="s">
        <v>4047</v>
      </c>
      <c r="AM708">
        <v>0</v>
      </c>
      <c r="AN708">
        <v>3200</v>
      </c>
      <c r="AO708">
        <v>1.67</v>
      </c>
      <c r="AQ708" t="s">
        <v>4739</v>
      </c>
      <c r="AR708" t="s">
        <v>5607</v>
      </c>
      <c r="AS708">
        <v>2</v>
      </c>
      <c r="AT708" t="s">
        <v>5836</v>
      </c>
      <c r="AU708">
        <v>3</v>
      </c>
      <c r="AV708">
        <v>4</v>
      </c>
      <c r="AW708">
        <v>66.65000000000001</v>
      </c>
      <c r="BA708" t="s">
        <v>329</v>
      </c>
      <c r="BB708" t="s">
        <v>1322</v>
      </c>
      <c r="BC708">
        <v>26000</v>
      </c>
      <c r="BG708" t="s">
        <v>5922</v>
      </c>
      <c r="BJ708" t="s">
        <v>5949</v>
      </c>
      <c r="BK708" t="s">
        <v>261</v>
      </c>
      <c r="BL708" t="s">
        <v>6056</v>
      </c>
    </row>
    <row r="709" spans="1:64">
      <c r="A709" s="1">
        <f>HYPERLINK("https://lsnyc.legalserver.org/matter/dynamic-profile/view/1905844","19-1905844")</f>
        <v>0</v>
      </c>
      <c r="B709" t="s">
        <v>67</v>
      </c>
      <c r="C709" t="s">
        <v>170</v>
      </c>
      <c r="D709" t="s">
        <v>200</v>
      </c>
      <c r="E709" t="s">
        <v>202</v>
      </c>
      <c r="F709" t="s">
        <v>262</v>
      </c>
      <c r="G709" t="s">
        <v>202</v>
      </c>
      <c r="H709" t="s">
        <v>272</v>
      </c>
      <c r="I709" t="s">
        <v>202</v>
      </c>
      <c r="J709" t="s">
        <v>289</v>
      </c>
      <c r="K709" t="s">
        <v>202</v>
      </c>
      <c r="L709" t="s">
        <v>385</v>
      </c>
      <c r="M709" t="s">
        <v>290</v>
      </c>
      <c r="N709" t="s">
        <v>419</v>
      </c>
      <c r="O709" t="s">
        <v>420</v>
      </c>
      <c r="P709" t="s">
        <v>427</v>
      </c>
      <c r="S709" t="s">
        <v>1016</v>
      </c>
      <c r="T709" t="s">
        <v>1698</v>
      </c>
      <c r="U709" t="s">
        <v>262</v>
      </c>
      <c r="W709" t="s">
        <v>1876</v>
      </c>
      <c r="X709" t="s">
        <v>2546</v>
      </c>
      <c r="Y709" t="s">
        <v>2881</v>
      </c>
      <c r="Z709" t="s">
        <v>3100</v>
      </c>
      <c r="AA709" t="s">
        <v>3135</v>
      </c>
      <c r="AB709">
        <v>11368</v>
      </c>
      <c r="AC709" t="s">
        <v>3136</v>
      </c>
      <c r="AD709" t="s">
        <v>3795</v>
      </c>
      <c r="AE709">
        <v>10</v>
      </c>
      <c r="AG709" t="s">
        <v>4034</v>
      </c>
      <c r="AH709" t="s">
        <v>291</v>
      </c>
      <c r="AI709" t="s">
        <v>291</v>
      </c>
      <c r="AK709" t="s">
        <v>4040</v>
      </c>
      <c r="AL709" t="s">
        <v>4048</v>
      </c>
      <c r="AM709">
        <v>0</v>
      </c>
      <c r="AN709">
        <v>1888</v>
      </c>
      <c r="AO709">
        <v>0.3</v>
      </c>
      <c r="AQ709" t="s">
        <v>4740</v>
      </c>
      <c r="AR709" t="s">
        <v>5608</v>
      </c>
      <c r="AS709">
        <v>180</v>
      </c>
      <c r="AT709" t="s">
        <v>5836</v>
      </c>
      <c r="AU709">
        <v>2</v>
      </c>
      <c r="AV709">
        <v>0</v>
      </c>
      <c r="AW709">
        <v>193.87</v>
      </c>
      <c r="BA709" t="s">
        <v>5851</v>
      </c>
      <c r="BB709" t="s">
        <v>1322</v>
      </c>
      <c r="BC709">
        <v>32784</v>
      </c>
      <c r="BG709" t="s">
        <v>5922</v>
      </c>
      <c r="BJ709" t="s">
        <v>6039</v>
      </c>
      <c r="BK709" t="s">
        <v>262</v>
      </c>
      <c r="BL709" t="s">
        <v>6056</v>
      </c>
    </row>
    <row r="710" spans="1:64">
      <c r="A710" s="1">
        <f>HYPERLINK("https://lsnyc.legalserver.org/matter/dynamic-profile/view/1909294","19-1909294")</f>
        <v>0</v>
      </c>
      <c r="B710" t="s">
        <v>67</v>
      </c>
      <c r="C710" t="s">
        <v>170</v>
      </c>
      <c r="D710" t="s">
        <v>200</v>
      </c>
      <c r="E710" t="s">
        <v>202</v>
      </c>
      <c r="F710" t="s">
        <v>263</v>
      </c>
      <c r="G710" t="s">
        <v>202</v>
      </c>
      <c r="H710" t="s">
        <v>271</v>
      </c>
      <c r="I710" t="s">
        <v>202</v>
      </c>
      <c r="J710" t="s">
        <v>289</v>
      </c>
      <c r="K710" t="s">
        <v>292</v>
      </c>
      <c r="M710" t="s">
        <v>290</v>
      </c>
      <c r="N710" t="s">
        <v>202</v>
      </c>
      <c r="O710" t="s">
        <v>422</v>
      </c>
      <c r="P710" t="s">
        <v>428</v>
      </c>
      <c r="S710" t="s">
        <v>1017</v>
      </c>
      <c r="T710" t="s">
        <v>1465</v>
      </c>
      <c r="U710" t="s">
        <v>263</v>
      </c>
      <c r="V710" t="s">
        <v>266</v>
      </c>
      <c r="W710" t="s">
        <v>1877</v>
      </c>
      <c r="X710" t="s">
        <v>2547</v>
      </c>
      <c r="Y710" t="s">
        <v>3043</v>
      </c>
      <c r="Z710" t="s">
        <v>3107</v>
      </c>
      <c r="AA710" t="s">
        <v>3135</v>
      </c>
      <c r="AB710">
        <v>11426</v>
      </c>
      <c r="AC710" t="s">
        <v>3136</v>
      </c>
      <c r="AD710" t="s">
        <v>3796</v>
      </c>
      <c r="AE710">
        <v>10</v>
      </c>
      <c r="AF710" t="s">
        <v>4023</v>
      </c>
      <c r="AG710" t="s">
        <v>4034</v>
      </c>
      <c r="AH710" t="s">
        <v>291</v>
      </c>
      <c r="AI710" t="s">
        <v>291</v>
      </c>
      <c r="AK710" t="s">
        <v>4040</v>
      </c>
      <c r="AL710" t="s">
        <v>4046</v>
      </c>
      <c r="AM710">
        <v>0</v>
      </c>
      <c r="AN710">
        <v>1750</v>
      </c>
      <c r="AO710">
        <v>0.75</v>
      </c>
      <c r="AP710" t="s">
        <v>4052</v>
      </c>
      <c r="AQ710" t="s">
        <v>4741</v>
      </c>
      <c r="AR710" t="s">
        <v>5609</v>
      </c>
      <c r="AS710">
        <v>2</v>
      </c>
      <c r="AT710" t="s">
        <v>5836</v>
      </c>
      <c r="AU710">
        <v>4</v>
      </c>
      <c r="AV710">
        <v>0</v>
      </c>
      <c r="AW710">
        <v>54.24</v>
      </c>
      <c r="BA710" t="s">
        <v>329</v>
      </c>
      <c r="BB710" t="s">
        <v>5859</v>
      </c>
      <c r="BC710">
        <v>13968</v>
      </c>
      <c r="BG710" t="s">
        <v>5922</v>
      </c>
      <c r="BJ710" t="s">
        <v>5968</v>
      </c>
      <c r="BK710" t="s">
        <v>266</v>
      </c>
      <c r="BL710" t="s">
        <v>6056</v>
      </c>
    </row>
    <row r="711" spans="1:64">
      <c r="A711" s="1">
        <f>HYPERLINK("https://lsnyc.legalserver.org/matter/dynamic-profile/view/1908284","19-1908284")</f>
        <v>0</v>
      </c>
      <c r="B711" t="s">
        <v>67</v>
      </c>
      <c r="C711" t="s">
        <v>170</v>
      </c>
      <c r="D711" t="s">
        <v>200</v>
      </c>
      <c r="E711" t="s">
        <v>202</v>
      </c>
      <c r="F711" t="s">
        <v>225</v>
      </c>
      <c r="G711" t="s">
        <v>202</v>
      </c>
      <c r="H711" t="s">
        <v>271</v>
      </c>
      <c r="I711" t="s">
        <v>202</v>
      </c>
      <c r="J711" t="s">
        <v>289</v>
      </c>
      <c r="K711" t="s">
        <v>202</v>
      </c>
      <c r="L711" t="s">
        <v>386</v>
      </c>
      <c r="M711" t="s">
        <v>290</v>
      </c>
      <c r="N711" t="s">
        <v>419</v>
      </c>
      <c r="O711" t="s">
        <v>420</v>
      </c>
      <c r="P711" t="s">
        <v>427</v>
      </c>
      <c r="S711" t="s">
        <v>1018</v>
      </c>
      <c r="T711" t="s">
        <v>1699</v>
      </c>
      <c r="U711" t="s">
        <v>225</v>
      </c>
      <c r="W711" t="s">
        <v>1876</v>
      </c>
      <c r="X711" t="s">
        <v>2548</v>
      </c>
      <c r="Y711" t="s">
        <v>3042</v>
      </c>
      <c r="Z711" t="s">
        <v>3108</v>
      </c>
      <c r="AA711" t="s">
        <v>3135</v>
      </c>
      <c r="AB711">
        <v>11420</v>
      </c>
      <c r="AC711" t="s">
        <v>3136</v>
      </c>
      <c r="AD711" t="s">
        <v>3797</v>
      </c>
      <c r="AE711">
        <v>1</v>
      </c>
      <c r="AG711" t="s">
        <v>4034</v>
      </c>
      <c r="AH711" t="s">
        <v>291</v>
      </c>
      <c r="AI711" t="s">
        <v>291</v>
      </c>
      <c r="AK711" t="s">
        <v>4040</v>
      </c>
      <c r="AM711">
        <v>0</v>
      </c>
      <c r="AN711">
        <v>2500</v>
      </c>
      <c r="AO711">
        <v>0.7</v>
      </c>
      <c r="AQ711" t="s">
        <v>4742</v>
      </c>
      <c r="AR711" t="s">
        <v>5610</v>
      </c>
      <c r="AS711">
        <v>2</v>
      </c>
      <c r="AT711" t="s">
        <v>5836</v>
      </c>
      <c r="AU711">
        <v>2</v>
      </c>
      <c r="AV711">
        <v>2</v>
      </c>
      <c r="AW711">
        <v>97.09</v>
      </c>
      <c r="BA711" t="s">
        <v>329</v>
      </c>
      <c r="BB711" t="s">
        <v>1322</v>
      </c>
      <c r="BC711">
        <v>25000</v>
      </c>
      <c r="BG711" t="s">
        <v>5922</v>
      </c>
      <c r="BJ711" t="s">
        <v>5950</v>
      </c>
      <c r="BK711" t="s">
        <v>222</v>
      </c>
      <c r="BL711" t="s">
        <v>6056</v>
      </c>
    </row>
    <row r="712" spans="1:64">
      <c r="A712" s="1">
        <f>HYPERLINK("https://lsnyc.legalserver.org/matter/dynamic-profile/view/1903921","19-1903921")</f>
        <v>0</v>
      </c>
      <c r="B712" t="s">
        <v>67</v>
      </c>
      <c r="C712" t="s">
        <v>171</v>
      </c>
      <c r="D712" t="s">
        <v>200</v>
      </c>
      <c r="E712" t="s">
        <v>201</v>
      </c>
      <c r="G712" t="s">
        <v>202</v>
      </c>
      <c r="H712" t="s">
        <v>271</v>
      </c>
      <c r="I712" t="s">
        <v>202</v>
      </c>
      <c r="J712" t="s">
        <v>289</v>
      </c>
      <c r="K712" t="s">
        <v>292</v>
      </c>
      <c r="M712" t="s">
        <v>290</v>
      </c>
      <c r="N712" t="s">
        <v>202</v>
      </c>
      <c r="O712" t="s">
        <v>422</v>
      </c>
      <c r="P712" t="s">
        <v>427</v>
      </c>
      <c r="S712" t="s">
        <v>1019</v>
      </c>
      <c r="T712" t="s">
        <v>1700</v>
      </c>
      <c r="U712" t="s">
        <v>229</v>
      </c>
      <c r="W712" t="s">
        <v>1876</v>
      </c>
      <c r="X712" t="s">
        <v>2549</v>
      </c>
      <c r="Y712" t="s">
        <v>2797</v>
      </c>
      <c r="Z712" t="s">
        <v>3101</v>
      </c>
      <c r="AA712" t="s">
        <v>3135</v>
      </c>
      <c r="AB712">
        <v>11416</v>
      </c>
      <c r="AD712" t="s">
        <v>3798</v>
      </c>
      <c r="AE712">
        <v>2</v>
      </c>
      <c r="AG712" t="s">
        <v>4034</v>
      </c>
      <c r="AH712" t="s">
        <v>291</v>
      </c>
      <c r="AI712" t="s">
        <v>291</v>
      </c>
      <c r="AK712" t="s">
        <v>4040</v>
      </c>
      <c r="AL712" t="s">
        <v>4046</v>
      </c>
      <c r="AM712">
        <v>0</v>
      </c>
      <c r="AN712">
        <v>2110</v>
      </c>
      <c r="AO712">
        <v>1.15</v>
      </c>
      <c r="AQ712" t="s">
        <v>4743</v>
      </c>
      <c r="AR712" t="s">
        <v>5611</v>
      </c>
      <c r="AS712">
        <v>3</v>
      </c>
      <c r="AT712" t="s">
        <v>5835</v>
      </c>
      <c r="AU712">
        <v>1</v>
      </c>
      <c r="AV712">
        <v>3</v>
      </c>
      <c r="AW712">
        <v>84.01000000000001</v>
      </c>
      <c r="BA712" t="s">
        <v>5850</v>
      </c>
      <c r="BB712" t="s">
        <v>1322</v>
      </c>
      <c r="BC712">
        <v>21632</v>
      </c>
      <c r="BG712" t="s">
        <v>171</v>
      </c>
      <c r="BJ712" t="s">
        <v>5949</v>
      </c>
      <c r="BK712" t="s">
        <v>241</v>
      </c>
      <c r="BL712" t="s">
        <v>6056</v>
      </c>
    </row>
    <row r="713" spans="1:64">
      <c r="A713" s="1">
        <f>HYPERLINK("https://lsnyc.legalserver.org/matter/dynamic-profile/view/1907540","19-1907540")</f>
        <v>0</v>
      </c>
      <c r="B713" t="s">
        <v>67</v>
      </c>
      <c r="C713" t="s">
        <v>173</v>
      </c>
      <c r="D713" t="s">
        <v>200</v>
      </c>
      <c r="E713" t="s">
        <v>201</v>
      </c>
      <c r="G713" t="s">
        <v>202</v>
      </c>
      <c r="H713" t="s">
        <v>271</v>
      </c>
      <c r="I713" t="s">
        <v>288</v>
      </c>
      <c r="J713" t="s">
        <v>290</v>
      </c>
      <c r="K713" t="s">
        <v>292</v>
      </c>
      <c r="M713" t="s">
        <v>290</v>
      </c>
      <c r="N713" t="s">
        <v>419</v>
      </c>
      <c r="O713" t="s">
        <v>420</v>
      </c>
      <c r="P713" t="s">
        <v>427</v>
      </c>
      <c r="S713" t="s">
        <v>1020</v>
      </c>
      <c r="T713" t="s">
        <v>1461</v>
      </c>
      <c r="U713" t="s">
        <v>254</v>
      </c>
      <c r="W713" t="s">
        <v>1876</v>
      </c>
      <c r="X713" t="s">
        <v>2550</v>
      </c>
      <c r="Y713">
        <v>207</v>
      </c>
      <c r="Z713" t="s">
        <v>3098</v>
      </c>
      <c r="AA713" t="s">
        <v>3135</v>
      </c>
      <c r="AB713">
        <v>10456</v>
      </c>
      <c r="AE713">
        <v>3</v>
      </c>
      <c r="AG713" t="s">
        <v>4034</v>
      </c>
      <c r="AH713" t="s">
        <v>291</v>
      </c>
      <c r="AK713" t="s">
        <v>4041</v>
      </c>
      <c r="AM713">
        <v>0</v>
      </c>
      <c r="AN713">
        <v>1127</v>
      </c>
      <c r="AO713">
        <v>1.48</v>
      </c>
      <c r="AQ713" t="s">
        <v>4744</v>
      </c>
      <c r="AR713" t="s">
        <v>5612</v>
      </c>
      <c r="AS713">
        <v>43</v>
      </c>
      <c r="AT713" t="s">
        <v>5840</v>
      </c>
      <c r="AU713">
        <v>1</v>
      </c>
      <c r="AV713">
        <v>0</v>
      </c>
      <c r="AW713">
        <v>93.67</v>
      </c>
      <c r="BA713" t="s">
        <v>5850</v>
      </c>
      <c r="BB713" t="s">
        <v>1322</v>
      </c>
      <c r="BC713">
        <v>11700</v>
      </c>
      <c r="BG713" t="s">
        <v>5923</v>
      </c>
      <c r="BJ713" t="s">
        <v>5944</v>
      </c>
      <c r="BK713" t="s">
        <v>254</v>
      </c>
    </row>
    <row r="714" spans="1:64">
      <c r="A714" s="1">
        <f>HYPERLINK("https://lsnyc.legalserver.org/matter/dynamic-profile/view/1909485","19-1909485")</f>
        <v>0</v>
      </c>
      <c r="B714" t="s">
        <v>67</v>
      </c>
      <c r="C714" t="s">
        <v>170</v>
      </c>
      <c r="D714" t="s">
        <v>200</v>
      </c>
      <c r="E714" t="s">
        <v>202</v>
      </c>
      <c r="F714" t="s">
        <v>230</v>
      </c>
      <c r="G714" t="s">
        <v>202</v>
      </c>
      <c r="H714" t="s">
        <v>271</v>
      </c>
      <c r="I714" t="s">
        <v>202</v>
      </c>
      <c r="J714" t="s">
        <v>289</v>
      </c>
      <c r="K714" t="s">
        <v>292</v>
      </c>
      <c r="M714" t="s">
        <v>290</v>
      </c>
      <c r="N714" t="s">
        <v>202</v>
      </c>
      <c r="O714" t="s">
        <v>422</v>
      </c>
      <c r="P714" t="s">
        <v>427</v>
      </c>
      <c r="S714" t="s">
        <v>537</v>
      </c>
      <c r="T714" t="s">
        <v>1701</v>
      </c>
      <c r="U714" t="s">
        <v>230</v>
      </c>
      <c r="W714" t="s">
        <v>1876</v>
      </c>
      <c r="X714" t="s">
        <v>2551</v>
      </c>
      <c r="Y714" t="s">
        <v>3043</v>
      </c>
      <c r="Z714" t="s">
        <v>3106</v>
      </c>
      <c r="AA714" t="s">
        <v>3135</v>
      </c>
      <c r="AB714">
        <v>11356</v>
      </c>
      <c r="AC714" t="s">
        <v>3136</v>
      </c>
      <c r="AD714" t="s">
        <v>3799</v>
      </c>
      <c r="AE714">
        <v>14</v>
      </c>
      <c r="AG714" t="s">
        <v>4034</v>
      </c>
      <c r="AH714" t="s">
        <v>291</v>
      </c>
      <c r="AI714" t="s">
        <v>291</v>
      </c>
      <c r="AK714" t="s">
        <v>4040</v>
      </c>
      <c r="AL714" t="s">
        <v>4046</v>
      </c>
      <c r="AM714">
        <v>0</v>
      </c>
      <c r="AN714">
        <v>1500</v>
      </c>
      <c r="AO714">
        <v>0.57</v>
      </c>
      <c r="AQ714" t="s">
        <v>4745</v>
      </c>
      <c r="AR714" t="s">
        <v>5613</v>
      </c>
      <c r="AS714">
        <v>3</v>
      </c>
      <c r="AT714" t="s">
        <v>5836</v>
      </c>
      <c r="AU714">
        <v>2</v>
      </c>
      <c r="AV714">
        <v>0</v>
      </c>
      <c r="AW714">
        <v>69.54000000000001</v>
      </c>
      <c r="BA714" t="s">
        <v>329</v>
      </c>
      <c r="BB714" t="s">
        <v>5859</v>
      </c>
      <c r="BC714">
        <v>11760</v>
      </c>
      <c r="BG714" t="s">
        <v>5922</v>
      </c>
      <c r="BJ714" t="s">
        <v>5944</v>
      </c>
      <c r="BK714" t="s">
        <v>266</v>
      </c>
      <c r="BL714" t="s">
        <v>6056</v>
      </c>
    </row>
    <row r="715" spans="1:64">
      <c r="A715" s="1">
        <f>HYPERLINK("https://lsnyc.legalserver.org/matter/dynamic-profile/view/1907924","19-1907924")</f>
        <v>0</v>
      </c>
      <c r="B715" t="s">
        <v>67</v>
      </c>
      <c r="C715" t="s">
        <v>171</v>
      </c>
      <c r="D715" t="s">
        <v>200</v>
      </c>
      <c r="E715" t="s">
        <v>202</v>
      </c>
      <c r="F715" t="s">
        <v>247</v>
      </c>
      <c r="G715" t="s">
        <v>202</v>
      </c>
      <c r="H715" t="s">
        <v>271</v>
      </c>
      <c r="I715" t="s">
        <v>202</v>
      </c>
      <c r="J715" t="s">
        <v>289</v>
      </c>
      <c r="K715" t="s">
        <v>202</v>
      </c>
      <c r="L715" t="s">
        <v>387</v>
      </c>
      <c r="M715" t="s">
        <v>290</v>
      </c>
      <c r="N715" t="s">
        <v>419</v>
      </c>
      <c r="O715" t="s">
        <v>420</v>
      </c>
      <c r="P715" t="s">
        <v>427</v>
      </c>
      <c r="S715" t="s">
        <v>1021</v>
      </c>
      <c r="T715" t="s">
        <v>1702</v>
      </c>
      <c r="U715" t="s">
        <v>247</v>
      </c>
      <c r="W715" t="s">
        <v>1876</v>
      </c>
      <c r="X715" t="s">
        <v>2552</v>
      </c>
      <c r="Y715">
        <v>2</v>
      </c>
      <c r="Z715" t="s">
        <v>3109</v>
      </c>
      <c r="AA715" t="s">
        <v>3135</v>
      </c>
      <c r="AB715">
        <v>11433</v>
      </c>
      <c r="AC715" t="s">
        <v>3136</v>
      </c>
      <c r="AD715" t="s">
        <v>3800</v>
      </c>
      <c r="AE715">
        <v>3</v>
      </c>
      <c r="AG715" t="s">
        <v>4035</v>
      </c>
      <c r="AH715" t="s">
        <v>291</v>
      </c>
      <c r="AI715" t="s">
        <v>291</v>
      </c>
      <c r="AK715" t="s">
        <v>4040</v>
      </c>
      <c r="AM715">
        <v>0</v>
      </c>
      <c r="AN715">
        <v>1956</v>
      </c>
      <c r="AO715">
        <v>1.9</v>
      </c>
      <c r="AQ715" t="s">
        <v>4746</v>
      </c>
      <c r="AR715" t="s">
        <v>5614</v>
      </c>
      <c r="AS715">
        <v>2</v>
      </c>
      <c r="AT715" t="s">
        <v>5836</v>
      </c>
      <c r="AU715">
        <v>2</v>
      </c>
      <c r="AV715">
        <v>3</v>
      </c>
      <c r="AW715">
        <v>26.37</v>
      </c>
      <c r="BA715" t="s">
        <v>5852</v>
      </c>
      <c r="BB715" t="s">
        <v>1322</v>
      </c>
      <c r="BC715">
        <v>7956</v>
      </c>
      <c r="BG715" t="s">
        <v>5922</v>
      </c>
      <c r="BJ715" t="s">
        <v>5987</v>
      </c>
      <c r="BK715" t="s">
        <v>218</v>
      </c>
      <c r="BL715" t="s">
        <v>6056</v>
      </c>
    </row>
    <row r="716" spans="1:64">
      <c r="A716" s="1">
        <f>HYPERLINK("https://lsnyc.legalserver.org/matter/dynamic-profile/view/1910071","19-1910071")</f>
        <v>0</v>
      </c>
      <c r="B716" t="s">
        <v>67</v>
      </c>
      <c r="C716" t="s">
        <v>174</v>
      </c>
      <c r="D716" t="s">
        <v>200</v>
      </c>
      <c r="E716" t="s">
        <v>202</v>
      </c>
      <c r="F716" t="s">
        <v>206</v>
      </c>
      <c r="G716" t="s">
        <v>202</v>
      </c>
      <c r="H716" t="s">
        <v>271</v>
      </c>
      <c r="I716" t="s">
        <v>202</v>
      </c>
      <c r="J716" t="s">
        <v>289</v>
      </c>
      <c r="K716" t="s">
        <v>292</v>
      </c>
      <c r="M716" t="s">
        <v>290</v>
      </c>
      <c r="N716" t="s">
        <v>419</v>
      </c>
      <c r="O716" t="s">
        <v>420</v>
      </c>
      <c r="P716" t="s">
        <v>427</v>
      </c>
      <c r="S716" t="s">
        <v>1022</v>
      </c>
      <c r="T716" t="s">
        <v>1703</v>
      </c>
      <c r="U716" t="s">
        <v>206</v>
      </c>
      <c r="W716" t="s">
        <v>1876</v>
      </c>
      <c r="X716" t="s">
        <v>2553</v>
      </c>
      <c r="Y716">
        <v>403</v>
      </c>
      <c r="Z716" t="s">
        <v>3110</v>
      </c>
      <c r="AA716" t="s">
        <v>3135</v>
      </c>
      <c r="AB716">
        <v>11372</v>
      </c>
      <c r="AC716" t="s">
        <v>3136</v>
      </c>
      <c r="AD716" t="s">
        <v>3801</v>
      </c>
      <c r="AE716">
        <v>29</v>
      </c>
      <c r="AG716" t="s">
        <v>4034</v>
      </c>
      <c r="AH716" t="s">
        <v>291</v>
      </c>
      <c r="AI716" t="s">
        <v>291</v>
      </c>
      <c r="AK716" t="s">
        <v>4040</v>
      </c>
      <c r="AM716">
        <v>0</v>
      </c>
      <c r="AN716">
        <v>1800</v>
      </c>
      <c r="AO716">
        <v>0.4</v>
      </c>
      <c r="AQ716" t="s">
        <v>4747</v>
      </c>
      <c r="AR716" t="s">
        <v>5615</v>
      </c>
      <c r="AS716">
        <v>0</v>
      </c>
      <c r="AT716" t="s">
        <v>5836</v>
      </c>
      <c r="AU716">
        <v>1</v>
      </c>
      <c r="AV716">
        <v>0</v>
      </c>
      <c r="AW716">
        <v>195.03</v>
      </c>
      <c r="BA716" t="s">
        <v>329</v>
      </c>
      <c r="BB716" t="s">
        <v>5859</v>
      </c>
      <c r="BC716">
        <v>24359.04</v>
      </c>
      <c r="BG716" t="s">
        <v>5922</v>
      </c>
      <c r="BJ716" t="s">
        <v>6004</v>
      </c>
      <c r="BK716" t="s">
        <v>206</v>
      </c>
      <c r="BL716" t="s">
        <v>6056</v>
      </c>
    </row>
    <row r="717" spans="1:64">
      <c r="A717" s="1">
        <f>HYPERLINK("https://lsnyc.legalserver.org/matter/dynamic-profile/view/1904967","19-1904967")</f>
        <v>0</v>
      </c>
      <c r="B717" t="s">
        <v>67</v>
      </c>
      <c r="C717" t="s">
        <v>174</v>
      </c>
      <c r="D717" t="s">
        <v>200</v>
      </c>
      <c r="E717" t="s">
        <v>202</v>
      </c>
      <c r="F717" t="s">
        <v>211</v>
      </c>
      <c r="G717" t="s">
        <v>202</v>
      </c>
      <c r="H717" t="s">
        <v>272</v>
      </c>
      <c r="I717" t="s">
        <v>202</v>
      </c>
      <c r="J717" t="s">
        <v>289</v>
      </c>
      <c r="K717" t="s">
        <v>292</v>
      </c>
      <c r="M717" t="s">
        <v>290</v>
      </c>
      <c r="N717" t="s">
        <v>202</v>
      </c>
      <c r="O717" t="s">
        <v>421</v>
      </c>
      <c r="P717" t="s">
        <v>427</v>
      </c>
      <c r="S717" t="s">
        <v>1023</v>
      </c>
      <c r="T717" t="s">
        <v>1704</v>
      </c>
      <c r="U717" t="s">
        <v>245</v>
      </c>
      <c r="W717" t="s">
        <v>1876</v>
      </c>
      <c r="X717" t="s">
        <v>2554</v>
      </c>
      <c r="Y717" t="s">
        <v>3044</v>
      </c>
      <c r="Z717" t="s">
        <v>3109</v>
      </c>
      <c r="AA717" t="s">
        <v>3135</v>
      </c>
      <c r="AB717">
        <v>11434</v>
      </c>
      <c r="AC717" t="s">
        <v>3136</v>
      </c>
      <c r="AD717" t="s">
        <v>3802</v>
      </c>
      <c r="AE717">
        <v>37</v>
      </c>
      <c r="AG717" t="s">
        <v>4035</v>
      </c>
      <c r="AH717" t="s">
        <v>291</v>
      </c>
      <c r="AI717" t="s">
        <v>291</v>
      </c>
      <c r="AK717" t="s">
        <v>4040</v>
      </c>
      <c r="AL717" t="s">
        <v>4046</v>
      </c>
      <c r="AM717">
        <v>0</v>
      </c>
      <c r="AN717">
        <v>1466.85</v>
      </c>
      <c r="AO717">
        <v>17.7</v>
      </c>
      <c r="AQ717" t="s">
        <v>4748</v>
      </c>
      <c r="AR717" t="s">
        <v>5616</v>
      </c>
      <c r="AS717">
        <v>273</v>
      </c>
      <c r="AT717" t="s">
        <v>5834</v>
      </c>
      <c r="AU717">
        <v>1</v>
      </c>
      <c r="AV717">
        <v>0</v>
      </c>
      <c r="AW717">
        <v>192.15</v>
      </c>
      <c r="BA717" t="s">
        <v>329</v>
      </c>
      <c r="BB717" t="s">
        <v>1322</v>
      </c>
      <c r="BC717">
        <v>24000</v>
      </c>
      <c r="BG717" t="s">
        <v>5924</v>
      </c>
      <c r="BJ717" t="s">
        <v>5959</v>
      </c>
      <c r="BK717" t="s">
        <v>257</v>
      </c>
    </row>
    <row r="718" spans="1:64">
      <c r="A718" s="1">
        <f>HYPERLINK("https://lsnyc.legalserver.org/matter/dynamic-profile/view/1909602","19-1909602")</f>
        <v>0</v>
      </c>
      <c r="B718" t="s">
        <v>67</v>
      </c>
      <c r="C718" t="s">
        <v>174</v>
      </c>
      <c r="D718" t="s">
        <v>200</v>
      </c>
      <c r="E718" t="s">
        <v>202</v>
      </c>
      <c r="F718" t="s">
        <v>222</v>
      </c>
      <c r="G718" t="s">
        <v>202</v>
      </c>
      <c r="H718" t="s">
        <v>271</v>
      </c>
      <c r="I718" t="s">
        <v>202</v>
      </c>
      <c r="J718" t="s">
        <v>289</v>
      </c>
      <c r="K718" t="s">
        <v>292</v>
      </c>
      <c r="M718" t="s">
        <v>290</v>
      </c>
      <c r="N718" t="s">
        <v>419</v>
      </c>
      <c r="O718" t="s">
        <v>420</v>
      </c>
      <c r="P718" t="s">
        <v>427</v>
      </c>
      <c r="S718" t="s">
        <v>551</v>
      </c>
      <c r="T718" t="s">
        <v>1705</v>
      </c>
      <c r="U718" t="s">
        <v>222</v>
      </c>
      <c r="W718" t="s">
        <v>1876</v>
      </c>
      <c r="X718" t="s">
        <v>2555</v>
      </c>
      <c r="Z718" t="s">
        <v>3100</v>
      </c>
      <c r="AA718" t="s">
        <v>3135</v>
      </c>
      <c r="AB718">
        <v>11368</v>
      </c>
      <c r="AC718" t="s">
        <v>3136</v>
      </c>
      <c r="AD718" t="s">
        <v>3803</v>
      </c>
      <c r="AE718">
        <v>2</v>
      </c>
      <c r="AG718" t="s">
        <v>4034</v>
      </c>
      <c r="AH718" t="s">
        <v>291</v>
      </c>
      <c r="AI718" t="s">
        <v>291</v>
      </c>
      <c r="AK718" t="s">
        <v>4040</v>
      </c>
      <c r="AM718">
        <v>0</v>
      </c>
      <c r="AN718">
        <v>1700</v>
      </c>
      <c r="AO718">
        <v>0.75</v>
      </c>
      <c r="AQ718" t="s">
        <v>4749</v>
      </c>
      <c r="AR718" t="s">
        <v>5617</v>
      </c>
      <c r="AS718">
        <v>2</v>
      </c>
      <c r="AT718" t="s">
        <v>5836</v>
      </c>
      <c r="AU718">
        <v>3</v>
      </c>
      <c r="AV718">
        <v>1</v>
      </c>
      <c r="AW718">
        <v>177.94</v>
      </c>
      <c r="BA718" t="s">
        <v>329</v>
      </c>
      <c r="BB718" t="s">
        <v>1322</v>
      </c>
      <c r="BC718">
        <v>45820</v>
      </c>
      <c r="BG718" t="s">
        <v>5922</v>
      </c>
      <c r="BJ718" t="s">
        <v>5983</v>
      </c>
      <c r="BK718" t="s">
        <v>222</v>
      </c>
      <c r="BL718" t="s">
        <v>6056</v>
      </c>
    </row>
    <row r="719" spans="1:64">
      <c r="A719" s="1">
        <f>HYPERLINK("https://lsnyc.legalserver.org/matter/dynamic-profile/view/1905903","19-1905903")</f>
        <v>0</v>
      </c>
      <c r="B719" t="s">
        <v>67</v>
      </c>
      <c r="C719" t="s">
        <v>174</v>
      </c>
      <c r="D719" t="s">
        <v>200</v>
      </c>
      <c r="E719" t="s">
        <v>201</v>
      </c>
      <c r="G719" t="s">
        <v>202</v>
      </c>
      <c r="H719" t="s">
        <v>271</v>
      </c>
      <c r="I719" t="s">
        <v>202</v>
      </c>
      <c r="J719" t="s">
        <v>289</v>
      </c>
      <c r="K719" t="s">
        <v>292</v>
      </c>
      <c r="M719" t="s">
        <v>290</v>
      </c>
      <c r="N719" t="s">
        <v>202</v>
      </c>
      <c r="O719" t="s">
        <v>421</v>
      </c>
      <c r="P719" t="s">
        <v>427</v>
      </c>
      <c r="S719" t="s">
        <v>572</v>
      </c>
      <c r="T719" t="s">
        <v>1478</v>
      </c>
      <c r="U719" t="s">
        <v>262</v>
      </c>
      <c r="W719" t="s">
        <v>1876</v>
      </c>
      <c r="X719" t="s">
        <v>2556</v>
      </c>
      <c r="Y719">
        <v>1</v>
      </c>
      <c r="Z719" t="s">
        <v>3109</v>
      </c>
      <c r="AA719" t="s">
        <v>3135</v>
      </c>
      <c r="AB719">
        <v>11433</v>
      </c>
      <c r="AC719" t="s">
        <v>3136</v>
      </c>
      <c r="AD719" t="s">
        <v>3804</v>
      </c>
      <c r="AE719">
        <v>25</v>
      </c>
      <c r="AG719" t="s">
        <v>4035</v>
      </c>
      <c r="AH719" t="s">
        <v>291</v>
      </c>
      <c r="AK719" t="s">
        <v>4040</v>
      </c>
      <c r="AM719">
        <v>0</v>
      </c>
      <c r="AN719">
        <v>1200</v>
      </c>
      <c r="AO719">
        <v>1.1</v>
      </c>
      <c r="AQ719" t="s">
        <v>4750</v>
      </c>
      <c r="AR719" t="s">
        <v>5618</v>
      </c>
      <c r="AS719">
        <v>2</v>
      </c>
      <c r="AT719" t="s">
        <v>5835</v>
      </c>
      <c r="AU719">
        <v>3</v>
      </c>
      <c r="AV719">
        <v>0</v>
      </c>
      <c r="AW719">
        <v>1195.5</v>
      </c>
      <c r="BA719" t="s">
        <v>329</v>
      </c>
      <c r="BC719">
        <v>255000</v>
      </c>
      <c r="BG719" t="s">
        <v>184</v>
      </c>
      <c r="BJ719" t="s">
        <v>5949</v>
      </c>
      <c r="BK719" t="s">
        <v>222</v>
      </c>
      <c r="BL719" t="s">
        <v>6056</v>
      </c>
    </row>
    <row r="720" spans="1:64">
      <c r="A720" s="1">
        <f>HYPERLINK("https://lsnyc.legalserver.org/matter/dynamic-profile/view/1906556","19-1906556")</f>
        <v>0</v>
      </c>
      <c r="B720" t="s">
        <v>67</v>
      </c>
      <c r="C720" t="s">
        <v>174</v>
      </c>
      <c r="D720" t="s">
        <v>200</v>
      </c>
      <c r="E720" t="s">
        <v>201</v>
      </c>
      <c r="G720" t="s">
        <v>202</v>
      </c>
      <c r="H720" t="s">
        <v>272</v>
      </c>
      <c r="I720" t="s">
        <v>202</v>
      </c>
      <c r="J720" t="s">
        <v>289</v>
      </c>
      <c r="K720" t="s">
        <v>292</v>
      </c>
      <c r="M720" t="s">
        <v>290</v>
      </c>
      <c r="N720" t="s">
        <v>202</v>
      </c>
      <c r="O720" t="s">
        <v>421</v>
      </c>
      <c r="P720" t="s">
        <v>427</v>
      </c>
      <c r="S720" t="s">
        <v>679</v>
      </c>
      <c r="T720" t="s">
        <v>1706</v>
      </c>
      <c r="U720" t="s">
        <v>253</v>
      </c>
      <c r="W720" t="s">
        <v>1876</v>
      </c>
      <c r="X720" t="s">
        <v>2557</v>
      </c>
      <c r="Y720">
        <v>309</v>
      </c>
      <c r="Z720" t="s">
        <v>3109</v>
      </c>
      <c r="AA720" t="s">
        <v>3135</v>
      </c>
      <c r="AB720">
        <v>11436</v>
      </c>
      <c r="AC720" t="s">
        <v>3136</v>
      </c>
      <c r="AD720" t="s">
        <v>3805</v>
      </c>
      <c r="AE720">
        <v>34</v>
      </c>
      <c r="AG720" t="s">
        <v>4034</v>
      </c>
      <c r="AH720" t="s">
        <v>291</v>
      </c>
      <c r="AI720" t="s">
        <v>289</v>
      </c>
      <c r="AK720" t="s">
        <v>4040</v>
      </c>
      <c r="AM720">
        <v>0</v>
      </c>
      <c r="AN720">
        <v>350</v>
      </c>
      <c r="AO720">
        <v>5.97</v>
      </c>
      <c r="AQ720" t="s">
        <v>4751</v>
      </c>
      <c r="AR720" t="s">
        <v>5619</v>
      </c>
      <c r="AS720">
        <v>100</v>
      </c>
      <c r="AT720" t="s">
        <v>5840</v>
      </c>
      <c r="AU720">
        <v>1</v>
      </c>
      <c r="AV720">
        <v>0</v>
      </c>
      <c r="AW720">
        <v>91.27</v>
      </c>
      <c r="BA720" t="s">
        <v>5850</v>
      </c>
      <c r="BB720" t="s">
        <v>1322</v>
      </c>
      <c r="BC720">
        <v>11400</v>
      </c>
      <c r="BG720" t="s">
        <v>5923</v>
      </c>
      <c r="BJ720" t="s">
        <v>6004</v>
      </c>
      <c r="BK720" t="s">
        <v>243</v>
      </c>
      <c r="BL720" t="s">
        <v>6056</v>
      </c>
    </row>
    <row r="721" spans="1:64">
      <c r="A721" s="1">
        <f>HYPERLINK("https://lsnyc.legalserver.org/matter/dynamic-profile/view/1904365","19-1904365")</f>
        <v>0</v>
      </c>
      <c r="B721" t="s">
        <v>67</v>
      </c>
      <c r="C721" t="s">
        <v>174</v>
      </c>
      <c r="D721" t="s">
        <v>200</v>
      </c>
      <c r="E721" t="s">
        <v>202</v>
      </c>
      <c r="F721" t="s">
        <v>204</v>
      </c>
      <c r="G721" t="s">
        <v>202</v>
      </c>
      <c r="H721" t="s">
        <v>272</v>
      </c>
      <c r="I721" t="s">
        <v>202</v>
      </c>
      <c r="J721" t="s">
        <v>289</v>
      </c>
      <c r="K721" t="s">
        <v>292</v>
      </c>
      <c r="M721" t="s">
        <v>290</v>
      </c>
      <c r="N721" t="s">
        <v>202</v>
      </c>
      <c r="O721" t="s">
        <v>421</v>
      </c>
      <c r="P721" t="s">
        <v>427</v>
      </c>
      <c r="S721" t="s">
        <v>668</v>
      </c>
      <c r="T721" t="s">
        <v>1707</v>
      </c>
      <c r="U721" t="s">
        <v>204</v>
      </c>
      <c r="W721" t="s">
        <v>1876</v>
      </c>
      <c r="X721" t="s">
        <v>2558</v>
      </c>
      <c r="Y721" t="s">
        <v>2809</v>
      </c>
      <c r="Z721" t="s">
        <v>3100</v>
      </c>
      <c r="AA721" t="s">
        <v>3135</v>
      </c>
      <c r="AB721">
        <v>11368</v>
      </c>
      <c r="AC721" t="s">
        <v>3139</v>
      </c>
      <c r="AD721" t="s">
        <v>3806</v>
      </c>
      <c r="AE721">
        <v>35</v>
      </c>
      <c r="AG721" t="s">
        <v>4034</v>
      </c>
      <c r="AH721" t="s">
        <v>291</v>
      </c>
      <c r="AI721" t="s">
        <v>291</v>
      </c>
      <c r="AK721" t="s">
        <v>4040</v>
      </c>
      <c r="AL721" t="s">
        <v>4047</v>
      </c>
      <c r="AM721">
        <v>0</v>
      </c>
      <c r="AN721">
        <v>819</v>
      </c>
      <c r="AO721">
        <v>6.95</v>
      </c>
      <c r="AQ721" t="s">
        <v>4752</v>
      </c>
      <c r="AR721" t="s">
        <v>5620</v>
      </c>
      <c r="AS721">
        <v>10</v>
      </c>
      <c r="AT721" t="s">
        <v>5838</v>
      </c>
      <c r="AU721">
        <v>1</v>
      </c>
      <c r="AV721">
        <v>0</v>
      </c>
      <c r="AW721">
        <v>116.64</v>
      </c>
      <c r="BA721" t="s">
        <v>329</v>
      </c>
      <c r="BB721" t="s">
        <v>1322</v>
      </c>
      <c r="BC721">
        <v>14568</v>
      </c>
      <c r="BG721" t="s">
        <v>174</v>
      </c>
      <c r="BJ721" t="s">
        <v>6040</v>
      </c>
      <c r="BK721" t="s">
        <v>1874</v>
      </c>
      <c r="BL721" t="s">
        <v>6056</v>
      </c>
    </row>
    <row r="722" spans="1:64">
      <c r="A722" s="1">
        <f>HYPERLINK("https://lsnyc.legalserver.org/matter/dynamic-profile/view/1908944","19-1908944")</f>
        <v>0</v>
      </c>
      <c r="B722" t="s">
        <v>67</v>
      </c>
      <c r="C722" t="s">
        <v>174</v>
      </c>
      <c r="D722" t="s">
        <v>200</v>
      </c>
      <c r="E722" t="s">
        <v>202</v>
      </c>
      <c r="F722" t="s">
        <v>238</v>
      </c>
      <c r="G722" t="s">
        <v>202</v>
      </c>
      <c r="H722" t="s">
        <v>272</v>
      </c>
      <c r="I722" t="s">
        <v>202</v>
      </c>
      <c r="J722" t="s">
        <v>289</v>
      </c>
      <c r="K722" t="s">
        <v>292</v>
      </c>
      <c r="M722" t="s">
        <v>290</v>
      </c>
      <c r="N722" t="s">
        <v>202</v>
      </c>
      <c r="O722" t="s">
        <v>421</v>
      </c>
      <c r="P722" t="s">
        <v>427</v>
      </c>
      <c r="S722" t="s">
        <v>1024</v>
      </c>
      <c r="T722" t="s">
        <v>1708</v>
      </c>
      <c r="U722" t="s">
        <v>238</v>
      </c>
      <c r="W722" t="s">
        <v>1876</v>
      </c>
      <c r="X722" t="s">
        <v>2559</v>
      </c>
      <c r="Y722" t="s">
        <v>2806</v>
      </c>
      <c r="Z722" t="s">
        <v>3109</v>
      </c>
      <c r="AA722" t="s">
        <v>3135</v>
      </c>
      <c r="AB722">
        <v>11434</v>
      </c>
      <c r="AC722" t="s">
        <v>3139</v>
      </c>
      <c r="AD722" t="s">
        <v>3807</v>
      </c>
      <c r="AE722">
        <v>8</v>
      </c>
      <c r="AG722" t="s">
        <v>4035</v>
      </c>
      <c r="AH722" t="s">
        <v>291</v>
      </c>
      <c r="AI722" t="s">
        <v>291</v>
      </c>
      <c r="AK722" t="s">
        <v>4041</v>
      </c>
      <c r="AM722">
        <v>0</v>
      </c>
      <c r="AN722">
        <v>742</v>
      </c>
      <c r="AO722">
        <v>0.5</v>
      </c>
      <c r="AQ722" t="s">
        <v>4753</v>
      </c>
      <c r="AR722" t="s">
        <v>5621</v>
      </c>
      <c r="AS722">
        <v>0</v>
      </c>
      <c r="AT722" t="s">
        <v>5837</v>
      </c>
      <c r="AU722">
        <v>1</v>
      </c>
      <c r="AV722">
        <v>1</v>
      </c>
      <c r="AW722">
        <v>212.45</v>
      </c>
      <c r="AX722" t="s">
        <v>264</v>
      </c>
      <c r="AY722" t="s">
        <v>5849</v>
      </c>
      <c r="BA722" t="s">
        <v>329</v>
      </c>
      <c r="BB722" t="s">
        <v>1322</v>
      </c>
      <c r="BC722">
        <v>35925</v>
      </c>
      <c r="BG722" t="s">
        <v>5922</v>
      </c>
      <c r="BJ722" t="s">
        <v>5949</v>
      </c>
      <c r="BK722" t="s">
        <v>238</v>
      </c>
      <c r="BL722" t="s">
        <v>6056</v>
      </c>
    </row>
    <row r="723" spans="1:64">
      <c r="A723" s="1">
        <f>HYPERLINK("https://lsnyc.legalserver.org/matter/dynamic-profile/view/1907621","19-1907621")</f>
        <v>0</v>
      </c>
      <c r="B723" t="s">
        <v>67</v>
      </c>
      <c r="C723" t="s">
        <v>174</v>
      </c>
      <c r="D723" t="s">
        <v>200</v>
      </c>
      <c r="E723" t="s">
        <v>201</v>
      </c>
      <c r="G723" t="s">
        <v>202</v>
      </c>
      <c r="H723" t="s">
        <v>271</v>
      </c>
      <c r="I723" t="s">
        <v>202</v>
      </c>
      <c r="J723" t="s">
        <v>289</v>
      </c>
      <c r="K723" t="s">
        <v>292</v>
      </c>
      <c r="M723" t="s">
        <v>290</v>
      </c>
      <c r="N723" t="s">
        <v>202</v>
      </c>
      <c r="O723" t="s">
        <v>426</v>
      </c>
      <c r="P723" t="s">
        <v>427</v>
      </c>
      <c r="S723" t="s">
        <v>1025</v>
      </c>
      <c r="T723" t="s">
        <v>1709</v>
      </c>
      <c r="U723" t="s">
        <v>254</v>
      </c>
      <c r="W723" t="s">
        <v>1876</v>
      </c>
      <c r="X723" t="s">
        <v>2560</v>
      </c>
      <c r="Y723" t="s">
        <v>2782</v>
      </c>
      <c r="Z723" t="s">
        <v>3111</v>
      </c>
      <c r="AA723" t="s">
        <v>3135</v>
      </c>
      <c r="AB723">
        <v>11373</v>
      </c>
      <c r="AC723" t="s">
        <v>3136</v>
      </c>
      <c r="AD723" t="s">
        <v>3808</v>
      </c>
      <c r="AE723">
        <v>1</v>
      </c>
      <c r="AG723" t="s">
        <v>4035</v>
      </c>
      <c r="AH723" t="s">
        <v>291</v>
      </c>
      <c r="AI723" t="s">
        <v>291</v>
      </c>
      <c r="AK723" t="s">
        <v>4040</v>
      </c>
      <c r="AM723">
        <v>0</v>
      </c>
      <c r="AN723">
        <v>1800</v>
      </c>
      <c r="AO723">
        <v>1.2</v>
      </c>
      <c r="AQ723" t="s">
        <v>4754</v>
      </c>
      <c r="AR723" t="s">
        <v>5622</v>
      </c>
      <c r="AS723">
        <v>2</v>
      </c>
      <c r="AU723">
        <v>1</v>
      </c>
      <c r="AV723">
        <v>0</v>
      </c>
      <c r="AW723">
        <v>49.13</v>
      </c>
      <c r="BA723" t="s">
        <v>329</v>
      </c>
      <c r="BB723" t="s">
        <v>5859</v>
      </c>
      <c r="BC723">
        <v>6136</v>
      </c>
      <c r="BG723" t="s">
        <v>5923</v>
      </c>
      <c r="BJ723" t="s">
        <v>6002</v>
      </c>
      <c r="BK723" t="s">
        <v>259</v>
      </c>
      <c r="BL723" t="s">
        <v>6056</v>
      </c>
    </row>
    <row r="724" spans="1:64">
      <c r="A724" s="1">
        <f>HYPERLINK("https://lsnyc.legalserver.org/matter/dynamic-profile/view/1908449","19-1908449")</f>
        <v>0</v>
      </c>
      <c r="B724" t="s">
        <v>67</v>
      </c>
      <c r="C724" t="s">
        <v>174</v>
      </c>
      <c r="D724" t="s">
        <v>200</v>
      </c>
      <c r="E724" t="s">
        <v>201</v>
      </c>
      <c r="G724" t="s">
        <v>202</v>
      </c>
      <c r="H724" t="s">
        <v>271</v>
      </c>
      <c r="I724" t="s">
        <v>202</v>
      </c>
      <c r="J724" t="s">
        <v>289</v>
      </c>
      <c r="K724" t="s">
        <v>202</v>
      </c>
      <c r="L724" t="s">
        <v>388</v>
      </c>
      <c r="M724" t="s">
        <v>290</v>
      </c>
      <c r="N724" t="s">
        <v>202</v>
      </c>
      <c r="O724" t="s">
        <v>421</v>
      </c>
      <c r="P724" t="s">
        <v>427</v>
      </c>
      <c r="S724" t="s">
        <v>1026</v>
      </c>
      <c r="T724" t="s">
        <v>1422</v>
      </c>
      <c r="U724" t="s">
        <v>237</v>
      </c>
      <c r="W724" t="s">
        <v>1876</v>
      </c>
      <c r="X724" t="s">
        <v>2561</v>
      </c>
      <c r="Y724">
        <v>1</v>
      </c>
      <c r="Z724" t="s">
        <v>3109</v>
      </c>
      <c r="AA724" t="s">
        <v>3135</v>
      </c>
      <c r="AB724">
        <v>11434</v>
      </c>
      <c r="AC724" t="s">
        <v>3139</v>
      </c>
      <c r="AD724" t="s">
        <v>3809</v>
      </c>
      <c r="AE724">
        <v>1</v>
      </c>
      <c r="AG724" t="s">
        <v>4035</v>
      </c>
      <c r="AH724" t="s">
        <v>291</v>
      </c>
      <c r="AI724" t="s">
        <v>291</v>
      </c>
      <c r="AK724" t="s">
        <v>4040</v>
      </c>
      <c r="AM724">
        <v>0</v>
      </c>
      <c r="AN724">
        <v>1515</v>
      </c>
      <c r="AO724">
        <v>1</v>
      </c>
      <c r="AQ724" t="s">
        <v>4755</v>
      </c>
      <c r="AR724" t="s">
        <v>5623</v>
      </c>
      <c r="AS724">
        <v>3</v>
      </c>
      <c r="AU724">
        <v>1</v>
      </c>
      <c r="AV724">
        <v>3</v>
      </c>
      <c r="AW724">
        <v>23.3</v>
      </c>
      <c r="BA724" t="s">
        <v>5853</v>
      </c>
      <c r="BB724" t="s">
        <v>1322</v>
      </c>
      <c r="BC724">
        <v>6000</v>
      </c>
      <c r="BG724" t="s">
        <v>5923</v>
      </c>
      <c r="BJ724" t="s">
        <v>6023</v>
      </c>
      <c r="BK724" t="s">
        <v>237</v>
      </c>
      <c r="BL724" t="s">
        <v>6056</v>
      </c>
    </row>
    <row r="725" spans="1:64">
      <c r="A725" s="1">
        <f>HYPERLINK("https://lsnyc.legalserver.org/matter/dynamic-profile/view/1907263","19-1907263")</f>
        <v>0</v>
      </c>
      <c r="B725" t="s">
        <v>67</v>
      </c>
      <c r="C725" t="s">
        <v>174</v>
      </c>
      <c r="D725" t="s">
        <v>200</v>
      </c>
      <c r="E725" t="s">
        <v>202</v>
      </c>
      <c r="F725" t="s">
        <v>235</v>
      </c>
      <c r="G725" t="s">
        <v>202</v>
      </c>
      <c r="H725" t="s">
        <v>271</v>
      </c>
      <c r="I725" t="s">
        <v>202</v>
      </c>
      <c r="J725" t="s">
        <v>289</v>
      </c>
      <c r="K725" t="s">
        <v>292</v>
      </c>
      <c r="M725" t="s">
        <v>290</v>
      </c>
      <c r="N725" t="s">
        <v>419</v>
      </c>
      <c r="O725" t="s">
        <v>420</v>
      </c>
      <c r="P725" t="s">
        <v>427</v>
      </c>
      <c r="S725" t="s">
        <v>478</v>
      </c>
      <c r="T725" t="s">
        <v>1710</v>
      </c>
      <c r="U725" t="s">
        <v>235</v>
      </c>
      <c r="W725" t="s">
        <v>1876</v>
      </c>
      <c r="X725" t="s">
        <v>2562</v>
      </c>
      <c r="Y725" t="s">
        <v>2783</v>
      </c>
      <c r="Z725" t="s">
        <v>3101</v>
      </c>
      <c r="AA725" t="s">
        <v>3135</v>
      </c>
      <c r="AB725">
        <v>11416</v>
      </c>
      <c r="AC725" t="s">
        <v>3136</v>
      </c>
      <c r="AD725" t="s">
        <v>3810</v>
      </c>
      <c r="AE725">
        <v>12</v>
      </c>
      <c r="AG725" t="s">
        <v>4034</v>
      </c>
      <c r="AH725" t="s">
        <v>291</v>
      </c>
      <c r="AI725" t="s">
        <v>291</v>
      </c>
      <c r="AK725" t="s">
        <v>4040</v>
      </c>
      <c r="AM725">
        <v>0</v>
      </c>
      <c r="AN725">
        <v>2700</v>
      </c>
      <c r="AO725">
        <v>4.3</v>
      </c>
      <c r="AQ725" t="s">
        <v>4756</v>
      </c>
      <c r="AR725" t="s">
        <v>5624</v>
      </c>
      <c r="AS725">
        <v>5</v>
      </c>
      <c r="AT725" t="s">
        <v>5836</v>
      </c>
      <c r="AU725">
        <v>2</v>
      </c>
      <c r="AV725">
        <v>2</v>
      </c>
      <c r="AW725">
        <v>85.44</v>
      </c>
      <c r="BA725" t="s">
        <v>329</v>
      </c>
      <c r="BB725" t="s">
        <v>1322</v>
      </c>
      <c r="BC725">
        <v>22000</v>
      </c>
      <c r="BG725" t="s">
        <v>5922</v>
      </c>
      <c r="BJ725" t="s">
        <v>5949</v>
      </c>
      <c r="BK725" t="s">
        <v>252</v>
      </c>
      <c r="BL725" t="s">
        <v>6056</v>
      </c>
    </row>
    <row r="726" spans="1:64">
      <c r="A726" s="1">
        <f>HYPERLINK("https://lsnyc.legalserver.org/matter/dynamic-profile/view/1909906","19-1909906")</f>
        <v>0</v>
      </c>
      <c r="B726" t="s">
        <v>67</v>
      </c>
      <c r="C726" t="s">
        <v>170</v>
      </c>
      <c r="D726" t="s">
        <v>200</v>
      </c>
      <c r="E726" t="s">
        <v>202</v>
      </c>
      <c r="F726" t="s">
        <v>243</v>
      </c>
      <c r="G726" t="s">
        <v>202</v>
      </c>
      <c r="H726" t="s">
        <v>271</v>
      </c>
      <c r="I726" t="s">
        <v>202</v>
      </c>
      <c r="J726" t="s">
        <v>289</v>
      </c>
      <c r="K726" t="s">
        <v>292</v>
      </c>
      <c r="M726" t="s">
        <v>290</v>
      </c>
      <c r="N726" t="s">
        <v>202</v>
      </c>
      <c r="O726" t="s">
        <v>421</v>
      </c>
      <c r="P726" t="s">
        <v>427</v>
      </c>
      <c r="S726" t="s">
        <v>1027</v>
      </c>
      <c r="T726" t="s">
        <v>1238</v>
      </c>
      <c r="U726" t="s">
        <v>243</v>
      </c>
      <c r="W726" t="s">
        <v>1876</v>
      </c>
      <c r="X726" t="s">
        <v>2563</v>
      </c>
      <c r="Z726" t="s">
        <v>3109</v>
      </c>
      <c r="AA726" t="s">
        <v>3135</v>
      </c>
      <c r="AB726">
        <v>11434</v>
      </c>
      <c r="AC726" t="s">
        <v>3139</v>
      </c>
      <c r="AD726" t="s">
        <v>3811</v>
      </c>
      <c r="AE726">
        <v>10</v>
      </c>
      <c r="AG726" t="s">
        <v>4035</v>
      </c>
      <c r="AH726" t="s">
        <v>291</v>
      </c>
      <c r="AI726" t="s">
        <v>291</v>
      </c>
      <c r="AK726" t="s">
        <v>4040</v>
      </c>
      <c r="AL726" t="s">
        <v>4049</v>
      </c>
      <c r="AM726">
        <v>0</v>
      </c>
      <c r="AN726">
        <v>1450</v>
      </c>
      <c r="AO726">
        <v>1.22</v>
      </c>
      <c r="AQ726" t="s">
        <v>4757</v>
      </c>
      <c r="AR726" t="s">
        <v>5625</v>
      </c>
      <c r="AS726">
        <v>5</v>
      </c>
      <c r="AT726" t="s">
        <v>5835</v>
      </c>
      <c r="AU726">
        <v>3</v>
      </c>
      <c r="AV726">
        <v>0</v>
      </c>
      <c r="AW726">
        <v>0</v>
      </c>
      <c r="BA726" t="s">
        <v>329</v>
      </c>
      <c r="BB726" t="s">
        <v>1322</v>
      </c>
      <c r="BC726">
        <v>0</v>
      </c>
      <c r="BG726" t="s">
        <v>5922</v>
      </c>
      <c r="BJ726" t="s">
        <v>5945</v>
      </c>
      <c r="BK726" t="s">
        <v>216</v>
      </c>
      <c r="BL726" t="s">
        <v>6056</v>
      </c>
    </row>
    <row r="727" spans="1:64">
      <c r="A727" s="1">
        <f>HYPERLINK("https://lsnyc.legalserver.org/matter/dynamic-profile/view/1909900","19-1909900")</f>
        <v>0</v>
      </c>
      <c r="B727" t="s">
        <v>67</v>
      </c>
      <c r="C727" t="s">
        <v>170</v>
      </c>
      <c r="D727" t="s">
        <v>200</v>
      </c>
      <c r="E727" t="s">
        <v>202</v>
      </c>
      <c r="F727" t="s">
        <v>243</v>
      </c>
      <c r="G727" t="s">
        <v>202</v>
      </c>
      <c r="H727" t="s">
        <v>271</v>
      </c>
      <c r="I727" t="s">
        <v>202</v>
      </c>
      <c r="J727" t="s">
        <v>289</v>
      </c>
      <c r="K727" t="s">
        <v>292</v>
      </c>
      <c r="M727" t="s">
        <v>290</v>
      </c>
      <c r="N727" t="s">
        <v>202</v>
      </c>
      <c r="O727" t="s">
        <v>421</v>
      </c>
      <c r="P727" t="s">
        <v>427</v>
      </c>
      <c r="S727" t="s">
        <v>1028</v>
      </c>
      <c r="T727" t="s">
        <v>1711</v>
      </c>
      <c r="U727" t="s">
        <v>243</v>
      </c>
      <c r="W727" t="s">
        <v>1876</v>
      </c>
      <c r="X727" t="s">
        <v>2564</v>
      </c>
      <c r="Z727" t="s">
        <v>3109</v>
      </c>
      <c r="AA727" t="s">
        <v>3135</v>
      </c>
      <c r="AB727">
        <v>11434</v>
      </c>
      <c r="AC727" t="s">
        <v>3139</v>
      </c>
      <c r="AD727" t="s">
        <v>3812</v>
      </c>
      <c r="AE727">
        <v>3</v>
      </c>
      <c r="AG727" t="s">
        <v>4035</v>
      </c>
      <c r="AH727" t="s">
        <v>291</v>
      </c>
      <c r="AI727" t="s">
        <v>291</v>
      </c>
      <c r="AK727" t="s">
        <v>4040</v>
      </c>
      <c r="AM727">
        <v>0</v>
      </c>
      <c r="AN727">
        <v>1100</v>
      </c>
      <c r="AO727">
        <v>0.6</v>
      </c>
      <c r="AQ727" t="s">
        <v>4758</v>
      </c>
      <c r="AR727" t="s">
        <v>5626</v>
      </c>
      <c r="AS727">
        <v>1</v>
      </c>
      <c r="AT727" t="s">
        <v>5836</v>
      </c>
      <c r="AU727">
        <v>1</v>
      </c>
      <c r="AV727">
        <v>2</v>
      </c>
      <c r="AW727">
        <v>154.71</v>
      </c>
      <c r="BA727" t="s">
        <v>329</v>
      </c>
      <c r="BB727" t="s">
        <v>1322</v>
      </c>
      <c r="BC727">
        <v>33000</v>
      </c>
      <c r="BG727" t="s">
        <v>5922</v>
      </c>
      <c r="BJ727" t="s">
        <v>5949</v>
      </c>
      <c r="BK727" t="s">
        <v>266</v>
      </c>
      <c r="BL727" t="s">
        <v>6056</v>
      </c>
    </row>
    <row r="728" spans="1:64">
      <c r="A728" s="1">
        <f>HYPERLINK("https://lsnyc.legalserver.org/matter/dynamic-profile/view/1909512","19-1909512")</f>
        <v>0</v>
      </c>
      <c r="B728" t="s">
        <v>67</v>
      </c>
      <c r="C728" t="s">
        <v>173</v>
      </c>
      <c r="D728" t="s">
        <v>200</v>
      </c>
      <c r="E728" t="s">
        <v>202</v>
      </c>
      <c r="F728" t="s">
        <v>230</v>
      </c>
      <c r="G728" t="s">
        <v>202</v>
      </c>
      <c r="H728" t="s">
        <v>271</v>
      </c>
      <c r="I728" t="s">
        <v>202</v>
      </c>
      <c r="J728" t="s">
        <v>289</v>
      </c>
      <c r="K728" t="s">
        <v>202</v>
      </c>
      <c r="L728" t="s">
        <v>389</v>
      </c>
      <c r="M728" t="s">
        <v>290</v>
      </c>
      <c r="N728" t="s">
        <v>419</v>
      </c>
      <c r="O728" t="s">
        <v>420</v>
      </c>
      <c r="P728" t="s">
        <v>427</v>
      </c>
      <c r="S728" t="s">
        <v>1029</v>
      </c>
      <c r="T728" t="s">
        <v>1422</v>
      </c>
      <c r="U728" t="s">
        <v>230</v>
      </c>
      <c r="W728" t="s">
        <v>1876</v>
      </c>
      <c r="X728" t="s">
        <v>2565</v>
      </c>
      <c r="Y728" t="s">
        <v>3042</v>
      </c>
      <c r="Z728" t="s">
        <v>3109</v>
      </c>
      <c r="AA728" t="s">
        <v>3135</v>
      </c>
      <c r="AB728">
        <v>11435</v>
      </c>
      <c r="AC728" t="s">
        <v>3136</v>
      </c>
      <c r="AD728" t="s">
        <v>3813</v>
      </c>
      <c r="AE728">
        <v>6</v>
      </c>
      <c r="AG728" t="s">
        <v>4034</v>
      </c>
      <c r="AH728" t="s">
        <v>291</v>
      </c>
      <c r="AI728" t="s">
        <v>291</v>
      </c>
      <c r="AK728" t="s">
        <v>4040</v>
      </c>
      <c r="AM728">
        <v>0</v>
      </c>
      <c r="AN728">
        <v>1533</v>
      </c>
      <c r="AO728">
        <v>0.9</v>
      </c>
      <c r="AQ728" t="s">
        <v>4759</v>
      </c>
      <c r="AR728" t="s">
        <v>5627</v>
      </c>
      <c r="AS728">
        <v>2</v>
      </c>
      <c r="AT728" t="s">
        <v>5836</v>
      </c>
      <c r="AU728">
        <v>2</v>
      </c>
      <c r="AV728">
        <v>0</v>
      </c>
      <c r="AW728">
        <v>49.2</v>
      </c>
      <c r="BA728" t="s">
        <v>5850</v>
      </c>
      <c r="BB728" t="s">
        <v>1322</v>
      </c>
      <c r="BC728">
        <v>8320</v>
      </c>
      <c r="BG728" t="s">
        <v>5922</v>
      </c>
      <c r="BJ728" t="s">
        <v>5949</v>
      </c>
      <c r="BK728" t="s">
        <v>230</v>
      </c>
      <c r="BL728" t="s">
        <v>6056</v>
      </c>
    </row>
    <row r="729" spans="1:64">
      <c r="A729" s="1">
        <f>HYPERLINK("https://lsnyc.legalserver.org/matter/dynamic-profile/view/1903932","19-1903932")</f>
        <v>0</v>
      </c>
      <c r="B729" t="s">
        <v>67</v>
      </c>
      <c r="C729" t="s">
        <v>171</v>
      </c>
      <c r="D729" t="s">
        <v>200</v>
      </c>
      <c r="E729" t="s">
        <v>201</v>
      </c>
      <c r="G729" t="s">
        <v>202</v>
      </c>
      <c r="H729" t="s">
        <v>272</v>
      </c>
      <c r="I729" t="s">
        <v>202</v>
      </c>
      <c r="J729" t="s">
        <v>289</v>
      </c>
      <c r="K729" t="s">
        <v>292</v>
      </c>
      <c r="M729" t="s">
        <v>290</v>
      </c>
      <c r="N729" t="s">
        <v>202</v>
      </c>
      <c r="O729" t="s">
        <v>422</v>
      </c>
      <c r="P729" t="s">
        <v>427</v>
      </c>
      <c r="S729" t="s">
        <v>1030</v>
      </c>
      <c r="T729" t="s">
        <v>1712</v>
      </c>
      <c r="U729" t="s">
        <v>229</v>
      </c>
      <c r="W729" t="s">
        <v>1876</v>
      </c>
      <c r="X729" t="s">
        <v>2566</v>
      </c>
      <c r="Y729" t="s">
        <v>2899</v>
      </c>
      <c r="Z729" t="s">
        <v>3112</v>
      </c>
      <c r="AA729" t="s">
        <v>3135</v>
      </c>
      <c r="AB729">
        <v>11367</v>
      </c>
      <c r="AD729" t="s">
        <v>3814</v>
      </c>
      <c r="AE729">
        <v>2</v>
      </c>
      <c r="AG729" t="s">
        <v>4034</v>
      </c>
      <c r="AH729" t="s">
        <v>291</v>
      </c>
      <c r="AI729" t="s">
        <v>291</v>
      </c>
      <c r="AK729" t="s">
        <v>4040</v>
      </c>
      <c r="AL729" t="s">
        <v>4049</v>
      </c>
      <c r="AM729">
        <v>0</v>
      </c>
      <c r="AN729">
        <v>2000</v>
      </c>
      <c r="AO729">
        <v>1.93</v>
      </c>
      <c r="AQ729" t="s">
        <v>4760</v>
      </c>
      <c r="AR729" t="s">
        <v>5628</v>
      </c>
      <c r="AS729">
        <v>16</v>
      </c>
      <c r="AT729" t="s">
        <v>5838</v>
      </c>
      <c r="AU729">
        <v>2</v>
      </c>
      <c r="AV729">
        <v>1</v>
      </c>
      <c r="AW729">
        <v>60.95</v>
      </c>
      <c r="BB729" t="s">
        <v>5859</v>
      </c>
      <c r="BC729">
        <v>13000</v>
      </c>
      <c r="BG729" t="s">
        <v>171</v>
      </c>
      <c r="BJ729" t="s">
        <v>5949</v>
      </c>
      <c r="BK729" t="s">
        <v>221</v>
      </c>
      <c r="BL729" t="s">
        <v>6056</v>
      </c>
    </row>
    <row r="730" spans="1:64">
      <c r="A730" s="1">
        <f>HYPERLINK("https://lsnyc.legalserver.org/matter/dynamic-profile/view/1907640","19-1907640")</f>
        <v>0</v>
      </c>
      <c r="B730" t="s">
        <v>67</v>
      </c>
      <c r="C730" t="s">
        <v>175</v>
      </c>
      <c r="D730" t="s">
        <v>200</v>
      </c>
      <c r="E730" t="s">
        <v>201</v>
      </c>
      <c r="G730" t="s">
        <v>202</v>
      </c>
      <c r="H730" t="s">
        <v>272</v>
      </c>
      <c r="I730" t="s">
        <v>288</v>
      </c>
      <c r="J730" t="s">
        <v>290</v>
      </c>
      <c r="K730" t="s">
        <v>292</v>
      </c>
      <c r="M730" t="s">
        <v>290</v>
      </c>
      <c r="N730" t="s">
        <v>202</v>
      </c>
      <c r="O730" t="s">
        <v>421</v>
      </c>
      <c r="P730" t="s">
        <v>427</v>
      </c>
      <c r="S730" t="s">
        <v>678</v>
      </c>
      <c r="T730" t="s">
        <v>1713</v>
      </c>
      <c r="U730" t="s">
        <v>217</v>
      </c>
      <c r="W730" t="s">
        <v>1876</v>
      </c>
      <c r="X730" t="s">
        <v>2567</v>
      </c>
      <c r="Z730" t="s">
        <v>3109</v>
      </c>
      <c r="AA730" t="s">
        <v>3135</v>
      </c>
      <c r="AB730">
        <v>11434</v>
      </c>
      <c r="AC730" t="s">
        <v>3139</v>
      </c>
      <c r="AD730" t="s">
        <v>3815</v>
      </c>
      <c r="AE730">
        <v>33</v>
      </c>
      <c r="AG730" t="s">
        <v>4035</v>
      </c>
      <c r="AH730" t="s">
        <v>291</v>
      </c>
      <c r="AK730" t="s">
        <v>4040</v>
      </c>
      <c r="AM730">
        <v>0</v>
      </c>
      <c r="AN730">
        <v>1089</v>
      </c>
      <c r="AO730">
        <v>5.43</v>
      </c>
      <c r="AQ730" t="s">
        <v>4761</v>
      </c>
      <c r="AR730" t="s">
        <v>5629</v>
      </c>
      <c r="AS730">
        <v>5000</v>
      </c>
      <c r="AT730" t="s">
        <v>5834</v>
      </c>
      <c r="AU730">
        <v>2</v>
      </c>
      <c r="AV730">
        <v>0</v>
      </c>
      <c r="AW730">
        <v>260.2</v>
      </c>
      <c r="BA730" t="s">
        <v>329</v>
      </c>
      <c r="BB730" t="s">
        <v>1322</v>
      </c>
      <c r="BC730">
        <v>44000</v>
      </c>
      <c r="BG730" t="s">
        <v>5923</v>
      </c>
      <c r="BJ730" t="s">
        <v>5949</v>
      </c>
      <c r="BK730" t="s">
        <v>252</v>
      </c>
    </row>
    <row r="731" spans="1:64">
      <c r="A731" s="1">
        <f>HYPERLINK("https://lsnyc.legalserver.org/matter/dynamic-profile/view/1904117","19-1904117")</f>
        <v>0</v>
      </c>
      <c r="B731" t="s">
        <v>67</v>
      </c>
      <c r="C731" t="s">
        <v>175</v>
      </c>
      <c r="D731" t="s">
        <v>200</v>
      </c>
      <c r="E731" t="s">
        <v>202</v>
      </c>
      <c r="F731" t="s">
        <v>251</v>
      </c>
      <c r="G731" t="s">
        <v>202</v>
      </c>
      <c r="H731" t="s">
        <v>272</v>
      </c>
      <c r="I731" t="s">
        <v>202</v>
      </c>
      <c r="J731" t="s">
        <v>289</v>
      </c>
      <c r="K731" t="s">
        <v>292</v>
      </c>
      <c r="M731" t="s">
        <v>290</v>
      </c>
      <c r="N731" t="s">
        <v>202</v>
      </c>
      <c r="O731" t="s">
        <v>421</v>
      </c>
      <c r="P731" t="s">
        <v>202</v>
      </c>
      <c r="Q731" t="s">
        <v>430</v>
      </c>
      <c r="R731" t="s">
        <v>443</v>
      </c>
      <c r="S731" t="s">
        <v>1031</v>
      </c>
      <c r="T731" t="s">
        <v>1714</v>
      </c>
      <c r="U731" t="s">
        <v>251</v>
      </c>
      <c r="W731" t="s">
        <v>1876</v>
      </c>
      <c r="X731" t="s">
        <v>2568</v>
      </c>
      <c r="Y731">
        <v>2</v>
      </c>
      <c r="Z731" t="s">
        <v>3113</v>
      </c>
      <c r="AA731" t="s">
        <v>3135</v>
      </c>
      <c r="AB731">
        <v>11385</v>
      </c>
      <c r="AC731" t="s">
        <v>3136</v>
      </c>
      <c r="AD731" t="s">
        <v>3816</v>
      </c>
      <c r="AE731">
        <v>3</v>
      </c>
      <c r="AG731" t="s">
        <v>4035</v>
      </c>
      <c r="AH731" t="s">
        <v>291</v>
      </c>
      <c r="AI731" t="s">
        <v>291</v>
      </c>
      <c r="AK731" t="s">
        <v>4040</v>
      </c>
      <c r="AL731" t="s">
        <v>4046</v>
      </c>
      <c r="AM731">
        <v>0</v>
      </c>
      <c r="AN731">
        <v>1450</v>
      </c>
      <c r="AO731">
        <v>14.95</v>
      </c>
      <c r="AQ731" t="s">
        <v>4762</v>
      </c>
      <c r="AR731" t="s">
        <v>5630</v>
      </c>
      <c r="AS731">
        <v>2</v>
      </c>
      <c r="AT731" t="s">
        <v>5836</v>
      </c>
      <c r="AU731">
        <v>2</v>
      </c>
      <c r="AV731">
        <v>2</v>
      </c>
      <c r="AW731">
        <v>74.56</v>
      </c>
      <c r="BA731" t="s">
        <v>329</v>
      </c>
      <c r="BB731" t="s">
        <v>1322</v>
      </c>
      <c r="BC731">
        <v>19200</v>
      </c>
      <c r="BG731" t="s">
        <v>175</v>
      </c>
      <c r="BH731" t="s">
        <v>5927</v>
      </c>
      <c r="BI731" t="s">
        <v>5932</v>
      </c>
      <c r="BJ731" t="s">
        <v>5949</v>
      </c>
      <c r="BK731" t="s">
        <v>230</v>
      </c>
      <c r="BL731" t="s">
        <v>6056</v>
      </c>
    </row>
    <row r="732" spans="1:64">
      <c r="A732" s="1">
        <f>HYPERLINK("https://lsnyc.legalserver.org/matter/dynamic-profile/view/1905207","19-1905207")</f>
        <v>0</v>
      </c>
      <c r="B732" t="s">
        <v>67</v>
      </c>
      <c r="C732" t="s">
        <v>176</v>
      </c>
      <c r="D732" t="s">
        <v>200</v>
      </c>
      <c r="E732" t="s">
        <v>202</v>
      </c>
      <c r="F732" t="s">
        <v>231</v>
      </c>
      <c r="G732" t="s">
        <v>202</v>
      </c>
      <c r="H732" t="s">
        <v>271</v>
      </c>
      <c r="I732" t="s">
        <v>202</v>
      </c>
      <c r="J732" t="s">
        <v>289</v>
      </c>
      <c r="K732" t="s">
        <v>292</v>
      </c>
      <c r="M732" t="s">
        <v>290</v>
      </c>
      <c r="N732" t="s">
        <v>202</v>
      </c>
      <c r="O732" t="s">
        <v>422</v>
      </c>
      <c r="P732" t="s">
        <v>428</v>
      </c>
      <c r="S732" t="s">
        <v>1032</v>
      </c>
      <c r="T732" t="s">
        <v>1715</v>
      </c>
      <c r="U732" t="s">
        <v>231</v>
      </c>
      <c r="V732" t="s">
        <v>231</v>
      </c>
      <c r="W732" t="s">
        <v>1877</v>
      </c>
      <c r="X732" t="s">
        <v>2569</v>
      </c>
      <c r="Y732" t="s">
        <v>2812</v>
      </c>
      <c r="Z732" t="s">
        <v>3114</v>
      </c>
      <c r="AA732" t="s">
        <v>3135</v>
      </c>
      <c r="AB732">
        <v>11693</v>
      </c>
      <c r="AC732" t="s">
        <v>3136</v>
      </c>
      <c r="AD732" t="s">
        <v>3817</v>
      </c>
      <c r="AE732">
        <v>3</v>
      </c>
      <c r="AF732" t="s">
        <v>4023</v>
      </c>
      <c r="AG732" t="s">
        <v>4034</v>
      </c>
      <c r="AH732" t="s">
        <v>291</v>
      </c>
      <c r="AI732" t="s">
        <v>291</v>
      </c>
      <c r="AK732" t="s">
        <v>4041</v>
      </c>
      <c r="AL732" t="s">
        <v>4046</v>
      </c>
      <c r="AM732">
        <v>0</v>
      </c>
      <c r="AN732">
        <v>252</v>
      </c>
      <c r="AO732">
        <v>1.5</v>
      </c>
      <c r="AP732" t="s">
        <v>4052</v>
      </c>
      <c r="AQ732" t="s">
        <v>4763</v>
      </c>
      <c r="AR732" t="s">
        <v>5631</v>
      </c>
      <c r="AS732">
        <v>42</v>
      </c>
      <c r="AT732" t="s">
        <v>5837</v>
      </c>
      <c r="AU732">
        <v>2</v>
      </c>
      <c r="AV732">
        <v>5</v>
      </c>
      <c r="AW732">
        <v>26.93</v>
      </c>
      <c r="BA732" t="s">
        <v>329</v>
      </c>
      <c r="BB732" t="s">
        <v>1322</v>
      </c>
      <c r="BC732">
        <v>10504</v>
      </c>
      <c r="BG732" t="s">
        <v>5922</v>
      </c>
      <c r="BJ732" t="s">
        <v>5946</v>
      </c>
      <c r="BK732" t="s">
        <v>231</v>
      </c>
      <c r="BL732" t="s">
        <v>6056</v>
      </c>
    </row>
    <row r="733" spans="1:64">
      <c r="A733" s="1">
        <f>HYPERLINK("https://lsnyc.legalserver.org/matter/dynamic-profile/view/1908923","19-1908923")</f>
        <v>0</v>
      </c>
      <c r="B733" t="s">
        <v>67</v>
      </c>
      <c r="C733" t="s">
        <v>176</v>
      </c>
      <c r="D733" t="s">
        <v>200</v>
      </c>
      <c r="E733" t="s">
        <v>202</v>
      </c>
      <c r="F733" t="s">
        <v>238</v>
      </c>
      <c r="G733" t="s">
        <v>202</v>
      </c>
      <c r="H733" t="s">
        <v>272</v>
      </c>
      <c r="I733" t="s">
        <v>202</v>
      </c>
      <c r="J733" t="s">
        <v>289</v>
      </c>
      <c r="K733" t="s">
        <v>202</v>
      </c>
      <c r="L733" t="s">
        <v>390</v>
      </c>
      <c r="M733" t="s">
        <v>290</v>
      </c>
      <c r="N733" t="s">
        <v>202</v>
      </c>
      <c r="O733" t="s">
        <v>422</v>
      </c>
      <c r="P733" t="s">
        <v>428</v>
      </c>
      <c r="S733" t="s">
        <v>1033</v>
      </c>
      <c r="T733" t="s">
        <v>1716</v>
      </c>
      <c r="U733" t="s">
        <v>238</v>
      </c>
      <c r="V733" t="s">
        <v>263</v>
      </c>
      <c r="W733" t="s">
        <v>1877</v>
      </c>
      <c r="X733" t="s">
        <v>2570</v>
      </c>
      <c r="Y733" t="s">
        <v>2875</v>
      </c>
      <c r="Z733" t="s">
        <v>3100</v>
      </c>
      <c r="AA733" t="s">
        <v>3135</v>
      </c>
      <c r="AB733">
        <v>11368</v>
      </c>
      <c r="AC733" t="s">
        <v>3136</v>
      </c>
      <c r="AD733" t="s">
        <v>3818</v>
      </c>
      <c r="AE733">
        <v>2</v>
      </c>
      <c r="AF733" t="s">
        <v>4023</v>
      </c>
      <c r="AG733" t="s">
        <v>4034</v>
      </c>
      <c r="AH733" t="s">
        <v>291</v>
      </c>
      <c r="AI733" t="s">
        <v>291</v>
      </c>
      <c r="AK733" t="s">
        <v>4040</v>
      </c>
      <c r="AL733" t="s">
        <v>4048</v>
      </c>
      <c r="AM733">
        <v>0</v>
      </c>
      <c r="AN733">
        <v>1800</v>
      </c>
      <c r="AO733">
        <v>1.5</v>
      </c>
      <c r="AP733" t="s">
        <v>4052</v>
      </c>
      <c r="AQ733" t="s">
        <v>4764</v>
      </c>
      <c r="AR733" t="s">
        <v>5632</v>
      </c>
      <c r="AS733">
        <v>16</v>
      </c>
      <c r="AT733" t="s">
        <v>5838</v>
      </c>
      <c r="AU733">
        <v>2</v>
      </c>
      <c r="AV733">
        <v>3</v>
      </c>
      <c r="AW733">
        <v>19.93</v>
      </c>
      <c r="BA733" t="s">
        <v>5852</v>
      </c>
      <c r="BB733" t="s">
        <v>1322</v>
      </c>
      <c r="BC733">
        <v>6012</v>
      </c>
      <c r="BG733" t="s">
        <v>184</v>
      </c>
      <c r="BJ733" t="s">
        <v>5948</v>
      </c>
      <c r="BK733" t="s">
        <v>263</v>
      </c>
      <c r="BL733" t="s">
        <v>6056</v>
      </c>
    </row>
    <row r="734" spans="1:64">
      <c r="A734" s="1">
        <f>HYPERLINK("https://lsnyc.legalserver.org/matter/dynamic-profile/view/1909554","19-1909554")</f>
        <v>0</v>
      </c>
      <c r="B734" t="s">
        <v>67</v>
      </c>
      <c r="C734" t="s">
        <v>176</v>
      </c>
      <c r="D734" t="s">
        <v>200</v>
      </c>
      <c r="E734" t="s">
        <v>201</v>
      </c>
      <c r="G734" t="s">
        <v>202</v>
      </c>
      <c r="H734" t="s">
        <v>272</v>
      </c>
      <c r="I734" t="s">
        <v>202</v>
      </c>
      <c r="J734" t="s">
        <v>289</v>
      </c>
      <c r="K734" t="s">
        <v>292</v>
      </c>
      <c r="M734" t="s">
        <v>290</v>
      </c>
      <c r="N734" t="s">
        <v>419</v>
      </c>
      <c r="O734" t="s">
        <v>420</v>
      </c>
      <c r="P734" t="s">
        <v>427</v>
      </c>
      <c r="S734" t="s">
        <v>1034</v>
      </c>
      <c r="T734" t="s">
        <v>602</v>
      </c>
      <c r="U734" t="s">
        <v>230</v>
      </c>
      <c r="W734" t="s">
        <v>1876</v>
      </c>
      <c r="X734" t="s">
        <v>2571</v>
      </c>
      <c r="Y734" t="s">
        <v>3045</v>
      </c>
      <c r="Z734" t="s">
        <v>3100</v>
      </c>
      <c r="AA734" t="s">
        <v>3135</v>
      </c>
      <c r="AB734">
        <v>11368</v>
      </c>
      <c r="AC734" t="s">
        <v>3136</v>
      </c>
      <c r="AD734" t="s">
        <v>3819</v>
      </c>
      <c r="AE734">
        <v>5</v>
      </c>
      <c r="AG734" t="s">
        <v>4034</v>
      </c>
      <c r="AH734" t="s">
        <v>291</v>
      </c>
      <c r="AI734" t="s">
        <v>291</v>
      </c>
      <c r="AK734" t="s">
        <v>4040</v>
      </c>
      <c r="AL734" t="s">
        <v>4046</v>
      </c>
      <c r="AM734">
        <v>0</v>
      </c>
      <c r="AN734">
        <v>2386</v>
      </c>
      <c r="AO734">
        <v>1.75</v>
      </c>
      <c r="AQ734" t="s">
        <v>4765</v>
      </c>
      <c r="AR734" t="s">
        <v>5633</v>
      </c>
      <c r="AS734">
        <v>400</v>
      </c>
      <c r="AT734" t="s">
        <v>5838</v>
      </c>
      <c r="AU734">
        <v>4</v>
      </c>
      <c r="AV734">
        <v>0</v>
      </c>
      <c r="AW734">
        <v>87.15000000000001</v>
      </c>
      <c r="BA734" t="s">
        <v>329</v>
      </c>
      <c r="BC734">
        <v>22440</v>
      </c>
      <c r="BG734" t="s">
        <v>184</v>
      </c>
      <c r="BJ734" t="s">
        <v>6041</v>
      </c>
      <c r="BK734" t="s">
        <v>243</v>
      </c>
      <c r="BL734" t="s">
        <v>6056</v>
      </c>
    </row>
    <row r="735" spans="1:64">
      <c r="A735" s="1">
        <f>HYPERLINK("https://lsnyc.legalserver.org/matter/dynamic-profile/view/1910055","19-1910055")</f>
        <v>0</v>
      </c>
      <c r="B735" t="s">
        <v>67</v>
      </c>
      <c r="C735" t="s">
        <v>177</v>
      </c>
      <c r="D735" t="s">
        <v>200</v>
      </c>
      <c r="E735" t="s">
        <v>202</v>
      </c>
      <c r="F735" t="s">
        <v>206</v>
      </c>
      <c r="G735" t="s">
        <v>202</v>
      </c>
      <c r="H735" t="s">
        <v>277</v>
      </c>
      <c r="I735" t="s">
        <v>202</v>
      </c>
      <c r="J735" t="s">
        <v>289</v>
      </c>
      <c r="K735" t="s">
        <v>292</v>
      </c>
      <c r="M735" t="s">
        <v>290</v>
      </c>
      <c r="N735" t="s">
        <v>419</v>
      </c>
      <c r="O735" t="s">
        <v>420</v>
      </c>
      <c r="P735" t="s">
        <v>427</v>
      </c>
      <c r="S735" t="s">
        <v>891</v>
      </c>
      <c r="T735" t="s">
        <v>1030</v>
      </c>
      <c r="U735" t="s">
        <v>206</v>
      </c>
      <c r="W735" t="s">
        <v>1876</v>
      </c>
      <c r="X735" t="s">
        <v>2572</v>
      </c>
      <c r="Z735" t="s">
        <v>3115</v>
      </c>
      <c r="AA735" t="s">
        <v>3135</v>
      </c>
      <c r="AB735">
        <v>11429</v>
      </c>
      <c r="AC735" t="s">
        <v>3136</v>
      </c>
      <c r="AD735" t="s">
        <v>3820</v>
      </c>
      <c r="AE735">
        <v>-1</v>
      </c>
      <c r="AG735" t="s">
        <v>4034</v>
      </c>
      <c r="AH735" t="s">
        <v>291</v>
      </c>
      <c r="AI735" t="s">
        <v>291</v>
      </c>
      <c r="AK735" t="s">
        <v>4040</v>
      </c>
      <c r="AM735">
        <v>0</v>
      </c>
      <c r="AN735">
        <v>3500</v>
      </c>
      <c r="AO735">
        <v>0.3</v>
      </c>
      <c r="AQ735" t="s">
        <v>4766</v>
      </c>
      <c r="AR735" t="s">
        <v>5286</v>
      </c>
      <c r="AS735">
        <v>1</v>
      </c>
      <c r="AT735" t="s">
        <v>5836</v>
      </c>
      <c r="AU735">
        <v>1</v>
      </c>
      <c r="AV735">
        <v>0</v>
      </c>
      <c r="AW735">
        <v>0</v>
      </c>
      <c r="BA735" t="s">
        <v>329</v>
      </c>
      <c r="BB735" t="s">
        <v>5870</v>
      </c>
      <c r="BC735">
        <v>0</v>
      </c>
      <c r="BG735" t="s">
        <v>5922</v>
      </c>
      <c r="BJ735" t="s">
        <v>5945</v>
      </c>
      <c r="BK735" t="s">
        <v>206</v>
      </c>
      <c r="BL735" t="s">
        <v>6056</v>
      </c>
    </row>
    <row r="736" spans="1:64">
      <c r="A736" s="1">
        <f>HYPERLINK("https://lsnyc.legalserver.org/matter/dynamic-profile/view/1908473","19-1908473")</f>
        <v>0</v>
      </c>
      <c r="B736" t="s">
        <v>67</v>
      </c>
      <c r="C736" t="s">
        <v>177</v>
      </c>
      <c r="D736" t="s">
        <v>200</v>
      </c>
      <c r="E736" t="s">
        <v>201</v>
      </c>
      <c r="G736" t="s">
        <v>202</v>
      </c>
      <c r="H736" t="s">
        <v>271</v>
      </c>
      <c r="I736" t="s">
        <v>202</v>
      </c>
      <c r="J736" t="s">
        <v>289</v>
      </c>
      <c r="K736" t="s">
        <v>292</v>
      </c>
      <c r="M736" t="s">
        <v>290</v>
      </c>
      <c r="N736" t="s">
        <v>419</v>
      </c>
      <c r="O736" t="s">
        <v>420</v>
      </c>
      <c r="P736" t="s">
        <v>427</v>
      </c>
      <c r="S736" t="s">
        <v>780</v>
      </c>
      <c r="T736" t="s">
        <v>617</v>
      </c>
      <c r="U736" t="s">
        <v>237</v>
      </c>
      <c r="W736" t="s">
        <v>1876</v>
      </c>
      <c r="X736" t="s">
        <v>2573</v>
      </c>
      <c r="Y736">
        <v>1</v>
      </c>
      <c r="Z736" t="s">
        <v>3109</v>
      </c>
      <c r="AA736" t="s">
        <v>3135</v>
      </c>
      <c r="AB736">
        <v>11434</v>
      </c>
      <c r="AC736" t="s">
        <v>3139</v>
      </c>
      <c r="AD736" t="s">
        <v>3821</v>
      </c>
      <c r="AE736">
        <v>2</v>
      </c>
      <c r="AG736" t="s">
        <v>4035</v>
      </c>
      <c r="AH736" t="s">
        <v>291</v>
      </c>
      <c r="AI736" t="s">
        <v>291</v>
      </c>
      <c r="AK736" t="s">
        <v>4040</v>
      </c>
      <c r="AM736">
        <v>0</v>
      </c>
      <c r="AN736">
        <v>800</v>
      </c>
      <c r="AO736">
        <v>4.01</v>
      </c>
      <c r="AQ736" t="s">
        <v>4767</v>
      </c>
      <c r="AS736">
        <v>8</v>
      </c>
      <c r="AU736">
        <v>1</v>
      </c>
      <c r="AV736">
        <v>0</v>
      </c>
      <c r="AW736">
        <v>0</v>
      </c>
      <c r="BA736" t="s">
        <v>5850</v>
      </c>
      <c r="BB736" t="s">
        <v>1322</v>
      </c>
      <c r="BC736">
        <v>0</v>
      </c>
      <c r="BG736" t="s">
        <v>5923</v>
      </c>
      <c r="BJ736" t="s">
        <v>5945</v>
      </c>
      <c r="BK736" t="s">
        <v>266</v>
      </c>
      <c r="BL736" t="s">
        <v>6056</v>
      </c>
    </row>
    <row r="737" spans="1:64">
      <c r="A737" s="1">
        <f>HYPERLINK("https://lsnyc.legalserver.org/matter/dynamic-profile/view/1909307","19-1909307")</f>
        <v>0</v>
      </c>
      <c r="B737" t="s">
        <v>67</v>
      </c>
      <c r="C737" t="s">
        <v>177</v>
      </c>
      <c r="D737" t="s">
        <v>200</v>
      </c>
      <c r="E737" t="s">
        <v>201</v>
      </c>
      <c r="G737" t="s">
        <v>202</v>
      </c>
      <c r="H737" t="s">
        <v>272</v>
      </c>
      <c r="I737" t="s">
        <v>202</v>
      </c>
      <c r="J737" t="s">
        <v>289</v>
      </c>
      <c r="K737" t="s">
        <v>292</v>
      </c>
      <c r="M737" t="s">
        <v>290</v>
      </c>
      <c r="N737" t="s">
        <v>419</v>
      </c>
      <c r="O737" t="s">
        <v>420</v>
      </c>
      <c r="P737" t="s">
        <v>427</v>
      </c>
      <c r="S737" t="s">
        <v>1035</v>
      </c>
      <c r="T737" t="s">
        <v>1717</v>
      </c>
      <c r="U737" t="s">
        <v>263</v>
      </c>
      <c r="W737" t="s">
        <v>1876</v>
      </c>
      <c r="X737" t="s">
        <v>2574</v>
      </c>
      <c r="Y737" t="s">
        <v>3046</v>
      </c>
      <c r="Z737" t="s">
        <v>3111</v>
      </c>
      <c r="AA737" t="s">
        <v>3135</v>
      </c>
      <c r="AB737">
        <v>11373</v>
      </c>
      <c r="AC737" t="s">
        <v>3140</v>
      </c>
      <c r="AD737" t="s">
        <v>3822</v>
      </c>
      <c r="AE737">
        <v>14</v>
      </c>
      <c r="AG737" t="s">
        <v>4035</v>
      </c>
      <c r="AH737" t="s">
        <v>291</v>
      </c>
      <c r="AI737" t="s">
        <v>291</v>
      </c>
      <c r="AK737" t="s">
        <v>4040</v>
      </c>
      <c r="AL737" t="s">
        <v>4046</v>
      </c>
      <c r="AM737">
        <v>0</v>
      </c>
      <c r="AN737">
        <v>1520</v>
      </c>
      <c r="AO737">
        <v>1.6</v>
      </c>
      <c r="AQ737" t="s">
        <v>4768</v>
      </c>
      <c r="AR737" t="s">
        <v>5634</v>
      </c>
      <c r="AS737">
        <v>40</v>
      </c>
      <c r="AT737" t="s">
        <v>5836</v>
      </c>
      <c r="AU737">
        <v>2</v>
      </c>
      <c r="AV737">
        <v>1</v>
      </c>
      <c r="AW737">
        <v>122.83</v>
      </c>
      <c r="BA737" t="s">
        <v>329</v>
      </c>
      <c r="BB737" t="s">
        <v>5859</v>
      </c>
      <c r="BC737">
        <v>26200</v>
      </c>
      <c r="BG737" t="s">
        <v>5922</v>
      </c>
      <c r="BJ737" t="s">
        <v>5983</v>
      </c>
      <c r="BK737" t="s">
        <v>216</v>
      </c>
      <c r="BL737" t="s">
        <v>6056</v>
      </c>
    </row>
    <row r="738" spans="1:64">
      <c r="A738" s="1">
        <f>HYPERLINK("https://lsnyc.legalserver.org/matter/dynamic-profile/view/1910049","19-1910049")</f>
        <v>0</v>
      </c>
      <c r="B738" t="s">
        <v>67</v>
      </c>
      <c r="C738" t="s">
        <v>177</v>
      </c>
      <c r="D738" t="s">
        <v>200</v>
      </c>
      <c r="E738" t="s">
        <v>201</v>
      </c>
      <c r="G738" t="s">
        <v>202</v>
      </c>
      <c r="H738" t="s">
        <v>272</v>
      </c>
      <c r="I738" t="s">
        <v>202</v>
      </c>
      <c r="J738" t="s">
        <v>289</v>
      </c>
      <c r="K738" t="s">
        <v>292</v>
      </c>
      <c r="M738" t="s">
        <v>290</v>
      </c>
      <c r="N738" t="s">
        <v>419</v>
      </c>
      <c r="O738" t="s">
        <v>420</v>
      </c>
      <c r="P738" t="s">
        <v>427</v>
      </c>
      <c r="S738" t="s">
        <v>1036</v>
      </c>
      <c r="T738" t="s">
        <v>1392</v>
      </c>
      <c r="U738" t="s">
        <v>206</v>
      </c>
      <c r="W738" t="s">
        <v>1876</v>
      </c>
      <c r="X738" t="s">
        <v>2575</v>
      </c>
      <c r="Z738" t="s">
        <v>3113</v>
      </c>
      <c r="AA738" t="s">
        <v>3135</v>
      </c>
      <c r="AB738">
        <v>11385</v>
      </c>
      <c r="AC738" t="s">
        <v>3139</v>
      </c>
      <c r="AD738" t="s">
        <v>3823</v>
      </c>
      <c r="AE738">
        <v>1</v>
      </c>
      <c r="AG738" t="s">
        <v>4035</v>
      </c>
      <c r="AH738" t="s">
        <v>291</v>
      </c>
      <c r="AK738" t="s">
        <v>4040</v>
      </c>
      <c r="AM738">
        <v>0</v>
      </c>
      <c r="AN738">
        <v>1500</v>
      </c>
      <c r="AO738">
        <v>1.5</v>
      </c>
      <c r="AQ738" t="s">
        <v>4769</v>
      </c>
      <c r="AS738">
        <v>0</v>
      </c>
      <c r="AU738">
        <v>1</v>
      </c>
      <c r="AV738">
        <v>0</v>
      </c>
      <c r="AW738">
        <v>105.68</v>
      </c>
      <c r="BA738" t="s">
        <v>329</v>
      </c>
      <c r="BB738" t="s">
        <v>1322</v>
      </c>
      <c r="BC738">
        <v>13200</v>
      </c>
      <c r="BG738" t="s">
        <v>5923</v>
      </c>
      <c r="BJ738" t="s">
        <v>5959</v>
      </c>
      <c r="BK738" t="s">
        <v>206</v>
      </c>
      <c r="BL738" t="s">
        <v>6056</v>
      </c>
    </row>
    <row r="739" spans="1:64">
      <c r="A739" s="1">
        <f>HYPERLINK("https://lsnyc.legalserver.org/matter/dynamic-profile/view/1908400","19-1908400")</f>
        <v>0</v>
      </c>
      <c r="B739" t="s">
        <v>67</v>
      </c>
      <c r="C739" t="s">
        <v>177</v>
      </c>
      <c r="D739" t="s">
        <v>200</v>
      </c>
      <c r="E739" t="s">
        <v>201</v>
      </c>
      <c r="G739" t="s">
        <v>202</v>
      </c>
      <c r="H739" t="s">
        <v>271</v>
      </c>
      <c r="I739" t="s">
        <v>202</v>
      </c>
      <c r="J739" t="s">
        <v>289</v>
      </c>
      <c r="K739" t="s">
        <v>202</v>
      </c>
      <c r="L739">
        <v>9181731</v>
      </c>
      <c r="M739" t="s">
        <v>290</v>
      </c>
      <c r="N739" t="s">
        <v>419</v>
      </c>
      <c r="O739" t="s">
        <v>420</v>
      </c>
      <c r="P739" t="s">
        <v>427</v>
      </c>
      <c r="S739" t="s">
        <v>1037</v>
      </c>
      <c r="T739" t="s">
        <v>1718</v>
      </c>
      <c r="U739" t="s">
        <v>218</v>
      </c>
      <c r="W739" t="s">
        <v>1876</v>
      </c>
      <c r="X739" t="s">
        <v>2576</v>
      </c>
      <c r="Y739" t="s">
        <v>2797</v>
      </c>
      <c r="Z739" t="s">
        <v>3109</v>
      </c>
      <c r="AA739" t="s">
        <v>3135</v>
      </c>
      <c r="AB739">
        <v>11433</v>
      </c>
      <c r="AC739" t="s">
        <v>3139</v>
      </c>
      <c r="AD739" t="s">
        <v>3824</v>
      </c>
      <c r="AE739">
        <v>1</v>
      </c>
      <c r="AG739" t="s">
        <v>4035</v>
      </c>
      <c r="AH739" t="s">
        <v>291</v>
      </c>
      <c r="AI739" t="s">
        <v>291</v>
      </c>
      <c r="AK739" t="s">
        <v>4040</v>
      </c>
      <c r="AM739">
        <v>0</v>
      </c>
      <c r="AN739">
        <v>1956</v>
      </c>
      <c r="AO739">
        <v>5.23</v>
      </c>
      <c r="AQ739" t="s">
        <v>4770</v>
      </c>
      <c r="AR739" t="s">
        <v>5635</v>
      </c>
      <c r="AS739">
        <v>3</v>
      </c>
      <c r="AT739" t="s">
        <v>5835</v>
      </c>
      <c r="AU739">
        <v>1</v>
      </c>
      <c r="AV739">
        <v>5</v>
      </c>
      <c r="AW739">
        <v>43.75</v>
      </c>
      <c r="BA739" t="s">
        <v>5853</v>
      </c>
      <c r="BB739" t="s">
        <v>1322</v>
      </c>
      <c r="BC739">
        <v>15132</v>
      </c>
      <c r="BG739" t="s">
        <v>5923</v>
      </c>
      <c r="BJ739" t="s">
        <v>6042</v>
      </c>
      <c r="BK739" t="s">
        <v>259</v>
      </c>
      <c r="BL739" t="s">
        <v>6056</v>
      </c>
    </row>
    <row r="740" spans="1:64">
      <c r="A740" s="1">
        <f>HYPERLINK("https://lsnyc.legalserver.org/matter/dynamic-profile/view/1907047","19-1907047")</f>
        <v>0</v>
      </c>
      <c r="B740" t="s">
        <v>67</v>
      </c>
      <c r="C740" t="s">
        <v>177</v>
      </c>
      <c r="D740" t="s">
        <v>200</v>
      </c>
      <c r="E740" t="s">
        <v>201</v>
      </c>
      <c r="G740" t="s">
        <v>202</v>
      </c>
      <c r="H740" t="s">
        <v>272</v>
      </c>
      <c r="I740" t="s">
        <v>202</v>
      </c>
      <c r="J740" t="s">
        <v>289</v>
      </c>
      <c r="K740" t="s">
        <v>292</v>
      </c>
      <c r="M740" t="s">
        <v>290</v>
      </c>
      <c r="N740" t="s">
        <v>202</v>
      </c>
      <c r="O740" t="s">
        <v>421</v>
      </c>
      <c r="P740" t="s">
        <v>427</v>
      </c>
      <c r="S740" t="s">
        <v>1038</v>
      </c>
      <c r="T740" t="s">
        <v>1719</v>
      </c>
      <c r="U740" t="s">
        <v>226</v>
      </c>
      <c r="W740" t="s">
        <v>1876</v>
      </c>
      <c r="X740" t="s">
        <v>2577</v>
      </c>
      <c r="Y740" t="s">
        <v>3047</v>
      </c>
      <c r="Z740" t="s">
        <v>3109</v>
      </c>
      <c r="AA740" t="s">
        <v>3135</v>
      </c>
      <c r="AB740">
        <v>11434</v>
      </c>
      <c r="AC740" t="s">
        <v>3139</v>
      </c>
      <c r="AD740" t="s">
        <v>3825</v>
      </c>
      <c r="AE740">
        <v>21</v>
      </c>
      <c r="AG740" t="s">
        <v>4035</v>
      </c>
      <c r="AH740" t="s">
        <v>291</v>
      </c>
      <c r="AK740" t="s">
        <v>4040</v>
      </c>
      <c r="AM740">
        <v>0</v>
      </c>
      <c r="AN740">
        <v>1126</v>
      </c>
      <c r="AO740">
        <v>20</v>
      </c>
      <c r="AQ740" t="s">
        <v>4771</v>
      </c>
      <c r="AR740" t="s">
        <v>5636</v>
      </c>
      <c r="AS740">
        <v>0</v>
      </c>
      <c r="AT740" t="s">
        <v>5834</v>
      </c>
      <c r="AU740">
        <v>3</v>
      </c>
      <c r="AV740">
        <v>1</v>
      </c>
      <c r="AW740">
        <v>223.69</v>
      </c>
      <c r="AX740" t="s">
        <v>228</v>
      </c>
      <c r="AY740" t="s">
        <v>5849</v>
      </c>
      <c r="BB740" t="s">
        <v>1322</v>
      </c>
      <c r="BC740">
        <v>57600</v>
      </c>
      <c r="BG740" t="s">
        <v>5923</v>
      </c>
      <c r="BJ740" t="s">
        <v>5949</v>
      </c>
      <c r="BK740" t="s">
        <v>243</v>
      </c>
      <c r="BL740" t="s">
        <v>6056</v>
      </c>
    </row>
    <row r="741" spans="1:64">
      <c r="A741" s="1">
        <f>HYPERLINK("https://lsnyc.legalserver.org/matter/dynamic-profile/view/1910021","19-1910021")</f>
        <v>0</v>
      </c>
      <c r="B741" t="s">
        <v>67</v>
      </c>
      <c r="C741" t="s">
        <v>177</v>
      </c>
      <c r="D741" t="s">
        <v>200</v>
      </c>
      <c r="E741" t="s">
        <v>201</v>
      </c>
      <c r="G741" t="s">
        <v>202</v>
      </c>
      <c r="H741" t="s">
        <v>271</v>
      </c>
      <c r="I741" t="s">
        <v>202</v>
      </c>
      <c r="J741" t="s">
        <v>289</v>
      </c>
      <c r="K741" t="s">
        <v>202</v>
      </c>
      <c r="L741" t="s">
        <v>391</v>
      </c>
      <c r="M741" t="s">
        <v>290</v>
      </c>
      <c r="N741" t="s">
        <v>419</v>
      </c>
      <c r="O741" t="s">
        <v>420</v>
      </c>
      <c r="P741" t="s">
        <v>427</v>
      </c>
      <c r="S741" t="s">
        <v>1039</v>
      </c>
      <c r="T741" t="s">
        <v>1720</v>
      </c>
      <c r="U741" t="s">
        <v>206</v>
      </c>
      <c r="W741" t="s">
        <v>1876</v>
      </c>
      <c r="X741" t="s">
        <v>2578</v>
      </c>
      <c r="Y741" t="s">
        <v>2797</v>
      </c>
      <c r="Z741" t="s">
        <v>3109</v>
      </c>
      <c r="AA741" t="s">
        <v>3135</v>
      </c>
      <c r="AB741">
        <v>11434</v>
      </c>
      <c r="AC741" t="s">
        <v>3139</v>
      </c>
      <c r="AD741" t="s">
        <v>3826</v>
      </c>
      <c r="AE741">
        <v>12</v>
      </c>
      <c r="AG741" t="s">
        <v>4035</v>
      </c>
      <c r="AH741" t="s">
        <v>291</v>
      </c>
      <c r="AI741" t="s">
        <v>291</v>
      </c>
      <c r="AK741" t="s">
        <v>4040</v>
      </c>
      <c r="AM741">
        <v>0</v>
      </c>
      <c r="AN741">
        <v>1480</v>
      </c>
      <c r="AO741">
        <v>1</v>
      </c>
      <c r="AQ741" t="s">
        <v>4772</v>
      </c>
      <c r="AR741" t="s">
        <v>5637</v>
      </c>
      <c r="AS741">
        <v>3</v>
      </c>
      <c r="AT741" t="s">
        <v>5840</v>
      </c>
      <c r="AU741">
        <v>2</v>
      </c>
      <c r="AV741">
        <v>0</v>
      </c>
      <c r="AW741">
        <v>141.93</v>
      </c>
      <c r="BA741" t="s">
        <v>5850</v>
      </c>
      <c r="BB741" t="s">
        <v>1322</v>
      </c>
      <c r="BC741">
        <v>24000</v>
      </c>
      <c r="BG741" t="s">
        <v>5923</v>
      </c>
      <c r="BJ741" t="s">
        <v>6041</v>
      </c>
      <c r="BK741" t="s">
        <v>216</v>
      </c>
      <c r="BL741" t="s">
        <v>6056</v>
      </c>
    </row>
    <row r="742" spans="1:64">
      <c r="A742" s="1">
        <f>HYPERLINK("https://lsnyc.legalserver.org/matter/dynamic-profile/view/1910211","19-1910211")</f>
        <v>0</v>
      </c>
      <c r="B742" t="s">
        <v>67</v>
      </c>
      <c r="C742" t="s">
        <v>177</v>
      </c>
      <c r="D742" t="s">
        <v>200</v>
      </c>
      <c r="E742" t="s">
        <v>201</v>
      </c>
      <c r="G742" t="s">
        <v>202</v>
      </c>
      <c r="H742" t="s">
        <v>271</v>
      </c>
      <c r="I742" t="s">
        <v>288</v>
      </c>
      <c r="J742" t="s">
        <v>291</v>
      </c>
      <c r="K742" t="s">
        <v>292</v>
      </c>
      <c r="M742" t="s">
        <v>290</v>
      </c>
      <c r="N742" t="s">
        <v>419</v>
      </c>
      <c r="O742" t="s">
        <v>420</v>
      </c>
      <c r="P742" t="s">
        <v>427</v>
      </c>
      <c r="S742" t="s">
        <v>1040</v>
      </c>
      <c r="T742" t="s">
        <v>1721</v>
      </c>
      <c r="U742" t="s">
        <v>259</v>
      </c>
      <c r="W742" t="s">
        <v>1876</v>
      </c>
      <c r="X742" t="s">
        <v>2579</v>
      </c>
      <c r="Y742" t="s">
        <v>2834</v>
      </c>
      <c r="Z742" t="s">
        <v>3109</v>
      </c>
      <c r="AA742" t="s">
        <v>3135</v>
      </c>
      <c r="AB742">
        <v>11434</v>
      </c>
      <c r="AC742" t="s">
        <v>3139</v>
      </c>
      <c r="AD742" t="s">
        <v>3827</v>
      </c>
      <c r="AE742">
        <v>5</v>
      </c>
      <c r="AG742" t="s">
        <v>4035</v>
      </c>
      <c r="AH742" t="s">
        <v>291</v>
      </c>
      <c r="AI742" t="s">
        <v>291</v>
      </c>
      <c r="AK742" t="s">
        <v>4040</v>
      </c>
      <c r="AM742">
        <v>0</v>
      </c>
      <c r="AN742">
        <v>1325</v>
      </c>
      <c r="AO742">
        <v>1.02</v>
      </c>
      <c r="AQ742" t="s">
        <v>4773</v>
      </c>
      <c r="AS742">
        <v>2</v>
      </c>
      <c r="AU742">
        <v>1</v>
      </c>
      <c r="AV742">
        <v>1</v>
      </c>
      <c r="AW742">
        <v>94.62</v>
      </c>
      <c r="BA742" t="s">
        <v>5850</v>
      </c>
      <c r="BB742" t="s">
        <v>1322</v>
      </c>
      <c r="BC742">
        <v>16000</v>
      </c>
      <c r="BG742" t="s">
        <v>5923</v>
      </c>
      <c r="BJ742" t="s">
        <v>5949</v>
      </c>
      <c r="BK742" t="s">
        <v>259</v>
      </c>
      <c r="BL742" t="s">
        <v>6056</v>
      </c>
    </row>
    <row r="743" spans="1:64">
      <c r="A743" s="1">
        <f>HYPERLINK("https://lsnyc.legalserver.org/matter/dynamic-profile/view/1910066","19-1910066")</f>
        <v>0</v>
      </c>
      <c r="B743" t="s">
        <v>67</v>
      </c>
      <c r="C743" t="s">
        <v>177</v>
      </c>
      <c r="D743" t="s">
        <v>200</v>
      </c>
      <c r="E743" t="s">
        <v>202</v>
      </c>
      <c r="F743" t="s">
        <v>206</v>
      </c>
      <c r="G743" t="s">
        <v>202</v>
      </c>
      <c r="H743" t="s">
        <v>271</v>
      </c>
      <c r="I743" t="s">
        <v>202</v>
      </c>
      <c r="J743" t="s">
        <v>289</v>
      </c>
      <c r="K743" t="s">
        <v>202</v>
      </c>
      <c r="L743" t="s">
        <v>392</v>
      </c>
      <c r="M743" t="s">
        <v>290</v>
      </c>
      <c r="N743" t="s">
        <v>419</v>
      </c>
      <c r="O743" t="s">
        <v>420</v>
      </c>
      <c r="P743" t="s">
        <v>427</v>
      </c>
      <c r="S743" t="s">
        <v>1041</v>
      </c>
      <c r="T743" t="s">
        <v>1722</v>
      </c>
      <c r="U743" t="s">
        <v>206</v>
      </c>
      <c r="W743" t="s">
        <v>1876</v>
      </c>
      <c r="X743" t="s">
        <v>2580</v>
      </c>
      <c r="Z743" t="s">
        <v>3111</v>
      </c>
      <c r="AA743" t="s">
        <v>3135</v>
      </c>
      <c r="AB743">
        <v>11373</v>
      </c>
      <c r="AC743" t="s">
        <v>3136</v>
      </c>
      <c r="AD743" t="s">
        <v>3828</v>
      </c>
      <c r="AE743">
        <v>30</v>
      </c>
      <c r="AG743" t="s">
        <v>4034</v>
      </c>
      <c r="AH743" t="s">
        <v>291</v>
      </c>
      <c r="AI743" t="s">
        <v>291</v>
      </c>
      <c r="AK743" t="s">
        <v>4040</v>
      </c>
      <c r="AM743">
        <v>0</v>
      </c>
      <c r="AN743">
        <v>900</v>
      </c>
      <c r="AO743">
        <v>1.1</v>
      </c>
      <c r="AQ743" t="s">
        <v>4774</v>
      </c>
      <c r="AR743" t="s">
        <v>5638</v>
      </c>
      <c r="AS743">
        <v>2</v>
      </c>
      <c r="AT743" t="s">
        <v>5836</v>
      </c>
      <c r="AU743">
        <v>1</v>
      </c>
      <c r="AV743">
        <v>1</v>
      </c>
      <c r="AW743">
        <v>60.32</v>
      </c>
      <c r="BA743" t="s">
        <v>329</v>
      </c>
      <c r="BB743" t="s">
        <v>1322</v>
      </c>
      <c r="BC743">
        <v>10200</v>
      </c>
      <c r="BG743" t="s">
        <v>5922</v>
      </c>
      <c r="BJ743" t="s">
        <v>5959</v>
      </c>
      <c r="BK743" t="s">
        <v>206</v>
      </c>
      <c r="BL743" t="s">
        <v>6056</v>
      </c>
    </row>
    <row r="744" spans="1:64">
      <c r="A744" s="1">
        <f>HYPERLINK("https://lsnyc.legalserver.org/matter/dynamic-profile/view/1909528","19-1909528")</f>
        <v>0</v>
      </c>
      <c r="B744" t="s">
        <v>67</v>
      </c>
      <c r="C744" t="s">
        <v>178</v>
      </c>
      <c r="D744" t="s">
        <v>200</v>
      </c>
      <c r="E744" t="s">
        <v>201</v>
      </c>
      <c r="G744" t="s">
        <v>202</v>
      </c>
      <c r="H744" t="s">
        <v>271</v>
      </c>
      <c r="I744" t="s">
        <v>202</v>
      </c>
      <c r="J744" t="s">
        <v>289</v>
      </c>
      <c r="K744" t="s">
        <v>292</v>
      </c>
      <c r="M744" t="s">
        <v>290</v>
      </c>
      <c r="N744" t="s">
        <v>202</v>
      </c>
      <c r="O744" t="s">
        <v>421</v>
      </c>
      <c r="P744" t="s">
        <v>427</v>
      </c>
      <c r="S744" t="s">
        <v>726</v>
      </c>
      <c r="T744" t="s">
        <v>1190</v>
      </c>
      <c r="U744" t="s">
        <v>230</v>
      </c>
      <c r="W744" t="s">
        <v>1876</v>
      </c>
      <c r="X744" t="s">
        <v>2581</v>
      </c>
      <c r="Y744">
        <v>2</v>
      </c>
      <c r="Z744" t="s">
        <v>3109</v>
      </c>
      <c r="AA744" t="s">
        <v>3135</v>
      </c>
      <c r="AB744">
        <v>11433</v>
      </c>
      <c r="AC744" t="s">
        <v>3136</v>
      </c>
      <c r="AD744" t="s">
        <v>3829</v>
      </c>
      <c r="AE744">
        <v>9</v>
      </c>
      <c r="AG744" t="s">
        <v>4034</v>
      </c>
      <c r="AH744" t="s">
        <v>291</v>
      </c>
      <c r="AK744" t="s">
        <v>4040</v>
      </c>
      <c r="AM744">
        <v>0</v>
      </c>
      <c r="AN744">
        <v>1250</v>
      </c>
      <c r="AO744">
        <v>1</v>
      </c>
      <c r="AQ744" t="s">
        <v>4775</v>
      </c>
      <c r="AR744" t="s">
        <v>5639</v>
      </c>
      <c r="AS744">
        <v>2</v>
      </c>
      <c r="AT744" t="s">
        <v>5835</v>
      </c>
      <c r="AU744">
        <v>1</v>
      </c>
      <c r="AV744">
        <v>0</v>
      </c>
      <c r="AW744">
        <v>80.7</v>
      </c>
      <c r="BA744" t="s">
        <v>329</v>
      </c>
      <c r="BC744">
        <v>10080</v>
      </c>
      <c r="BG744" t="s">
        <v>184</v>
      </c>
      <c r="BJ744" t="s">
        <v>5942</v>
      </c>
      <c r="BK744" t="s">
        <v>230</v>
      </c>
    </row>
    <row r="745" spans="1:64">
      <c r="A745" s="1">
        <f>HYPERLINK("https://lsnyc.legalserver.org/matter/dynamic-profile/view/1906915","19-1906915")</f>
        <v>0</v>
      </c>
      <c r="B745" t="s">
        <v>67</v>
      </c>
      <c r="C745" t="s">
        <v>178</v>
      </c>
      <c r="D745" t="s">
        <v>200</v>
      </c>
      <c r="E745" t="s">
        <v>202</v>
      </c>
      <c r="F745" t="s">
        <v>239</v>
      </c>
      <c r="G745" t="s">
        <v>202</v>
      </c>
      <c r="H745" t="s">
        <v>271</v>
      </c>
      <c r="I745" t="s">
        <v>202</v>
      </c>
      <c r="J745" t="s">
        <v>289</v>
      </c>
      <c r="K745" t="s">
        <v>292</v>
      </c>
      <c r="M745" t="s">
        <v>290</v>
      </c>
      <c r="N745" t="s">
        <v>202</v>
      </c>
      <c r="O745" t="s">
        <v>422</v>
      </c>
      <c r="P745" t="s">
        <v>427</v>
      </c>
      <c r="S745" t="s">
        <v>1042</v>
      </c>
      <c r="T745" t="s">
        <v>1723</v>
      </c>
      <c r="U745" t="s">
        <v>239</v>
      </c>
      <c r="W745" t="s">
        <v>1876</v>
      </c>
      <c r="X745" t="s">
        <v>2582</v>
      </c>
      <c r="Y745" t="s">
        <v>2783</v>
      </c>
      <c r="Z745" t="s">
        <v>3116</v>
      </c>
      <c r="AA745" t="s">
        <v>3135</v>
      </c>
      <c r="AB745">
        <v>11418</v>
      </c>
      <c r="AC745" t="s">
        <v>3136</v>
      </c>
      <c r="AD745" t="s">
        <v>3830</v>
      </c>
      <c r="AE745">
        <v>1</v>
      </c>
      <c r="AG745" t="s">
        <v>4034</v>
      </c>
      <c r="AH745" t="s">
        <v>291</v>
      </c>
      <c r="AI745" t="s">
        <v>291</v>
      </c>
      <c r="AK745" t="s">
        <v>4040</v>
      </c>
      <c r="AL745" t="s">
        <v>4046</v>
      </c>
      <c r="AM745">
        <v>0</v>
      </c>
      <c r="AN745">
        <v>1100</v>
      </c>
      <c r="AO745">
        <v>1.7</v>
      </c>
      <c r="AQ745" t="s">
        <v>4776</v>
      </c>
      <c r="AR745" t="s">
        <v>5640</v>
      </c>
      <c r="AS745">
        <v>9</v>
      </c>
      <c r="AT745" t="s">
        <v>5836</v>
      </c>
      <c r="AU745">
        <v>2</v>
      </c>
      <c r="AV745">
        <v>1</v>
      </c>
      <c r="AW745">
        <v>187.53</v>
      </c>
      <c r="BA745" t="s">
        <v>329</v>
      </c>
      <c r="BB745" t="s">
        <v>1322</v>
      </c>
      <c r="BC745">
        <v>40000</v>
      </c>
      <c r="BG745" t="s">
        <v>5922</v>
      </c>
      <c r="BJ745" t="s">
        <v>5949</v>
      </c>
      <c r="BK745" t="s">
        <v>228</v>
      </c>
      <c r="BL745" t="s">
        <v>6056</v>
      </c>
    </row>
    <row r="746" spans="1:64">
      <c r="A746" s="1">
        <f>HYPERLINK("https://lsnyc.legalserver.org/matter/dynamic-profile/view/1907993","19-1907993")</f>
        <v>0</v>
      </c>
      <c r="B746" t="s">
        <v>67</v>
      </c>
      <c r="C746" t="s">
        <v>178</v>
      </c>
      <c r="D746" t="s">
        <v>200</v>
      </c>
      <c r="E746" t="s">
        <v>201</v>
      </c>
      <c r="G746" t="s">
        <v>202</v>
      </c>
      <c r="H746" t="s">
        <v>271</v>
      </c>
      <c r="I746" t="s">
        <v>202</v>
      </c>
      <c r="J746" t="s">
        <v>289</v>
      </c>
      <c r="K746" t="s">
        <v>292</v>
      </c>
      <c r="M746" t="s">
        <v>290</v>
      </c>
      <c r="N746" t="s">
        <v>419</v>
      </c>
      <c r="O746" t="s">
        <v>420</v>
      </c>
      <c r="P746" t="s">
        <v>427</v>
      </c>
      <c r="S746" t="s">
        <v>1043</v>
      </c>
      <c r="T746" t="s">
        <v>1724</v>
      </c>
      <c r="U746" t="s">
        <v>247</v>
      </c>
      <c r="W746" t="s">
        <v>1876</v>
      </c>
      <c r="X746" t="s">
        <v>2583</v>
      </c>
      <c r="Y746" t="s">
        <v>2782</v>
      </c>
      <c r="Z746" t="s">
        <v>3109</v>
      </c>
      <c r="AA746" t="s">
        <v>3135</v>
      </c>
      <c r="AB746">
        <v>11436</v>
      </c>
      <c r="AC746" t="s">
        <v>3136</v>
      </c>
      <c r="AD746" t="s">
        <v>3831</v>
      </c>
      <c r="AE746">
        <v>56</v>
      </c>
      <c r="AG746" t="s">
        <v>4034</v>
      </c>
      <c r="AH746" t="s">
        <v>291</v>
      </c>
      <c r="AI746" t="s">
        <v>291</v>
      </c>
      <c r="AK746" t="s">
        <v>4040</v>
      </c>
      <c r="AM746">
        <v>0</v>
      </c>
      <c r="AN746">
        <v>0</v>
      </c>
      <c r="AO746">
        <v>1.25</v>
      </c>
      <c r="AQ746" t="s">
        <v>4777</v>
      </c>
      <c r="AR746" t="s">
        <v>5641</v>
      </c>
      <c r="AS746">
        <v>2</v>
      </c>
      <c r="AU746">
        <v>2</v>
      </c>
      <c r="AV746">
        <v>1</v>
      </c>
      <c r="AW746">
        <v>129.4</v>
      </c>
      <c r="BA746" t="s">
        <v>329</v>
      </c>
      <c r="BB746" t="s">
        <v>1322</v>
      </c>
      <c r="BC746">
        <v>27600</v>
      </c>
      <c r="BG746" t="s">
        <v>5923</v>
      </c>
      <c r="BJ746" t="s">
        <v>6008</v>
      </c>
      <c r="BK746" t="s">
        <v>259</v>
      </c>
      <c r="BL746" t="s">
        <v>6056</v>
      </c>
    </row>
    <row r="747" spans="1:64">
      <c r="A747" s="1">
        <f>HYPERLINK("https://lsnyc.legalserver.org/matter/dynamic-profile/view/1908093","19-1908093")</f>
        <v>0</v>
      </c>
      <c r="B747" t="s">
        <v>67</v>
      </c>
      <c r="C747" t="s">
        <v>178</v>
      </c>
      <c r="D747" t="s">
        <v>200</v>
      </c>
      <c r="E747" t="s">
        <v>201</v>
      </c>
      <c r="G747" t="s">
        <v>202</v>
      </c>
      <c r="H747" t="s">
        <v>271</v>
      </c>
      <c r="I747" t="s">
        <v>288</v>
      </c>
      <c r="J747" t="s">
        <v>290</v>
      </c>
      <c r="K747" t="s">
        <v>292</v>
      </c>
      <c r="M747" t="s">
        <v>290</v>
      </c>
      <c r="N747" t="s">
        <v>419</v>
      </c>
      <c r="P747" t="s">
        <v>427</v>
      </c>
      <c r="S747" t="s">
        <v>1044</v>
      </c>
      <c r="T747" t="s">
        <v>1725</v>
      </c>
      <c r="U747" t="s">
        <v>221</v>
      </c>
      <c r="W747" t="s">
        <v>1876</v>
      </c>
      <c r="X747" t="s">
        <v>2584</v>
      </c>
      <c r="Y747" t="s">
        <v>3048</v>
      </c>
      <c r="Z747" t="s">
        <v>3109</v>
      </c>
      <c r="AA747" t="s">
        <v>3135</v>
      </c>
      <c r="AB747">
        <v>11435</v>
      </c>
      <c r="AD747" t="s">
        <v>3832</v>
      </c>
      <c r="AE747">
        <v>22</v>
      </c>
      <c r="AG747" t="s">
        <v>4034</v>
      </c>
      <c r="AH747" t="s">
        <v>291</v>
      </c>
      <c r="AI747" t="s">
        <v>291</v>
      </c>
      <c r="AK747" t="s">
        <v>4040</v>
      </c>
      <c r="AM747">
        <v>0</v>
      </c>
      <c r="AN747">
        <v>1450</v>
      </c>
      <c r="AO747">
        <v>0.33</v>
      </c>
      <c r="AQ747" t="s">
        <v>4778</v>
      </c>
      <c r="AR747" t="s">
        <v>5642</v>
      </c>
      <c r="AS747">
        <v>2</v>
      </c>
      <c r="AT747" t="s">
        <v>5835</v>
      </c>
      <c r="AU747">
        <v>3</v>
      </c>
      <c r="AV747">
        <v>0</v>
      </c>
      <c r="AW747">
        <v>78.76000000000001</v>
      </c>
      <c r="BA747" t="s">
        <v>5850</v>
      </c>
      <c r="BB747" t="s">
        <v>1322</v>
      </c>
      <c r="BC747">
        <v>16800</v>
      </c>
      <c r="BG747" t="s">
        <v>5923</v>
      </c>
      <c r="BJ747" t="s">
        <v>5963</v>
      </c>
      <c r="BK747" t="s">
        <v>221</v>
      </c>
    </row>
    <row r="748" spans="1:64">
      <c r="A748" s="1">
        <f>HYPERLINK("https://lsnyc.legalserver.org/matter/dynamic-profile/view/1903922","19-1903922")</f>
        <v>0</v>
      </c>
      <c r="B748" t="s">
        <v>67</v>
      </c>
      <c r="C748" t="s">
        <v>178</v>
      </c>
      <c r="D748" t="s">
        <v>200</v>
      </c>
      <c r="E748" t="s">
        <v>202</v>
      </c>
      <c r="F748" t="s">
        <v>229</v>
      </c>
      <c r="G748" t="s">
        <v>202</v>
      </c>
      <c r="H748" t="s">
        <v>271</v>
      </c>
      <c r="I748" t="s">
        <v>202</v>
      </c>
      <c r="J748" t="s">
        <v>289</v>
      </c>
      <c r="K748" t="s">
        <v>292</v>
      </c>
      <c r="M748" t="s">
        <v>290</v>
      </c>
      <c r="N748" t="s">
        <v>202</v>
      </c>
      <c r="O748" t="s">
        <v>421</v>
      </c>
      <c r="P748" t="s">
        <v>427</v>
      </c>
      <c r="S748" t="s">
        <v>1045</v>
      </c>
      <c r="T748" t="s">
        <v>1726</v>
      </c>
      <c r="U748" t="s">
        <v>229</v>
      </c>
      <c r="W748" t="s">
        <v>1876</v>
      </c>
      <c r="X748" t="s">
        <v>2585</v>
      </c>
      <c r="Y748" t="s">
        <v>3049</v>
      </c>
      <c r="Z748" t="s">
        <v>3111</v>
      </c>
      <c r="AA748" t="s">
        <v>3135</v>
      </c>
      <c r="AB748">
        <v>11373</v>
      </c>
      <c r="AC748" t="s">
        <v>3136</v>
      </c>
      <c r="AD748" t="s">
        <v>3833</v>
      </c>
      <c r="AE748">
        <v>11</v>
      </c>
      <c r="AG748" t="s">
        <v>4035</v>
      </c>
      <c r="AH748" t="s">
        <v>291</v>
      </c>
      <c r="AI748" t="s">
        <v>291</v>
      </c>
      <c r="AK748" t="s">
        <v>4040</v>
      </c>
      <c r="AL748" t="s">
        <v>4046</v>
      </c>
      <c r="AM748">
        <v>0</v>
      </c>
      <c r="AN748">
        <v>1277</v>
      </c>
      <c r="AO748">
        <v>20.25</v>
      </c>
      <c r="AQ748" t="s">
        <v>4779</v>
      </c>
      <c r="AR748" t="s">
        <v>5643</v>
      </c>
      <c r="AS748">
        <v>39</v>
      </c>
      <c r="AT748" t="s">
        <v>5838</v>
      </c>
      <c r="AU748">
        <v>2</v>
      </c>
      <c r="AV748">
        <v>0</v>
      </c>
      <c r="AW748">
        <v>153.76</v>
      </c>
      <c r="BA748" t="s">
        <v>329</v>
      </c>
      <c r="BB748" t="s">
        <v>5871</v>
      </c>
      <c r="BC748">
        <v>26000</v>
      </c>
      <c r="BG748" t="s">
        <v>176</v>
      </c>
      <c r="BJ748" t="s">
        <v>5950</v>
      </c>
      <c r="BK748" t="s">
        <v>216</v>
      </c>
      <c r="BL748" t="s">
        <v>6056</v>
      </c>
    </row>
    <row r="749" spans="1:64">
      <c r="A749" s="1">
        <f>HYPERLINK("https://lsnyc.legalserver.org/matter/dynamic-profile/view/1906255","19-1906255")</f>
        <v>0</v>
      </c>
      <c r="B749" t="s">
        <v>67</v>
      </c>
      <c r="C749" t="s">
        <v>178</v>
      </c>
      <c r="D749" t="s">
        <v>200</v>
      </c>
      <c r="E749" t="s">
        <v>202</v>
      </c>
      <c r="F749" t="s">
        <v>261</v>
      </c>
      <c r="G749" t="s">
        <v>202</v>
      </c>
      <c r="H749" t="s">
        <v>272</v>
      </c>
      <c r="I749" t="s">
        <v>202</v>
      </c>
      <c r="J749" t="s">
        <v>289</v>
      </c>
      <c r="K749" t="s">
        <v>292</v>
      </c>
      <c r="M749" t="s">
        <v>290</v>
      </c>
      <c r="N749" t="s">
        <v>202</v>
      </c>
      <c r="O749" t="s">
        <v>421</v>
      </c>
      <c r="P749" t="s">
        <v>427</v>
      </c>
      <c r="S749" t="s">
        <v>1046</v>
      </c>
      <c r="T749" t="s">
        <v>1727</v>
      </c>
      <c r="U749" t="s">
        <v>261</v>
      </c>
      <c r="W749" t="s">
        <v>1876</v>
      </c>
      <c r="X749" t="s">
        <v>2586</v>
      </c>
      <c r="Y749" t="s">
        <v>3050</v>
      </c>
      <c r="Z749" t="s">
        <v>3117</v>
      </c>
      <c r="AA749" t="s">
        <v>3135</v>
      </c>
      <c r="AB749">
        <v>11104</v>
      </c>
      <c r="AC749" t="s">
        <v>3136</v>
      </c>
      <c r="AD749" t="s">
        <v>3834</v>
      </c>
      <c r="AE749">
        <v>2</v>
      </c>
      <c r="AG749" t="s">
        <v>4034</v>
      </c>
      <c r="AH749" t="s">
        <v>291</v>
      </c>
      <c r="AI749" t="s">
        <v>289</v>
      </c>
      <c r="AK749" t="s">
        <v>4040</v>
      </c>
      <c r="AL749" t="s">
        <v>4047</v>
      </c>
      <c r="AM749">
        <v>0</v>
      </c>
      <c r="AN749">
        <v>1645</v>
      </c>
      <c r="AO749">
        <v>33.9</v>
      </c>
      <c r="AQ749" t="s">
        <v>4780</v>
      </c>
      <c r="AR749" t="s">
        <v>5644</v>
      </c>
      <c r="AS749">
        <v>70</v>
      </c>
      <c r="AT749" t="s">
        <v>5838</v>
      </c>
      <c r="AU749">
        <v>1</v>
      </c>
      <c r="AV749">
        <v>0</v>
      </c>
      <c r="AW749">
        <v>0</v>
      </c>
      <c r="BA749" t="s">
        <v>329</v>
      </c>
      <c r="BB749" t="s">
        <v>5870</v>
      </c>
      <c r="BC749">
        <v>0</v>
      </c>
      <c r="BG749" t="s">
        <v>5923</v>
      </c>
      <c r="BJ749" t="s">
        <v>5945</v>
      </c>
      <c r="BK749" t="s">
        <v>216</v>
      </c>
      <c r="BL749" t="s">
        <v>6056</v>
      </c>
    </row>
    <row r="750" spans="1:64">
      <c r="A750" s="1">
        <f>HYPERLINK("https://lsnyc.legalserver.org/matter/dynamic-profile/view/1909200","19-1909200")</f>
        <v>0</v>
      </c>
      <c r="B750" t="s">
        <v>67</v>
      </c>
      <c r="C750" t="s">
        <v>179</v>
      </c>
      <c r="D750" t="s">
        <v>200</v>
      </c>
      <c r="E750" t="s">
        <v>202</v>
      </c>
      <c r="F750" t="s">
        <v>228</v>
      </c>
      <c r="G750" t="s">
        <v>202</v>
      </c>
      <c r="H750" t="s">
        <v>272</v>
      </c>
      <c r="I750" t="s">
        <v>202</v>
      </c>
      <c r="J750" t="s">
        <v>289</v>
      </c>
      <c r="K750" t="s">
        <v>292</v>
      </c>
      <c r="M750" t="s">
        <v>290</v>
      </c>
      <c r="N750" t="s">
        <v>419</v>
      </c>
      <c r="O750" t="s">
        <v>420</v>
      </c>
      <c r="P750" t="s">
        <v>427</v>
      </c>
      <c r="S750" t="s">
        <v>1047</v>
      </c>
      <c r="T750" t="s">
        <v>1728</v>
      </c>
      <c r="U750" t="s">
        <v>228</v>
      </c>
      <c r="W750" t="s">
        <v>1876</v>
      </c>
      <c r="X750" t="s">
        <v>2587</v>
      </c>
      <c r="Y750">
        <v>1</v>
      </c>
      <c r="Z750" t="s">
        <v>3106</v>
      </c>
      <c r="AA750" t="s">
        <v>3135</v>
      </c>
      <c r="AB750">
        <v>11356</v>
      </c>
      <c r="AC750" t="s">
        <v>3141</v>
      </c>
      <c r="AD750" t="s">
        <v>3835</v>
      </c>
      <c r="AE750">
        <v>1</v>
      </c>
      <c r="AG750" t="s">
        <v>4034</v>
      </c>
      <c r="AH750" t="s">
        <v>291</v>
      </c>
      <c r="AI750" t="s">
        <v>291</v>
      </c>
      <c r="AK750" t="s">
        <v>4040</v>
      </c>
      <c r="AM750">
        <v>0</v>
      </c>
      <c r="AN750">
        <v>2700</v>
      </c>
      <c r="AO750">
        <v>1.1</v>
      </c>
      <c r="AQ750" t="s">
        <v>4781</v>
      </c>
      <c r="AR750" t="s">
        <v>5645</v>
      </c>
      <c r="AS750">
        <v>2</v>
      </c>
      <c r="AU750">
        <v>4</v>
      </c>
      <c r="AV750">
        <v>0</v>
      </c>
      <c r="AW750">
        <v>60.82</v>
      </c>
      <c r="BA750" t="s">
        <v>329</v>
      </c>
      <c r="BB750" t="s">
        <v>1322</v>
      </c>
      <c r="BC750">
        <v>15660</v>
      </c>
      <c r="BG750" t="s">
        <v>5922</v>
      </c>
      <c r="BJ750" t="s">
        <v>6043</v>
      </c>
      <c r="BK750" t="s">
        <v>267</v>
      </c>
      <c r="BL750" t="s">
        <v>6056</v>
      </c>
    </row>
    <row r="751" spans="1:64">
      <c r="A751" s="1">
        <f>HYPERLINK("https://lsnyc.legalserver.org/matter/dynamic-profile/view/1909863","19-1909863")</f>
        <v>0</v>
      </c>
      <c r="B751" t="s">
        <v>67</v>
      </c>
      <c r="C751" t="s">
        <v>179</v>
      </c>
      <c r="D751" t="s">
        <v>200</v>
      </c>
      <c r="E751" t="s">
        <v>201</v>
      </c>
      <c r="G751" t="s">
        <v>202</v>
      </c>
      <c r="H751" t="s">
        <v>274</v>
      </c>
      <c r="I751" t="s">
        <v>288</v>
      </c>
      <c r="J751" t="s">
        <v>290</v>
      </c>
      <c r="K751" t="s">
        <v>292</v>
      </c>
      <c r="M751" t="s">
        <v>290</v>
      </c>
      <c r="N751" t="s">
        <v>202</v>
      </c>
      <c r="O751" t="s">
        <v>424</v>
      </c>
      <c r="P751" t="s">
        <v>427</v>
      </c>
      <c r="S751" t="s">
        <v>572</v>
      </c>
      <c r="T751" t="s">
        <v>1729</v>
      </c>
      <c r="U751" t="s">
        <v>267</v>
      </c>
      <c r="W751" t="s">
        <v>1876</v>
      </c>
      <c r="X751" t="s">
        <v>2588</v>
      </c>
      <c r="Y751" t="s">
        <v>2806</v>
      </c>
      <c r="Z751" t="s">
        <v>3105</v>
      </c>
      <c r="AA751" t="s">
        <v>3135</v>
      </c>
      <c r="AB751">
        <v>11102</v>
      </c>
      <c r="AC751" t="s">
        <v>3144</v>
      </c>
      <c r="AE751">
        <v>40</v>
      </c>
      <c r="AG751" t="s">
        <v>4034</v>
      </c>
      <c r="AH751" t="s">
        <v>291</v>
      </c>
      <c r="AI751" t="s">
        <v>289</v>
      </c>
      <c r="AK751" t="s">
        <v>4040</v>
      </c>
      <c r="AL751" t="s">
        <v>4051</v>
      </c>
      <c r="AM751">
        <v>0</v>
      </c>
      <c r="AN751">
        <v>552</v>
      </c>
      <c r="AO751">
        <v>0</v>
      </c>
      <c r="AQ751" t="s">
        <v>4782</v>
      </c>
      <c r="AR751" t="s">
        <v>5646</v>
      </c>
      <c r="AS751">
        <v>0</v>
      </c>
      <c r="AT751" t="s">
        <v>5840</v>
      </c>
      <c r="AU751">
        <v>4</v>
      </c>
      <c r="AV751">
        <v>2</v>
      </c>
      <c r="AW751">
        <v>48.01</v>
      </c>
      <c r="BB751" t="s">
        <v>1322</v>
      </c>
      <c r="BC751">
        <v>16608</v>
      </c>
      <c r="BG751" t="s">
        <v>173</v>
      </c>
      <c r="BJ751" t="s">
        <v>6010</v>
      </c>
    </row>
    <row r="752" spans="1:64">
      <c r="A752" s="1">
        <f>HYPERLINK("https://lsnyc.legalserver.org/matter/dynamic-profile/view/1907554","19-1907554")</f>
        <v>0</v>
      </c>
      <c r="B752" t="s">
        <v>67</v>
      </c>
      <c r="C752" t="s">
        <v>179</v>
      </c>
      <c r="D752" t="s">
        <v>200</v>
      </c>
      <c r="E752" t="s">
        <v>202</v>
      </c>
      <c r="F752" t="s">
        <v>220</v>
      </c>
      <c r="G752" t="s">
        <v>202</v>
      </c>
      <c r="H752" t="s">
        <v>283</v>
      </c>
      <c r="I752" t="s">
        <v>202</v>
      </c>
      <c r="J752" t="s">
        <v>289</v>
      </c>
      <c r="K752" t="s">
        <v>292</v>
      </c>
      <c r="M752" t="s">
        <v>290</v>
      </c>
      <c r="N752" t="s">
        <v>202</v>
      </c>
      <c r="O752" t="s">
        <v>422</v>
      </c>
      <c r="P752" t="s">
        <v>427</v>
      </c>
      <c r="S752" t="s">
        <v>1048</v>
      </c>
      <c r="T752" t="s">
        <v>1730</v>
      </c>
      <c r="U752" t="s">
        <v>223</v>
      </c>
      <c r="W752" t="s">
        <v>1876</v>
      </c>
      <c r="X752" t="s">
        <v>2589</v>
      </c>
      <c r="Z752" t="s">
        <v>3098</v>
      </c>
      <c r="AA752" t="s">
        <v>3135</v>
      </c>
      <c r="AB752">
        <v>10473</v>
      </c>
      <c r="AC752" t="s">
        <v>3143</v>
      </c>
      <c r="AE752">
        <v>55</v>
      </c>
      <c r="AG752" t="s">
        <v>4035</v>
      </c>
      <c r="AH752" t="s">
        <v>291</v>
      </c>
      <c r="AI752" t="s">
        <v>291</v>
      </c>
      <c r="AK752" t="s">
        <v>4041</v>
      </c>
      <c r="AL752" t="s">
        <v>4046</v>
      </c>
      <c r="AM752">
        <v>0</v>
      </c>
      <c r="AN752">
        <v>900</v>
      </c>
      <c r="AO752">
        <v>2.07</v>
      </c>
      <c r="AQ752" t="s">
        <v>4783</v>
      </c>
      <c r="AR752" t="s">
        <v>5647</v>
      </c>
      <c r="AS752">
        <v>3</v>
      </c>
      <c r="AT752" t="s">
        <v>5835</v>
      </c>
      <c r="AU752">
        <v>1</v>
      </c>
      <c r="AV752">
        <v>0</v>
      </c>
      <c r="AW752">
        <v>110.87</v>
      </c>
      <c r="BA752" t="s">
        <v>5850</v>
      </c>
      <c r="BB752" t="s">
        <v>1322</v>
      </c>
      <c r="BC752">
        <v>13848</v>
      </c>
      <c r="BG752" t="s">
        <v>5923</v>
      </c>
      <c r="BJ752" t="s">
        <v>5950</v>
      </c>
      <c r="BK752" t="s">
        <v>206</v>
      </c>
      <c r="BL752" t="s">
        <v>6056</v>
      </c>
    </row>
    <row r="753" spans="1:64">
      <c r="A753" s="1">
        <f>HYPERLINK("https://lsnyc.legalserver.org/matter/dynamic-profile/view/1904946","19-1904946")</f>
        <v>0</v>
      </c>
      <c r="B753" t="s">
        <v>67</v>
      </c>
      <c r="C753" t="s">
        <v>180</v>
      </c>
      <c r="D753" t="s">
        <v>200</v>
      </c>
      <c r="E753" t="s">
        <v>202</v>
      </c>
      <c r="F753" t="s">
        <v>245</v>
      </c>
      <c r="G753" t="s">
        <v>202</v>
      </c>
      <c r="H753" t="s">
        <v>271</v>
      </c>
      <c r="I753" t="s">
        <v>202</v>
      </c>
      <c r="J753" t="s">
        <v>289</v>
      </c>
      <c r="K753" t="s">
        <v>292</v>
      </c>
      <c r="M753" t="s">
        <v>290</v>
      </c>
      <c r="N753" t="s">
        <v>202</v>
      </c>
      <c r="O753" t="s">
        <v>422</v>
      </c>
      <c r="P753" t="s">
        <v>428</v>
      </c>
      <c r="S753" t="s">
        <v>824</v>
      </c>
      <c r="T753" t="s">
        <v>1731</v>
      </c>
      <c r="U753" t="s">
        <v>245</v>
      </c>
      <c r="V753" t="s">
        <v>242</v>
      </c>
      <c r="W753" t="s">
        <v>1877</v>
      </c>
      <c r="X753" t="s">
        <v>2590</v>
      </c>
      <c r="Y753" t="s">
        <v>3051</v>
      </c>
      <c r="Z753" t="s">
        <v>3109</v>
      </c>
      <c r="AA753" t="s">
        <v>3135</v>
      </c>
      <c r="AB753">
        <v>11434</v>
      </c>
      <c r="AC753" t="s">
        <v>3136</v>
      </c>
      <c r="AD753" t="s">
        <v>3836</v>
      </c>
      <c r="AE753">
        <v>15</v>
      </c>
      <c r="AF753" t="s">
        <v>4023</v>
      </c>
      <c r="AG753" t="s">
        <v>4035</v>
      </c>
      <c r="AH753" t="s">
        <v>291</v>
      </c>
      <c r="AI753" t="s">
        <v>291</v>
      </c>
      <c r="AK753" t="s">
        <v>4041</v>
      </c>
      <c r="AL753" t="s">
        <v>4050</v>
      </c>
      <c r="AM753">
        <v>0</v>
      </c>
      <c r="AN753">
        <v>1049</v>
      </c>
      <c r="AO753">
        <v>2.15</v>
      </c>
      <c r="AP753" t="s">
        <v>4052</v>
      </c>
      <c r="AQ753" t="s">
        <v>4784</v>
      </c>
      <c r="AR753" t="s">
        <v>5648</v>
      </c>
      <c r="AS753">
        <v>5860</v>
      </c>
      <c r="AT753" t="s">
        <v>5834</v>
      </c>
      <c r="AU753">
        <v>1</v>
      </c>
      <c r="AV753">
        <v>1</v>
      </c>
      <c r="AW753">
        <v>0</v>
      </c>
      <c r="BA753" t="s">
        <v>5851</v>
      </c>
      <c r="BB753" t="s">
        <v>1322</v>
      </c>
      <c r="BC753">
        <v>0</v>
      </c>
      <c r="BG753" t="s">
        <v>5922</v>
      </c>
      <c r="BJ753" t="s">
        <v>5945</v>
      </c>
      <c r="BK753" t="s">
        <v>209</v>
      </c>
      <c r="BL753" t="s">
        <v>6056</v>
      </c>
    </row>
    <row r="754" spans="1:64">
      <c r="A754" s="1">
        <f>HYPERLINK("https://lsnyc.legalserver.org/matter/dynamic-profile/view/1905222","19-1905222")</f>
        <v>0</v>
      </c>
      <c r="B754" t="s">
        <v>67</v>
      </c>
      <c r="C754" t="s">
        <v>180</v>
      </c>
      <c r="D754" t="s">
        <v>200</v>
      </c>
      <c r="E754" t="s">
        <v>202</v>
      </c>
      <c r="F754" t="s">
        <v>231</v>
      </c>
      <c r="G754" t="s">
        <v>202</v>
      </c>
      <c r="H754" t="s">
        <v>271</v>
      </c>
      <c r="I754" t="s">
        <v>202</v>
      </c>
      <c r="J754" t="s">
        <v>289</v>
      </c>
      <c r="K754" t="s">
        <v>292</v>
      </c>
      <c r="M754" t="s">
        <v>290</v>
      </c>
      <c r="N754" t="s">
        <v>202</v>
      </c>
      <c r="O754" t="s">
        <v>422</v>
      </c>
      <c r="P754" t="s">
        <v>428</v>
      </c>
      <c r="S754" t="s">
        <v>1049</v>
      </c>
      <c r="T754" t="s">
        <v>1472</v>
      </c>
      <c r="U754" t="s">
        <v>231</v>
      </c>
      <c r="V754" t="s">
        <v>260</v>
      </c>
      <c r="W754" t="s">
        <v>1877</v>
      </c>
      <c r="X754" t="s">
        <v>2591</v>
      </c>
      <c r="Y754" t="s">
        <v>2875</v>
      </c>
      <c r="Z754" t="s">
        <v>3114</v>
      </c>
      <c r="AA754" t="s">
        <v>3135</v>
      </c>
      <c r="AB754">
        <v>11693</v>
      </c>
      <c r="AC754" t="s">
        <v>3136</v>
      </c>
      <c r="AD754" t="s">
        <v>3837</v>
      </c>
      <c r="AE754">
        <v>20</v>
      </c>
      <c r="AF754" t="s">
        <v>4023</v>
      </c>
      <c r="AG754" t="s">
        <v>4034</v>
      </c>
      <c r="AH754" t="s">
        <v>291</v>
      </c>
      <c r="AI754" t="s">
        <v>291</v>
      </c>
      <c r="AK754" t="s">
        <v>4041</v>
      </c>
      <c r="AL754" t="s">
        <v>4046</v>
      </c>
      <c r="AM754">
        <v>0</v>
      </c>
      <c r="AN754">
        <v>108</v>
      </c>
      <c r="AO754">
        <v>1.95</v>
      </c>
      <c r="AP754" t="s">
        <v>4052</v>
      </c>
      <c r="AQ754" t="s">
        <v>4785</v>
      </c>
      <c r="AR754" t="s">
        <v>5649</v>
      </c>
      <c r="AS754">
        <v>42</v>
      </c>
      <c r="AT754" t="s">
        <v>5837</v>
      </c>
      <c r="AU754">
        <v>1</v>
      </c>
      <c r="AV754">
        <v>0</v>
      </c>
      <c r="AW754">
        <v>100.08</v>
      </c>
      <c r="BA754" t="s">
        <v>329</v>
      </c>
      <c r="BB754" t="s">
        <v>1322</v>
      </c>
      <c r="BC754">
        <v>12500</v>
      </c>
      <c r="BG754" t="s">
        <v>5922</v>
      </c>
      <c r="BJ754" t="s">
        <v>5949</v>
      </c>
      <c r="BK754" t="s">
        <v>232</v>
      </c>
      <c r="BL754" t="s">
        <v>6056</v>
      </c>
    </row>
    <row r="755" spans="1:64">
      <c r="A755" s="1">
        <f>HYPERLINK("https://lsnyc.legalserver.org/matter/dynamic-profile/view/1908517","19-1908517")</f>
        <v>0</v>
      </c>
      <c r="B755" t="s">
        <v>67</v>
      </c>
      <c r="C755" t="s">
        <v>181</v>
      </c>
      <c r="D755" t="s">
        <v>200</v>
      </c>
      <c r="E755" t="s">
        <v>201</v>
      </c>
      <c r="G755" t="s">
        <v>202</v>
      </c>
      <c r="H755" t="s">
        <v>272</v>
      </c>
      <c r="I755" t="s">
        <v>202</v>
      </c>
      <c r="J755" t="s">
        <v>289</v>
      </c>
      <c r="K755" t="s">
        <v>202</v>
      </c>
      <c r="L755" t="s">
        <v>393</v>
      </c>
      <c r="M755" t="s">
        <v>290</v>
      </c>
      <c r="N755" t="s">
        <v>419</v>
      </c>
      <c r="O755" t="s">
        <v>420</v>
      </c>
      <c r="P755" t="s">
        <v>427</v>
      </c>
      <c r="S755" t="s">
        <v>1050</v>
      </c>
      <c r="T755" t="s">
        <v>1732</v>
      </c>
      <c r="U755" t="s">
        <v>237</v>
      </c>
      <c r="W755" t="s">
        <v>1876</v>
      </c>
      <c r="X755" t="s">
        <v>2592</v>
      </c>
      <c r="Y755" t="s">
        <v>3052</v>
      </c>
      <c r="Z755" t="s">
        <v>3102</v>
      </c>
      <c r="AA755" t="s">
        <v>3135</v>
      </c>
      <c r="AB755">
        <v>11377</v>
      </c>
      <c r="AC755" t="s">
        <v>3136</v>
      </c>
      <c r="AD755" t="s">
        <v>3838</v>
      </c>
      <c r="AE755">
        <v>10</v>
      </c>
      <c r="AG755" t="s">
        <v>4034</v>
      </c>
      <c r="AH755" t="s">
        <v>291</v>
      </c>
      <c r="AI755" t="s">
        <v>291</v>
      </c>
      <c r="AK755" t="s">
        <v>4040</v>
      </c>
      <c r="AL755" t="s">
        <v>4046</v>
      </c>
      <c r="AM755">
        <v>0</v>
      </c>
      <c r="AN755">
        <v>1399</v>
      </c>
      <c r="AO755">
        <v>1.7</v>
      </c>
      <c r="AQ755" t="s">
        <v>4786</v>
      </c>
      <c r="AR755" t="s">
        <v>5650</v>
      </c>
      <c r="AS755">
        <v>6</v>
      </c>
      <c r="AT755" t="s">
        <v>5838</v>
      </c>
      <c r="AU755">
        <v>2</v>
      </c>
      <c r="AV755">
        <v>0</v>
      </c>
      <c r="AW755">
        <v>97.76000000000001</v>
      </c>
      <c r="BA755" t="s">
        <v>5851</v>
      </c>
      <c r="BB755" t="s">
        <v>5859</v>
      </c>
      <c r="BC755">
        <v>16532</v>
      </c>
      <c r="BG755" t="s">
        <v>5922</v>
      </c>
      <c r="BJ755" t="s">
        <v>5962</v>
      </c>
      <c r="BK755" t="s">
        <v>206</v>
      </c>
      <c r="BL755" t="s">
        <v>6056</v>
      </c>
    </row>
    <row r="756" spans="1:64">
      <c r="A756" s="1">
        <f>HYPERLINK("https://lsnyc.legalserver.org/matter/dynamic-profile/view/1906724","19-1906724")</f>
        <v>0</v>
      </c>
      <c r="B756" t="s">
        <v>67</v>
      </c>
      <c r="C756" t="s">
        <v>181</v>
      </c>
      <c r="D756" t="s">
        <v>200</v>
      </c>
      <c r="E756" t="s">
        <v>202</v>
      </c>
      <c r="F756" t="s">
        <v>209</v>
      </c>
      <c r="G756" t="s">
        <v>202</v>
      </c>
      <c r="H756" t="s">
        <v>271</v>
      </c>
      <c r="I756" t="s">
        <v>202</v>
      </c>
      <c r="J756" t="s">
        <v>289</v>
      </c>
      <c r="K756" t="s">
        <v>202</v>
      </c>
      <c r="L756" t="s">
        <v>394</v>
      </c>
      <c r="M756" t="s">
        <v>290</v>
      </c>
      <c r="N756" t="s">
        <v>202</v>
      </c>
      <c r="O756" t="s">
        <v>422</v>
      </c>
      <c r="P756" t="s">
        <v>429</v>
      </c>
      <c r="R756" t="s">
        <v>439</v>
      </c>
      <c r="S756" t="s">
        <v>1051</v>
      </c>
      <c r="T756" t="s">
        <v>1118</v>
      </c>
      <c r="U756" t="s">
        <v>209</v>
      </c>
      <c r="V756" t="s">
        <v>209</v>
      </c>
      <c r="W756" t="s">
        <v>1877</v>
      </c>
      <c r="X756" t="s">
        <v>2593</v>
      </c>
      <c r="Z756" t="s">
        <v>3118</v>
      </c>
      <c r="AA756" t="s">
        <v>3135</v>
      </c>
      <c r="AB756">
        <v>11411</v>
      </c>
      <c r="AC756" t="s">
        <v>3140</v>
      </c>
      <c r="AD756" t="s">
        <v>3839</v>
      </c>
      <c r="AE756">
        <v>28</v>
      </c>
      <c r="AF756" t="s">
        <v>4023</v>
      </c>
      <c r="AG756" t="s">
        <v>4034</v>
      </c>
      <c r="AH756" t="s">
        <v>291</v>
      </c>
      <c r="AI756" t="s">
        <v>289</v>
      </c>
      <c r="AK756" t="s">
        <v>4040</v>
      </c>
      <c r="AL756" t="s">
        <v>4050</v>
      </c>
      <c r="AM756">
        <v>0</v>
      </c>
      <c r="AN756">
        <v>0</v>
      </c>
      <c r="AO756">
        <v>4.6</v>
      </c>
      <c r="AP756" t="s">
        <v>4052</v>
      </c>
      <c r="AQ756" t="s">
        <v>4787</v>
      </c>
      <c r="AR756" t="s">
        <v>5651</v>
      </c>
      <c r="AS756">
        <v>1</v>
      </c>
      <c r="AT756" t="s">
        <v>5835</v>
      </c>
      <c r="AU756">
        <v>2</v>
      </c>
      <c r="AV756">
        <v>0</v>
      </c>
      <c r="AW756">
        <v>44.71</v>
      </c>
      <c r="BA756" t="s">
        <v>329</v>
      </c>
      <c r="BB756" t="s">
        <v>1322</v>
      </c>
      <c r="BC756">
        <v>7560</v>
      </c>
      <c r="BG756" t="s">
        <v>184</v>
      </c>
      <c r="BJ756" t="s">
        <v>5944</v>
      </c>
      <c r="BK756" t="s">
        <v>209</v>
      </c>
      <c r="BL756" t="s">
        <v>6056</v>
      </c>
    </row>
    <row r="757" spans="1:64">
      <c r="A757" s="1">
        <f>HYPERLINK("https://lsnyc.legalserver.org/matter/dynamic-profile/view/1908729","19-1908729")</f>
        <v>0</v>
      </c>
      <c r="B757" t="s">
        <v>67</v>
      </c>
      <c r="C757" t="s">
        <v>181</v>
      </c>
      <c r="D757" t="s">
        <v>200</v>
      </c>
      <c r="E757" t="s">
        <v>202</v>
      </c>
      <c r="F757" t="s">
        <v>252</v>
      </c>
      <c r="G757" t="s">
        <v>202</v>
      </c>
      <c r="H757" t="s">
        <v>272</v>
      </c>
      <c r="I757" t="s">
        <v>202</v>
      </c>
      <c r="J757" t="s">
        <v>289</v>
      </c>
      <c r="K757" t="s">
        <v>292</v>
      </c>
      <c r="M757" t="s">
        <v>290</v>
      </c>
      <c r="N757" t="s">
        <v>419</v>
      </c>
      <c r="O757" t="s">
        <v>420</v>
      </c>
      <c r="P757" t="s">
        <v>427</v>
      </c>
      <c r="S757" t="s">
        <v>485</v>
      </c>
      <c r="T757" t="s">
        <v>1733</v>
      </c>
      <c r="U757" t="s">
        <v>252</v>
      </c>
      <c r="W757" t="s">
        <v>1876</v>
      </c>
      <c r="X757" t="s">
        <v>2594</v>
      </c>
      <c r="Y757" t="s">
        <v>3053</v>
      </c>
      <c r="Z757" t="s">
        <v>3112</v>
      </c>
      <c r="AA757" t="s">
        <v>3135</v>
      </c>
      <c r="AB757">
        <v>11367</v>
      </c>
      <c r="AC757" t="s">
        <v>3140</v>
      </c>
      <c r="AD757" t="s">
        <v>3840</v>
      </c>
      <c r="AE757">
        <v>47</v>
      </c>
      <c r="AG757" t="s">
        <v>4034</v>
      </c>
      <c r="AH757" t="s">
        <v>291</v>
      </c>
      <c r="AI757" t="s">
        <v>291</v>
      </c>
      <c r="AK757" t="s">
        <v>4040</v>
      </c>
      <c r="AM757">
        <v>0</v>
      </c>
      <c r="AN757">
        <v>850</v>
      </c>
      <c r="AO757">
        <v>2.2</v>
      </c>
      <c r="AQ757" t="s">
        <v>4788</v>
      </c>
      <c r="AR757" t="s">
        <v>5652</v>
      </c>
      <c r="AS757">
        <v>0</v>
      </c>
      <c r="AT757" t="s">
        <v>5845</v>
      </c>
      <c r="AU757">
        <v>1</v>
      </c>
      <c r="AV757">
        <v>0</v>
      </c>
      <c r="AW757">
        <v>0</v>
      </c>
      <c r="BA757" t="s">
        <v>329</v>
      </c>
      <c r="BB757" t="s">
        <v>1322</v>
      </c>
      <c r="BC757">
        <v>0</v>
      </c>
      <c r="BG757" t="s">
        <v>5922</v>
      </c>
      <c r="BJ757" t="s">
        <v>5945</v>
      </c>
      <c r="BK757" t="s">
        <v>222</v>
      </c>
      <c r="BL757" t="s">
        <v>6056</v>
      </c>
    </row>
    <row r="758" spans="1:64">
      <c r="A758" s="1">
        <f>HYPERLINK("https://lsnyc.legalserver.org/matter/dynamic-profile/view/1904194","19-1904194")</f>
        <v>0</v>
      </c>
      <c r="B758" t="s">
        <v>67</v>
      </c>
      <c r="C758" t="s">
        <v>181</v>
      </c>
      <c r="D758" t="s">
        <v>200</v>
      </c>
      <c r="E758" t="s">
        <v>202</v>
      </c>
      <c r="F758" t="s">
        <v>227</v>
      </c>
      <c r="G758" t="s">
        <v>202</v>
      </c>
      <c r="H758" t="s">
        <v>272</v>
      </c>
      <c r="I758" t="s">
        <v>202</v>
      </c>
      <c r="J758" t="s">
        <v>289</v>
      </c>
      <c r="K758" t="s">
        <v>202</v>
      </c>
      <c r="L758" t="s">
        <v>394</v>
      </c>
      <c r="M758" t="s">
        <v>290</v>
      </c>
      <c r="N758" t="s">
        <v>202</v>
      </c>
      <c r="O758" t="s">
        <v>422</v>
      </c>
      <c r="P758" t="s">
        <v>428</v>
      </c>
      <c r="S758" t="s">
        <v>1052</v>
      </c>
      <c r="T758" t="s">
        <v>1711</v>
      </c>
      <c r="U758" t="s">
        <v>227</v>
      </c>
      <c r="V758" t="s">
        <v>235</v>
      </c>
      <c r="W758" t="s">
        <v>1877</v>
      </c>
      <c r="X758" t="s">
        <v>2595</v>
      </c>
      <c r="Y758" t="s">
        <v>3054</v>
      </c>
      <c r="Z758" t="s">
        <v>3105</v>
      </c>
      <c r="AA758" t="s">
        <v>3135</v>
      </c>
      <c r="AB758">
        <v>11106</v>
      </c>
      <c r="AC758" t="s">
        <v>3143</v>
      </c>
      <c r="AD758" t="s">
        <v>3841</v>
      </c>
      <c r="AE758">
        <v>1</v>
      </c>
      <c r="AF758" t="s">
        <v>4023</v>
      </c>
      <c r="AG758" t="s">
        <v>4034</v>
      </c>
      <c r="AH758" t="s">
        <v>291</v>
      </c>
      <c r="AI758" t="s">
        <v>291</v>
      </c>
      <c r="AK758" t="s">
        <v>4040</v>
      </c>
      <c r="AL758" t="s">
        <v>4046</v>
      </c>
      <c r="AM758">
        <v>0</v>
      </c>
      <c r="AN758">
        <v>2500</v>
      </c>
      <c r="AO758">
        <v>1.1</v>
      </c>
      <c r="AP758" t="s">
        <v>4052</v>
      </c>
      <c r="AQ758" t="s">
        <v>4789</v>
      </c>
      <c r="AR758" t="s">
        <v>5653</v>
      </c>
      <c r="AS758">
        <v>3</v>
      </c>
      <c r="AT758" t="s">
        <v>5835</v>
      </c>
      <c r="AU758">
        <v>2</v>
      </c>
      <c r="AV758">
        <v>2</v>
      </c>
      <c r="AW758">
        <v>0</v>
      </c>
      <c r="BA758" t="s">
        <v>329</v>
      </c>
      <c r="BB758" t="s">
        <v>1322</v>
      </c>
      <c r="BC758">
        <v>0</v>
      </c>
      <c r="BG758" t="s">
        <v>180</v>
      </c>
      <c r="BJ758" t="s">
        <v>5945</v>
      </c>
      <c r="BK758" t="s">
        <v>235</v>
      </c>
      <c r="BL758" t="s">
        <v>6056</v>
      </c>
    </row>
    <row r="759" spans="1:64">
      <c r="A759" s="1">
        <f>HYPERLINK("https://lsnyc.legalserver.org/matter/dynamic-profile/view/1907937","19-1907937")</f>
        <v>0</v>
      </c>
      <c r="B759" t="s">
        <v>67</v>
      </c>
      <c r="C759" t="s">
        <v>181</v>
      </c>
      <c r="D759" t="s">
        <v>200</v>
      </c>
      <c r="E759" t="s">
        <v>201</v>
      </c>
      <c r="G759" t="s">
        <v>202</v>
      </c>
      <c r="H759" t="s">
        <v>271</v>
      </c>
      <c r="I759" t="s">
        <v>202</v>
      </c>
      <c r="J759" t="s">
        <v>289</v>
      </c>
      <c r="K759" t="s">
        <v>202</v>
      </c>
      <c r="L759" t="s">
        <v>395</v>
      </c>
      <c r="M759" t="s">
        <v>290</v>
      </c>
      <c r="N759" t="s">
        <v>419</v>
      </c>
      <c r="O759" t="s">
        <v>420</v>
      </c>
      <c r="P759" t="s">
        <v>427</v>
      </c>
      <c r="S759" t="s">
        <v>1053</v>
      </c>
      <c r="T759" t="s">
        <v>1409</v>
      </c>
      <c r="U759" t="s">
        <v>247</v>
      </c>
      <c r="W759" t="s">
        <v>1876</v>
      </c>
      <c r="X759" t="s">
        <v>2596</v>
      </c>
      <c r="Y759">
        <v>2</v>
      </c>
      <c r="Z759" t="s">
        <v>3101</v>
      </c>
      <c r="AA759" t="s">
        <v>3135</v>
      </c>
      <c r="AB759">
        <v>11417</v>
      </c>
      <c r="AC759" t="s">
        <v>3136</v>
      </c>
      <c r="AD759" t="s">
        <v>3842</v>
      </c>
      <c r="AE759">
        <v>29</v>
      </c>
      <c r="AG759" t="s">
        <v>4034</v>
      </c>
      <c r="AH759" t="s">
        <v>291</v>
      </c>
      <c r="AI759" t="s">
        <v>291</v>
      </c>
      <c r="AK759" t="s">
        <v>4040</v>
      </c>
      <c r="AL759" t="s">
        <v>4046</v>
      </c>
      <c r="AM759">
        <v>0</v>
      </c>
      <c r="AN759">
        <v>650</v>
      </c>
      <c r="AO759">
        <v>1</v>
      </c>
      <c r="AQ759" t="s">
        <v>4790</v>
      </c>
      <c r="AR759" t="s">
        <v>5654</v>
      </c>
      <c r="AS759">
        <v>3</v>
      </c>
      <c r="AT759" t="s">
        <v>5835</v>
      </c>
      <c r="AU759">
        <v>1</v>
      </c>
      <c r="AV759">
        <v>0</v>
      </c>
      <c r="AW759">
        <v>76.29000000000001</v>
      </c>
      <c r="BA759" t="s">
        <v>329</v>
      </c>
      <c r="BB759" t="s">
        <v>1322</v>
      </c>
      <c r="BC759">
        <v>9528</v>
      </c>
      <c r="BG759" t="s">
        <v>5922</v>
      </c>
      <c r="BJ759" t="s">
        <v>5959</v>
      </c>
      <c r="BK759" t="s">
        <v>238</v>
      </c>
      <c r="BL759" t="s">
        <v>6056</v>
      </c>
    </row>
    <row r="760" spans="1:64">
      <c r="A760" s="1">
        <f>HYPERLINK("https://lsnyc.legalserver.org/matter/dynamic-profile/view/1903920","19-1903920")</f>
        <v>0</v>
      </c>
      <c r="B760" t="s">
        <v>67</v>
      </c>
      <c r="C760" t="s">
        <v>181</v>
      </c>
      <c r="D760" t="s">
        <v>200</v>
      </c>
      <c r="E760" t="s">
        <v>202</v>
      </c>
      <c r="F760" t="s">
        <v>264</v>
      </c>
      <c r="G760" t="s">
        <v>202</v>
      </c>
      <c r="H760" t="s">
        <v>272</v>
      </c>
      <c r="I760" t="s">
        <v>202</v>
      </c>
      <c r="J760" t="s">
        <v>289</v>
      </c>
      <c r="K760" t="s">
        <v>292</v>
      </c>
      <c r="M760" t="s">
        <v>290</v>
      </c>
      <c r="N760" t="s">
        <v>202</v>
      </c>
      <c r="O760" t="s">
        <v>422</v>
      </c>
      <c r="P760" t="s">
        <v>428</v>
      </c>
      <c r="S760" t="s">
        <v>1054</v>
      </c>
      <c r="T760" t="s">
        <v>1734</v>
      </c>
      <c r="U760" t="s">
        <v>229</v>
      </c>
      <c r="V760" t="s">
        <v>264</v>
      </c>
      <c r="W760" t="s">
        <v>1877</v>
      </c>
      <c r="X760" t="s">
        <v>2597</v>
      </c>
      <c r="Y760" t="s">
        <v>2974</v>
      </c>
      <c r="Z760" t="s">
        <v>3111</v>
      </c>
      <c r="AA760" t="s">
        <v>3135</v>
      </c>
      <c r="AB760">
        <v>11373</v>
      </c>
      <c r="AC760" t="s">
        <v>3136</v>
      </c>
      <c r="AD760" t="s">
        <v>3843</v>
      </c>
      <c r="AE760">
        <v>23</v>
      </c>
      <c r="AF760" t="s">
        <v>4023</v>
      </c>
      <c r="AG760" t="s">
        <v>4035</v>
      </c>
      <c r="AH760" t="s">
        <v>291</v>
      </c>
      <c r="AI760" t="s">
        <v>289</v>
      </c>
      <c r="AK760" t="s">
        <v>4040</v>
      </c>
      <c r="AL760" t="s">
        <v>4046</v>
      </c>
      <c r="AM760">
        <v>0</v>
      </c>
      <c r="AN760">
        <v>890</v>
      </c>
      <c r="AO760">
        <v>2.85</v>
      </c>
      <c r="AP760" t="s">
        <v>4052</v>
      </c>
      <c r="AQ760" t="s">
        <v>4791</v>
      </c>
      <c r="AR760" t="s">
        <v>5655</v>
      </c>
      <c r="AS760">
        <v>100</v>
      </c>
      <c r="AT760" t="s">
        <v>5845</v>
      </c>
      <c r="AU760">
        <v>2</v>
      </c>
      <c r="AV760">
        <v>0</v>
      </c>
      <c r="AW760">
        <v>0</v>
      </c>
      <c r="BA760" t="s">
        <v>329</v>
      </c>
      <c r="BB760" t="s">
        <v>1322</v>
      </c>
      <c r="BC760">
        <v>0</v>
      </c>
      <c r="BG760" t="s">
        <v>5923</v>
      </c>
      <c r="BJ760" t="s">
        <v>5965</v>
      </c>
      <c r="BK760" t="s">
        <v>264</v>
      </c>
      <c r="BL760" t="s">
        <v>6056</v>
      </c>
    </row>
    <row r="761" spans="1:64">
      <c r="A761" s="1">
        <f>HYPERLINK("https://lsnyc.legalserver.org/matter/dynamic-profile/view/1907644","19-1907644")</f>
        <v>0</v>
      </c>
      <c r="B761" t="s">
        <v>67</v>
      </c>
      <c r="C761" t="s">
        <v>176</v>
      </c>
      <c r="D761" t="s">
        <v>200</v>
      </c>
      <c r="E761" t="s">
        <v>202</v>
      </c>
      <c r="F761" t="s">
        <v>217</v>
      </c>
      <c r="G761" t="s">
        <v>202</v>
      </c>
      <c r="H761" t="s">
        <v>272</v>
      </c>
      <c r="I761" t="s">
        <v>202</v>
      </c>
      <c r="J761" t="s">
        <v>289</v>
      </c>
      <c r="K761" t="s">
        <v>292</v>
      </c>
      <c r="M761" t="s">
        <v>290</v>
      </c>
      <c r="N761" t="s">
        <v>202</v>
      </c>
      <c r="O761" t="s">
        <v>421</v>
      </c>
      <c r="P761" t="s">
        <v>427</v>
      </c>
      <c r="S761" t="s">
        <v>609</v>
      </c>
      <c r="T761" t="s">
        <v>1735</v>
      </c>
      <c r="U761" t="s">
        <v>217</v>
      </c>
      <c r="W761" t="s">
        <v>1876</v>
      </c>
      <c r="X761" t="s">
        <v>2598</v>
      </c>
      <c r="Y761" t="s">
        <v>2830</v>
      </c>
      <c r="Z761" t="s">
        <v>3109</v>
      </c>
      <c r="AA761" t="s">
        <v>3135</v>
      </c>
      <c r="AB761">
        <v>11433</v>
      </c>
      <c r="AC761" t="s">
        <v>3139</v>
      </c>
      <c r="AD761" t="s">
        <v>3844</v>
      </c>
      <c r="AE761">
        <v>16</v>
      </c>
      <c r="AG761" t="s">
        <v>4035</v>
      </c>
      <c r="AH761" t="s">
        <v>291</v>
      </c>
      <c r="AI761" t="s">
        <v>291</v>
      </c>
      <c r="AK761" t="s">
        <v>4041</v>
      </c>
      <c r="AL761" t="s">
        <v>4046</v>
      </c>
      <c r="AM761">
        <v>0</v>
      </c>
      <c r="AN761">
        <v>1312</v>
      </c>
      <c r="AO761">
        <v>1.5</v>
      </c>
      <c r="AQ761" t="s">
        <v>4792</v>
      </c>
      <c r="AR761" t="s">
        <v>5656</v>
      </c>
      <c r="AS761">
        <v>48</v>
      </c>
      <c r="AT761" t="s">
        <v>5837</v>
      </c>
      <c r="AU761">
        <v>1</v>
      </c>
      <c r="AV761">
        <v>1</v>
      </c>
      <c r="AW761">
        <v>187.34</v>
      </c>
      <c r="BA761" t="s">
        <v>329</v>
      </c>
      <c r="BB761" t="s">
        <v>1322</v>
      </c>
      <c r="BC761">
        <v>31680</v>
      </c>
      <c r="BG761" t="s">
        <v>5922</v>
      </c>
      <c r="BJ761" t="s">
        <v>5969</v>
      </c>
      <c r="BK761" t="s">
        <v>238</v>
      </c>
      <c r="BL761" t="s">
        <v>6056</v>
      </c>
    </row>
    <row r="762" spans="1:64">
      <c r="A762" s="1">
        <f>HYPERLINK("https://lsnyc.legalserver.org/matter/dynamic-profile/view/1905978","19-1905978")</f>
        <v>0</v>
      </c>
      <c r="B762" t="s">
        <v>67</v>
      </c>
      <c r="C762" t="s">
        <v>176</v>
      </c>
      <c r="D762" t="s">
        <v>200</v>
      </c>
      <c r="E762" t="s">
        <v>201</v>
      </c>
      <c r="G762" t="s">
        <v>202</v>
      </c>
      <c r="H762" t="s">
        <v>272</v>
      </c>
      <c r="I762" t="s">
        <v>202</v>
      </c>
      <c r="J762" t="s">
        <v>289</v>
      </c>
      <c r="K762" t="s">
        <v>292</v>
      </c>
      <c r="M762" t="s">
        <v>290</v>
      </c>
      <c r="N762" t="s">
        <v>202</v>
      </c>
      <c r="O762" t="s">
        <v>421</v>
      </c>
      <c r="P762" t="s">
        <v>427</v>
      </c>
      <c r="S762" t="s">
        <v>1055</v>
      </c>
      <c r="T762" t="s">
        <v>1736</v>
      </c>
      <c r="U762" t="s">
        <v>250</v>
      </c>
      <c r="W762" t="s">
        <v>1876</v>
      </c>
      <c r="X762" t="s">
        <v>2599</v>
      </c>
      <c r="Y762">
        <v>311</v>
      </c>
      <c r="Z762" t="s">
        <v>3109</v>
      </c>
      <c r="AA762" t="s">
        <v>3135</v>
      </c>
      <c r="AB762">
        <v>11434</v>
      </c>
      <c r="AC762" t="s">
        <v>3139</v>
      </c>
      <c r="AD762" t="s">
        <v>3845</v>
      </c>
      <c r="AE762">
        <v>47</v>
      </c>
      <c r="AG762" t="s">
        <v>4035</v>
      </c>
      <c r="AH762" t="s">
        <v>291</v>
      </c>
      <c r="AI762" t="s">
        <v>291</v>
      </c>
      <c r="AK762" t="s">
        <v>4041</v>
      </c>
      <c r="AL762" t="s">
        <v>4047</v>
      </c>
      <c r="AM762">
        <v>0</v>
      </c>
      <c r="AN762">
        <v>150</v>
      </c>
      <c r="AO762">
        <v>9.050000000000001</v>
      </c>
      <c r="AQ762" t="s">
        <v>4793</v>
      </c>
      <c r="AR762" t="s">
        <v>5657</v>
      </c>
      <c r="AS762">
        <v>1</v>
      </c>
      <c r="AT762" t="s">
        <v>5837</v>
      </c>
      <c r="AU762">
        <v>1</v>
      </c>
      <c r="AV762">
        <v>0</v>
      </c>
      <c r="AW762">
        <v>108.25</v>
      </c>
      <c r="BA762" t="s">
        <v>329</v>
      </c>
      <c r="BB762" t="s">
        <v>1322</v>
      </c>
      <c r="BC762">
        <v>13520</v>
      </c>
      <c r="BG762" t="s">
        <v>176</v>
      </c>
      <c r="BJ762" t="s">
        <v>5949</v>
      </c>
      <c r="BK762" t="s">
        <v>230</v>
      </c>
      <c r="BL762" t="s">
        <v>6056</v>
      </c>
    </row>
    <row r="763" spans="1:64">
      <c r="A763" s="1">
        <f>HYPERLINK("https://lsnyc.legalserver.org/matter/dynamic-profile/view/1907630","19-1907630")</f>
        <v>0</v>
      </c>
      <c r="B763" t="s">
        <v>67</v>
      </c>
      <c r="C763" t="s">
        <v>176</v>
      </c>
      <c r="D763" t="s">
        <v>200</v>
      </c>
      <c r="E763" t="s">
        <v>202</v>
      </c>
      <c r="F763" t="s">
        <v>217</v>
      </c>
      <c r="G763" t="s">
        <v>202</v>
      </c>
      <c r="H763" t="s">
        <v>272</v>
      </c>
      <c r="I763" t="s">
        <v>202</v>
      </c>
      <c r="J763" t="s">
        <v>289</v>
      </c>
      <c r="K763" t="s">
        <v>292</v>
      </c>
      <c r="M763" t="s">
        <v>290</v>
      </c>
      <c r="N763" t="s">
        <v>419</v>
      </c>
      <c r="O763" t="s">
        <v>420</v>
      </c>
      <c r="P763" t="s">
        <v>427</v>
      </c>
      <c r="S763" t="s">
        <v>532</v>
      </c>
      <c r="T763" t="s">
        <v>1737</v>
      </c>
      <c r="U763" t="s">
        <v>217</v>
      </c>
      <c r="W763" t="s">
        <v>1876</v>
      </c>
      <c r="X763" t="s">
        <v>2600</v>
      </c>
      <c r="Y763" t="s">
        <v>3055</v>
      </c>
      <c r="Z763" t="s">
        <v>3109</v>
      </c>
      <c r="AA763" t="s">
        <v>3135</v>
      </c>
      <c r="AB763">
        <v>11434</v>
      </c>
      <c r="AC763" t="s">
        <v>3139</v>
      </c>
      <c r="AD763" t="s">
        <v>3846</v>
      </c>
      <c r="AE763">
        <v>17</v>
      </c>
      <c r="AG763" t="s">
        <v>4035</v>
      </c>
      <c r="AH763" t="s">
        <v>291</v>
      </c>
      <c r="AI763" t="s">
        <v>291</v>
      </c>
      <c r="AK763" t="s">
        <v>4041</v>
      </c>
      <c r="AL763" t="s">
        <v>4046</v>
      </c>
      <c r="AM763">
        <v>0</v>
      </c>
      <c r="AN763">
        <v>395</v>
      </c>
      <c r="AO763">
        <v>0.55</v>
      </c>
      <c r="AQ763" t="s">
        <v>4794</v>
      </c>
      <c r="AR763" t="s">
        <v>5658</v>
      </c>
      <c r="AS763">
        <v>80</v>
      </c>
      <c r="AT763" t="s">
        <v>5837</v>
      </c>
      <c r="AU763">
        <v>3</v>
      </c>
      <c r="AV763">
        <v>0</v>
      </c>
      <c r="AW763">
        <v>61.36</v>
      </c>
      <c r="BA763" t="s">
        <v>329</v>
      </c>
      <c r="BB763" t="s">
        <v>1322</v>
      </c>
      <c r="BC763">
        <v>13089</v>
      </c>
      <c r="BG763" t="s">
        <v>5922</v>
      </c>
      <c r="BJ763" t="s">
        <v>6044</v>
      </c>
      <c r="BK763" t="s">
        <v>252</v>
      </c>
      <c r="BL763" t="s">
        <v>6056</v>
      </c>
    </row>
    <row r="764" spans="1:64">
      <c r="A764" s="1">
        <f>HYPERLINK("https://lsnyc.legalserver.org/matter/dynamic-profile/view/1904957","19-1904957")</f>
        <v>0</v>
      </c>
      <c r="B764" t="s">
        <v>67</v>
      </c>
      <c r="C764" t="s">
        <v>176</v>
      </c>
      <c r="D764" t="s">
        <v>200</v>
      </c>
      <c r="E764" t="s">
        <v>202</v>
      </c>
      <c r="F764" t="s">
        <v>248</v>
      </c>
      <c r="G764" t="s">
        <v>202</v>
      </c>
      <c r="H764" t="s">
        <v>271</v>
      </c>
      <c r="I764" t="s">
        <v>202</v>
      </c>
      <c r="J764" t="s">
        <v>289</v>
      </c>
      <c r="K764" t="s">
        <v>202</v>
      </c>
      <c r="L764" t="s">
        <v>396</v>
      </c>
      <c r="M764" t="s">
        <v>290</v>
      </c>
      <c r="N764" t="s">
        <v>202</v>
      </c>
      <c r="O764" t="s">
        <v>422</v>
      </c>
      <c r="P764" t="s">
        <v>428</v>
      </c>
      <c r="S764" t="s">
        <v>1056</v>
      </c>
      <c r="T764" t="s">
        <v>1738</v>
      </c>
      <c r="U764" t="s">
        <v>245</v>
      </c>
      <c r="V764" t="s">
        <v>248</v>
      </c>
      <c r="W764" t="s">
        <v>1877</v>
      </c>
      <c r="X764" t="s">
        <v>2601</v>
      </c>
      <c r="Y764" t="s">
        <v>3056</v>
      </c>
      <c r="Z764" t="s">
        <v>3109</v>
      </c>
      <c r="AA764" t="s">
        <v>3135</v>
      </c>
      <c r="AB764">
        <v>11433</v>
      </c>
      <c r="AC764" t="s">
        <v>3140</v>
      </c>
      <c r="AD764" t="s">
        <v>3847</v>
      </c>
      <c r="AE764">
        <v>3</v>
      </c>
      <c r="AF764" t="s">
        <v>4023</v>
      </c>
      <c r="AG764" t="s">
        <v>4035</v>
      </c>
      <c r="AH764" t="s">
        <v>291</v>
      </c>
      <c r="AI764" t="s">
        <v>291</v>
      </c>
      <c r="AK764" t="s">
        <v>4040</v>
      </c>
      <c r="AL764" t="s">
        <v>4046</v>
      </c>
      <c r="AM764">
        <v>0</v>
      </c>
      <c r="AN764">
        <v>1000</v>
      </c>
      <c r="AO764">
        <v>2.5</v>
      </c>
      <c r="AP764" t="s">
        <v>4052</v>
      </c>
      <c r="AQ764" t="s">
        <v>4795</v>
      </c>
      <c r="AR764" t="s">
        <v>5659</v>
      </c>
      <c r="AS764">
        <v>2</v>
      </c>
      <c r="AT764" t="s">
        <v>5835</v>
      </c>
      <c r="AU764">
        <v>1</v>
      </c>
      <c r="AV764">
        <v>0</v>
      </c>
      <c r="AW764">
        <v>19.05</v>
      </c>
      <c r="BA764" t="s">
        <v>329</v>
      </c>
      <c r="BB764" t="s">
        <v>1322</v>
      </c>
      <c r="BC764">
        <v>2379</v>
      </c>
      <c r="BG764" t="s">
        <v>5922</v>
      </c>
      <c r="BJ764" t="s">
        <v>5987</v>
      </c>
      <c r="BK764" t="s">
        <v>248</v>
      </c>
      <c r="BL764" t="s">
        <v>6056</v>
      </c>
    </row>
    <row r="765" spans="1:64">
      <c r="A765" s="1">
        <f>HYPERLINK("https://lsnyc.legalserver.org/matter/dynamic-profile/view/1910109","19-1910109")</f>
        <v>0</v>
      </c>
      <c r="B765" t="s">
        <v>67</v>
      </c>
      <c r="C765" t="s">
        <v>175</v>
      </c>
      <c r="D765" t="s">
        <v>200</v>
      </c>
      <c r="E765" t="s">
        <v>201</v>
      </c>
      <c r="G765" t="s">
        <v>202</v>
      </c>
      <c r="H765" t="s">
        <v>272</v>
      </c>
      <c r="I765" t="s">
        <v>202</v>
      </c>
      <c r="J765" t="s">
        <v>289</v>
      </c>
      <c r="K765" t="s">
        <v>292</v>
      </c>
      <c r="M765" t="s">
        <v>290</v>
      </c>
      <c r="N765" t="s">
        <v>419</v>
      </c>
      <c r="O765" t="s">
        <v>420</v>
      </c>
      <c r="P765" t="s">
        <v>427</v>
      </c>
      <c r="S765" t="s">
        <v>1057</v>
      </c>
      <c r="T765" t="s">
        <v>1739</v>
      </c>
      <c r="U765" t="s">
        <v>206</v>
      </c>
      <c r="W765" t="s">
        <v>1876</v>
      </c>
      <c r="X765" t="s">
        <v>2602</v>
      </c>
      <c r="Y765" t="s">
        <v>2999</v>
      </c>
      <c r="Z765" t="s">
        <v>3111</v>
      </c>
      <c r="AA765" t="s">
        <v>3135</v>
      </c>
      <c r="AB765">
        <v>11373</v>
      </c>
      <c r="AC765" t="s">
        <v>3139</v>
      </c>
      <c r="AD765" t="s">
        <v>3848</v>
      </c>
      <c r="AE765">
        <v>30</v>
      </c>
      <c r="AG765" t="s">
        <v>4035</v>
      </c>
      <c r="AH765" t="s">
        <v>291</v>
      </c>
      <c r="AK765" t="s">
        <v>4040</v>
      </c>
      <c r="AM765">
        <v>0</v>
      </c>
      <c r="AN765">
        <v>1900</v>
      </c>
      <c r="AO765">
        <v>0.5</v>
      </c>
      <c r="AQ765" t="s">
        <v>4796</v>
      </c>
      <c r="AR765" t="s">
        <v>5660</v>
      </c>
      <c r="AS765">
        <v>120</v>
      </c>
      <c r="AT765" t="s">
        <v>5838</v>
      </c>
      <c r="AU765">
        <v>4</v>
      </c>
      <c r="AV765">
        <v>1</v>
      </c>
      <c r="AW765">
        <v>91.48</v>
      </c>
      <c r="BA765" t="s">
        <v>329</v>
      </c>
      <c r="BB765" t="s">
        <v>1322</v>
      </c>
      <c r="BC765">
        <v>27600</v>
      </c>
      <c r="BG765" t="s">
        <v>5923</v>
      </c>
      <c r="BJ765" t="s">
        <v>6045</v>
      </c>
      <c r="BK765" t="s">
        <v>206</v>
      </c>
      <c r="BL765" t="s">
        <v>6056</v>
      </c>
    </row>
    <row r="766" spans="1:64">
      <c r="A766" s="1">
        <f>HYPERLINK("https://lsnyc.legalserver.org/matter/dynamic-profile/view/1907541","19-1907541")</f>
        <v>0</v>
      </c>
      <c r="B766" t="s">
        <v>67</v>
      </c>
      <c r="C766" t="s">
        <v>175</v>
      </c>
      <c r="D766" t="s">
        <v>200</v>
      </c>
      <c r="E766" t="s">
        <v>202</v>
      </c>
      <c r="F766" t="s">
        <v>254</v>
      </c>
      <c r="G766" t="s">
        <v>202</v>
      </c>
      <c r="H766" t="s">
        <v>272</v>
      </c>
      <c r="I766" t="s">
        <v>202</v>
      </c>
      <c r="J766" t="s">
        <v>289</v>
      </c>
      <c r="K766" t="s">
        <v>292</v>
      </c>
      <c r="M766" t="s">
        <v>290</v>
      </c>
      <c r="N766" t="s">
        <v>202</v>
      </c>
      <c r="O766" t="s">
        <v>421</v>
      </c>
      <c r="P766" t="s">
        <v>427</v>
      </c>
      <c r="S766" t="s">
        <v>466</v>
      </c>
      <c r="T766" t="s">
        <v>1542</v>
      </c>
      <c r="U766" t="s">
        <v>254</v>
      </c>
      <c r="W766" t="s">
        <v>1876</v>
      </c>
      <c r="X766" t="s">
        <v>2603</v>
      </c>
      <c r="Y766" t="s">
        <v>2800</v>
      </c>
      <c r="Z766" t="s">
        <v>3109</v>
      </c>
      <c r="AA766" t="s">
        <v>3135</v>
      </c>
      <c r="AB766">
        <v>11433</v>
      </c>
      <c r="AC766" t="s">
        <v>3139</v>
      </c>
      <c r="AD766" t="s">
        <v>3849</v>
      </c>
      <c r="AE766">
        <v>30</v>
      </c>
      <c r="AG766" t="s">
        <v>4035</v>
      </c>
      <c r="AH766" t="s">
        <v>291</v>
      </c>
      <c r="AI766" t="s">
        <v>291</v>
      </c>
      <c r="AK766" t="s">
        <v>4041</v>
      </c>
      <c r="AL766" t="s">
        <v>4046</v>
      </c>
      <c r="AM766">
        <v>0</v>
      </c>
      <c r="AN766">
        <v>954.6</v>
      </c>
      <c r="AO766">
        <v>0.38</v>
      </c>
      <c r="AQ766" t="s">
        <v>4797</v>
      </c>
      <c r="AR766" t="s">
        <v>5661</v>
      </c>
      <c r="AS766">
        <v>60</v>
      </c>
      <c r="AT766" t="s">
        <v>5837</v>
      </c>
      <c r="AU766">
        <v>5</v>
      </c>
      <c r="AV766">
        <v>2</v>
      </c>
      <c r="AW766">
        <v>106.19</v>
      </c>
      <c r="BA766" t="s">
        <v>329</v>
      </c>
      <c r="BB766" t="s">
        <v>1322</v>
      </c>
      <c r="BC766">
        <v>41424</v>
      </c>
      <c r="BG766" t="s">
        <v>5922</v>
      </c>
      <c r="BJ766" t="s">
        <v>5950</v>
      </c>
      <c r="BK766" t="s">
        <v>230</v>
      </c>
      <c r="BL766" t="s">
        <v>6056</v>
      </c>
    </row>
    <row r="767" spans="1:64">
      <c r="A767" s="1">
        <f>HYPERLINK("https://lsnyc.legalserver.org/matter/dynamic-profile/view/1905940","19-1905940")</f>
        <v>0</v>
      </c>
      <c r="B767" t="s">
        <v>67</v>
      </c>
      <c r="C767" t="s">
        <v>175</v>
      </c>
      <c r="D767" t="s">
        <v>200</v>
      </c>
      <c r="E767" t="s">
        <v>202</v>
      </c>
      <c r="F767" t="s">
        <v>250</v>
      </c>
      <c r="G767" t="s">
        <v>202</v>
      </c>
      <c r="H767" t="s">
        <v>272</v>
      </c>
      <c r="I767" t="s">
        <v>202</v>
      </c>
      <c r="J767" t="s">
        <v>289</v>
      </c>
      <c r="K767" t="s">
        <v>292</v>
      </c>
      <c r="M767" t="s">
        <v>290</v>
      </c>
      <c r="N767" t="s">
        <v>202</v>
      </c>
      <c r="O767" t="s">
        <v>421</v>
      </c>
      <c r="P767" t="s">
        <v>427</v>
      </c>
      <c r="S767" t="s">
        <v>514</v>
      </c>
      <c r="T767" t="s">
        <v>1403</v>
      </c>
      <c r="U767" t="s">
        <v>250</v>
      </c>
      <c r="W767" t="s">
        <v>1876</v>
      </c>
      <c r="X767" t="s">
        <v>2604</v>
      </c>
      <c r="Y767" t="s">
        <v>2941</v>
      </c>
      <c r="Z767" t="s">
        <v>3109</v>
      </c>
      <c r="AA767" t="s">
        <v>3135</v>
      </c>
      <c r="AB767">
        <v>11433</v>
      </c>
      <c r="AC767" t="s">
        <v>3140</v>
      </c>
      <c r="AD767" t="s">
        <v>3850</v>
      </c>
      <c r="AE767">
        <v>2</v>
      </c>
      <c r="AG767" t="s">
        <v>4035</v>
      </c>
      <c r="AH767" t="s">
        <v>291</v>
      </c>
      <c r="AI767" t="s">
        <v>291</v>
      </c>
      <c r="AK767" t="s">
        <v>4041</v>
      </c>
      <c r="AL767" t="s">
        <v>4049</v>
      </c>
      <c r="AM767">
        <v>0</v>
      </c>
      <c r="AN767">
        <v>245</v>
      </c>
      <c r="AO767">
        <v>9.800000000000001</v>
      </c>
      <c r="AQ767" t="s">
        <v>4798</v>
      </c>
      <c r="AR767" t="s">
        <v>5662</v>
      </c>
      <c r="AS767">
        <v>100</v>
      </c>
      <c r="AT767" t="s">
        <v>5837</v>
      </c>
      <c r="AU767">
        <v>1</v>
      </c>
      <c r="AV767">
        <v>1</v>
      </c>
      <c r="AW767">
        <v>65.33</v>
      </c>
      <c r="BA767" t="s">
        <v>329</v>
      </c>
      <c r="BB767" t="s">
        <v>1322</v>
      </c>
      <c r="BC767">
        <v>11047.4</v>
      </c>
      <c r="BG767" t="s">
        <v>5922</v>
      </c>
      <c r="BI767" t="s">
        <v>5937</v>
      </c>
      <c r="BJ767" t="s">
        <v>5949</v>
      </c>
      <c r="BK767" t="s">
        <v>230</v>
      </c>
      <c r="BL767" t="s">
        <v>6056</v>
      </c>
    </row>
    <row r="768" spans="1:64">
      <c r="A768" s="1">
        <f>HYPERLINK("https://lsnyc.legalserver.org/matter/dynamic-profile/view/1904254","19-1904254")</f>
        <v>0</v>
      </c>
      <c r="B768" t="s">
        <v>67</v>
      </c>
      <c r="C768" t="s">
        <v>175</v>
      </c>
      <c r="D768" t="s">
        <v>200</v>
      </c>
      <c r="E768" t="s">
        <v>203</v>
      </c>
      <c r="F768" t="s">
        <v>265</v>
      </c>
      <c r="G768" t="s">
        <v>202</v>
      </c>
      <c r="H768" t="s">
        <v>272</v>
      </c>
      <c r="I768" t="s">
        <v>202</v>
      </c>
      <c r="J768" t="s">
        <v>289</v>
      </c>
      <c r="K768" t="s">
        <v>292</v>
      </c>
      <c r="M768" t="s">
        <v>290</v>
      </c>
      <c r="N768" t="s">
        <v>202</v>
      </c>
      <c r="O768" t="s">
        <v>421</v>
      </c>
      <c r="P768" t="s">
        <v>202</v>
      </c>
      <c r="Q768" t="s">
        <v>430</v>
      </c>
      <c r="R768" t="s">
        <v>449</v>
      </c>
      <c r="S768" t="s">
        <v>664</v>
      </c>
      <c r="T768" t="s">
        <v>1740</v>
      </c>
      <c r="U768" t="s">
        <v>233</v>
      </c>
      <c r="W768" t="s">
        <v>1876</v>
      </c>
      <c r="X768" t="s">
        <v>2605</v>
      </c>
      <c r="Y768" t="s">
        <v>2875</v>
      </c>
      <c r="Z768" t="s">
        <v>3111</v>
      </c>
      <c r="AA768" t="s">
        <v>3135</v>
      </c>
      <c r="AB768">
        <v>11373</v>
      </c>
      <c r="AC768" t="s">
        <v>3139</v>
      </c>
      <c r="AD768" t="s">
        <v>3851</v>
      </c>
      <c r="AE768">
        <v>23</v>
      </c>
      <c r="AG768" t="s">
        <v>4035</v>
      </c>
      <c r="AH768" t="s">
        <v>291</v>
      </c>
      <c r="AI768" t="s">
        <v>291</v>
      </c>
      <c r="AK768" t="s">
        <v>4040</v>
      </c>
      <c r="AM768">
        <v>0</v>
      </c>
      <c r="AN768">
        <v>1079.8</v>
      </c>
      <c r="AO768">
        <v>0.75</v>
      </c>
      <c r="AQ768" t="s">
        <v>4799</v>
      </c>
      <c r="AS768">
        <v>0</v>
      </c>
      <c r="AT768" t="s">
        <v>5838</v>
      </c>
      <c r="AU768">
        <v>2</v>
      </c>
      <c r="AV768">
        <v>1</v>
      </c>
      <c r="AW768">
        <v>73.14</v>
      </c>
      <c r="BA768" t="s">
        <v>329</v>
      </c>
      <c r="BB768" t="s">
        <v>5859</v>
      </c>
      <c r="BC768">
        <v>15600</v>
      </c>
      <c r="BG768" t="s">
        <v>5923</v>
      </c>
      <c r="BI768" t="s">
        <v>5932</v>
      </c>
      <c r="BJ768" t="s">
        <v>5949</v>
      </c>
      <c r="BK768" t="s">
        <v>257</v>
      </c>
      <c r="BL768" t="s">
        <v>6056</v>
      </c>
    </row>
    <row r="769" spans="1:64">
      <c r="A769" s="1">
        <f>HYPERLINK("https://lsnyc.legalserver.org/matter/dynamic-profile/view/1908551","19-1908551")</f>
        <v>0</v>
      </c>
      <c r="B769" t="s">
        <v>67</v>
      </c>
      <c r="C769" t="s">
        <v>175</v>
      </c>
      <c r="D769" t="s">
        <v>200</v>
      </c>
      <c r="E769" t="s">
        <v>201</v>
      </c>
      <c r="G769" t="s">
        <v>202</v>
      </c>
      <c r="H769" t="s">
        <v>271</v>
      </c>
      <c r="I769" t="s">
        <v>202</v>
      </c>
      <c r="J769" t="s">
        <v>289</v>
      </c>
      <c r="K769" t="s">
        <v>292</v>
      </c>
      <c r="M769" t="s">
        <v>290</v>
      </c>
      <c r="N769" t="s">
        <v>419</v>
      </c>
      <c r="O769" t="s">
        <v>420</v>
      </c>
      <c r="P769" t="s">
        <v>427</v>
      </c>
      <c r="S769" t="s">
        <v>1058</v>
      </c>
      <c r="T769" t="s">
        <v>1741</v>
      </c>
      <c r="U769" t="s">
        <v>237</v>
      </c>
      <c r="W769" t="s">
        <v>1876</v>
      </c>
      <c r="X769" t="s">
        <v>2606</v>
      </c>
      <c r="Y769" t="s">
        <v>2836</v>
      </c>
      <c r="Z769" t="s">
        <v>3111</v>
      </c>
      <c r="AA769" t="s">
        <v>3135</v>
      </c>
      <c r="AB769">
        <v>11373</v>
      </c>
      <c r="AC769" t="s">
        <v>3139</v>
      </c>
      <c r="AD769" t="s">
        <v>3852</v>
      </c>
      <c r="AE769">
        <v>8</v>
      </c>
      <c r="AG769" t="s">
        <v>4035</v>
      </c>
      <c r="AH769" t="s">
        <v>291</v>
      </c>
      <c r="AK769" t="s">
        <v>4040</v>
      </c>
      <c r="AM769">
        <v>0</v>
      </c>
      <c r="AN769">
        <v>1950</v>
      </c>
      <c r="AO769">
        <v>0.6</v>
      </c>
      <c r="AQ769" t="s">
        <v>4800</v>
      </c>
      <c r="AR769" t="s">
        <v>5663</v>
      </c>
      <c r="AS769">
        <v>0</v>
      </c>
      <c r="AU769">
        <v>2</v>
      </c>
      <c r="AV769">
        <v>1</v>
      </c>
      <c r="AW769">
        <v>92.64</v>
      </c>
      <c r="BB769" t="s">
        <v>1322</v>
      </c>
      <c r="BC769">
        <v>19760</v>
      </c>
      <c r="BG769" t="s">
        <v>5923</v>
      </c>
      <c r="BJ769" t="s">
        <v>5949</v>
      </c>
      <c r="BK769" t="s">
        <v>263</v>
      </c>
      <c r="BL769" t="s">
        <v>6056</v>
      </c>
    </row>
    <row r="770" spans="1:64">
      <c r="A770" s="1">
        <f>HYPERLINK("https://lsnyc.legalserver.org/matter/dynamic-profile/view/1907483","19-1907483")</f>
        <v>0</v>
      </c>
      <c r="B770" t="s">
        <v>67</v>
      </c>
      <c r="C770" t="s">
        <v>175</v>
      </c>
      <c r="D770" t="s">
        <v>200</v>
      </c>
      <c r="E770" t="s">
        <v>201</v>
      </c>
      <c r="G770" t="s">
        <v>202</v>
      </c>
      <c r="H770" t="s">
        <v>271</v>
      </c>
      <c r="I770" t="s">
        <v>288</v>
      </c>
      <c r="J770" t="s">
        <v>290</v>
      </c>
      <c r="K770" t="s">
        <v>292</v>
      </c>
      <c r="M770" t="s">
        <v>290</v>
      </c>
      <c r="N770" t="s">
        <v>419</v>
      </c>
      <c r="P770" t="s">
        <v>427</v>
      </c>
      <c r="S770" t="s">
        <v>846</v>
      </c>
      <c r="T770" t="s">
        <v>1370</v>
      </c>
      <c r="U770" t="s">
        <v>220</v>
      </c>
      <c r="W770" t="s">
        <v>1876</v>
      </c>
      <c r="X770" t="s">
        <v>2607</v>
      </c>
      <c r="Z770" t="s">
        <v>3111</v>
      </c>
      <c r="AA770" t="s">
        <v>3135</v>
      </c>
      <c r="AB770">
        <v>11373</v>
      </c>
      <c r="AC770" t="s">
        <v>3145</v>
      </c>
      <c r="AD770" t="s">
        <v>3853</v>
      </c>
      <c r="AE770">
        <v>3</v>
      </c>
      <c r="AG770" t="s">
        <v>4035</v>
      </c>
      <c r="AH770" t="s">
        <v>291</v>
      </c>
      <c r="AK770" t="s">
        <v>4040</v>
      </c>
      <c r="AM770">
        <v>0</v>
      </c>
      <c r="AN770">
        <v>1000</v>
      </c>
      <c r="AO770">
        <v>6.1</v>
      </c>
      <c r="AQ770" t="s">
        <v>4801</v>
      </c>
      <c r="AR770" t="s">
        <v>5664</v>
      </c>
      <c r="AS770">
        <v>0</v>
      </c>
      <c r="AU770">
        <v>1</v>
      </c>
      <c r="AV770">
        <v>0</v>
      </c>
      <c r="AW770">
        <v>0</v>
      </c>
      <c r="BB770" t="s">
        <v>5859</v>
      </c>
      <c r="BC770">
        <v>0</v>
      </c>
      <c r="BG770" t="s">
        <v>184</v>
      </c>
      <c r="BJ770" t="s">
        <v>5965</v>
      </c>
      <c r="BK770" t="s">
        <v>259</v>
      </c>
    </row>
    <row r="771" spans="1:64">
      <c r="A771" s="1">
        <f>HYPERLINK("https://lsnyc.legalserver.org/matter/dynamic-profile/view/1910419","19-1910419")</f>
        <v>0</v>
      </c>
      <c r="B771" t="s">
        <v>67</v>
      </c>
      <c r="C771" t="s">
        <v>175</v>
      </c>
      <c r="D771" t="s">
        <v>200</v>
      </c>
      <c r="E771" t="s">
        <v>202</v>
      </c>
      <c r="F771" t="s">
        <v>266</v>
      </c>
      <c r="G771" t="s">
        <v>202</v>
      </c>
      <c r="H771" t="s">
        <v>271</v>
      </c>
      <c r="I771" t="s">
        <v>202</v>
      </c>
      <c r="J771" t="s">
        <v>289</v>
      </c>
      <c r="K771" t="s">
        <v>292</v>
      </c>
      <c r="M771" t="s">
        <v>290</v>
      </c>
      <c r="N771" t="s">
        <v>419</v>
      </c>
      <c r="O771" t="s">
        <v>420</v>
      </c>
      <c r="P771" t="s">
        <v>427</v>
      </c>
      <c r="S771" t="s">
        <v>1059</v>
      </c>
      <c r="T771" t="s">
        <v>1742</v>
      </c>
      <c r="U771" t="s">
        <v>266</v>
      </c>
      <c r="W771" t="s">
        <v>1876</v>
      </c>
      <c r="X771" t="s">
        <v>2608</v>
      </c>
      <c r="Y771" t="s">
        <v>3057</v>
      </c>
      <c r="Z771" t="s">
        <v>3109</v>
      </c>
      <c r="AA771" t="s">
        <v>3135</v>
      </c>
      <c r="AB771">
        <v>11435</v>
      </c>
      <c r="AC771" t="s">
        <v>3136</v>
      </c>
      <c r="AD771" t="s">
        <v>3854</v>
      </c>
      <c r="AE771">
        <v>3</v>
      </c>
      <c r="AG771" t="s">
        <v>4034</v>
      </c>
      <c r="AH771" t="s">
        <v>291</v>
      </c>
      <c r="AI771" t="s">
        <v>291</v>
      </c>
      <c r="AK771" t="s">
        <v>4040</v>
      </c>
      <c r="AM771">
        <v>0</v>
      </c>
      <c r="AN771">
        <v>1150</v>
      </c>
      <c r="AO771">
        <v>0.5</v>
      </c>
      <c r="AQ771" t="s">
        <v>4802</v>
      </c>
      <c r="AR771" t="s">
        <v>5665</v>
      </c>
      <c r="AS771">
        <v>2</v>
      </c>
      <c r="AT771" t="s">
        <v>5836</v>
      </c>
      <c r="AU771">
        <v>1</v>
      </c>
      <c r="AV771">
        <v>0</v>
      </c>
      <c r="AW771">
        <v>0</v>
      </c>
      <c r="BA771" t="s">
        <v>329</v>
      </c>
      <c r="BB771" t="s">
        <v>1322</v>
      </c>
      <c r="BC771">
        <v>0</v>
      </c>
      <c r="BG771" t="s">
        <v>5922</v>
      </c>
      <c r="BJ771" t="s">
        <v>5945</v>
      </c>
      <c r="BK771" t="s">
        <v>266</v>
      </c>
      <c r="BL771" t="s">
        <v>6056</v>
      </c>
    </row>
    <row r="772" spans="1:64">
      <c r="A772" s="1">
        <f>HYPERLINK("https://lsnyc.legalserver.org/matter/dynamic-profile/view/1904674","19-1904674")</f>
        <v>0</v>
      </c>
      <c r="B772" t="s">
        <v>67</v>
      </c>
      <c r="C772" t="s">
        <v>175</v>
      </c>
      <c r="D772" t="s">
        <v>200</v>
      </c>
      <c r="E772" t="s">
        <v>202</v>
      </c>
      <c r="F772" t="s">
        <v>246</v>
      </c>
      <c r="G772" t="s">
        <v>202</v>
      </c>
      <c r="H772" t="s">
        <v>271</v>
      </c>
      <c r="I772" t="s">
        <v>202</v>
      </c>
      <c r="J772" t="s">
        <v>289</v>
      </c>
      <c r="K772" t="s">
        <v>292</v>
      </c>
      <c r="M772" t="s">
        <v>290</v>
      </c>
      <c r="N772" t="s">
        <v>202</v>
      </c>
      <c r="O772" t="s">
        <v>421</v>
      </c>
      <c r="P772" t="s">
        <v>202</v>
      </c>
      <c r="Q772" t="s">
        <v>430</v>
      </c>
      <c r="R772" t="s">
        <v>450</v>
      </c>
      <c r="S772" t="s">
        <v>1060</v>
      </c>
      <c r="T772" t="s">
        <v>1743</v>
      </c>
      <c r="U772" t="s">
        <v>246</v>
      </c>
      <c r="W772" t="s">
        <v>1876</v>
      </c>
      <c r="X772" t="s">
        <v>2609</v>
      </c>
      <c r="Z772" t="s">
        <v>3109</v>
      </c>
      <c r="AA772" t="s">
        <v>3135</v>
      </c>
      <c r="AB772">
        <v>11434</v>
      </c>
      <c r="AC772" t="s">
        <v>3140</v>
      </c>
      <c r="AD772" t="s">
        <v>3855</v>
      </c>
      <c r="AE772">
        <v>29</v>
      </c>
      <c r="AG772" t="s">
        <v>4035</v>
      </c>
      <c r="AH772" t="s">
        <v>291</v>
      </c>
      <c r="AI772" t="s">
        <v>291</v>
      </c>
      <c r="AK772" t="s">
        <v>4040</v>
      </c>
      <c r="AL772" t="s">
        <v>4046</v>
      </c>
      <c r="AM772">
        <v>0</v>
      </c>
      <c r="AN772">
        <v>0</v>
      </c>
      <c r="AO772">
        <v>3.43</v>
      </c>
      <c r="AQ772" t="s">
        <v>4803</v>
      </c>
      <c r="AR772" t="s">
        <v>5666</v>
      </c>
      <c r="AS772">
        <v>3</v>
      </c>
      <c r="AT772" t="s">
        <v>5835</v>
      </c>
      <c r="AU772">
        <v>8</v>
      </c>
      <c r="AV772">
        <v>0</v>
      </c>
      <c r="AW772">
        <v>232.1</v>
      </c>
      <c r="AX772" t="s">
        <v>210</v>
      </c>
      <c r="AY772" t="s">
        <v>5849</v>
      </c>
      <c r="BA772" t="s">
        <v>329</v>
      </c>
      <c r="BB772" t="s">
        <v>1322</v>
      </c>
      <c r="BC772">
        <v>100800</v>
      </c>
      <c r="BG772" t="s">
        <v>5922</v>
      </c>
      <c r="BH772" t="s">
        <v>5927</v>
      </c>
      <c r="BI772" t="s">
        <v>5932</v>
      </c>
      <c r="BJ772" t="s">
        <v>5969</v>
      </c>
      <c r="BK772" t="s">
        <v>257</v>
      </c>
      <c r="BL772" t="s">
        <v>6056</v>
      </c>
    </row>
    <row r="773" spans="1:64">
      <c r="A773" s="1">
        <f>HYPERLINK("https://lsnyc.legalserver.org/matter/dynamic-profile/view/1908810","19-1908810")</f>
        <v>0</v>
      </c>
      <c r="B773" t="s">
        <v>67</v>
      </c>
      <c r="C773" t="s">
        <v>172</v>
      </c>
      <c r="D773" t="s">
        <v>200</v>
      </c>
      <c r="E773" t="s">
        <v>202</v>
      </c>
      <c r="F773" t="s">
        <v>219</v>
      </c>
      <c r="G773" t="s">
        <v>202</v>
      </c>
      <c r="H773" t="s">
        <v>272</v>
      </c>
      <c r="I773" t="s">
        <v>202</v>
      </c>
      <c r="J773" t="s">
        <v>289</v>
      </c>
      <c r="K773" t="s">
        <v>292</v>
      </c>
      <c r="M773" t="s">
        <v>290</v>
      </c>
      <c r="N773" t="s">
        <v>419</v>
      </c>
      <c r="O773" t="s">
        <v>420</v>
      </c>
      <c r="P773" t="s">
        <v>427</v>
      </c>
      <c r="S773" t="s">
        <v>962</v>
      </c>
      <c r="T773" t="s">
        <v>1386</v>
      </c>
      <c r="U773" t="s">
        <v>219</v>
      </c>
      <c r="W773" t="s">
        <v>1876</v>
      </c>
      <c r="X773" t="s">
        <v>2610</v>
      </c>
      <c r="Z773" t="s">
        <v>3111</v>
      </c>
      <c r="AA773" t="s">
        <v>3135</v>
      </c>
      <c r="AB773">
        <v>11373</v>
      </c>
      <c r="AC773" t="s">
        <v>3139</v>
      </c>
      <c r="AD773" t="s">
        <v>3856</v>
      </c>
      <c r="AE773">
        <v>26</v>
      </c>
      <c r="AG773" t="s">
        <v>4035</v>
      </c>
      <c r="AH773" t="s">
        <v>291</v>
      </c>
      <c r="AI773" t="s">
        <v>291</v>
      </c>
      <c r="AK773" t="s">
        <v>4040</v>
      </c>
      <c r="AM773">
        <v>0</v>
      </c>
      <c r="AN773">
        <v>934.1799999999999</v>
      </c>
      <c r="AO773">
        <v>3.5</v>
      </c>
      <c r="AQ773" t="s">
        <v>4603</v>
      </c>
      <c r="AR773" t="s">
        <v>5667</v>
      </c>
      <c r="AS773">
        <v>72</v>
      </c>
      <c r="AT773" t="s">
        <v>5838</v>
      </c>
      <c r="AU773">
        <v>2</v>
      </c>
      <c r="AV773">
        <v>0</v>
      </c>
      <c r="AW773">
        <v>81.61</v>
      </c>
      <c r="BA773" t="s">
        <v>329</v>
      </c>
      <c r="BB773" t="s">
        <v>5859</v>
      </c>
      <c r="BC773">
        <v>13800</v>
      </c>
      <c r="BG773" t="s">
        <v>5922</v>
      </c>
      <c r="BJ773" t="s">
        <v>3143</v>
      </c>
      <c r="BK773" t="s">
        <v>219</v>
      </c>
      <c r="BL773" t="s">
        <v>6056</v>
      </c>
    </row>
    <row r="774" spans="1:64">
      <c r="A774" s="1">
        <f>HYPERLINK("https://lsnyc.legalserver.org/matter/dynamic-profile/view/1909823","19-1909823")</f>
        <v>0</v>
      </c>
      <c r="B774" t="s">
        <v>67</v>
      </c>
      <c r="C774" t="s">
        <v>175</v>
      </c>
      <c r="D774" t="s">
        <v>200</v>
      </c>
      <c r="E774" t="s">
        <v>202</v>
      </c>
      <c r="F774" t="s">
        <v>267</v>
      </c>
      <c r="G774" t="s">
        <v>202</v>
      </c>
      <c r="H774" t="s">
        <v>272</v>
      </c>
      <c r="I774" t="s">
        <v>202</v>
      </c>
      <c r="J774" t="s">
        <v>289</v>
      </c>
      <c r="K774" t="s">
        <v>292</v>
      </c>
      <c r="M774" t="s">
        <v>290</v>
      </c>
      <c r="N774" t="s">
        <v>202</v>
      </c>
      <c r="O774" t="s">
        <v>422</v>
      </c>
      <c r="P774" t="s">
        <v>427</v>
      </c>
      <c r="S774" t="s">
        <v>1061</v>
      </c>
      <c r="T774" t="s">
        <v>1744</v>
      </c>
      <c r="U774" t="s">
        <v>267</v>
      </c>
      <c r="W774" t="s">
        <v>1876</v>
      </c>
      <c r="X774" t="s">
        <v>2611</v>
      </c>
      <c r="Y774" t="s">
        <v>2842</v>
      </c>
      <c r="Z774" t="s">
        <v>3100</v>
      </c>
      <c r="AA774" t="s">
        <v>3135</v>
      </c>
      <c r="AB774">
        <v>11368</v>
      </c>
      <c r="AC774" t="s">
        <v>3136</v>
      </c>
      <c r="AD774" t="s">
        <v>3857</v>
      </c>
      <c r="AE774">
        <v>28</v>
      </c>
      <c r="AG774" t="s">
        <v>4034</v>
      </c>
      <c r="AH774" t="s">
        <v>291</v>
      </c>
      <c r="AK774" t="s">
        <v>4042</v>
      </c>
      <c r="AM774">
        <v>0</v>
      </c>
      <c r="AN774">
        <v>1469</v>
      </c>
      <c r="AO774">
        <v>0.7</v>
      </c>
      <c r="AQ774" t="s">
        <v>4234</v>
      </c>
      <c r="AR774" t="s">
        <v>5668</v>
      </c>
      <c r="AS774">
        <v>200</v>
      </c>
      <c r="AT774" t="s">
        <v>5836</v>
      </c>
      <c r="AU774">
        <v>4</v>
      </c>
      <c r="AV774">
        <v>0</v>
      </c>
      <c r="AW774">
        <v>217.48</v>
      </c>
      <c r="BA774" t="s">
        <v>329</v>
      </c>
      <c r="BC774">
        <v>56000</v>
      </c>
      <c r="BG774" t="s">
        <v>184</v>
      </c>
      <c r="BJ774" t="s">
        <v>5949</v>
      </c>
      <c r="BK774" t="s">
        <v>267</v>
      </c>
    </row>
    <row r="775" spans="1:64">
      <c r="A775" s="1">
        <f>HYPERLINK("https://lsnyc.legalserver.org/matter/dynamic-profile/view/1905292","19-1905292")</f>
        <v>0</v>
      </c>
      <c r="B775" t="s">
        <v>67</v>
      </c>
      <c r="C775" t="s">
        <v>175</v>
      </c>
      <c r="D775" t="s">
        <v>200</v>
      </c>
      <c r="E775" t="s">
        <v>202</v>
      </c>
      <c r="F775" t="s">
        <v>242</v>
      </c>
      <c r="G775" t="s">
        <v>202</v>
      </c>
      <c r="H775" t="s">
        <v>271</v>
      </c>
      <c r="I775" t="s">
        <v>202</v>
      </c>
      <c r="J775" t="s">
        <v>289</v>
      </c>
      <c r="K775" t="s">
        <v>292</v>
      </c>
      <c r="M775" t="s">
        <v>290</v>
      </c>
      <c r="N775" t="s">
        <v>202</v>
      </c>
      <c r="O775" t="s">
        <v>421</v>
      </c>
      <c r="P775" t="s">
        <v>427</v>
      </c>
      <c r="S775" t="s">
        <v>545</v>
      </c>
      <c r="T775" t="s">
        <v>1496</v>
      </c>
      <c r="U775" t="s">
        <v>242</v>
      </c>
      <c r="W775" t="s">
        <v>1876</v>
      </c>
      <c r="X775" t="s">
        <v>2612</v>
      </c>
      <c r="Y775" t="s">
        <v>3042</v>
      </c>
      <c r="Z775" t="s">
        <v>3109</v>
      </c>
      <c r="AA775" t="s">
        <v>3135</v>
      </c>
      <c r="AB775">
        <v>11433</v>
      </c>
      <c r="AC775" t="s">
        <v>3139</v>
      </c>
      <c r="AD775" t="s">
        <v>3858</v>
      </c>
      <c r="AE775">
        <v>2</v>
      </c>
      <c r="AG775" t="s">
        <v>4035</v>
      </c>
      <c r="AH775" t="s">
        <v>291</v>
      </c>
      <c r="AI775" t="s">
        <v>291</v>
      </c>
      <c r="AK775" t="s">
        <v>4040</v>
      </c>
      <c r="AL775" t="s">
        <v>4046</v>
      </c>
      <c r="AM775">
        <v>0</v>
      </c>
      <c r="AN775">
        <v>1700</v>
      </c>
      <c r="AO775">
        <v>10.48</v>
      </c>
      <c r="AQ775" t="s">
        <v>4804</v>
      </c>
      <c r="AR775" t="s">
        <v>5669</v>
      </c>
      <c r="AS775">
        <v>2</v>
      </c>
      <c r="AT775" t="s">
        <v>5836</v>
      </c>
      <c r="AU775">
        <v>1</v>
      </c>
      <c r="AV775">
        <v>3</v>
      </c>
      <c r="AW775">
        <v>45.44</v>
      </c>
      <c r="BA775" t="s">
        <v>329</v>
      </c>
      <c r="BB775" t="s">
        <v>5859</v>
      </c>
      <c r="BC775">
        <v>11700</v>
      </c>
      <c r="BG775" t="s">
        <v>5922</v>
      </c>
      <c r="BJ775" t="s">
        <v>5949</v>
      </c>
      <c r="BK775" t="s">
        <v>230</v>
      </c>
      <c r="BL775" t="s">
        <v>6056</v>
      </c>
    </row>
    <row r="776" spans="1:64">
      <c r="A776" s="1">
        <f>HYPERLINK("https://lsnyc.legalserver.org/matter/dynamic-profile/view/1907612","19-1907612")</f>
        <v>0</v>
      </c>
      <c r="B776" t="s">
        <v>67</v>
      </c>
      <c r="C776" t="s">
        <v>175</v>
      </c>
      <c r="D776" t="s">
        <v>200</v>
      </c>
      <c r="E776" t="s">
        <v>202</v>
      </c>
      <c r="F776" t="s">
        <v>254</v>
      </c>
      <c r="G776" t="s">
        <v>202</v>
      </c>
      <c r="H776" t="s">
        <v>271</v>
      </c>
      <c r="I776" t="s">
        <v>202</v>
      </c>
      <c r="J776" t="s">
        <v>289</v>
      </c>
      <c r="K776" t="s">
        <v>292</v>
      </c>
      <c r="M776" t="s">
        <v>290</v>
      </c>
      <c r="N776" t="s">
        <v>202</v>
      </c>
      <c r="O776" t="s">
        <v>421</v>
      </c>
      <c r="P776" t="s">
        <v>427</v>
      </c>
      <c r="S776" t="s">
        <v>1062</v>
      </c>
      <c r="T776" t="s">
        <v>1248</v>
      </c>
      <c r="U776" t="s">
        <v>254</v>
      </c>
      <c r="W776" t="s">
        <v>1876</v>
      </c>
      <c r="X776" t="s">
        <v>2613</v>
      </c>
      <c r="Y776" t="s">
        <v>2793</v>
      </c>
      <c r="Z776" t="s">
        <v>3109</v>
      </c>
      <c r="AA776" t="s">
        <v>3135</v>
      </c>
      <c r="AB776">
        <v>11433</v>
      </c>
      <c r="AC776" t="s">
        <v>3139</v>
      </c>
      <c r="AD776" t="s">
        <v>3859</v>
      </c>
      <c r="AE776">
        <v>12</v>
      </c>
      <c r="AG776" t="s">
        <v>4035</v>
      </c>
      <c r="AH776" t="s">
        <v>291</v>
      </c>
      <c r="AI776" t="s">
        <v>291</v>
      </c>
      <c r="AK776" t="s">
        <v>4041</v>
      </c>
      <c r="AL776" t="s">
        <v>4049</v>
      </c>
      <c r="AM776">
        <v>0</v>
      </c>
      <c r="AN776">
        <v>0</v>
      </c>
      <c r="AO776">
        <v>0.98</v>
      </c>
      <c r="AQ776" t="s">
        <v>4805</v>
      </c>
      <c r="AR776" t="s">
        <v>5286</v>
      </c>
      <c r="AS776">
        <v>330</v>
      </c>
      <c r="AT776" t="s">
        <v>5837</v>
      </c>
      <c r="AU776">
        <v>2</v>
      </c>
      <c r="AV776">
        <v>1</v>
      </c>
      <c r="AW776">
        <v>206.28</v>
      </c>
      <c r="BA776" t="s">
        <v>329</v>
      </c>
      <c r="BB776" t="s">
        <v>1322</v>
      </c>
      <c r="BC776">
        <v>44000</v>
      </c>
      <c r="BG776" t="s">
        <v>5922</v>
      </c>
      <c r="BJ776" t="s">
        <v>5949</v>
      </c>
      <c r="BK776" t="s">
        <v>259</v>
      </c>
      <c r="BL776" t="s">
        <v>6056</v>
      </c>
    </row>
    <row r="777" spans="1:64">
      <c r="A777" s="1">
        <f>HYPERLINK("https://lsnyc.legalserver.org/matter/dynamic-profile/view/1907613","19-1907613")</f>
        <v>0</v>
      </c>
      <c r="B777" t="s">
        <v>67</v>
      </c>
      <c r="C777" t="s">
        <v>175</v>
      </c>
      <c r="D777" t="s">
        <v>200</v>
      </c>
      <c r="E777" t="s">
        <v>201</v>
      </c>
      <c r="G777" t="s">
        <v>202</v>
      </c>
      <c r="H777" t="s">
        <v>271</v>
      </c>
      <c r="I777" t="s">
        <v>202</v>
      </c>
      <c r="J777" t="s">
        <v>289</v>
      </c>
      <c r="K777" t="s">
        <v>292</v>
      </c>
      <c r="M777" t="s">
        <v>290</v>
      </c>
      <c r="N777" t="s">
        <v>202</v>
      </c>
      <c r="O777" t="s">
        <v>421</v>
      </c>
      <c r="P777" t="s">
        <v>427</v>
      </c>
      <c r="S777" t="s">
        <v>1013</v>
      </c>
      <c r="T777" t="s">
        <v>1745</v>
      </c>
      <c r="U777" t="s">
        <v>254</v>
      </c>
      <c r="W777" t="s">
        <v>1876</v>
      </c>
      <c r="X777" t="s">
        <v>2614</v>
      </c>
      <c r="Y777" t="s">
        <v>2797</v>
      </c>
      <c r="Z777" t="s">
        <v>3109</v>
      </c>
      <c r="AA777" t="s">
        <v>3135</v>
      </c>
      <c r="AB777">
        <v>11433</v>
      </c>
      <c r="AC777" t="s">
        <v>3136</v>
      </c>
      <c r="AD777" t="s">
        <v>3860</v>
      </c>
      <c r="AE777">
        <v>7</v>
      </c>
      <c r="AG777" t="s">
        <v>4035</v>
      </c>
      <c r="AH777" t="s">
        <v>291</v>
      </c>
      <c r="AI777" t="s">
        <v>291</v>
      </c>
      <c r="AK777" t="s">
        <v>4040</v>
      </c>
      <c r="AM777">
        <v>0</v>
      </c>
      <c r="AN777">
        <v>1500</v>
      </c>
      <c r="AO777">
        <v>1.53</v>
      </c>
      <c r="AQ777" t="s">
        <v>4366</v>
      </c>
      <c r="AR777" t="s">
        <v>5670</v>
      </c>
      <c r="AS777">
        <v>3</v>
      </c>
      <c r="AT777" t="s">
        <v>5838</v>
      </c>
      <c r="AU777">
        <v>2</v>
      </c>
      <c r="AV777">
        <v>3</v>
      </c>
      <c r="AW777">
        <v>66.29000000000001</v>
      </c>
      <c r="BA777" t="s">
        <v>329</v>
      </c>
      <c r="BB777" t="s">
        <v>1322</v>
      </c>
      <c r="BC777">
        <v>20000</v>
      </c>
      <c r="BG777" t="s">
        <v>5923</v>
      </c>
      <c r="BJ777" t="s">
        <v>5949</v>
      </c>
      <c r="BK777" t="s">
        <v>216</v>
      </c>
      <c r="BL777" t="s">
        <v>6056</v>
      </c>
    </row>
    <row r="778" spans="1:64">
      <c r="A778" s="1">
        <f>HYPERLINK("https://lsnyc.legalserver.org/matter/dynamic-profile/view/1907891","19-1907891")</f>
        <v>0</v>
      </c>
      <c r="B778" t="s">
        <v>67</v>
      </c>
      <c r="C778" t="s">
        <v>175</v>
      </c>
      <c r="D778" t="s">
        <v>200</v>
      </c>
      <c r="E778" t="s">
        <v>202</v>
      </c>
      <c r="F778" t="s">
        <v>223</v>
      </c>
      <c r="G778" t="s">
        <v>202</v>
      </c>
      <c r="H778" t="s">
        <v>271</v>
      </c>
      <c r="I778" t="s">
        <v>202</v>
      </c>
      <c r="J778" t="s">
        <v>289</v>
      </c>
      <c r="K778" t="s">
        <v>292</v>
      </c>
      <c r="M778" t="s">
        <v>290</v>
      </c>
      <c r="N778" t="s">
        <v>202</v>
      </c>
      <c r="O778" t="s">
        <v>421</v>
      </c>
      <c r="P778" t="s">
        <v>427</v>
      </c>
      <c r="S778" t="s">
        <v>661</v>
      </c>
      <c r="T778" t="s">
        <v>1746</v>
      </c>
      <c r="U778" t="s">
        <v>223</v>
      </c>
      <c r="W778" t="s">
        <v>1876</v>
      </c>
      <c r="X778" t="s">
        <v>2615</v>
      </c>
      <c r="Y778" t="s">
        <v>3058</v>
      </c>
      <c r="Z778" t="s">
        <v>3109</v>
      </c>
      <c r="AA778" t="s">
        <v>3135</v>
      </c>
      <c r="AB778">
        <v>11433</v>
      </c>
      <c r="AC778" t="s">
        <v>3140</v>
      </c>
      <c r="AD778" t="s">
        <v>3861</v>
      </c>
      <c r="AE778">
        <v>8</v>
      </c>
      <c r="AG778" t="s">
        <v>4035</v>
      </c>
      <c r="AH778" t="s">
        <v>291</v>
      </c>
      <c r="AI778" t="s">
        <v>291</v>
      </c>
      <c r="AK778" t="s">
        <v>4040</v>
      </c>
      <c r="AM778">
        <v>0</v>
      </c>
      <c r="AN778">
        <v>1600</v>
      </c>
      <c r="AO778">
        <v>1.6</v>
      </c>
      <c r="AQ778" t="s">
        <v>4806</v>
      </c>
      <c r="AR778" t="s">
        <v>5671</v>
      </c>
      <c r="AS778">
        <v>460</v>
      </c>
      <c r="AT778" t="s">
        <v>5836</v>
      </c>
      <c r="AU778">
        <v>1</v>
      </c>
      <c r="AV778">
        <v>1</v>
      </c>
      <c r="AW778">
        <v>30.75</v>
      </c>
      <c r="BA778" t="s">
        <v>5850</v>
      </c>
      <c r="BB778" t="s">
        <v>1322</v>
      </c>
      <c r="BC778">
        <v>5200</v>
      </c>
      <c r="BG778" t="s">
        <v>5922</v>
      </c>
      <c r="BJ778" t="s">
        <v>5946</v>
      </c>
      <c r="BK778" t="s">
        <v>216</v>
      </c>
      <c r="BL778" t="s">
        <v>6056</v>
      </c>
    </row>
    <row r="779" spans="1:64">
      <c r="A779" s="1">
        <f>HYPERLINK("https://lsnyc.legalserver.org/matter/dynamic-profile/view/1903867","19-1903867")</f>
        <v>0</v>
      </c>
      <c r="B779" t="s">
        <v>67</v>
      </c>
      <c r="C779" t="s">
        <v>175</v>
      </c>
      <c r="D779" t="s">
        <v>200</v>
      </c>
      <c r="E779" t="s">
        <v>201</v>
      </c>
      <c r="G779" t="s">
        <v>202</v>
      </c>
      <c r="H779" t="s">
        <v>272</v>
      </c>
      <c r="I779" t="s">
        <v>202</v>
      </c>
      <c r="J779" t="s">
        <v>289</v>
      </c>
      <c r="K779" t="s">
        <v>202</v>
      </c>
      <c r="L779" t="s">
        <v>329</v>
      </c>
      <c r="M779" t="s">
        <v>290</v>
      </c>
      <c r="N779" t="s">
        <v>202</v>
      </c>
      <c r="O779" t="s">
        <v>421</v>
      </c>
      <c r="P779" t="s">
        <v>427</v>
      </c>
      <c r="S779" t="s">
        <v>1063</v>
      </c>
      <c r="T779" t="s">
        <v>1747</v>
      </c>
      <c r="U779" t="s">
        <v>229</v>
      </c>
      <c r="W779" t="s">
        <v>1876</v>
      </c>
      <c r="X779" t="s">
        <v>2616</v>
      </c>
      <c r="Y779">
        <v>14027</v>
      </c>
      <c r="Z779" t="s">
        <v>3103</v>
      </c>
      <c r="AA779" t="s">
        <v>3135</v>
      </c>
      <c r="AB779">
        <v>11413</v>
      </c>
      <c r="AC779" t="s">
        <v>3141</v>
      </c>
      <c r="AD779" t="s">
        <v>3862</v>
      </c>
      <c r="AE779">
        <v>35</v>
      </c>
      <c r="AG779" t="s">
        <v>4034</v>
      </c>
      <c r="AH779" t="s">
        <v>291</v>
      </c>
      <c r="AI779" t="s">
        <v>291</v>
      </c>
      <c r="AK779" t="s">
        <v>4040</v>
      </c>
      <c r="AL779" t="s">
        <v>4046</v>
      </c>
      <c r="AM779">
        <v>0</v>
      </c>
      <c r="AN779">
        <v>1281</v>
      </c>
      <c r="AO779">
        <v>17.5</v>
      </c>
      <c r="AQ779" t="s">
        <v>4807</v>
      </c>
      <c r="AR779" t="s">
        <v>5672</v>
      </c>
      <c r="AS779">
        <v>56</v>
      </c>
      <c r="AT779" t="s">
        <v>5838</v>
      </c>
      <c r="AU779">
        <v>3</v>
      </c>
      <c r="AV779">
        <v>2</v>
      </c>
      <c r="AW779">
        <v>149.15</v>
      </c>
      <c r="BA779" t="s">
        <v>329</v>
      </c>
      <c r="BB779" t="s">
        <v>1322</v>
      </c>
      <c r="BC779">
        <v>45000</v>
      </c>
      <c r="BG779" t="s">
        <v>5923</v>
      </c>
      <c r="BJ779" t="s">
        <v>5949</v>
      </c>
      <c r="BK779" t="s">
        <v>222</v>
      </c>
      <c r="BL779" t="s">
        <v>6056</v>
      </c>
    </row>
    <row r="780" spans="1:64">
      <c r="A780" s="1">
        <f>HYPERLINK("https://lsnyc.legalserver.org/matter/dynamic-profile/view/1908461","19-1908461")</f>
        <v>0</v>
      </c>
      <c r="B780" t="s">
        <v>67</v>
      </c>
      <c r="C780" t="s">
        <v>175</v>
      </c>
      <c r="D780" t="s">
        <v>200</v>
      </c>
      <c r="E780" t="s">
        <v>201</v>
      </c>
      <c r="G780" t="s">
        <v>202</v>
      </c>
      <c r="H780" t="s">
        <v>271</v>
      </c>
      <c r="I780" t="s">
        <v>202</v>
      </c>
      <c r="J780" t="s">
        <v>289</v>
      </c>
      <c r="K780" t="s">
        <v>292</v>
      </c>
      <c r="M780" t="s">
        <v>290</v>
      </c>
      <c r="N780" t="s">
        <v>419</v>
      </c>
      <c r="O780" t="s">
        <v>420</v>
      </c>
      <c r="P780" t="s">
        <v>427</v>
      </c>
      <c r="S780" t="s">
        <v>1064</v>
      </c>
      <c r="T780" t="s">
        <v>1378</v>
      </c>
      <c r="U780" t="s">
        <v>237</v>
      </c>
      <c r="W780" t="s">
        <v>1876</v>
      </c>
      <c r="X780" t="s">
        <v>2617</v>
      </c>
      <c r="Z780" t="s">
        <v>3109</v>
      </c>
      <c r="AA780" t="s">
        <v>3135</v>
      </c>
      <c r="AB780">
        <v>11433</v>
      </c>
      <c r="AC780" t="s">
        <v>3139</v>
      </c>
      <c r="AD780" t="s">
        <v>3863</v>
      </c>
      <c r="AE780">
        <v>2</v>
      </c>
      <c r="AG780" t="s">
        <v>4035</v>
      </c>
      <c r="AH780" t="s">
        <v>291</v>
      </c>
      <c r="AK780" t="s">
        <v>4040</v>
      </c>
      <c r="AM780">
        <v>0</v>
      </c>
      <c r="AN780">
        <v>0</v>
      </c>
      <c r="AO780">
        <v>0.52</v>
      </c>
      <c r="AQ780" t="s">
        <v>4808</v>
      </c>
      <c r="AR780" t="s">
        <v>5673</v>
      </c>
      <c r="AS780">
        <v>0</v>
      </c>
      <c r="AU780">
        <v>1</v>
      </c>
      <c r="AV780">
        <v>0</v>
      </c>
      <c r="AW780">
        <v>104.08</v>
      </c>
      <c r="BB780" t="s">
        <v>1322</v>
      </c>
      <c r="BC780">
        <v>13000</v>
      </c>
      <c r="BG780" t="s">
        <v>5923</v>
      </c>
      <c r="BJ780" t="s">
        <v>3143</v>
      </c>
      <c r="BK780" t="s">
        <v>263</v>
      </c>
      <c r="BL780" t="s">
        <v>6056</v>
      </c>
    </row>
    <row r="781" spans="1:64">
      <c r="A781" s="1">
        <f>HYPERLINK("https://lsnyc.legalserver.org/matter/dynamic-profile/view/1910081","19-1910081")</f>
        <v>0</v>
      </c>
      <c r="B781" t="s">
        <v>67</v>
      </c>
      <c r="C781" t="s">
        <v>175</v>
      </c>
      <c r="D781" t="s">
        <v>200</v>
      </c>
      <c r="E781" t="s">
        <v>201</v>
      </c>
      <c r="G781" t="s">
        <v>202</v>
      </c>
      <c r="H781" t="s">
        <v>272</v>
      </c>
      <c r="I781" t="s">
        <v>202</v>
      </c>
      <c r="J781" t="s">
        <v>289</v>
      </c>
      <c r="K781" t="s">
        <v>292</v>
      </c>
      <c r="M781" t="s">
        <v>290</v>
      </c>
      <c r="N781" t="s">
        <v>419</v>
      </c>
      <c r="O781" t="s">
        <v>420</v>
      </c>
      <c r="P781" t="s">
        <v>427</v>
      </c>
      <c r="S781" t="s">
        <v>1065</v>
      </c>
      <c r="T781" t="s">
        <v>1370</v>
      </c>
      <c r="U781" t="s">
        <v>206</v>
      </c>
      <c r="W781" t="s">
        <v>1876</v>
      </c>
      <c r="X781" t="s">
        <v>2618</v>
      </c>
      <c r="Y781" t="s">
        <v>2852</v>
      </c>
      <c r="Z781" t="s">
        <v>3119</v>
      </c>
      <c r="AA781" t="s">
        <v>3135</v>
      </c>
      <c r="AB781">
        <v>11385</v>
      </c>
      <c r="AC781" t="s">
        <v>3139</v>
      </c>
      <c r="AD781" t="s">
        <v>3864</v>
      </c>
      <c r="AE781">
        <v>9</v>
      </c>
      <c r="AG781" t="s">
        <v>4035</v>
      </c>
      <c r="AH781" t="s">
        <v>291</v>
      </c>
      <c r="AI781" t="s">
        <v>291</v>
      </c>
      <c r="AK781" t="s">
        <v>4040</v>
      </c>
      <c r="AM781">
        <v>0</v>
      </c>
      <c r="AN781">
        <v>1850</v>
      </c>
      <c r="AO781">
        <v>0.5</v>
      </c>
      <c r="AQ781" t="s">
        <v>4809</v>
      </c>
      <c r="AR781" t="s">
        <v>5674</v>
      </c>
      <c r="AS781">
        <v>6</v>
      </c>
      <c r="AT781" t="s">
        <v>5838</v>
      </c>
      <c r="AU781">
        <v>1</v>
      </c>
      <c r="AV781">
        <v>2</v>
      </c>
      <c r="AW781">
        <v>140.65</v>
      </c>
      <c r="BB781" t="s">
        <v>1322</v>
      </c>
      <c r="BC781">
        <v>30000</v>
      </c>
      <c r="BG781" t="s">
        <v>5923</v>
      </c>
      <c r="BJ781" t="s">
        <v>5949</v>
      </c>
      <c r="BK781" t="s">
        <v>206</v>
      </c>
      <c r="BL781" t="s">
        <v>6056</v>
      </c>
    </row>
    <row r="782" spans="1:64">
      <c r="A782" s="1">
        <f>HYPERLINK("https://lsnyc.legalserver.org/matter/dynamic-profile/view/1906931","19-1906931")</f>
        <v>0</v>
      </c>
      <c r="B782" t="s">
        <v>67</v>
      </c>
      <c r="C782" t="s">
        <v>176</v>
      </c>
      <c r="D782" t="s">
        <v>200</v>
      </c>
      <c r="E782" t="s">
        <v>202</v>
      </c>
      <c r="F782" t="s">
        <v>226</v>
      </c>
      <c r="G782" t="s">
        <v>202</v>
      </c>
      <c r="H782" t="s">
        <v>272</v>
      </c>
      <c r="I782" t="s">
        <v>202</v>
      </c>
      <c r="J782" t="s">
        <v>289</v>
      </c>
      <c r="K782" t="s">
        <v>202</v>
      </c>
      <c r="L782" t="s">
        <v>397</v>
      </c>
      <c r="M782" t="s">
        <v>290</v>
      </c>
      <c r="N782" t="s">
        <v>202</v>
      </c>
      <c r="O782" t="s">
        <v>422</v>
      </c>
      <c r="P782" t="s">
        <v>428</v>
      </c>
      <c r="S782" t="s">
        <v>862</v>
      </c>
      <c r="T782" t="s">
        <v>1663</v>
      </c>
      <c r="U782" t="s">
        <v>239</v>
      </c>
      <c r="V782" t="s">
        <v>226</v>
      </c>
      <c r="W782" t="s">
        <v>1877</v>
      </c>
      <c r="X782" t="s">
        <v>2619</v>
      </c>
      <c r="Z782" t="s">
        <v>3101</v>
      </c>
      <c r="AA782" t="s">
        <v>3135</v>
      </c>
      <c r="AB782">
        <v>11416</v>
      </c>
      <c r="AC782" t="s">
        <v>3136</v>
      </c>
      <c r="AD782" t="s">
        <v>3865</v>
      </c>
      <c r="AE782">
        <v>2</v>
      </c>
      <c r="AF782" t="s">
        <v>4023</v>
      </c>
      <c r="AG782" t="s">
        <v>4034</v>
      </c>
      <c r="AH782" t="s">
        <v>291</v>
      </c>
      <c r="AI782" t="s">
        <v>291</v>
      </c>
      <c r="AK782" t="s">
        <v>4040</v>
      </c>
      <c r="AL782" t="s">
        <v>4048</v>
      </c>
      <c r="AM782">
        <v>0</v>
      </c>
      <c r="AN782">
        <v>1268</v>
      </c>
      <c r="AO782">
        <v>1.65</v>
      </c>
      <c r="AP782" t="s">
        <v>4052</v>
      </c>
      <c r="AQ782" t="s">
        <v>4810</v>
      </c>
      <c r="AR782" t="s">
        <v>5675</v>
      </c>
      <c r="AS782">
        <v>2</v>
      </c>
      <c r="AT782" t="s">
        <v>5835</v>
      </c>
      <c r="AU782">
        <v>1</v>
      </c>
      <c r="AV782">
        <v>1</v>
      </c>
      <c r="AW782">
        <v>40.73</v>
      </c>
      <c r="BA782" t="s">
        <v>5853</v>
      </c>
      <c r="BB782" t="s">
        <v>1322</v>
      </c>
      <c r="BC782">
        <v>6888</v>
      </c>
      <c r="BG782" t="s">
        <v>5922</v>
      </c>
      <c r="BJ782" t="s">
        <v>5987</v>
      </c>
      <c r="BK782" t="s">
        <v>243</v>
      </c>
      <c r="BL782" t="s">
        <v>6056</v>
      </c>
    </row>
    <row r="783" spans="1:64">
      <c r="A783" s="1">
        <f>HYPERLINK("https://lsnyc.legalserver.org/matter/dynamic-profile/view/1906358","19-1906358")</f>
        <v>0</v>
      </c>
      <c r="B783" t="s">
        <v>67</v>
      </c>
      <c r="C783" t="s">
        <v>176</v>
      </c>
      <c r="D783" t="s">
        <v>200</v>
      </c>
      <c r="E783" t="s">
        <v>201</v>
      </c>
      <c r="G783" t="s">
        <v>202</v>
      </c>
      <c r="H783" t="s">
        <v>272</v>
      </c>
      <c r="I783" t="s">
        <v>202</v>
      </c>
      <c r="J783" t="s">
        <v>289</v>
      </c>
      <c r="K783" t="s">
        <v>202</v>
      </c>
      <c r="L783" t="s">
        <v>398</v>
      </c>
      <c r="M783" t="s">
        <v>290</v>
      </c>
      <c r="N783" t="s">
        <v>202</v>
      </c>
      <c r="O783" t="s">
        <v>421</v>
      </c>
      <c r="P783" t="s">
        <v>427</v>
      </c>
      <c r="S783" t="s">
        <v>1066</v>
      </c>
      <c r="T783" t="s">
        <v>1748</v>
      </c>
      <c r="U783" t="s">
        <v>207</v>
      </c>
      <c r="W783" t="s">
        <v>1876</v>
      </c>
      <c r="X783" t="s">
        <v>2620</v>
      </c>
      <c r="Y783" t="s">
        <v>2794</v>
      </c>
      <c r="Z783" t="s">
        <v>3120</v>
      </c>
      <c r="AA783" t="s">
        <v>3135</v>
      </c>
      <c r="AB783">
        <v>11361</v>
      </c>
      <c r="AC783" t="s">
        <v>3136</v>
      </c>
      <c r="AD783" t="s">
        <v>3866</v>
      </c>
      <c r="AE783">
        <v>5</v>
      </c>
      <c r="AG783" t="s">
        <v>4034</v>
      </c>
      <c r="AH783" t="s">
        <v>291</v>
      </c>
      <c r="AI783" t="s">
        <v>291</v>
      </c>
      <c r="AK783" t="s">
        <v>4040</v>
      </c>
      <c r="AL783" t="s">
        <v>4047</v>
      </c>
      <c r="AM783">
        <v>0</v>
      </c>
      <c r="AN783">
        <v>1878</v>
      </c>
      <c r="AO783">
        <v>18</v>
      </c>
      <c r="AQ783" t="s">
        <v>4811</v>
      </c>
      <c r="AR783" t="s">
        <v>5676</v>
      </c>
      <c r="AS783">
        <v>19</v>
      </c>
      <c r="AT783" t="s">
        <v>5838</v>
      </c>
      <c r="AU783">
        <v>1</v>
      </c>
      <c r="AV783">
        <v>2</v>
      </c>
      <c r="AW783">
        <v>101.27</v>
      </c>
      <c r="BA783" t="s">
        <v>329</v>
      </c>
      <c r="BB783" t="s">
        <v>1322</v>
      </c>
      <c r="BC783">
        <v>21600</v>
      </c>
      <c r="BG783" t="s">
        <v>5922</v>
      </c>
      <c r="BJ783" t="s">
        <v>6046</v>
      </c>
      <c r="BK783" t="s">
        <v>264</v>
      </c>
      <c r="BL783" t="s">
        <v>6056</v>
      </c>
    </row>
    <row r="784" spans="1:64">
      <c r="A784" s="1">
        <f>HYPERLINK("https://lsnyc.legalserver.org/matter/dynamic-profile/view/1905133","19-1905133")</f>
        <v>0</v>
      </c>
      <c r="B784" t="s">
        <v>67</v>
      </c>
      <c r="C784" t="s">
        <v>176</v>
      </c>
      <c r="D784" t="s">
        <v>200</v>
      </c>
      <c r="E784" t="s">
        <v>201</v>
      </c>
      <c r="G784" t="s">
        <v>202</v>
      </c>
      <c r="H784" t="s">
        <v>271</v>
      </c>
      <c r="I784" t="s">
        <v>202</v>
      </c>
      <c r="J784" t="s">
        <v>289</v>
      </c>
      <c r="K784" t="s">
        <v>202</v>
      </c>
      <c r="L784" t="s">
        <v>399</v>
      </c>
      <c r="M784" t="s">
        <v>290</v>
      </c>
      <c r="N784" t="s">
        <v>419</v>
      </c>
      <c r="O784" t="s">
        <v>420</v>
      </c>
      <c r="P784" t="s">
        <v>427</v>
      </c>
      <c r="S784" t="s">
        <v>735</v>
      </c>
      <c r="T784" t="s">
        <v>1474</v>
      </c>
      <c r="U784" t="s">
        <v>258</v>
      </c>
      <c r="W784" t="s">
        <v>1876</v>
      </c>
      <c r="X784" t="s">
        <v>2621</v>
      </c>
      <c r="Y784" t="s">
        <v>2824</v>
      </c>
      <c r="Z784" t="s">
        <v>3113</v>
      </c>
      <c r="AA784" t="s">
        <v>3135</v>
      </c>
      <c r="AB784">
        <v>11385</v>
      </c>
      <c r="AC784" t="s">
        <v>3139</v>
      </c>
      <c r="AD784" t="s">
        <v>3867</v>
      </c>
      <c r="AE784">
        <v>2</v>
      </c>
      <c r="AG784" t="s">
        <v>4035</v>
      </c>
      <c r="AH784" t="s">
        <v>291</v>
      </c>
      <c r="AI784" t="s">
        <v>291</v>
      </c>
      <c r="AK784" t="s">
        <v>4040</v>
      </c>
      <c r="AL784" t="s">
        <v>4046</v>
      </c>
      <c r="AM784">
        <v>0</v>
      </c>
      <c r="AN784">
        <v>0</v>
      </c>
      <c r="AO784">
        <v>8.25</v>
      </c>
      <c r="AQ784" t="s">
        <v>4812</v>
      </c>
      <c r="AR784" t="s">
        <v>5677</v>
      </c>
      <c r="AS784">
        <v>75</v>
      </c>
      <c r="AT784" t="s">
        <v>5838</v>
      </c>
      <c r="AU784">
        <v>2</v>
      </c>
      <c r="AV784">
        <v>3</v>
      </c>
      <c r="AW784">
        <v>150.29</v>
      </c>
      <c r="BA784" t="s">
        <v>329</v>
      </c>
      <c r="BB784" t="s">
        <v>5859</v>
      </c>
      <c r="BC784">
        <v>45344</v>
      </c>
      <c r="BG784" t="s">
        <v>176</v>
      </c>
      <c r="BJ784" t="s">
        <v>6013</v>
      </c>
      <c r="BK784" t="s">
        <v>230</v>
      </c>
      <c r="BL784" t="s">
        <v>6056</v>
      </c>
    </row>
    <row r="785" spans="1:64">
      <c r="A785" s="1">
        <f>HYPERLINK("https://lsnyc.legalserver.org/matter/dynamic-profile/view/1907017","19-1907017")</f>
        <v>0</v>
      </c>
      <c r="B785" t="s">
        <v>67</v>
      </c>
      <c r="C785" t="s">
        <v>176</v>
      </c>
      <c r="D785" t="s">
        <v>200</v>
      </c>
      <c r="E785" t="s">
        <v>202</v>
      </c>
      <c r="F785" t="s">
        <v>243</v>
      </c>
      <c r="G785" t="s">
        <v>202</v>
      </c>
      <c r="H785" t="s">
        <v>271</v>
      </c>
      <c r="I785" t="s">
        <v>202</v>
      </c>
      <c r="J785" t="s">
        <v>289</v>
      </c>
      <c r="K785" t="s">
        <v>292</v>
      </c>
      <c r="M785" t="s">
        <v>290</v>
      </c>
      <c r="N785" t="s">
        <v>202</v>
      </c>
      <c r="O785" t="s">
        <v>422</v>
      </c>
      <c r="P785" t="s">
        <v>428</v>
      </c>
      <c r="S785" t="s">
        <v>1067</v>
      </c>
      <c r="T785" t="s">
        <v>1749</v>
      </c>
      <c r="U785" t="s">
        <v>226</v>
      </c>
      <c r="V785" t="s">
        <v>206</v>
      </c>
      <c r="W785" t="s">
        <v>1877</v>
      </c>
      <c r="X785" t="s">
        <v>2622</v>
      </c>
      <c r="Y785" t="s">
        <v>2782</v>
      </c>
      <c r="Z785" t="s">
        <v>3119</v>
      </c>
      <c r="AA785" t="s">
        <v>3135</v>
      </c>
      <c r="AB785">
        <v>11385</v>
      </c>
      <c r="AC785" t="s">
        <v>3139</v>
      </c>
      <c r="AD785" t="s">
        <v>3868</v>
      </c>
      <c r="AE785">
        <v>1</v>
      </c>
      <c r="AF785" t="s">
        <v>4023</v>
      </c>
      <c r="AG785" t="s">
        <v>4035</v>
      </c>
      <c r="AH785" t="s">
        <v>291</v>
      </c>
      <c r="AI785" t="s">
        <v>291</v>
      </c>
      <c r="AK785" t="s">
        <v>4040</v>
      </c>
      <c r="AL785" t="s">
        <v>4046</v>
      </c>
      <c r="AM785">
        <v>0</v>
      </c>
      <c r="AN785">
        <v>1200</v>
      </c>
      <c r="AO785">
        <v>1.93</v>
      </c>
      <c r="AP785" t="s">
        <v>4052</v>
      </c>
      <c r="AQ785" t="s">
        <v>4813</v>
      </c>
      <c r="AR785" t="s">
        <v>5286</v>
      </c>
      <c r="AS785">
        <v>2</v>
      </c>
      <c r="AT785" t="s">
        <v>5835</v>
      </c>
      <c r="AU785">
        <v>2</v>
      </c>
      <c r="AV785">
        <v>0</v>
      </c>
      <c r="AW785">
        <v>92.25</v>
      </c>
      <c r="BA785" t="s">
        <v>329</v>
      </c>
      <c r="BB785" t="s">
        <v>1322</v>
      </c>
      <c r="BC785">
        <v>15600</v>
      </c>
      <c r="BG785" t="s">
        <v>5923</v>
      </c>
      <c r="BJ785" t="s">
        <v>5949</v>
      </c>
      <c r="BK785" t="s">
        <v>206</v>
      </c>
      <c r="BL785" t="s">
        <v>6056</v>
      </c>
    </row>
    <row r="786" spans="1:64">
      <c r="A786" s="1">
        <f>HYPERLINK("https://lsnyc.legalserver.org/matter/dynamic-profile/view/1904538","19-1904538")</f>
        <v>0</v>
      </c>
      <c r="B786" t="s">
        <v>67</v>
      </c>
      <c r="C786" t="s">
        <v>176</v>
      </c>
      <c r="D786" t="s">
        <v>200</v>
      </c>
      <c r="E786" t="s">
        <v>202</v>
      </c>
      <c r="F786" t="s">
        <v>205</v>
      </c>
      <c r="G786" t="s">
        <v>202</v>
      </c>
      <c r="H786" t="s">
        <v>271</v>
      </c>
      <c r="I786" t="s">
        <v>202</v>
      </c>
      <c r="J786" t="s">
        <v>289</v>
      </c>
      <c r="K786" t="s">
        <v>292</v>
      </c>
      <c r="M786" t="s">
        <v>290</v>
      </c>
      <c r="N786" t="s">
        <v>202</v>
      </c>
      <c r="O786" t="s">
        <v>422</v>
      </c>
      <c r="P786" t="s">
        <v>428</v>
      </c>
      <c r="S786" t="s">
        <v>1068</v>
      </c>
      <c r="T786" t="s">
        <v>1257</v>
      </c>
      <c r="U786" t="s">
        <v>205</v>
      </c>
      <c r="V786" t="s">
        <v>246</v>
      </c>
      <c r="W786" t="s">
        <v>1877</v>
      </c>
      <c r="X786" t="s">
        <v>2623</v>
      </c>
      <c r="Y786" t="s">
        <v>3059</v>
      </c>
      <c r="Z786" t="s">
        <v>3121</v>
      </c>
      <c r="AA786" t="s">
        <v>3135</v>
      </c>
      <c r="AB786">
        <v>11422</v>
      </c>
      <c r="AC786" t="s">
        <v>3136</v>
      </c>
      <c r="AD786" t="s">
        <v>3869</v>
      </c>
      <c r="AE786">
        <v>-1</v>
      </c>
      <c r="AF786" t="s">
        <v>4023</v>
      </c>
      <c r="AG786" t="s">
        <v>4034</v>
      </c>
      <c r="AH786" t="s">
        <v>291</v>
      </c>
      <c r="AI786" t="s">
        <v>291</v>
      </c>
      <c r="AK786" t="s">
        <v>4040</v>
      </c>
      <c r="AL786" t="s">
        <v>4046</v>
      </c>
      <c r="AM786">
        <v>0</v>
      </c>
      <c r="AN786">
        <v>1450</v>
      </c>
      <c r="AO786">
        <v>1.05</v>
      </c>
      <c r="AP786" t="s">
        <v>4052</v>
      </c>
      <c r="AQ786" t="s">
        <v>4814</v>
      </c>
      <c r="AR786" t="s">
        <v>5678</v>
      </c>
      <c r="AS786">
        <v>2</v>
      </c>
      <c r="AT786" t="s">
        <v>5835</v>
      </c>
      <c r="AU786">
        <v>3</v>
      </c>
      <c r="AV786">
        <v>1</v>
      </c>
      <c r="AW786">
        <v>0</v>
      </c>
      <c r="BA786" t="s">
        <v>329</v>
      </c>
      <c r="BB786" t="s">
        <v>1322</v>
      </c>
      <c r="BC786">
        <v>0</v>
      </c>
      <c r="BG786" t="s">
        <v>5922</v>
      </c>
      <c r="BJ786" t="s">
        <v>5945</v>
      </c>
      <c r="BK786" t="s">
        <v>246</v>
      </c>
      <c r="BL786" t="s">
        <v>6056</v>
      </c>
    </row>
    <row r="787" spans="1:64">
      <c r="A787" s="1">
        <f>HYPERLINK("https://lsnyc.legalserver.org/matter/dynamic-profile/view/1904146","19-1904146")</f>
        <v>0</v>
      </c>
      <c r="B787" t="s">
        <v>67</v>
      </c>
      <c r="C787" t="s">
        <v>176</v>
      </c>
      <c r="D787" t="s">
        <v>200</v>
      </c>
      <c r="E787" t="s">
        <v>202</v>
      </c>
      <c r="F787" t="s">
        <v>264</v>
      </c>
      <c r="G787" t="s">
        <v>202</v>
      </c>
      <c r="H787" t="s">
        <v>271</v>
      </c>
      <c r="I787" t="s">
        <v>202</v>
      </c>
      <c r="J787" t="s">
        <v>289</v>
      </c>
      <c r="K787" t="s">
        <v>292</v>
      </c>
      <c r="M787" t="s">
        <v>290</v>
      </c>
      <c r="N787" t="s">
        <v>202</v>
      </c>
      <c r="O787" t="s">
        <v>421</v>
      </c>
      <c r="P787" t="s">
        <v>202</v>
      </c>
      <c r="Q787" t="s">
        <v>430</v>
      </c>
      <c r="R787" t="s">
        <v>451</v>
      </c>
      <c r="S787" t="s">
        <v>1069</v>
      </c>
      <c r="T787" t="s">
        <v>1750</v>
      </c>
      <c r="U787" t="s">
        <v>227</v>
      </c>
      <c r="V787" t="s">
        <v>264</v>
      </c>
      <c r="W787" t="s">
        <v>1877</v>
      </c>
      <c r="X787" t="s">
        <v>2624</v>
      </c>
      <c r="Y787" t="s">
        <v>2834</v>
      </c>
      <c r="Z787" t="s">
        <v>3100</v>
      </c>
      <c r="AA787" t="s">
        <v>3135</v>
      </c>
      <c r="AB787">
        <v>11368</v>
      </c>
      <c r="AC787" t="s">
        <v>3140</v>
      </c>
      <c r="AD787" t="s">
        <v>3870</v>
      </c>
      <c r="AE787">
        <v>8</v>
      </c>
      <c r="AF787" t="s">
        <v>4027</v>
      </c>
      <c r="AG787" t="s">
        <v>4034</v>
      </c>
      <c r="AH787" t="s">
        <v>291</v>
      </c>
      <c r="AI787" t="s">
        <v>291</v>
      </c>
      <c r="AK787" t="s">
        <v>4040</v>
      </c>
      <c r="AL787" t="s">
        <v>4046</v>
      </c>
      <c r="AM787">
        <v>0</v>
      </c>
      <c r="AN787">
        <v>475</v>
      </c>
      <c r="AO787">
        <v>26.85</v>
      </c>
      <c r="AP787" t="s">
        <v>4054</v>
      </c>
      <c r="AQ787" t="s">
        <v>4815</v>
      </c>
      <c r="AR787" t="s">
        <v>5679</v>
      </c>
      <c r="AS787">
        <v>6</v>
      </c>
      <c r="AT787" t="s">
        <v>5838</v>
      </c>
      <c r="AU787">
        <v>1</v>
      </c>
      <c r="AV787">
        <v>0</v>
      </c>
      <c r="AW787">
        <v>186.39</v>
      </c>
      <c r="BA787" t="s">
        <v>329</v>
      </c>
      <c r="BB787" t="s">
        <v>1322</v>
      </c>
      <c r="BC787">
        <v>23280</v>
      </c>
      <c r="BG787" t="s">
        <v>184</v>
      </c>
      <c r="BH787" t="s">
        <v>5928</v>
      </c>
      <c r="BI787" t="s">
        <v>5932</v>
      </c>
      <c r="BJ787" t="s">
        <v>5943</v>
      </c>
      <c r="BK787" t="s">
        <v>264</v>
      </c>
      <c r="BL787" t="s">
        <v>6056</v>
      </c>
    </row>
    <row r="788" spans="1:64">
      <c r="A788" s="1">
        <f>HYPERLINK("https://lsnyc.legalserver.org/matter/dynamic-profile/view/1907660","19-1907660")</f>
        <v>0</v>
      </c>
      <c r="B788" t="s">
        <v>67</v>
      </c>
      <c r="C788" t="s">
        <v>176</v>
      </c>
      <c r="D788" t="s">
        <v>200</v>
      </c>
      <c r="E788" t="s">
        <v>202</v>
      </c>
      <c r="F788" t="s">
        <v>220</v>
      </c>
      <c r="G788" t="s">
        <v>202</v>
      </c>
      <c r="H788" t="s">
        <v>272</v>
      </c>
      <c r="I788" t="s">
        <v>202</v>
      </c>
      <c r="J788" t="s">
        <v>289</v>
      </c>
      <c r="K788" t="s">
        <v>292</v>
      </c>
      <c r="M788" t="s">
        <v>290</v>
      </c>
      <c r="N788" t="s">
        <v>419</v>
      </c>
      <c r="O788" t="s">
        <v>420</v>
      </c>
      <c r="P788" t="s">
        <v>427</v>
      </c>
      <c r="S788" t="s">
        <v>1070</v>
      </c>
      <c r="T788" t="s">
        <v>958</v>
      </c>
      <c r="U788" t="s">
        <v>223</v>
      </c>
      <c r="W788" t="s">
        <v>1876</v>
      </c>
      <c r="X788" t="s">
        <v>2625</v>
      </c>
      <c r="Y788" t="s">
        <v>2830</v>
      </c>
      <c r="Z788" t="s">
        <v>3109</v>
      </c>
      <c r="AA788" t="s">
        <v>3135</v>
      </c>
      <c r="AB788">
        <v>11433</v>
      </c>
      <c r="AC788" t="s">
        <v>3136</v>
      </c>
      <c r="AD788" t="s">
        <v>3844</v>
      </c>
      <c r="AE788">
        <v>16</v>
      </c>
      <c r="AG788" t="s">
        <v>4035</v>
      </c>
      <c r="AH788" t="s">
        <v>291</v>
      </c>
      <c r="AI788" t="s">
        <v>291</v>
      </c>
      <c r="AK788" t="s">
        <v>4041</v>
      </c>
      <c r="AL788" t="s">
        <v>4046</v>
      </c>
      <c r="AM788">
        <v>0</v>
      </c>
      <c r="AN788">
        <v>878</v>
      </c>
      <c r="AO788">
        <v>0.65</v>
      </c>
      <c r="AQ788" t="s">
        <v>4816</v>
      </c>
      <c r="AR788" t="s">
        <v>5286</v>
      </c>
      <c r="AS788">
        <v>448</v>
      </c>
      <c r="AT788" t="s">
        <v>5837</v>
      </c>
      <c r="AU788">
        <v>1</v>
      </c>
      <c r="AV788">
        <v>0</v>
      </c>
      <c r="AW788">
        <v>115.29</v>
      </c>
      <c r="BB788" t="s">
        <v>1322</v>
      </c>
      <c r="BC788">
        <v>14400</v>
      </c>
      <c r="BG788" t="s">
        <v>5922</v>
      </c>
      <c r="BJ788" t="s">
        <v>5949</v>
      </c>
      <c r="BK788" t="s">
        <v>252</v>
      </c>
      <c r="BL788" t="s">
        <v>6056</v>
      </c>
    </row>
    <row r="789" spans="1:64">
      <c r="A789" s="1">
        <f>HYPERLINK("https://lsnyc.legalserver.org/matter/dynamic-profile/view/1907658","19-1907658")</f>
        <v>0</v>
      </c>
      <c r="B789" t="s">
        <v>67</v>
      </c>
      <c r="C789" t="s">
        <v>176</v>
      </c>
      <c r="D789" t="s">
        <v>200</v>
      </c>
      <c r="E789" t="s">
        <v>202</v>
      </c>
      <c r="F789" t="s">
        <v>217</v>
      </c>
      <c r="G789" t="s">
        <v>202</v>
      </c>
      <c r="H789" t="s">
        <v>272</v>
      </c>
      <c r="I789" t="s">
        <v>202</v>
      </c>
      <c r="J789" t="s">
        <v>289</v>
      </c>
      <c r="K789" t="s">
        <v>292</v>
      </c>
      <c r="M789" t="s">
        <v>290</v>
      </c>
      <c r="N789" t="s">
        <v>419</v>
      </c>
      <c r="O789" t="s">
        <v>420</v>
      </c>
      <c r="P789" t="s">
        <v>427</v>
      </c>
      <c r="S789" t="s">
        <v>548</v>
      </c>
      <c r="T789" t="s">
        <v>1751</v>
      </c>
      <c r="U789" t="s">
        <v>217</v>
      </c>
      <c r="W789" t="s">
        <v>1876</v>
      </c>
      <c r="X789" t="s">
        <v>2626</v>
      </c>
      <c r="Y789" t="s">
        <v>3060</v>
      </c>
      <c r="Z789" t="s">
        <v>3109</v>
      </c>
      <c r="AA789" t="s">
        <v>3135</v>
      </c>
      <c r="AB789">
        <v>11433</v>
      </c>
      <c r="AC789" t="s">
        <v>3139</v>
      </c>
      <c r="AD789" t="s">
        <v>3871</v>
      </c>
      <c r="AE789">
        <v>8</v>
      </c>
      <c r="AG789" t="s">
        <v>4035</v>
      </c>
      <c r="AH789" t="s">
        <v>291</v>
      </c>
      <c r="AI789" t="s">
        <v>291</v>
      </c>
      <c r="AK789" t="s">
        <v>4041</v>
      </c>
      <c r="AL789" t="s">
        <v>4046</v>
      </c>
      <c r="AM789">
        <v>0</v>
      </c>
      <c r="AN789">
        <v>292</v>
      </c>
      <c r="AO789">
        <v>0.9</v>
      </c>
      <c r="AQ789" t="s">
        <v>4817</v>
      </c>
      <c r="AR789" t="s">
        <v>5680</v>
      </c>
      <c r="AS789">
        <v>12</v>
      </c>
      <c r="AT789" t="s">
        <v>5837</v>
      </c>
      <c r="AU789">
        <v>1</v>
      </c>
      <c r="AV789">
        <v>0</v>
      </c>
      <c r="AW789">
        <v>41.51</v>
      </c>
      <c r="BA789" t="s">
        <v>329</v>
      </c>
      <c r="BB789" t="s">
        <v>1322</v>
      </c>
      <c r="BC789">
        <v>5184</v>
      </c>
      <c r="BG789" t="s">
        <v>5922</v>
      </c>
      <c r="BJ789" t="s">
        <v>5949</v>
      </c>
      <c r="BK789" t="s">
        <v>252</v>
      </c>
      <c r="BL789" t="s">
        <v>6056</v>
      </c>
    </row>
    <row r="790" spans="1:64">
      <c r="A790" s="1">
        <f>HYPERLINK("https://lsnyc.legalserver.org/matter/dynamic-profile/view/1906175","19-1906175")</f>
        <v>0</v>
      </c>
      <c r="B790" t="s">
        <v>67</v>
      </c>
      <c r="C790" t="s">
        <v>176</v>
      </c>
      <c r="D790" t="s">
        <v>200</v>
      </c>
      <c r="E790" t="s">
        <v>202</v>
      </c>
      <c r="F790" t="s">
        <v>261</v>
      </c>
      <c r="G790" t="s">
        <v>202</v>
      </c>
      <c r="H790" t="s">
        <v>271</v>
      </c>
      <c r="I790" t="s">
        <v>202</v>
      </c>
      <c r="J790" t="s">
        <v>289</v>
      </c>
      <c r="K790" t="s">
        <v>292</v>
      </c>
      <c r="M790" t="s">
        <v>290</v>
      </c>
      <c r="N790" t="s">
        <v>202</v>
      </c>
      <c r="O790" t="s">
        <v>422</v>
      </c>
      <c r="P790" t="s">
        <v>428</v>
      </c>
      <c r="S790" t="s">
        <v>1071</v>
      </c>
      <c r="T790" t="s">
        <v>1434</v>
      </c>
      <c r="U790" t="s">
        <v>261</v>
      </c>
      <c r="V790" t="s">
        <v>241</v>
      </c>
      <c r="W790" t="s">
        <v>1877</v>
      </c>
      <c r="X790" t="s">
        <v>2627</v>
      </c>
      <c r="Y790" t="s">
        <v>3061</v>
      </c>
      <c r="Z790" t="s">
        <v>3104</v>
      </c>
      <c r="AA790" t="s">
        <v>3135</v>
      </c>
      <c r="AB790">
        <v>11378</v>
      </c>
      <c r="AC790" t="s">
        <v>3136</v>
      </c>
      <c r="AD790" t="s">
        <v>3872</v>
      </c>
      <c r="AE790">
        <v>-1</v>
      </c>
      <c r="AF790" t="s">
        <v>4023</v>
      </c>
      <c r="AG790" t="s">
        <v>4034</v>
      </c>
      <c r="AH790" t="s">
        <v>291</v>
      </c>
      <c r="AI790" t="s">
        <v>291</v>
      </c>
      <c r="AK790" t="s">
        <v>4040</v>
      </c>
      <c r="AL790" t="s">
        <v>4046</v>
      </c>
      <c r="AM790">
        <v>0</v>
      </c>
      <c r="AN790">
        <v>1500</v>
      </c>
      <c r="AO790">
        <v>1.7</v>
      </c>
      <c r="AP790" t="s">
        <v>4052</v>
      </c>
      <c r="AQ790" t="s">
        <v>4818</v>
      </c>
      <c r="AR790" t="s">
        <v>5681</v>
      </c>
      <c r="AS790">
        <v>2</v>
      </c>
      <c r="AT790" t="s">
        <v>5835</v>
      </c>
      <c r="AU790">
        <v>2</v>
      </c>
      <c r="AV790">
        <v>1</v>
      </c>
      <c r="AW790">
        <v>0</v>
      </c>
      <c r="BA790" t="s">
        <v>329</v>
      </c>
      <c r="BB790" t="s">
        <v>1322</v>
      </c>
      <c r="BC790">
        <v>0</v>
      </c>
      <c r="BG790" t="s">
        <v>5922</v>
      </c>
      <c r="BJ790" t="s">
        <v>5945</v>
      </c>
      <c r="BK790" t="s">
        <v>241</v>
      </c>
      <c r="BL790" t="s">
        <v>6056</v>
      </c>
    </row>
    <row r="791" spans="1:64">
      <c r="A791" s="1">
        <f>HYPERLINK("https://lsnyc.legalserver.org/matter/dynamic-profile/view/1907641","19-1907641")</f>
        <v>0</v>
      </c>
      <c r="B791" t="s">
        <v>67</v>
      </c>
      <c r="C791" t="s">
        <v>176</v>
      </c>
      <c r="D791" t="s">
        <v>200</v>
      </c>
      <c r="E791" t="s">
        <v>202</v>
      </c>
      <c r="F791" t="s">
        <v>217</v>
      </c>
      <c r="G791" t="s">
        <v>202</v>
      </c>
      <c r="H791" t="s">
        <v>272</v>
      </c>
      <c r="I791" t="s">
        <v>202</v>
      </c>
      <c r="J791" t="s">
        <v>289</v>
      </c>
      <c r="K791" t="s">
        <v>202</v>
      </c>
      <c r="L791" t="s">
        <v>400</v>
      </c>
      <c r="M791" t="s">
        <v>290</v>
      </c>
      <c r="N791" t="s">
        <v>419</v>
      </c>
      <c r="O791" t="s">
        <v>420</v>
      </c>
      <c r="P791" t="s">
        <v>427</v>
      </c>
      <c r="S791" t="s">
        <v>637</v>
      </c>
      <c r="T791" t="s">
        <v>1233</v>
      </c>
      <c r="U791" t="s">
        <v>217</v>
      </c>
      <c r="W791" t="s">
        <v>1876</v>
      </c>
      <c r="X791" t="s">
        <v>2628</v>
      </c>
      <c r="Y791" t="s">
        <v>2902</v>
      </c>
      <c r="Z791" t="s">
        <v>3109</v>
      </c>
      <c r="AA791" t="s">
        <v>3135</v>
      </c>
      <c r="AB791">
        <v>11433</v>
      </c>
      <c r="AC791" t="s">
        <v>3139</v>
      </c>
      <c r="AD791" t="s">
        <v>3873</v>
      </c>
      <c r="AE791">
        <v>28</v>
      </c>
      <c r="AG791" t="s">
        <v>4035</v>
      </c>
      <c r="AH791" t="s">
        <v>291</v>
      </c>
      <c r="AI791" t="s">
        <v>291</v>
      </c>
      <c r="AK791" t="s">
        <v>4041</v>
      </c>
      <c r="AL791" t="s">
        <v>4048</v>
      </c>
      <c r="AM791">
        <v>0</v>
      </c>
      <c r="AN791">
        <v>227</v>
      </c>
      <c r="AO791">
        <v>0.9</v>
      </c>
      <c r="AQ791" t="s">
        <v>4819</v>
      </c>
      <c r="AR791" t="s">
        <v>5682</v>
      </c>
      <c r="AS791">
        <v>50</v>
      </c>
      <c r="AT791" t="s">
        <v>5837</v>
      </c>
      <c r="AU791">
        <v>1</v>
      </c>
      <c r="AV791">
        <v>0</v>
      </c>
      <c r="AW791">
        <v>80.98999999999999</v>
      </c>
      <c r="BA791" t="s">
        <v>3143</v>
      </c>
      <c r="BB791" t="s">
        <v>1322</v>
      </c>
      <c r="BC791">
        <v>10116</v>
      </c>
      <c r="BG791" t="s">
        <v>5922</v>
      </c>
      <c r="BJ791" t="s">
        <v>5988</v>
      </c>
      <c r="BK791" t="s">
        <v>252</v>
      </c>
      <c r="BL791" t="s">
        <v>6056</v>
      </c>
    </row>
    <row r="792" spans="1:64">
      <c r="A792" s="1">
        <f>HYPERLINK("https://lsnyc.legalserver.org/matter/dynamic-profile/view/1907598","19-1907598")</f>
        <v>0</v>
      </c>
      <c r="B792" t="s">
        <v>67</v>
      </c>
      <c r="C792" t="s">
        <v>176</v>
      </c>
      <c r="D792" t="s">
        <v>200</v>
      </c>
      <c r="E792" t="s">
        <v>202</v>
      </c>
      <c r="F792" t="s">
        <v>254</v>
      </c>
      <c r="G792" t="s">
        <v>202</v>
      </c>
      <c r="H792" t="s">
        <v>272</v>
      </c>
      <c r="I792" t="s">
        <v>202</v>
      </c>
      <c r="J792" t="s">
        <v>289</v>
      </c>
      <c r="K792" t="s">
        <v>292</v>
      </c>
      <c r="M792" t="s">
        <v>290</v>
      </c>
      <c r="N792" t="s">
        <v>419</v>
      </c>
      <c r="O792" t="s">
        <v>420</v>
      </c>
      <c r="P792" t="s">
        <v>427</v>
      </c>
      <c r="S792" t="s">
        <v>939</v>
      </c>
      <c r="T792" t="s">
        <v>1752</v>
      </c>
      <c r="U792" t="s">
        <v>254</v>
      </c>
      <c r="W792" t="s">
        <v>1876</v>
      </c>
      <c r="X792" t="s">
        <v>2629</v>
      </c>
      <c r="Y792" t="s">
        <v>2843</v>
      </c>
      <c r="Z792" t="s">
        <v>3109</v>
      </c>
      <c r="AA792" t="s">
        <v>3135</v>
      </c>
      <c r="AB792">
        <v>11433</v>
      </c>
      <c r="AC792" t="s">
        <v>3139</v>
      </c>
      <c r="AD792" t="s">
        <v>3874</v>
      </c>
      <c r="AE792">
        <v>3</v>
      </c>
      <c r="AG792" t="s">
        <v>4035</v>
      </c>
      <c r="AH792" t="s">
        <v>291</v>
      </c>
      <c r="AI792" t="s">
        <v>291</v>
      </c>
      <c r="AK792" t="s">
        <v>4041</v>
      </c>
      <c r="AL792" t="s">
        <v>4046</v>
      </c>
      <c r="AM792">
        <v>0</v>
      </c>
      <c r="AN792">
        <v>756</v>
      </c>
      <c r="AO792">
        <v>1</v>
      </c>
      <c r="AQ792" t="s">
        <v>4820</v>
      </c>
      <c r="AR792" t="s">
        <v>5683</v>
      </c>
      <c r="AS792">
        <v>48</v>
      </c>
      <c r="AT792" t="s">
        <v>5837</v>
      </c>
      <c r="AU792">
        <v>1</v>
      </c>
      <c r="AV792">
        <v>1</v>
      </c>
      <c r="AW792">
        <v>176.82</v>
      </c>
      <c r="BA792" t="s">
        <v>329</v>
      </c>
      <c r="BB792" t="s">
        <v>1322</v>
      </c>
      <c r="BC792">
        <v>29900</v>
      </c>
      <c r="BG792" t="s">
        <v>5922</v>
      </c>
      <c r="BJ792" t="s">
        <v>5949</v>
      </c>
      <c r="BK792" t="s">
        <v>267</v>
      </c>
      <c r="BL792" t="s">
        <v>6056</v>
      </c>
    </row>
    <row r="793" spans="1:64">
      <c r="A793" s="1">
        <f>HYPERLINK("https://lsnyc.legalserver.org/matter/dynamic-profile/view/1907594","19-1907594")</f>
        <v>0</v>
      </c>
      <c r="B793" t="s">
        <v>67</v>
      </c>
      <c r="C793" t="s">
        <v>176</v>
      </c>
      <c r="D793" t="s">
        <v>200</v>
      </c>
      <c r="E793" t="s">
        <v>202</v>
      </c>
      <c r="F793" t="s">
        <v>254</v>
      </c>
      <c r="G793" t="s">
        <v>202</v>
      </c>
      <c r="H793" t="s">
        <v>272</v>
      </c>
      <c r="I793" t="s">
        <v>202</v>
      </c>
      <c r="J793" t="s">
        <v>289</v>
      </c>
      <c r="K793" t="s">
        <v>292</v>
      </c>
      <c r="M793" t="s">
        <v>290</v>
      </c>
      <c r="N793" t="s">
        <v>419</v>
      </c>
      <c r="O793" t="s">
        <v>420</v>
      </c>
      <c r="P793" t="s">
        <v>427</v>
      </c>
      <c r="S793" t="s">
        <v>1072</v>
      </c>
      <c r="T793" t="s">
        <v>1753</v>
      </c>
      <c r="U793" t="s">
        <v>254</v>
      </c>
      <c r="W793" t="s">
        <v>1876</v>
      </c>
      <c r="X793" t="s">
        <v>2630</v>
      </c>
      <c r="Y793" t="s">
        <v>2794</v>
      </c>
      <c r="Z793" t="s">
        <v>3109</v>
      </c>
      <c r="AA793" t="s">
        <v>3135</v>
      </c>
      <c r="AB793">
        <v>11433</v>
      </c>
      <c r="AC793" t="s">
        <v>3139</v>
      </c>
      <c r="AD793" t="s">
        <v>3875</v>
      </c>
      <c r="AE793">
        <v>37</v>
      </c>
      <c r="AG793" t="s">
        <v>4035</v>
      </c>
      <c r="AH793" t="s">
        <v>291</v>
      </c>
      <c r="AI793" t="s">
        <v>291</v>
      </c>
      <c r="AK793" t="s">
        <v>4041</v>
      </c>
      <c r="AM793">
        <v>0</v>
      </c>
      <c r="AN793">
        <v>1472</v>
      </c>
      <c r="AO793">
        <v>0.8</v>
      </c>
      <c r="AQ793" t="s">
        <v>4821</v>
      </c>
      <c r="AR793" t="s">
        <v>5684</v>
      </c>
      <c r="AS793">
        <v>16</v>
      </c>
      <c r="AT793" t="s">
        <v>5837</v>
      </c>
      <c r="AU793">
        <v>2</v>
      </c>
      <c r="AV793">
        <v>0</v>
      </c>
      <c r="AW793">
        <v>254.29</v>
      </c>
      <c r="BA793" t="s">
        <v>3143</v>
      </c>
      <c r="BB793" t="s">
        <v>1322</v>
      </c>
      <c r="BC793">
        <v>43000</v>
      </c>
      <c r="BG793" t="s">
        <v>5922</v>
      </c>
      <c r="BJ793" t="s">
        <v>5949</v>
      </c>
      <c r="BK793" t="s">
        <v>219</v>
      </c>
      <c r="BL793" t="s">
        <v>6056</v>
      </c>
    </row>
    <row r="794" spans="1:64">
      <c r="A794" s="1">
        <f>HYPERLINK("https://lsnyc.legalserver.org/matter/dynamic-profile/view/1907593","19-1907593")</f>
        <v>0</v>
      </c>
      <c r="B794" t="s">
        <v>67</v>
      </c>
      <c r="C794" t="s">
        <v>176</v>
      </c>
      <c r="D794" t="s">
        <v>200</v>
      </c>
      <c r="E794" t="s">
        <v>202</v>
      </c>
      <c r="F794" t="s">
        <v>254</v>
      </c>
      <c r="G794" t="s">
        <v>202</v>
      </c>
      <c r="H794" t="s">
        <v>272</v>
      </c>
      <c r="I794" t="s">
        <v>202</v>
      </c>
      <c r="J794" t="s">
        <v>289</v>
      </c>
      <c r="K794" t="s">
        <v>292</v>
      </c>
      <c r="M794" t="s">
        <v>290</v>
      </c>
      <c r="N794" t="s">
        <v>419</v>
      </c>
      <c r="O794" t="s">
        <v>420</v>
      </c>
      <c r="P794" t="s">
        <v>427</v>
      </c>
      <c r="S794" t="s">
        <v>992</v>
      </c>
      <c r="T794" t="s">
        <v>1754</v>
      </c>
      <c r="U794" t="s">
        <v>254</v>
      </c>
      <c r="W794" t="s">
        <v>1876</v>
      </c>
      <c r="X794" t="s">
        <v>2604</v>
      </c>
      <c r="Y794" t="s">
        <v>2895</v>
      </c>
      <c r="Z794" t="s">
        <v>3109</v>
      </c>
      <c r="AA794" t="s">
        <v>3135</v>
      </c>
      <c r="AB794">
        <v>11433</v>
      </c>
      <c r="AC794" t="s">
        <v>3139</v>
      </c>
      <c r="AD794" t="s">
        <v>3876</v>
      </c>
      <c r="AE794">
        <v>30</v>
      </c>
      <c r="AG794" t="s">
        <v>4035</v>
      </c>
      <c r="AH794" t="s">
        <v>291</v>
      </c>
      <c r="AI794" t="s">
        <v>291</v>
      </c>
      <c r="AK794" t="s">
        <v>4041</v>
      </c>
      <c r="AL794" t="s">
        <v>4046</v>
      </c>
      <c r="AM794">
        <v>0</v>
      </c>
      <c r="AN794">
        <v>0</v>
      </c>
      <c r="AO794">
        <v>0.55</v>
      </c>
      <c r="AQ794" t="s">
        <v>4822</v>
      </c>
      <c r="AR794" t="s">
        <v>5685</v>
      </c>
      <c r="AS794">
        <v>56</v>
      </c>
      <c r="AT794" t="s">
        <v>5837</v>
      </c>
      <c r="AU794">
        <v>1</v>
      </c>
      <c r="AV794">
        <v>0</v>
      </c>
      <c r="AW794">
        <v>112.22</v>
      </c>
      <c r="BA794" t="s">
        <v>329</v>
      </c>
      <c r="BB794" t="s">
        <v>1322</v>
      </c>
      <c r="BC794">
        <v>14016</v>
      </c>
      <c r="BG794" t="s">
        <v>5922</v>
      </c>
      <c r="BJ794" t="s">
        <v>5949</v>
      </c>
      <c r="BK794" t="s">
        <v>252</v>
      </c>
      <c r="BL794" t="s">
        <v>6056</v>
      </c>
    </row>
    <row r="795" spans="1:64">
      <c r="A795" s="1">
        <f>HYPERLINK("https://lsnyc.legalserver.org/matter/dynamic-profile/view/1908238","19-1908238")</f>
        <v>0</v>
      </c>
      <c r="B795" t="s">
        <v>67</v>
      </c>
      <c r="C795" t="s">
        <v>175</v>
      </c>
      <c r="D795" t="s">
        <v>200</v>
      </c>
      <c r="E795" t="s">
        <v>202</v>
      </c>
      <c r="F795" t="s">
        <v>225</v>
      </c>
      <c r="G795" t="s">
        <v>202</v>
      </c>
      <c r="H795" t="s">
        <v>277</v>
      </c>
      <c r="I795" t="s">
        <v>202</v>
      </c>
      <c r="J795" t="s">
        <v>289</v>
      </c>
      <c r="K795" t="s">
        <v>292</v>
      </c>
      <c r="M795" t="s">
        <v>290</v>
      </c>
      <c r="N795" t="s">
        <v>202</v>
      </c>
      <c r="O795" t="s">
        <v>421</v>
      </c>
      <c r="P795" t="s">
        <v>202</v>
      </c>
      <c r="Q795" t="s">
        <v>431</v>
      </c>
      <c r="R795" t="s">
        <v>452</v>
      </c>
      <c r="S795" t="s">
        <v>1073</v>
      </c>
      <c r="T795" t="s">
        <v>1755</v>
      </c>
      <c r="U795" t="s">
        <v>225</v>
      </c>
      <c r="W795" t="s">
        <v>1876</v>
      </c>
      <c r="X795" t="s">
        <v>2631</v>
      </c>
      <c r="Y795" t="s">
        <v>3043</v>
      </c>
      <c r="Z795" t="s">
        <v>3109</v>
      </c>
      <c r="AA795" t="s">
        <v>3135</v>
      </c>
      <c r="AB795">
        <v>11433</v>
      </c>
      <c r="AC795" t="s">
        <v>3136</v>
      </c>
      <c r="AD795" t="s">
        <v>3877</v>
      </c>
      <c r="AE795">
        <v>1</v>
      </c>
      <c r="AG795" t="s">
        <v>4035</v>
      </c>
      <c r="AH795" t="s">
        <v>291</v>
      </c>
      <c r="AI795" t="s">
        <v>291</v>
      </c>
      <c r="AK795" t="s">
        <v>4040</v>
      </c>
      <c r="AL795" t="s">
        <v>4046</v>
      </c>
      <c r="AM795">
        <v>0</v>
      </c>
      <c r="AN795">
        <v>650</v>
      </c>
      <c r="AO795">
        <v>4.55</v>
      </c>
      <c r="AQ795" t="s">
        <v>4823</v>
      </c>
      <c r="AR795" t="s">
        <v>5686</v>
      </c>
      <c r="AS795">
        <v>2</v>
      </c>
      <c r="AT795" t="s">
        <v>5835</v>
      </c>
      <c r="AU795">
        <v>1</v>
      </c>
      <c r="AV795">
        <v>0</v>
      </c>
      <c r="AW795">
        <v>0</v>
      </c>
      <c r="BA795" t="s">
        <v>329</v>
      </c>
      <c r="BB795" t="s">
        <v>1322</v>
      </c>
      <c r="BC795">
        <v>0</v>
      </c>
      <c r="BG795" t="s">
        <v>5922</v>
      </c>
      <c r="BI795" t="s">
        <v>3143</v>
      </c>
      <c r="BJ795" t="s">
        <v>5945</v>
      </c>
      <c r="BK795" t="s">
        <v>230</v>
      </c>
      <c r="BL795" t="s">
        <v>6056</v>
      </c>
    </row>
    <row r="796" spans="1:64">
      <c r="A796" s="1">
        <f>HYPERLINK("https://lsnyc.legalserver.org/matter/dynamic-profile/view/1908642","19-1908642")</f>
        <v>0</v>
      </c>
      <c r="B796" t="s">
        <v>67</v>
      </c>
      <c r="C796" t="s">
        <v>172</v>
      </c>
      <c r="D796" t="s">
        <v>200</v>
      </c>
      <c r="E796" t="s">
        <v>202</v>
      </c>
      <c r="F796" t="s">
        <v>236</v>
      </c>
      <c r="G796" t="s">
        <v>202</v>
      </c>
      <c r="H796" t="s">
        <v>272</v>
      </c>
      <c r="I796" t="s">
        <v>202</v>
      </c>
      <c r="J796" t="s">
        <v>289</v>
      </c>
      <c r="K796" t="s">
        <v>292</v>
      </c>
      <c r="M796" t="s">
        <v>290</v>
      </c>
      <c r="N796" t="s">
        <v>419</v>
      </c>
      <c r="O796" t="s">
        <v>420</v>
      </c>
      <c r="P796" t="s">
        <v>427</v>
      </c>
      <c r="S796" t="s">
        <v>1074</v>
      </c>
      <c r="T796" t="s">
        <v>1756</v>
      </c>
      <c r="U796" t="s">
        <v>236</v>
      </c>
      <c r="W796" t="s">
        <v>1876</v>
      </c>
      <c r="X796" t="s">
        <v>2632</v>
      </c>
      <c r="Y796" t="s">
        <v>2991</v>
      </c>
      <c r="Z796" t="s">
        <v>3100</v>
      </c>
      <c r="AA796" t="s">
        <v>3135</v>
      </c>
      <c r="AB796">
        <v>11368</v>
      </c>
      <c r="AC796" t="s">
        <v>3136</v>
      </c>
      <c r="AD796" t="s">
        <v>3878</v>
      </c>
      <c r="AE796">
        <v>0</v>
      </c>
      <c r="AG796" t="s">
        <v>4034</v>
      </c>
      <c r="AH796" t="s">
        <v>291</v>
      </c>
      <c r="AI796" t="s">
        <v>291</v>
      </c>
      <c r="AK796" t="s">
        <v>4040</v>
      </c>
      <c r="AM796">
        <v>0</v>
      </c>
      <c r="AN796">
        <v>1450</v>
      </c>
      <c r="AO796">
        <v>1.3</v>
      </c>
      <c r="AQ796" t="s">
        <v>4136</v>
      </c>
      <c r="AR796" t="s">
        <v>5687</v>
      </c>
      <c r="AS796">
        <v>0</v>
      </c>
      <c r="AT796" t="s">
        <v>5836</v>
      </c>
      <c r="AU796">
        <v>2</v>
      </c>
      <c r="AV796">
        <v>2</v>
      </c>
      <c r="AW796">
        <v>0</v>
      </c>
      <c r="BA796" t="s">
        <v>329</v>
      </c>
      <c r="BB796" t="s">
        <v>1322</v>
      </c>
      <c r="BC796">
        <v>0</v>
      </c>
      <c r="BG796" t="s">
        <v>5922</v>
      </c>
      <c r="BJ796" t="s">
        <v>5945</v>
      </c>
      <c r="BK796" t="s">
        <v>236</v>
      </c>
      <c r="BL796" t="s">
        <v>6056</v>
      </c>
    </row>
    <row r="797" spans="1:64">
      <c r="A797" s="1">
        <f>HYPERLINK("https://lsnyc.legalserver.org/matter/dynamic-profile/view/1907656","19-1907656")</f>
        <v>0</v>
      </c>
      <c r="B797" t="s">
        <v>67</v>
      </c>
      <c r="C797" t="s">
        <v>172</v>
      </c>
      <c r="D797" t="s">
        <v>200</v>
      </c>
      <c r="E797" t="s">
        <v>202</v>
      </c>
      <c r="F797" t="s">
        <v>217</v>
      </c>
      <c r="G797" t="s">
        <v>202</v>
      </c>
      <c r="H797" t="s">
        <v>272</v>
      </c>
      <c r="I797" t="s">
        <v>202</v>
      </c>
      <c r="J797" t="s">
        <v>289</v>
      </c>
      <c r="K797" t="s">
        <v>292</v>
      </c>
      <c r="M797" t="s">
        <v>290</v>
      </c>
      <c r="N797" t="s">
        <v>202</v>
      </c>
      <c r="O797" t="s">
        <v>421</v>
      </c>
      <c r="P797" t="s">
        <v>427</v>
      </c>
      <c r="S797" t="s">
        <v>1075</v>
      </c>
      <c r="T797" t="s">
        <v>1757</v>
      </c>
      <c r="U797" t="s">
        <v>217</v>
      </c>
      <c r="W797" t="s">
        <v>1876</v>
      </c>
      <c r="X797" t="s">
        <v>2633</v>
      </c>
      <c r="Y797" t="s">
        <v>3062</v>
      </c>
      <c r="Z797" t="s">
        <v>3109</v>
      </c>
      <c r="AA797" t="s">
        <v>3135</v>
      </c>
      <c r="AB797">
        <v>11433</v>
      </c>
      <c r="AC797" t="s">
        <v>3139</v>
      </c>
      <c r="AD797" t="s">
        <v>3879</v>
      </c>
      <c r="AE797">
        <v>4</v>
      </c>
      <c r="AG797" t="s">
        <v>4035</v>
      </c>
      <c r="AH797" t="s">
        <v>291</v>
      </c>
      <c r="AI797" t="s">
        <v>291</v>
      </c>
      <c r="AK797" t="s">
        <v>4041</v>
      </c>
      <c r="AM797">
        <v>0</v>
      </c>
      <c r="AN797">
        <v>1167</v>
      </c>
      <c r="AO797">
        <v>2.8</v>
      </c>
      <c r="AQ797" t="s">
        <v>4824</v>
      </c>
      <c r="AR797" t="s">
        <v>5286</v>
      </c>
      <c r="AS797">
        <v>9</v>
      </c>
      <c r="AT797" t="s">
        <v>5837</v>
      </c>
      <c r="AU797">
        <v>3</v>
      </c>
      <c r="AV797">
        <v>1</v>
      </c>
      <c r="AW797">
        <v>0</v>
      </c>
      <c r="BA797" t="s">
        <v>329</v>
      </c>
      <c r="BB797" t="s">
        <v>1322</v>
      </c>
      <c r="BC797">
        <v>0</v>
      </c>
      <c r="BG797" t="s">
        <v>5922</v>
      </c>
      <c r="BJ797" t="s">
        <v>5945</v>
      </c>
      <c r="BK797" t="s">
        <v>206</v>
      </c>
      <c r="BL797" t="s">
        <v>6056</v>
      </c>
    </row>
    <row r="798" spans="1:64">
      <c r="A798" s="1">
        <f>HYPERLINK("https://lsnyc.legalserver.org/matter/dynamic-profile/view/1905858","19-1905858")</f>
        <v>0</v>
      </c>
      <c r="B798" t="s">
        <v>67</v>
      </c>
      <c r="C798" t="s">
        <v>172</v>
      </c>
      <c r="D798" t="s">
        <v>200</v>
      </c>
      <c r="E798" t="s">
        <v>202</v>
      </c>
      <c r="F798" t="s">
        <v>262</v>
      </c>
      <c r="G798" t="s">
        <v>202</v>
      </c>
      <c r="H798" t="s">
        <v>271</v>
      </c>
      <c r="I798" t="s">
        <v>202</v>
      </c>
      <c r="J798" t="s">
        <v>289</v>
      </c>
      <c r="K798" t="s">
        <v>292</v>
      </c>
      <c r="M798" t="s">
        <v>290</v>
      </c>
      <c r="N798" t="s">
        <v>202</v>
      </c>
      <c r="O798" t="s">
        <v>422</v>
      </c>
      <c r="P798" t="s">
        <v>427</v>
      </c>
      <c r="S798" t="s">
        <v>891</v>
      </c>
      <c r="T798" t="s">
        <v>1758</v>
      </c>
      <c r="U798" t="s">
        <v>262</v>
      </c>
      <c r="W798" t="s">
        <v>1876</v>
      </c>
      <c r="X798" t="s">
        <v>2634</v>
      </c>
      <c r="Y798" t="s">
        <v>3063</v>
      </c>
      <c r="Z798" t="s">
        <v>3102</v>
      </c>
      <c r="AA798" t="s">
        <v>3135</v>
      </c>
      <c r="AB798">
        <v>11377</v>
      </c>
      <c r="AC798" t="s">
        <v>3136</v>
      </c>
      <c r="AD798" t="s">
        <v>3880</v>
      </c>
      <c r="AE798">
        <v>6</v>
      </c>
      <c r="AG798" t="s">
        <v>4034</v>
      </c>
      <c r="AH798" t="s">
        <v>291</v>
      </c>
      <c r="AI798" t="s">
        <v>291</v>
      </c>
      <c r="AK798" t="s">
        <v>4040</v>
      </c>
      <c r="AL798" t="s">
        <v>4046</v>
      </c>
      <c r="AM798">
        <v>0</v>
      </c>
      <c r="AN798">
        <v>2100</v>
      </c>
      <c r="AO798">
        <v>0.93</v>
      </c>
      <c r="AQ798" t="s">
        <v>4825</v>
      </c>
      <c r="AR798" t="s">
        <v>5688</v>
      </c>
      <c r="AS798">
        <v>6</v>
      </c>
      <c r="AT798" t="s">
        <v>5836</v>
      </c>
      <c r="AU798">
        <v>2</v>
      </c>
      <c r="AV798">
        <v>2</v>
      </c>
      <c r="AW798">
        <v>174.76</v>
      </c>
      <c r="BA798" t="s">
        <v>329</v>
      </c>
      <c r="BC798">
        <v>45000</v>
      </c>
      <c r="BG798" t="s">
        <v>5922</v>
      </c>
      <c r="BJ798" t="s">
        <v>5949</v>
      </c>
      <c r="BK798" t="s">
        <v>253</v>
      </c>
      <c r="BL798" t="s">
        <v>6056</v>
      </c>
    </row>
    <row r="799" spans="1:64">
      <c r="A799" s="1">
        <f>HYPERLINK("https://lsnyc.legalserver.org/matter/dynamic-profile/view/1907281","19-1907281")</f>
        <v>0</v>
      </c>
      <c r="B799" t="s">
        <v>67</v>
      </c>
      <c r="C799" t="s">
        <v>182</v>
      </c>
      <c r="D799" t="s">
        <v>200</v>
      </c>
      <c r="E799" t="s">
        <v>202</v>
      </c>
      <c r="F799" t="s">
        <v>235</v>
      </c>
      <c r="G799" t="s">
        <v>202</v>
      </c>
      <c r="H799" t="s">
        <v>271</v>
      </c>
      <c r="I799" t="s">
        <v>202</v>
      </c>
      <c r="J799" t="s">
        <v>289</v>
      </c>
      <c r="K799" t="s">
        <v>292</v>
      </c>
      <c r="M799" t="s">
        <v>290</v>
      </c>
      <c r="N799" t="s">
        <v>202</v>
      </c>
      <c r="O799" t="s">
        <v>422</v>
      </c>
      <c r="P799" t="s">
        <v>427</v>
      </c>
      <c r="S799" t="s">
        <v>1076</v>
      </c>
      <c r="T799" t="s">
        <v>1759</v>
      </c>
      <c r="U799" t="s">
        <v>235</v>
      </c>
      <c r="W799" t="s">
        <v>1876</v>
      </c>
      <c r="X799" t="s">
        <v>2635</v>
      </c>
      <c r="Y799" t="s">
        <v>3042</v>
      </c>
      <c r="Z799" t="s">
        <v>3122</v>
      </c>
      <c r="AA799" t="s">
        <v>3135</v>
      </c>
      <c r="AB799">
        <v>11412</v>
      </c>
      <c r="AC799" t="s">
        <v>3136</v>
      </c>
      <c r="AD799" t="s">
        <v>3881</v>
      </c>
      <c r="AE799">
        <v>1</v>
      </c>
      <c r="AG799" t="s">
        <v>4034</v>
      </c>
      <c r="AH799" t="s">
        <v>291</v>
      </c>
      <c r="AI799" t="s">
        <v>291</v>
      </c>
      <c r="AK799" t="s">
        <v>4040</v>
      </c>
      <c r="AM799">
        <v>0</v>
      </c>
      <c r="AN799">
        <v>700</v>
      </c>
      <c r="AO799">
        <v>3.4</v>
      </c>
      <c r="AQ799" t="s">
        <v>4826</v>
      </c>
      <c r="AR799" t="s">
        <v>5689</v>
      </c>
      <c r="AS799">
        <v>2</v>
      </c>
      <c r="AT799" t="s">
        <v>5836</v>
      </c>
      <c r="AU799">
        <v>1</v>
      </c>
      <c r="AV799">
        <v>0</v>
      </c>
      <c r="AW799">
        <v>184.15</v>
      </c>
      <c r="BA799" t="s">
        <v>329</v>
      </c>
      <c r="BB799" t="s">
        <v>1322</v>
      </c>
      <c r="BC799">
        <v>23000</v>
      </c>
      <c r="BG799" t="s">
        <v>5922</v>
      </c>
      <c r="BJ799" t="s">
        <v>5949</v>
      </c>
      <c r="BK799" t="s">
        <v>263</v>
      </c>
      <c r="BL799" t="s">
        <v>6056</v>
      </c>
    </row>
    <row r="800" spans="1:64">
      <c r="A800" s="1">
        <f>HYPERLINK("https://lsnyc.legalserver.org/matter/dynamic-profile/view/1906927","19-1906927")</f>
        <v>0</v>
      </c>
      <c r="B800" t="s">
        <v>67</v>
      </c>
      <c r="C800" t="s">
        <v>182</v>
      </c>
      <c r="D800" t="s">
        <v>200</v>
      </c>
      <c r="E800" t="s">
        <v>202</v>
      </c>
      <c r="F800" t="s">
        <v>239</v>
      </c>
      <c r="G800" t="s">
        <v>270</v>
      </c>
      <c r="I800" t="s">
        <v>202</v>
      </c>
      <c r="J800" t="s">
        <v>289</v>
      </c>
      <c r="K800" t="s">
        <v>292</v>
      </c>
      <c r="M800" t="s">
        <v>290</v>
      </c>
      <c r="N800" t="s">
        <v>419</v>
      </c>
      <c r="O800" t="s">
        <v>420</v>
      </c>
      <c r="P800" t="s">
        <v>427</v>
      </c>
      <c r="S800" t="s">
        <v>1077</v>
      </c>
      <c r="T800" t="s">
        <v>1760</v>
      </c>
      <c r="U800" t="s">
        <v>239</v>
      </c>
      <c r="W800" t="s">
        <v>1876</v>
      </c>
      <c r="X800" t="s">
        <v>2636</v>
      </c>
      <c r="Y800" t="s">
        <v>2785</v>
      </c>
      <c r="Z800" t="s">
        <v>3105</v>
      </c>
      <c r="AA800" t="s">
        <v>3135</v>
      </c>
      <c r="AB800">
        <v>11106</v>
      </c>
      <c r="AC800" t="s">
        <v>3136</v>
      </c>
      <c r="AD800" t="s">
        <v>3882</v>
      </c>
      <c r="AE800">
        <v>3</v>
      </c>
      <c r="AG800" t="s">
        <v>4034</v>
      </c>
      <c r="AH800" t="s">
        <v>291</v>
      </c>
      <c r="AI800" t="s">
        <v>291</v>
      </c>
      <c r="AK800" t="s">
        <v>4041</v>
      </c>
      <c r="AM800">
        <v>0</v>
      </c>
      <c r="AN800">
        <v>289</v>
      </c>
      <c r="AO800">
        <v>0.3</v>
      </c>
      <c r="AQ800" t="s">
        <v>4827</v>
      </c>
      <c r="AR800" t="s">
        <v>5690</v>
      </c>
      <c r="AS800">
        <v>30</v>
      </c>
      <c r="AT800" t="s">
        <v>5837</v>
      </c>
      <c r="AU800">
        <v>1</v>
      </c>
      <c r="AV800">
        <v>3</v>
      </c>
      <c r="AW800">
        <v>9.24</v>
      </c>
      <c r="BA800" t="s">
        <v>329</v>
      </c>
      <c r="BB800" t="s">
        <v>1322</v>
      </c>
      <c r="BC800">
        <v>2379</v>
      </c>
      <c r="BG800" t="s">
        <v>5922</v>
      </c>
      <c r="BJ800" t="s">
        <v>5987</v>
      </c>
      <c r="BK800" t="s">
        <v>239</v>
      </c>
      <c r="BL800" t="s">
        <v>6056</v>
      </c>
    </row>
    <row r="801" spans="1:64">
      <c r="A801" s="1">
        <f>HYPERLINK("https://lsnyc.legalserver.org/matter/dynamic-profile/view/1907246","19-1907246")</f>
        <v>0</v>
      </c>
      <c r="B801" t="s">
        <v>67</v>
      </c>
      <c r="C801" t="s">
        <v>182</v>
      </c>
      <c r="D801" t="s">
        <v>200</v>
      </c>
      <c r="E801" t="s">
        <v>202</v>
      </c>
      <c r="F801" t="s">
        <v>235</v>
      </c>
      <c r="G801" t="s">
        <v>202</v>
      </c>
      <c r="H801" t="s">
        <v>271</v>
      </c>
      <c r="I801" t="s">
        <v>202</v>
      </c>
      <c r="J801" t="s">
        <v>289</v>
      </c>
      <c r="K801" t="s">
        <v>202</v>
      </c>
      <c r="L801" t="s">
        <v>401</v>
      </c>
      <c r="M801" t="s">
        <v>290</v>
      </c>
      <c r="N801" t="s">
        <v>419</v>
      </c>
      <c r="O801" t="s">
        <v>420</v>
      </c>
      <c r="P801" t="s">
        <v>427</v>
      </c>
      <c r="S801" t="s">
        <v>485</v>
      </c>
      <c r="T801" t="s">
        <v>1248</v>
      </c>
      <c r="U801" t="s">
        <v>235</v>
      </c>
      <c r="W801" t="s">
        <v>1876</v>
      </c>
      <c r="X801" t="s">
        <v>2637</v>
      </c>
      <c r="Y801" t="s">
        <v>3057</v>
      </c>
      <c r="Z801" t="s">
        <v>3101</v>
      </c>
      <c r="AA801" t="s">
        <v>3135</v>
      </c>
      <c r="AB801">
        <v>11417</v>
      </c>
      <c r="AC801" t="s">
        <v>3136</v>
      </c>
      <c r="AD801" t="s">
        <v>3883</v>
      </c>
      <c r="AE801">
        <v>-1</v>
      </c>
      <c r="AG801" t="s">
        <v>4034</v>
      </c>
      <c r="AH801" t="s">
        <v>291</v>
      </c>
      <c r="AI801" t="s">
        <v>291</v>
      </c>
      <c r="AK801" t="s">
        <v>4040</v>
      </c>
      <c r="AM801">
        <v>0</v>
      </c>
      <c r="AN801">
        <v>800</v>
      </c>
      <c r="AO801">
        <v>1.1</v>
      </c>
      <c r="AQ801" t="s">
        <v>4828</v>
      </c>
      <c r="AR801" t="s">
        <v>5691</v>
      </c>
      <c r="AS801">
        <v>3</v>
      </c>
      <c r="AT801" t="s">
        <v>5836</v>
      </c>
      <c r="AU801">
        <v>1</v>
      </c>
      <c r="AV801">
        <v>0</v>
      </c>
      <c r="AW801">
        <v>116.99</v>
      </c>
      <c r="BA801" t="s">
        <v>329</v>
      </c>
      <c r="BB801" t="s">
        <v>1322</v>
      </c>
      <c r="BC801">
        <v>14612</v>
      </c>
      <c r="BG801" t="s">
        <v>5922</v>
      </c>
      <c r="BJ801" t="s">
        <v>5946</v>
      </c>
      <c r="BK801" t="s">
        <v>235</v>
      </c>
      <c r="BL801" t="s">
        <v>6056</v>
      </c>
    </row>
    <row r="802" spans="1:64">
      <c r="A802" s="1">
        <f>HYPERLINK("https://lsnyc.legalserver.org/matter/dynamic-profile/view/1908437","19-1908437")</f>
        <v>0</v>
      </c>
      <c r="B802" t="s">
        <v>67</v>
      </c>
      <c r="C802" t="s">
        <v>183</v>
      </c>
      <c r="D802" t="s">
        <v>200</v>
      </c>
      <c r="E802" t="s">
        <v>202</v>
      </c>
      <c r="F802" t="s">
        <v>218</v>
      </c>
      <c r="G802" t="s">
        <v>202</v>
      </c>
      <c r="H802" t="s">
        <v>271</v>
      </c>
      <c r="I802" t="s">
        <v>202</v>
      </c>
      <c r="J802" t="s">
        <v>289</v>
      </c>
      <c r="K802" t="s">
        <v>292</v>
      </c>
      <c r="M802" t="s">
        <v>290</v>
      </c>
      <c r="N802" t="s">
        <v>202</v>
      </c>
      <c r="O802" t="s">
        <v>421</v>
      </c>
      <c r="P802" t="s">
        <v>427</v>
      </c>
      <c r="S802" t="s">
        <v>803</v>
      </c>
      <c r="T802" t="s">
        <v>1453</v>
      </c>
      <c r="U802" t="s">
        <v>218</v>
      </c>
      <c r="W802" t="s">
        <v>1876</v>
      </c>
      <c r="X802" t="s">
        <v>2638</v>
      </c>
      <c r="Y802" t="s">
        <v>2999</v>
      </c>
      <c r="Z802" t="s">
        <v>3119</v>
      </c>
      <c r="AA802" t="s">
        <v>3135</v>
      </c>
      <c r="AB802">
        <v>11385</v>
      </c>
      <c r="AC802" t="s">
        <v>3139</v>
      </c>
      <c r="AD802" t="s">
        <v>3884</v>
      </c>
      <c r="AE802">
        <v>7</v>
      </c>
      <c r="AG802" t="s">
        <v>4035</v>
      </c>
      <c r="AH802" t="s">
        <v>291</v>
      </c>
      <c r="AI802" t="s">
        <v>291</v>
      </c>
      <c r="AK802" t="s">
        <v>4040</v>
      </c>
      <c r="AM802">
        <v>0</v>
      </c>
      <c r="AN802">
        <v>1310</v>
      </c>
      <c r="AO802">
        <v>16.5</v>
      </c>
      <c r="AQ802" t="s">
        <v>4829</v>
      </c>
      <c r="AR802" t="s">
        <v>5692</v>
      </c>
      <c r="AS802">
        <v>5</v>
      </c>
      <c r="AT802" t="s">
        <v>5838</v>
      </c>
      <c r="AU802">
        <v>2</v>
      </c>
      <c r="AV802">
        <v>1</v>
      </c>
      <c r="AW802">
        <v>76.89</v>
      </c>
      <c r="BA802" t="s">
        <v>329</v>
      </c>
      <c r="BB802" t="s">
        <v>5859</v>
      </c>
      <c r="BC802">
        <v>16400</v>
      </c>
      <c r="BG802" t="s">
        <v>5922</v>
      </c>
      <c r="BJ802" t="s">
        <v>5982</v>
      </c>
      <c r="BK802" t="s">
        <v>216</v>
      </c>
      <c r="BL802" t="s">
        <v>6056</v>
      </c>
    </row>
    <row r="803" spans="1:64">
      <c r="A803" s="1">
        <f>HYPERLINK("https://lsnyc.legalserver.org/matter/dynamic-profile/view/1910132","19-1910132")</f>
        <v>0</v>
      </c>
      <c r="B803" t="s">
        <v>67</v>
      </c>
      <c r="C803" t="s">
        <v>183</v>
      </c>
      <c r="D803" t="s">
        <v>200</v>
      </c>
      <c r="E803" t="s">
        <v>201</v>
      </c>
      <c r="G803" t="s">
        <v>202</v>
      </c>
      <c r="H803" t="s">
        <v>272</v>
      </c>
      <c r="I803" t="s">
        <v>202</v>
      </c>
      <c r="J803" t="s">
        <v>289</v>
      </c>
      <c r="K803" t="s">
        <v>292</v>
      </c>
      <c r="M803" t="s">
        <v>290</v>
      </c>
      <c r="N803" t="s">
        <v>419</v>
      </c>
      <c r="O803" t="s">
        <v>420</v>
      </c>
      <c r="P803" t="s">
        <v>427</v>
      </c>
      <c r="S803" t="s">
        <v>1078</v>
      </c>
      <c r="T803" t="s">
        <v>1761</v>
      </c>
      <c r="U803" t="s">
        <v>206</v>
      </c>
      <c r="W803" t="s">
        <v>1876</v>
      </c>
      <c r="X803" t="s">
        <v>2639</v>
      </c>
      <c r="Y803" t="s">
        <v>2963</v>
      </c>
      <c r="Z803" t="s">
        <v>3113</v>
      </c>
      <c r="AA803" t="s">
        <v>3135</v>
      </c>
      <c r="AB803">
        <v>11385</v>
      </c>
      <c r="AC803" t="s">
        <v>3139</v>
      </c>
      <c r="AD803" t="s">
        <v>3885</v>
      </c>
      <c r="AE803">
        <v>22</v>
      </c>
      <c r="AG803" t="s">
        <v>4035</v>
      </c>
      <c r="AH803" t="s">
        <v>291</v>
      </c>
      <c r="AI803" t="s">
        <v>289</v>
      </c>
      <c r="AK803" t="s">
        <v>4040</v>
      </c>
      <c r="AM803">
        <v>0</v>
      </c>
      <c r="AN803">
        <v>1375</v>
      </c>
      <c r="AO803">
        <v>0.82</v>
      </c>
      <c r="AQ803" t="s">
        <v>4830</v>
      </c>
      <c r="AR803" t="s">
        <v>5693</v>
      </c>
      <c r="AS803">
        <v>12</v>
      </c>
      <c r="AT803" t="s">
        <v>5838</v>
      </c>
      <c r="AU803">
        <v>6</v>
      </c>
      <c r="AV803">
        <v>0</v>
      </c>
      <c r="AW803">
        <v>75.17</v>
      </c>
      <c r="BA803" t="s">
        <v>329</v>
      </c>
      <c r="BB803" t="s">
        <v>1322</v>
      </c>
      <c r="BC803">
        <v>26000</v>
      </c>
      <c r="BG803" t="s">
        <v>5923</v>
      </c>
      <c r="BJ803" t="s">
        <v>5969</v>
      </c>
      <c r="BK803" t="s">
        <v>216</v>
      </c>
      <c r="BL803" t="s">
        <v>6056</v>
      </c>
    </row>
    <row r="804" spans="1:64">
      <c r="A804" s="1">
        <f>HYPERLINK("https://lsnyc.legalserver.org/matter/dynamic-profile/view/1909266","19-1909266")</f>
        <v>0</v>
      </c>
      <c r="B804" t="s">
        <v>67</v>
      </c>
      <c r="C804" t="s">
        <v>183</v>
      </c>
      <c r="D804" t="s">
        <v>200</v>
      </c>
      <c r="E804" t="s">
        <v>202</v>
      </c>
      <c r="F804" t="s">
        <v>263</v>
      </c>
      <c r="G804" t="s">
        <v>202</v>
      </c>
      <c r="H804" t="s">
        <v>271</v>
      </c>
      <c r="I804" t="s">
        <v>202</v>
      </c>
      <c r="J804" t="s">
        <v>289</v>
      </c>
      <c r="K804" t="s">
        <v>292</v>
      </c>
      <c r="M804" t="s">
        <v>290</v>
      </c>
      <c r="N804" t="s">
        <v>419</v>
      </c>
      <c r="O804" t="s">
        <v>420</v>
      </c>
      <c r="P804" t="s">
        <v>427</v>
      </c>
      <c r="S804" t="s">
        <v>1079</v>
      </c>
      <c r="T804" t="s">
        <v>1762</v>
      </c>
      <c r="U804" t="s">
        <v>263</v>
      </c>
      <c r="W804" t="s">
        <v>1876</v>
      </c>
      <c r="X804" t="s">
        <v>2640</v>
      </c>
      <c r="Z804" t="s">
        <v>3123</v>
      </c>
      <c r="AA804" t="s">
        <v>3135</v>
      </c>
      <c r="AB804">
        <v>11413</v>
      </c>
      <c r="AC804" t="s">
        <v>3136</v>
      </c>
      <c r="AD804" t="s">
        <v>3886</v>
      </c>
      <c r="AE804">
        <v>-1</v>
      </c>
      <c r="AG804" t="s">
        <v>4034</v>
      </c>
      <c r="AH804" t="s">
        <v>291</v>
      </c>
      <c r="AI804" t="s">
        <v>291</v>
      </c>
      <c r="AK804" t="s">
        <v>4040</v>
      </c>
      <c r="AM804">
        <v>0</v>
      </c>
      <c r="AN804">
        <v>2000</v>
      </c>
      <c r="AO804">
        <v>1.6</v>
      </c>
      <c r="AQ804" t="s">
        <v>4831</v>
      </c>
      <c r="AR804" t="s">
        <v>5694</v>
      </c>
      <c r="AS804">
        <v>1</v>
      </c>
      <c r="AT804" t="s">
        <v>5836</v>
      </c>
      <c r="AU804">
        <v>2</v>
      </c>
      <c r="AV804">
        <v>1</v>
      </c>
      <c r="AW804">
        <v>109.7</v>
      </c>
      <c r="BA804" t="s">
        <v>329</v>
      </c>
      <c r="BB804" t="s">
        <v>1322</v>
      </c>
      <c r="BC804">
        <v>23400</v>
      </c>
      <c r="BG804" t="s">
        <v>5922</v>
      </c>
      <c r="BJ804" t="s">
        <v>5949</v>
      </c>
      <c r="BK804" t="s">
        <v>216</v>
      </c>
      <c r="BL804" t="s">
        <v>6056</v>
      </c>
    </row>
    <row r="805" spans="1:64">
      <c r="A805" s="1">
        <f>HYPERLINK("https://lsnyc.legalserver.org/matter/dynamic-profile/view/1910111","19-1910111")</f>
        <v>0</v>
      </c>
      <c r="B805" t="s">
        <v>67</v>
      </c>
      <c r="C805" t="s">
        <v>183</v>
      </c>
      <c r="D805" t="s">
        <v>200</v>
      </c>
      <c r="E805" t="s">
        <v>202</v>
      </c>
      <c r="F805" t="s">
        <v>206</v>
      </c>
      <c r="G805" t="s">
        <v>202</v>
      </c>
      <c r="H805" t="s">
        <v>271</v>
      </c>
      <c r="I805" t="s">
        <v>202</v>
      </c>
      <c r="J805" t="s">
        <v>289</v>
      </c>
      <c r="K805" t="s">
        <v>292</v>
      </c>
      <c r="M805" t="s">
        <v>290</v>
      </c>
      <c r="N805" t="s">
        <v>202</v>
      </c>
      <c r="O805" t="s">
        <v>421</v>
      </c>
      <c r="P805" t="s">
        <v>427</v>
      </c>
      <c r="S805" t="s">
        <v>1080</v>
      </c>
      <c r="T805" t="s">
        <v>1763</v>
      </c>
      <c r="U805" t="s">
        <v>206</v>
      </c>
      <c r="W805" t="s">
        <v>1876</v>
      </c>
      <c r="X805" t="s">
        <v>2641</v>
      </c>
      <c r="Y805" t="s">
        <v>3042</v>
      </c>
      <c r="Z805" t="s">
        <v>3109</v>
      </c>
      <c r="AA805" t="s">
        <v>3135</v>
      </c>
      <c r="AB805">
        <v>11434</v>
      </c>
      <c r="AC805" t="s">
        <v>3139</v>
      </c>
      <c r="AD805" t="s">
        <v>3887</v>
      </c>
      <c r="AE805">
        <v>2</v>
      </c>
      <c r="AG805" t="s">
        <v>4035</v>
      </c>
      <c r="AH805" t="s">
        <v>291</v>
      </c>
      <c r="AI805" t="s">
        <v>291</v>
      </c>
      <c r="AK805" t="s">
        <v>4040</v>
      </c>
      <c r="AM805">
        <v>0</v>
      </c>
      <c r="AN805">
        <v>2300</v>
      </c>
      <c r="AO805">
        <v>0.6</v>
      </c>
      <c r="AQ805" t="s">
        <v>4832</v>
      </c>
      <c r="AR805" t="s">
        <v>5695</v>
      </c>
      <c r="AS805">
        <v>2</v>
      </c>
      <c r="AT805" t="s">
        <v>5836</v>
      </c>
      <c r="AU805">
        <v>3</v>
      </c>
      <c r="AV805">
        <v>1</v>
      </c>
      <c r="AW805">
        <v>80.78</v>
      </c>
      <c r="BA805" t="s">
        <v>5850</v>
      </c>
      <c r="BB805" t="s">
        <v>1322</v>
      </c>
      <c r="BC805">
        <v>20800</v>
      </c>
      <c r="BG805" t="s">
        <v>5922</v>
      </c>
      <c r="BJ805" t="s">
        <v>5949</v>
      </c>
      <c r="BK805" t="s">
        <v>216</v>
      </c>
      <c r="BL805" t="s">
        <v>6056</v>
      </c>
    </row>
    <row r="806" spans="1:64">
      <c r="A806" s="1">
        <f>HYPERLINK("https://lsnyc.legalserver.org/matter/dynamic-profile/view/1908546","19-1908546")</f>
        <v>0</v>
      </c>
      <c r="B806" t="s">
        <v>67</v>
      </c>
      <c r="C806" t="s">
        <v>183</v>
      </c>
      <c r="D806" t="s">
        <v>200</v>
      </c>
      <c r="E806" t="s">
        <v>202</v>
      </c>
      <c r="F806" t="s">
        <v>237</v>
      </c>
      <c r="G806" t="s">
        <v>202</v>
      </c>
      <c r="H806" t="s">
        <v>271</v>
      </c>
      <c r="I806" t="s">
        <v>202</v>
      </c>
      <c r="J806" t="s">
        <v>289</v>
      </c>
      <c r="K806" t="s">
        <v>292</v>
      </c>
      <c r="M806" t="s">
        <v>290</v>
      </c>
      <c r="N806" t="s">
        <v>202</v>
      </c>
      <c r="O806" t="s">
        <v>421</v>
      </c>
      <c r="P806" t="s">
        <v>427</v>
      </c>
      <c r="S806" t="s">
        <v>1081</v>
      </c>
      <c r="T806" t="s">
        <v>1764</v>
      </c>
      <c r="U806" t="s">
        <v>237</v>
      </c>
      <c r="W806" t="s">
        <v>1876</v>
      </c>
      <c r="X806" t="s">
        <v>2642</v>
      </c>
      <c r="Y806" t="s">
        <v>3043</v>
      </c>
      <c r="Z806" t="s">
        <v>3109</v>
      </c>
      <c r="AA806" t="s">
        <v>3135</v>
      </c>
      <c r="AB806">
        <v>11434</v>
      </c>
      <c r="AC806" t="s">
        <v>3139</v>
      </c>
      <c r="AD806" t="s">
        <v>3888</v>
      </c>
      <c r="AE806">
        <v>2</v>
      </c>
      <c r="AG806" t="s">
        <v>4035</v>
      </c>
      <c r="AH806" t="s">
        <v>291</v>
      </c>
      <c r="AI806" t="s">
        <v>291</v>
      </c>
      <c r="AK806" t="s">
        <v>4040</v>
      </c>
      <c r="AM806">
        <v>0</v>
      </c>
      <c r="AN806">
        <v>1213</v>
      </c>
      <c r="AO806">
        <v>34.5</v>
      </c>
      <c r="AQ806" t="s">
        <v>4833</v>
      </c>
      <c r="AR806" t="s">
        <v>5286</v>
      </c>
      <c r="AS806">
        <v>2</v>
      </c>
      <c r="AT806" t="s">
        <v>5836</v>
      </c>
      <c r="AU806">
        <v>1</v>
      </c>
      <c r="AV806">
        <v>0</v>
      </c>
      <c r="AW806">
        <v>0</v>
      </c>
      <c r="BA806" t="s">
        <v>5856</v>
      </c>
      <c r="BB806" t="s">
        <v>1322</v>
      </c>
      <c r="BC806">
        <v>0</v>
      </c>
      <c r="BG806" t="s">
        <v>5922</v>
      </c>
      <c r="BJ806" t="s">
        <v>5945</v>
      </c>
      <c r="BK806" t="s">
        <v>216</v>
      </c>
      <c r="BL806" t="s">
        <v>6056</v>
      </c>
    </row>
    <row r="807" spans="1:64">
      <c r="A807" s="1">
        <f>HYPERLINK("https://lsnyc.legalserver.org/matter/dynamic-profile/view/1906980","19-1906980")</f>
        <v>0</v>
      </c>
      <c r="B807" t="s">
        <v>67</v>
      </c>
      <c r="C807" t="s">
        <v>184</v>
      </c>
      <c r="D807" t="s">
        <v>200</v>
      </c>
      <c r="E807" t="s">
        <v>201</v>
      </c>
      <c r="G807" t="s">
        <v>202</v>
      </c>
      <c r="H807" t="s">
        <v>271</v>
      </c>
      <c r="I807" t="s">
        <v>202</v>
      </c>
      <c r="J807" t="s">
        <v>289</v>
      </c>
      <c r="K807" t="s">
        <v>292</v>
      </c>
      <c r="M807" t="s">
        <v>290</v>
      </c>
      <c r="N807" t="s">
        <v>202</v>
      </c>
      <c r="O807" t="s">
        <v>421</v>
      </c>
      <c r="P807" t="s">
        <v>427</v>
      </c>
      <c r="S807" t="s">
        <v>1082</v>
      </c>
      <c r="T807" t="s">
        <v>1765</v>
      </c>
      <c r="U807" t="s">
        <v>239</v>
      </c>
      <c r="W807" t="s">
        <v>1876</v>
      </c>
      <c r="X807" t="s">
        <v>2643</v>
      </c>
      <c r="Y807" t="s">
        <v>3048</v>
      </c>
      <c r="Z807" t="s">
        <v>3109</v>
      </c>
      <c r="AA807" t="s">
        <v>3135</v>
      </c>
      <c r="AB807">
        <v>11434</v>
      </c>
      <c r="AC807" t="s">
        <v>3136</v>
      </c>
      <c r="AD807" t="s">
        <v>3889</v>
      </c>
      <c r="AE807">
        <v>2</v>
      </c>
      <c r="AG807" t="s">
        <v>4034</v>
      </c>
      <c r="AH807" t="s">
        <v>291</v>
      </c>
      <c r="AI807" t="s">
        <v>289</v>
      </c>
      <c r="AK807" t="s">
        <v>4040</v>
      </c>
      <c r="AM807">
        <v>0</v>
      </c>
      <c r="AN807">
        <v>0</v>
      </c>
      <c r="AO807">
        <v>9.1</v>
      </c>
      <c r="AQ807" t="s">
        <v>4217</v>
      </c>
      <c r="AR807" t="s">
        <v>5696</v>
      </c>
      <c r="AS807">
        <v>1</v>
      </c>
      <c r="AT807" t="s">
        <v>5835</v>
      </c>
      <c r="AU807">
        <v>1</v>
      </c>
      <c r="AV807">
        <v>0</v>
      </c>
      <c r="AW807">
        <v>131.43</v>
      </c>
      <c r="BA807" t="s">
        <v>329</v>
      </c>
      <c r="BC807">
        <v>16416</v>
      </c>
      <c r="BG807" t="s">
        <v>184</v>
      </c>
      <c r="BJ807" t="s">
        <v>5949</v>
      </c>
      <c r="BK807" t="s">
        <v>252</v>
      </c>
      <c r="BL807" t="s">
        <v>6056</v>
      </c>
    </row>
    <row r="808" spans="1:64">
      <c r="A808" s="1">
        <f>HYPERLINK("https://lsnyc.legalserver.org/matter/dynamic-profile/view/1908174","19-1908174")</f>
        <v>0</v>
      </c>
      <c r="B808" t="s">
        <v>67</v>
      </c>
      <c r="C808" t="s">
        <v>184</v>
      </c>
      <c r="D808" t="s">
        <v>200</v>
      </c>
      <c r="E808" t="s">
        <v>201</v>
      </c>
      <c r="G808" t="s">
        <v>202</v>
      </c>
      <c r="H808" t="s">
        <v>272</v>
      </c>
      <c r="I808" t="s">
        <v>288</v>
      </c>
      <c r="J808" t="s">
        <v>290</v>
      </c>
      <c r="K808" t="s">
        <v>292</v>
      </c>
      <c r="M808" t="s">
        <v>290</v>
      </c>
      <c r="N808" t="s">
        <v>202</v>
      </c>
      <c r="O808" t="s">
        <v>423</v>
      </c>
      <c r="P808" t="s">
        <v>427</v>
      </c>
      <c r="S808" t="s">
        <v>1066</v>
      </c>
      <c r="T808" t="s">
        <v>1748</v>
      </c>
      <c r="U808" t="s">
        <v>1874</v>
      </c>
      <c r="W808" t="s">
        <v>1876</v>
      </c>
      <c r="X808" t="s">
        <v>2620</v>
      </c>
      <c r="Y808" t="s">
        <v>2794</v>
      </c>
      <c r="Z808" t="s">
        <v>3120</v>
      </c>
      <c r="AA808" t="s">
        <v>3135</v>
      </c>
      <c r="AB808">
        <v>11361</v>
      </c>
      <c r="AC808" t="s">
        <v>3136</v>
      </c>
      <c r="AD808" t="s">
        <v>3890</v>
      </c>
      <c r="AE808">
        <v>4</v>
      </c>
      <c r="AG808" t="s">
        <v>4034</v>
      </c>
      <c r="AH808" t="s">
        <v>291</v>
      </c>
      <c r="AK808" t="s">
        <v>4040</v>
      </c>
      <c r="AM808">
        <v>0</v>
      </c>
      <c r="AN808">
        <v>1878</v>
      </c>
      <c r="AO808">
        <v>7.5</v>
      </c>
      <c r="AQ808" t="s">
        <v>4811</v>
      </c>
      <c r="AR808" t="s">
        <v>5676</v>
      </c>
      <c r="AS808">
        <v>14</v>
      </c>
      <c r="AT808" t="s">
        <v>5838</v>
      </c>
      <c r="AU808">
        <v>1</v>
      </c>
      <c r="AV808">
        <v>2</v>
      </c>
      <c r="AW808">
        <v>56.26</v>
      </c>
      <c r="BA808" t="s">
        <v>329</v>
      </c>
      <c r="BB808" t="s">
        <v>1322</v>
      </c>
      <c r="BC808">
        <v>12000</v>
      </c>
      <c r="BG808" t="s">
        <v>184</v>
      </c>
      <c r="BJ808" t="s">
        <v>5970</v>
      </c>
      <c r="BK808" t="s">
        <v>267</v>
      </c>
    </row>
    <row r="809" spans="1:64">
      <c r="A809" s="1">
        <f>HYPERLINK("https://lsnyc.legalserver.org/matter/dynamic-profile/view/1907952","19-1907952")</f>
        <v>0</v>
      </c>
      <c r="B809" t="s">
        <v>67</v>
      </c>
      <c r="C809" t="s">
        <v>182</v>
      </c>
      <c r="D809" t="s">
        <v>200</v>
      </c>
      <c r="E809" t="s">
        <v>202</v>
      </c>
      <c r="F809" t="s">
        <v>247</v>
      </c>
      <c r="G809" t="s">
        <v>202</v>
      </c>
      <c r="H809" t="s">
        <v>271</v>
      </c>
      <c r="I809" t="s">
        <v>202</v>
      </c>
      <c r="J809" t="s">
        <v>289</v>
      </c>
      <c r="K809" t="s">
        <v>292</v>
      </c>
      <c r="M809" t="s">
        <v>290</v>
      </c>
      <c r="N809" t="s">
        <v>202</v>
      </c>
      <c r="O809" t="s">
        <v>421</v>
      </c>
      <c r="P809" t="s">
        <v>427</v>
      </c>
      <c r="S809" t="s">
        <v>1083</v>
      </c>
      <c r="T809" t="s">
        <v>1756</v>
      </c>
      <c r="U809" t="s">
        <v>247</v>
      </c>
      <c r="W809" t="s">
        <v>1876</v>
      </c>
      <c r="X809" t="s">
        <v>2644</v>
      </c>
      <c r="Y809">
        <v>2</v>
      </c>
      <c r="Z809" t="s">
        <v>3108</v>
      </c>
      <c r="AA809" t="s">
        <v>3135</v>
      </c>
      <c r="AB809">
        <v>11420</v>
      </c>
      <c r="AC809" t="s">
        <v>3136</v>
      </c>
      <c r="AD809" t="s">
        <v>3891</v>
      </c>
      <c r="AE809">
        <v>6</v>
      </c>
      <c r="AG809" t="s">
        <v>4034</v>
      </c>
      <c r="AH809" t="s">
        <v>291</v>
      </c>
      <c r="AI809" t="s">
        <v>291</v>
      </c>
      <c r="AK809" t="s">
        <v>4040</v>
      </c>
      <c r="AM809">
        <v>0</v>
      </c>
      <c r="AN809">
        <v>0</v>
      </c>
      <c r="AO809">
        <v>10.5</v>
      </c>
      <c r="AQ809" t="s">
        <v>4812</v>
      </c>
      <c r="AR809" t="s">
        <v>5697</v>
      </c>
      <c r="AS809">
        <v>2</v>
      </c>
      <c r="AT809" t="s">
        <v>5836</v>
      </c>
      <c r="AU809">
        <v>1</v>
      </c>
      <c r="AV809">
        <v>0</v>
      </c>
      <c r="AW809">
        <v>80.06</v>
      </c>
      <c r="BA809" t="s">
        <v>5850</v>
      </c>
      <c r="BB809" t="s">
        <v>5859</v>
      </c>
      <c r="BC809">
        <v>10000</v>
      </c>
      <c r="BG809" t="s">
        <v>5922</v>
      </c>
      <c r="BJ809" t="s">
        <v>5949</v>
      </c>
      <c r="BK809" t="s">
        <v>267</v>
      </c>
      <c r="BL809" t="s">
        <v>6056</v>
      </c>
    </row>
    <row r="810" spans="1:64">
      <c r="A810" s="1">
        <f>HYPERLINK("https://lsnyc.legalserver.org/matter/dynamic-profile/view/1907179","19-1907179")</f>
        <v>0</v>
      </c>
      <c r="B810" t="s">
        <v>67</v>
      </c>
      <c r="C810" t="s">
        <v>184</v>
      </c>
      <c r="D810" t="s">
        <v>200</v>
      </c>
      <c r="E810" t="s">
        <v>201</v>
      </c>
      <c r="G810" t="s">
        <v>202</v>
      </c>
      <c r="H810" t="s">
        <v>272</v>
      </c>
      <c r="I810" t="s">
        <v>202</v>
      </c>
      <c r="J810" t="s">
        <v>289</v>
      </c>
      <c r="K810" t="s">
        <v>292</v>
      </c>
      <c r="M810" t="s">
        <v>290</v>
      </c>
      <c r="N810" t="s">
        <v>202</v>
      </c>
      <c r="O810" t="s">
        <v>423</v>
      </c>
      <c r="P810" t="s">
        <v>427</v>
      </c>
      <c r="S810" t="s">
        <v>1084</v>
      </c>
      <c r="T810" t="s">
        <v>1440</v>
      </c>
      <c r="U810" t="s">
        <v>239</v>
      </c>
      <c r="W810" t="s">
        <v>1876</v>
      </c>
      <c r="X810" t="s">
        <v>2645</v>
      </c>
      <c r="Y810" t="s">
        <v>2999</v>
      </c>
      <c r="Z810" t="s">
        <v>3119</v>
      </c>
      <c r="AA810" t="s">
        <v>3135</v>
      </c>
      <c r="AB810">
        <v>11385</v>
      </c>
      <c r="AC810" t="s">
        <v>3145</v>
      </c>
      <c r="AD810" t="s">
        <v>3892</v>
      </c>
      <c r="AE810">
        <v>23</v>
      </c>
      <c r="AG810" t="s">
        <v>4034</v>
      </c>
      <c r="AH810" t="s">
        <v>291</v>
      </c>
      <c r="AK810" t="s">
        <v>4040</v>
      </c>
      <c r="AM810">
        <v>0</v>
      </c>
      <c r="AN810">
        <v>1044</v>
      </c>
      <c r="AO810">
        <v>7.7</v>
      </c>
      <c r="AQ810" t="s">
        <v>4834</v>
      </c>
      <c r="AR810" t="s">
        <v>5698</v>
      </c>
      <c r="AS810">
        <v>6</v>
      </c>
      <c r="AT810" t="s">
        <v>5838</v>
      </c>
      <c r="AU810">
        <v>1</v>
      </c>
      <c r="AV810">
        <v>0</v>
      </c>
      <c r="AW810">
        <v>249.8</v>
      </c>
      <c r="BA810" t="s">
        <v>329</v>
      </c>
      <c r="BB810" t="s">
        <v>5859</v>
      </c>
      <c r="BC810">
        <v>31200</v>
      </c>
      <c r="BG810" t="s">
        <v>184</v>
      </c>
      <c r="BJ810" t="s">
        <v>5949</v>
      </c>
      <c r="BK810" t="s">
        <v>252</v>
      </c>
    </row>
    <row r="811" spans="1:64">
      <c r="A811" s="1">
        <f>HYPERLINK("https://lsnyc.legalserver.org/matter/dynamic-profile/view/1907138","19-1907138")</f>
        <v>0</v>
      </c>
      <c r="B811" t="s">
        <v>67</v>
      </c>
      <c r="C811" t="s">
        <v>184</v>
      </c>
      <c r="D811" t="s">
        <v>200</v>
      </c>
      <c r="E811" t="s">
        <v>202</v>
      </c>
      <c r="F811" t="s">
        <v>248</v>
      </c>
      <c r="G811" t="s">
        <v>202</v>
      </c>
      <c r="H811" t="s">
        <v>278</v>
      </c>
      <c r="I811" t="s">
        <v>202</v>
      </c>
      <c r="J811" t="s">
        <v>289</v>
      </c>
      <c r="K811" t="s">
        <v>292</v>
      </c>
      <c r="M811" t="s">
        <v>290</v>
      </c>
      <c r="N811" t="s">
        <v>202</v>
      </c>
      <c r="O811" t="s">
        <v>422</v>
      </c>
      <c r="P811" t="s">
        <v>428</v>
      </c>
      <c r="S811" t="s">
        <v>1085</v>
      </c>
      <c r="T811" t="s">
        <v>1766</v>
      </c>
      <c r="U811" t="s">
        <v>248</v>
      </c>
      <c r="V811" t="s">
        <v>236</v>
      </c>
      <c r="W811" t="s">
        <v>1877</v>
      </c>
      <c r="X811" t="s">
        <v>2646</v>
      </c>
      <c r="Z811" t="s">
        <v>3109</v>
      </c>
      <c r="AA811" t="s">
        <v>3135</v>
      </c>
      <c r="AB811">
        <v>11435</v>
      </c>
      <c r="AC811" t="s">
        <v>3150</v>
      </c>
      <c r="AD811" t="s">
        <v>394</v>
      </c>
      <c r="AE811">
        <v>7</v>
      </c>
      <c r="AF811" t="s">
        <v>4023</v>
      </c>
      <c r="AG811" t="s">
        <v>4034</v>
      </c>
      <c r="AH811" t="s">
        <v>291</v>
      </c>
      <c r="AI811" t="s">
        <v>291</v>
      </c>
      <c r="AK811" t="s">
        <v>4040</v>
      </c>
      <c r="AM811">
        <v>0</v>
      </c>
      <c r="AN811">
        <v>1650</v>
      </c>
      <c r="AO811">
        <v>1.6</v>
      </c>
      <c r="AP811" t="s">
        <v>4052</v>
      </c>
      <c r="AQ811" t="s">
        <v>4835</v>
      </c>
      <c r="AR811" t="s">
        <v>5699</v>
      </c>
      <c r="AS811">
        <v>2</v>
      </c>
      <c r="AT811" t="s">
        <v>5835</v>
      </c>
      <c r="AU811">
        <v>4</v>
      </c>
      <c r="AV811">
        <v>4</v>
      </c>
      <c r="AW811">
        <v>179.6</v>
      </c>
      <c r="BA811" t="s">
        <v>329</v>
      </c>
      <c r="BB811" t="s">
        <v>1322</v>
      </c>
      <c r="BC811">
        <v>78000</v>
      </c>
      <c r="BG811" t="s">
        <v>184</v>
      </c>
      <c r="BJ811" t="s">
        <v>5949</v>
      </c>
      <c r="BK811" t="s">
        <v>252</v>
      </c>
      <c r="BL811" t="s">
        <v>6056</v>
      </c>
    </row>
    <row r="812" spans="1:64">
      <c r="A812" s="1">
        <f>HYPERLINK("https://lsnyc.legalserver.org/matter/dynamic-profile/view/1907508","19-1907508")</f>
        <v>0</v>
      </c>
      <c r="B812" t="s">
        <v>67</v>
      </c>
      <c r="C812" t="s">
        <v>184</v>
      </c>
      <c r="D812" t="s">
        <v>200</v>
      </c>
      <c r="E812" t="s">
        <v>201</v>
      </c>
      <c r="G812" t="s">
        <v>202</v>
      </c>
      <c r="H812" t="s">
        <v>271</v>
      </c>
      <c r="I812" t="s">
        <v>202</v>
      </c>
      <c r="J812" t="s">
        <v>289</v>
      </c>
      <c r="K812" t="s">
        <v>292</v>
      </c>
      <c r="M812" t="s">
        <v>290</v>
      </c>
      <c r="N812" t="s">
        <v>202</v>
      </c>
      <c r="O812" t="s">
        <v>422</v>
      </c>
      <c r="P812" t="s">
        <v>427</v>
      </c>
      <c r="S812" t="s">
        <v>547</v>
      </c>
      <c r="T812" t="s">
        <v>1339</v>
      </c>
      <c r="U812" t="s">
        <v>220</v>
      </c>
      <c r="W812" t="s">
        <v>1876</v>
      </c>
      <c r="X812" t="s">
        <v>2647</v>
      </c>
      <c r="Y812">
        <v>2</v>
      </c>
      <c r="Z812" t="s">
        <v>3116</v>
      </c>
      <c r="AA812" t="s">
        <v>3135</v>
      </c>
      <c r="AB812">
        <v>11418</v>
      </c>
      <c r="AC812" t="s">
        <v>3136</v>
      </c>
      <c r="AD812" t="s">
        <v>3893</v>
      </c>
      <c r="AE812">
        <v>1</v>
      </c>
      <c r="AG812" t="s">
        <v>4034</v>
      </c>
      <c r="AH812" t="s">
        <v>291</v>
      </c>
      <c r="AK812" t="s">
        <v>4040</v>
      </c>
      <c r="AM812">
        <v>0</v>
      </c>
      <c r="AN812">
        <v>1250</v>
      </c>
      <c r="AO812">
        <v>1.2</v>
      </c>
      <c r="AQ812" t="s">
        <v>4836</v>
      </c>
      <c r="AR812" t="s">
        <v>5700</v>
      </c>
      <c r="AS812">
        <v>3</v>
      </c>
      <c r="AU812">
        <v>1</v>
      </c>
      <c r="AV812">
        <v>2</v>
      </c>
      <c r="AW812">
        <v>0</v>
      </c>
      <c r="BC812">
        <v>0</v>
      </c>
      <c r="BG812" t="s">
        <v>184</v>
      </c>
      <c r="BJ812" t="s">
        <v>5965</v>
      </c>
      <c r="BK812" t="s">
        <v>234</v>
      </c>
      <c r="BL812" t="s">
        <v>6056</v>
      </c>
    </row>
    <row r="813" spans="1:64">
      <c r="A813" s="1">
        <f>HYPERLINK("https://lsnyc.legalserver.org/matter/dynamic-profile/view/1907947","19-1907947")</f>
        <v>0</v>
      </c>
      <c r="B813" t="s">
        <v>67</v>
      </c>
      <c r="C813" t="s">
        <v>184</v>
      </c>
      <c r="D813" t="s">
        <v>200</v>
      </c>
      <c r="E813" t="s">
        <v>201</v>
      </c>
      <c r="G813" t="s">
        <v>270</v>
      </c>
      <c r="I813" t="s">
        <v>288</v>
      </c>
      <c r="J813" t="s">
        <v>291</v>
      </c>
      <c r="K813" t="s">
        <v>292</v>
      </c>
      <c r="M813" t="s">
        <v>290</v>
      </c>
      <c r="N813" t="s">
        <v>202</v>
      </c>
      <c r="O813" t="s">
        <v>422</v>
      </c>
      <c r="P813" t="s">
        <v>427</v>
      </c>
      <c r="S813" t="s">
        <v>1072</v>
      </c>
      <c r="T813" t="s">
        <v>1767</v>
      </c>
      <c r="U813" t="s">
        <v>247</v>
      </c>
      <c r="W813" t="s">
        <v>1876</v>
      </c>
      <c r="X813" t="s">
        <v>2648</v>
      </c>
      <c r="Y813" t="s">
        <v>2853</v>
      </c>
      <c r="Z813" t="s">
        <v>3102</v>
      </c>
      <c r="AA813" t="s">
        <v>3135</v>
      </c>
      <c r="AB813">
        <v>11377</v>
      </c>
      <c r="AC813" t="s">
        <v>3147</v>
      </c>
      <c r="AD813" t="s">
        <v>394</v>
      </c>
      <c r="AE813">
        <v>59</v>
      </c>
      <c r="AG813" t="s">
        <v>4034</v>
      </c>
      <c r="AH813" t="s">
        <v>291</v>
      </c>
      <c r="AK813" t="s">
        <v>4040</v>
      </c>
      <c r="AM813">
        <v>0</v>
      </c>
      <c r="AN813">
        <v>1138.94</v>
      </c>
      <c r="AO813">
        <v>1</v>
      </c>
      <c r="AQ813" t="s">
        <v>4837</v>
      </c>
      <c r="AR813" t="s">
        <v>5286</v>
      </c>
      <c r="AS813">
        <v>30</v>
      </c>
      <c r="AT813" t="s">
        <v>5846</v>
      </c>
      <c r="AU813">
        <v>1</v>
      </c>
      <c r="AV813">
        <v>0</v>
      </c>
      <c r="AW813">
        <v>0</v>
      </c>
      <c r="BC813">
        <v>0</v>
      </c>
      <c r="BG813" t="s">
        <v>184</v>
      </c>
      <c r="BJ813" t="s">
        <v>6011</v>
      </c>
      <c r="BK813" t="s">
        <v>247</v>
      </c>
    </row>
    <row r="814" spans="1:64">
      <c r="A814" s="1">
        <f>HYPERLINK("https://lsnyc.legalserver.org/matter/dynamic-profile/view/1909349","19-1909349")</f>
        <v>0</v>
      </c>
      <c r="B814" t="s">
        <v>67</v>
      </c>
      <c r="C814" t="s">
        <v>184</v>
      </c>
      <c r="D814" t="s">
        <v>200</v>
      </c>
      <c r="E814" t="s">
        <v>202</v>
      </c>
      <c r="F814" t="s">
        <v>263</v>
      </c>
      <c r="G814" t="s">
        <v>270</v>
      </c>
      <c r="I814" t="s">
        <v>202</v>
      </c>
      <c r="J814" t="s">
        <v>289</v>
      </c>
      <c r="K814" t="s">
        <v>292</v>
      </c>
      <c r="M814" t="s">
        <v>290</v>
      </c>
      <c r="N814" t="s">
        <v>419</v>
      </c>
      <c r="P814" t="s">
        <v>427</v>
      </c>
      <c r="S814" t="s">
        <v>1022</v>
      </c>
      <c r="T814" t="s">
        <v>1768</v>
      </c>
      <c r="U814" t="s">
        <v>263</v>
      </c>
      <c r="W814" t="s">
        <v>1876</v>
      </c>
      <c r="X814" t="s">
        <v>2649</v>
      </c>
      <c r="Y814" t="s">
        <v>2909</v>
      </c>
      <c r="Z814" t="s">
        <v>3111</v>
      </c>
      <c r="AA814" t="s">
        <v>3135</v>
      </c>
      <c r="AB814">
        <v>11373</v>
      </c>
      <c r="AC814" t="s">
        <v>3136</v>
      </c>
      <c r="AE814">
        <v>44</v>
      </c>
      <c r="AG814" t="s">
        <v>4034</v>
      </c>
      <c r="AH814" t="s">
        <v>291</v>
      </c>
      <c r="AK814" t="s">
        <v>4040</v>
      </c>
      <c r="AM814">
        <v>0</v>
      </c>
      <c r="AN814">
        <v>974.1799999999999</v>
      </c>
      <c r="AO814">
        <v>1.2</v>
      </c>
      <c r="AQ814" t="s">
        <v>4838</v>
      </c>
      <c r="AR814" t="s">
        <v>5701</v>
      </c>
      <c r="AS814">
        <v>170</v>
      </c>
      <c r="AU814">
        <v>1</v>
      </c>
      <c r="AV814">
        <v>0</v>
      </c>
      <c r="AW814">
        <v>86.47</v>
      </c>
      <c r="BA814" t="s">
        <v>5851</v>
      </c>
      <c r="BB814" t="s">
        <v>5859</v>
      </c>
      <c r="BC814">
        <v>10800</v>
      </c>
      <c r="BG814" t="s">
        <v>184</v>
      </c>
      <c r="BJ814" t="s">
        <v>5944</v>
      </c>
      <c r="BK814" t="s">
        <v>267</v>
      </c>
    </row>
    <row r="815" spans="1:64">
      <c r="A815" s="1">
        <f>HYPERLINK("https://lsnyc.legalserver.org/matter/dynamic-profile/view/1910125","19-1910125")</f>
        <v>0</v>
      </c>
      <c r="B815" t="s">
        <v>67</v>
      </c>
      <c r="C815" t="s">
        <v>184</v>
      </c>
      <c r="D815" t="s">
        <v>200</v>
      </c>
      <c r="E815" t="s">
        <v>201</v>
      </c>
      <c r="G815" t="s">
        <v>202</v>
      </c>
      <c r="H815" t="s">
        <v>272</v>
      </c>
      <c r="I815" t="s">
        <v>202</v>
      </c>
      <c r="J815" t="s">
        <v>289</v>
      </c>
      <c r="K815" t="s">
        <v>292</v>
      </c>
      <c r="M815" t="s">
        <v>290</v>
      </c>
      <c r="N815" t="s">
        <v>202</v>
      </c>
      <c r="O815" t="s">
        <v>422</v>
      </c>
      <c r="P815" t="s">
        <v>427</v>
      </c>
      <c r="S815" t="s">
        <v>476</v>
      </c>
      <c r="T815" t="s">
        <v>1769</v>
      </c>
      <c r="U815" t="s">
        <v>206</v>
      </c>
      <c r="W815" t="s">
        <v>1876</v>
      </c>
      <c r="X815" t="s">
        <v>2650</v>
      </c>
      <c r="Z815" t="s">
        <v>3105</v>
      </c>
      <c r="AA815" t="s">
        <v>3135</v>
      </c>
      <c r="AB815">
        <v>11105</v>
      </c>
      <c r="AC815" t="s">
        <v>3136</v>
      </c>
      <c r="AD815" t="s">
        <v>3894</v>
      </c>
      <c r="AE815">
        <v>1</v>
      </c>
      <c r="AG815" t="s">
        <v>4034</v>
      </c>
      <c r="AH815" t="s">
        <v>291</v>
      </c>
      <c r="AI815" t="s">
        <v>291</v>
      </c>
      <c r="AK815" t="s">
        <v>4040</v>
      </c>
      <c r="AL815" t="s">
        <v>4046</v>
      </c>
      <c r="AM815">
        <v>0</v>
      </c>
      <c r="AN815">
        <v>2500</v>
      </c>
      <c r="AO815">
        <v>1.2</v>
      </c>
      <c r="AQ815" t="s">
        <v>4839</v>
      </c>
      <c r="AR815" t="s">
        <v>5702</v>
      </c>
      <c r="AS815">
        <v>2</v>
      </c>
      <c r="AT815" t="s">
        <v>5835</v>
      </c>
      <c r="AU815">
        <v>2</v>
      </c>
      <c r="AV815">
        <v>1</v>
      </c>
      <c r="AW815">
        <v>0</v>
      </c>
      <c r="BA815" t="s">
        <v>329</v>
      </c>
      <c r="BC815">
        <v>0</v>
      </c>
      <c r="BG815" t="s">
        <v>184</v>
      </c>
      <c r="BJ815" t="s">
        <v>5965</v>
      </c>
      <c r="BK815" t="s">
        <v>216</v>
      </c>
    </row>
    <row r="816" spans="1:64">
      <c r="A816" s="1">
        <f>HYPERLINK("https://lsnyc.legalserver.org/matter/dynamic-profile/view/1903850","19-1903850")</f>
        <v>0</v>
      </c>
      <c r="B816" t="s">
        <v>67</v>
      </c>
      <c r="C816" t="s">
        <v>172</v>
      </c>
      <c r="D816" t="s">
        <v>200</v>
      </c>
      <c r="E816" t="s">
        <v>202</v>
      </c>
      <c r="F816" t="s">
        <v>229</v>
      </c>
      <c r="G816" t="s">
        <v>202</v>
      </c>
      <c r="H816" t="s">
        <v>272</v>
      </c>
      <c r="I816" t="s">
        <v>202</v>
      </c>
      <c r="J816" t="s">
        <v>289</v>
      </c>
      <c r="K816" t="s">
        <v>292</v>
      </c>
      <c r="M816" t="s">
        <v>290</v>
      </c>
      <c r="N816" t="s">
        <v>202</v>
      </c>
      <c r="O816" t="s">
        <v>421</v>
      </c>
      <c r="P816" t="s">
        <v>202</v>
      </c>
      <c r="Q816" t="s">
        <v>430</v>
      </c>
      <c r="R816" t="s">
        <v>453</v>
      </c>
      <c r="S816" t="s">
        <v>1084</v>
      </c>
      <c r="T816" t="s">
        <v>1440</v>
      </c>
      <c r="U816" t="s">
        <v>229</v>
      </c>
      <c r="W816" t="s">
        <v>1876</v>
      </c>
      <c r="X816" t="s">
        <v>2645</v>
      </c>
      <c r="Y816" t="s">
        <v>2999</v>
      </c>
      <c r="Z816" t="s">
        <v>3119</v>
      </c>
      <c r="AA816" t="s">
        <v>3135</v>
      </c>
      <c r="AB816">
        <v>11385</v>
      </c>
      <c r="AC816" t="s">
        <v>3136</v>
      </c>
      <c r="AD816" t="s">
        <v>3892</v>
      </c>
      <c r="AE816">
        <v>23</v>
      </c>
      <c r="AG816" t="s">
        <v>4035</v>
      </c>
      <c r="AH816" t="s">
        <v>291</v>
      </c>
      <c r="AI816" t="s">
        <v>291</v>
      </c>
      <c r="AJ816" t="s">
        <v>4035</v>
      </c>
      <c r="AK816" t="s">
        <v>4040</v>
      </c>
      <c r="AL816" t="s">
        <v>4049</v>
      </c>
      <c r="AM816">
        <v>0</v>
      </c>
      <c r="AN816">
        <v>1044</v>
      </c>
      <c r="AO816">
        <v>23</v>
      </c>
      <c r="AQ816" t="s">
        <v>4834</v>
      </c>
      <c r="AR816" t="s">
        <v>5698</v>
      </c>
      <c r="AS816">
        <v>6</v>
      </c>
      <c r="AT816" t="s">
        <v>5836</v>
      </c>
      <c r="AU816">
        <v>1</v>
      </c>
      <c r="AV816">
        <v>0</v>
      </c>
      <c r="AW816">
        <v>0</v>
      </c>
      <c r="BA816" t="s">
        <v>329</v>
      </c>
      <c r="BB816" t="s">
        <v>5859</v>
      </c>
      <c r="BC816">
        <v>0</v>
      </c>
      <c r="BG816" t="s">
        <v>5922</v>
      </c>
      <c r="BH816" t="s">
        <v>5929</v>
      </c>
      <c r="BI816" t="s">
        <v>5938</v>
      </c>
      <c r="BJ816" t="s">
        <v>5945</v>
      </c>
      <c r="BK816" t="s">
        <v>216</v>
      </c>
      <c r="BL816" t="s">
        <v>6056</v>
      </c>
    </row>
    <row r="817" spans="1:64">
      <c r="A817" s="1">
        <f>HYPERLINK("https://lsnyc.legalserver.org/matter/dynamic-profile/view/1908337","19-1908337")</f>
        <v>0</v>
      </c>
      <c r="B817" t="s">
        <v>67</v>
      </c>
      <c r="C817" t="s">
        <v>184</v>
      </c>
      <c r="D817" t="s">
        <v>200</v>
      </c>
      <c r="E817" t="s">
        <v>201</v>
      </c>
      <c r="G817" t="s">
        <v>202</v>
      </c>
      <c r="H817" t="s">
        <v>272</v>
      </c>
      <c r="I817" t="s">
        <v>202</v>
      </c>
      <c r="J817" t="s">
        <v>289</v>
      </c>
      <c r="K817" t="s">
        <v>292</v>
      </c>
      <c r="M817" t="s">
        <v>290</v>
      </c>
      <c r="N817" t="s">
        <v>202</v>
      </c>
      <c r="O817" t="s">
        <v>422</v>
      </c>
      <c r="P817" t="s">
        <v>427</v>
      </c>
      <c r="S817" t="s">
        <v>1086</v>
      </c>
      <c r="T817" t="s">
        <v>1770</v>
      </c>
      <c r="U817" t="s">
        <v>225</v>
      </c>
      <c r="W817" t="s">
        <v>1876</v>
      </c>
      <c r="X817" t="s">
        <v>2651</v>
      </c>
      <c r="Y817" t="s">
        <v>2857</v>
      </c>
      <c r="Z817" t="s">
        <v>3124</v>
      </c>
      <c r="AA817" t="s">
        <v>3135</v>
      </c>
      <c r="AB817">
        <v>11415</v>
      </c>
      <c r="AC817" t="s">
        <v>3136</v>
      </c>
      <c r="AD817" t="s">
        <v>3895</v>
      </c>
      <c r="AE817">
        <v>3</v>
      </c>
      <c r="AG817" t="s">
        <v>4034</v>
      </c>
      <c r="AH817" t="s">
        <v>291</v>
      </c>
      <c r="AK817" t="s">
        <v>4040</v>
      </c>
      <c r="AM817">
        <v>0</v>
      </c>
      <c r="AN817">
        <v>1875</v>
      </c>
      <c r="AO817">
        <v>0.5</v>
      </c>
      <c r="AQ817" t="s">
        <v>4840</v>
      </c>
      <c r="AR817" t="s">
        <v>5703</v>
      </c>
      <c r="AS817">
        <v>108</v>
      </c>
      <c r="AU817">
        <v>1</v>
      </c>
      <c r="AV817">
        <v>2</v>
      </c>
      <c r="AW817">
        <v>73.14</v>
      </c>
      <c r="BA817" t="s">
        <v>329</v>
      </c>
      <c r="BC817">
        <v>15600</v>
      </c>
      <c r="BG817" t="s">
        <v>184</v>
      </c>
      <c r="BJ817" t="s">
        <v>5966</v>
      </c>
      <c r="BK817" t="s">
        <v>225</v>
      </c>
    </row>
    <row r="818" spans="1:64">
      <c r="A818" s="1">
        <f>HYPERLINK("https://lsnyc.legalserver.org/matter/dynamic-profile/view/1906439","19-1906439")</f>
        <v>0</v>
      </c>
      <c r="B818" t="s">
        <v>67</v>
      </c>
      <c r="C818" t="s">
        <v>184</v>
      </c>
      <c r="D818" t="s">
        <v>200</v>
      </c>
      <c r="E818" t="s">
        <v>201</v>
      </c>
      <c r="G818" t="s">
        <v>202</v>
      </c>
      <c r="H818" t="s">
        <v>271</v>
      </c>
      <c r="I818" t="s">
        <v>202</v>
      </c>
      <c r="J818" t="s">
        <v>289</v>
      </c>
      <c r="K818" t="s">
        <v>292</v>
      </c>
      <c r="M818" t="s">
        <v>290</v>
      </c>
      <c r="N818" t="s">
        <v>202</v>
      </c>
      <c r="O818" t="s">
        <v>423</v>
      </c>
      <c r="P818" t="s">
        <v>427</v>
      </c>
      <c r="S818" t="s">
        <v>500</v>
      </c>
      <c r="T818" t="s">
        <v>1771</v>
      </c>
      <c r="U818" t="s">
        <v>207</v>
      </c>
      <c r="W818" t="s">
        <v>1876</v>
      </c>
      <c r="Z818" t="s">
        <v>3106</v>
      </c>
      <c r="AA818" t="s">
        <v>3135</v>
      </c>
      <c r="AB818">
        <v>11356</v>
      </c>
      <c r="AC818" t="s">
        <v>3136</v>
      </c>
      <c r="AD818" t="s">
        <v>3896</v>
      </c>
      <c r="AE818">
        <v>23</v>
      </c>
      <c r="AG818" t="s">
        <v>4034</v>
      </c>
      <c r="AH818" t="s">
        <v>291</v>
      </c>
      <c r="AK818" t="s">
        <v>4040</v>
      </c>
      <c r="AM818">
        <v>0</v>
      </c>
      <c r="AN818">
        <v>1450</v>
      </c>
      <c r="AO818">
        <v>1</v>
      </c>
      <c r="AQ818" t="s">
        <v>4191</v>
      </c>
      <c r="AR818" t="s">
        <v>5704</v>
      </c>
      <c r="AS818">
        <v>2</v>
      </c>
      <c r="AT818" t="s">
        <v>5835</v>
      </c>
      <c r="AU818">
        <v>3</v>
      </c>
      <c r="AV818">
        <v>0</v>
      </c>
      <c r="AW818">
        <v>150.89</v>
      </c>
      <c r="BA818" t="s">
        <v>329</v>
      </c>
      <c r="BB818" t="s">
        <v>1322</v>
      </c>
      <c r="BC818">
        <v>32184</v>
      </c>
      <c r="BG818" t="s">
        <v>184</v>
      </c>
      <c r="BJ818" t="s">
        <v>6047</v>
      </c>
      <c r="BK818" t="s">
        <v>207</v>
      </c>
    </row>
    <row r="819" spans="1:64">
      <c r="A819" s="1">
        <f>HYPERLINK("https://lsnyc.legalserver.org/matter/dynamic-profile/view/1909626","19-1909626")</f>
        <v>0</v>
      </c>
      <c r="B819" t="s">
        <v>67</v>
      </c>
      <c r="C819" t="s">
        <v>185</v>
      </c>
      <c r="D819" t="s">
        <v>200</v>
      </c>
      <c r="E819" t="s">
        <v>202</v>
      </c>
      <c r="F819" t="s">
        <v>222</v>
      </c>
      <c r="G819" t="s">
        <v>202</v>
      </c>
      <c r="H819" t="s">
        <v>271</v>
      </c>
      <c r="I819" t="s">
        <v>202</v>
      </c>
      <c r="J819" t="s">
        <v>289</v>
      </c>
      <c r="K819" t="s">
        <v>202</v>
      </c>
      <c r="L819" t="s">
        <v>402</v>
      </c>
      <c r="M819" t="s">
        <v>290</v>
      </c>
      <c r="N819" t="s">
        <v>419</v>
      </c>
      <c r="O819" t="s">
        <v>420</v>
      </c>
      <c r="P819" t="s">
        <v>427</v>
      </c>
      <c r="S819" t="s">
        <v>883</v>
      </c>
      <c r="T819" t="s">
        <v>1772</v>
      </c>
      <c r="U819" t="s">
        <v>222</v>
      </c>
      <c r="W819" t="s">
        <v>1876</v>
      </c>
      <c r="X819" t="s">
        <v>2652</v>
      </c>
      <c r="Z819" t="s">
        <v>3116</v>
      </c>
      <c r="AA819" t="s">
        <v>3135</v>
      </c>
      <c r="AB819">
        <v>11418</v>
      </c>
      <c r="AC819" t="s">
        <v>3136</v>
      </c>
      <c r="AD819" t="s">
        <v>3897</v>
      </c>
      <c r="AE819">
        <v>-1</v>
      </c>
      <c r="AG819" t="s">
        <v>4034</v>
      </c>
      <c r="AH819" t="s">
        <v>291</v>
      </c>
      <c r="AI819" t="s">
        <v>291</v>
      </c>
      <c r="AK819" t="s">
        <v>4040</v>
      </c>
      <c r="AM819">
        <v>0</v>
      </c>
      <c r="AN819">
        <v>400</v>
      </c>
      <c r="AO819">
        <v>0.3</v>
      </c>
      <c r="AQ819" t="s">
        <v>4841</v>
      </c>
      <c r="AR819" t="s">
        <v>5705</v>
      </c>
      <c r="AS819">
        <v>2</v>
      </c>
      <c r="AT819" t="s">
        <v>5836</v>
      </c>
      <c r="AU819">
        <v>1</v>
      </c>
      <c r="AV819">
        <v>0</v>
      </c>
      <c r="AW819">
        <v>120.1</v>
      </c>
      <c r="BA819" t="s">
        <v>329</v>
      </c>
      <c r="BB819" t="s">
        <v>1322</v>
      </c>
      <c r="BC819">
        <v>15000</v>
      </c>
      <c r="BG819" t="s">
        <v>5922</v>
      </c>
      <c r="BJ819" t="s">
        <v>5949</v>
      </c>
      <c r="BK819" t="s">
        <v>222</v>
      </c>
      <c r="BL819" t="s">
        <v>6056</v>
      </c>
    </row>
    <row r="820" spans="1:64">
      <c r="A820" s="1">
        <f>HYPERLINK("https://lsnyc.legalserver.org/matter/dynamic-profile/view/1908612","19-1908612")</f>
        <v>0</v>
      </c>
      <c r="B820" t="s">
        <v>67</v>
      </c>
      <c r="C820" t="s">
        <v>185</v>
      </c>
      <c r="D820" t="s">
        <v>200</v>
      </c>
      <c r="E820" t="s">
        <v>202</v>
      </c>
      <c r="F820" t="s">
        <v>236</v>
      </c>
      <c r="G820" t="s">
        <v>202</v>
      </c>
      <c r="H820" t="s">
        <v>271</v>
      </c>
      <c r="I820" t="s">
        <v>202</v>
      </c>
      <c r="J820" t="s">
        <v>289</v>
      </c>
      <c r="K820" t="s">
        <v>292</v>
      </c>
      <c r="M820" t="s">
        <v>290</v>
      </c>
      <c r="N820" t="s">
        <v>419</v>
      </c>
      <c r="O820" t="s">
        <v>420</v>
      </c>
      <c r="P820" t="s">
        <v>427</v>
      </c>
      <c r="S820" t="s">
        <v>1087</v>
      </c>
      <c r="T820" t="s">
        <v>1245</v>
      </c>
      <c r="U820" t="s">
        <v>236</v>
      </c>
      <c r="W820" t="s">
        <v>1876</v>
      </c>
      <c r="X820" t="s">
        <v>2653</v>
      </c>
      <c r="Z820" t="s">
        <v>3125</v>
      </c>
      <c r="AA820" t="s">
        <v>3135</v>
      </c>
      <c r="AB820">
        <v>11362</v>
      </c>
      <c r="AC820" t="s">
        <v>3136</v>
      </c>
      <c r="AD820" t="s">
        <v>3898</v>
      </c>
      <c r="AE820">
        <v>1</v>
      </c>
      <c r="AG820" t="s">
        <v>4034</v>
      </c>
      <c r="AH820" t="s">
        <v>291</v>
      </c>
      <c r="AI820" t="s">
        <v>291</v>
      </c>
      <c r="AK820" t="s">
        <v>4040</v>
      </c>
      <c r="AM820">
        <v>0</v>
      </c>
      <c r="AN820">
        <v>0</v>
      </c>
      <c r="AO820">
        <v>0.51</v>
      </c>
      <c r="AQ820" t="s">
        <v>4842</v>
      </c>
      <c r="AR820" t="s">
        <v>5706</v>
      </c>
      <c r="AS820">
        <v>1</v>
      </c>
      <c r="AT820" t="s">
        <v>5836</v>
      </c>
      <c r="AU820">
        <v>4</v>
      </c>
      <c r="AV820">
        <v>0</v>
      </c>
      <c r="AW820">
        <v>121.17</v>
      </c>
      <c r="BA820" t="s">
        <v>329</v>
      </c>
      <c r="BB820" t="s">
        <v>1322</v>
      </c>
      <c r="BC820">
        <v>31200</v>
      </c>
      <c r="BG820" t="s">
        <v>5922</v>
      </c>
      <c r="BJ820" t="s">
        <v>5949</v>
      </c>
      <c r="BK820" t="s">
        <v>252</v>
      </c>
      <c r="BL820" t="s">
        <v>6056</v>
      </c>
    </row>
    <row r="821" spans="1:64">
      <c r="A821" s="1">
        <f>HYPERLINK("https://lsnyc.legalserver.org/matter/dynamic-profile/view/1907606","19-1907606")</f>
        <v>0</v>
      </c>
      <c r="B821" t="s">
        <v>67</v>
      </c>
      <c r="C821" t="s">
        <v>184</v>
      </c>
      <c r="D821" t="s">
        <v>200</v>
      </c>
      <c r="E821" t="s">
        <v>201</v>
      </c>
      <c r="G821" t="s">
        <v>202</v>
      </c>
      <c r="H821" t="s">
        <v>272</v>
      </c>
      <c r="I821" t="s">
        <v>288</v>
      </c>
      <c r="J821" t="s">
        <v>291</v>
      </c>
      <c r="K821" t="s">
        <v>292</v>
      </c>
      <c r="M821" t="s">
        <v>290</v>
      </c>
      <c r="N821" t="s">
        <v>202</v>
      </c>
      <c r="O821" t="s">
        <v>422</v>
      </c>
      <c r="P821" t="s">
        <v>427</v>
      </c>
      <c r="S821" t="s">
        <v>553</v>
      </c>
      <c r="T821" t="s">
        <v>1773</v>
      </c>
      <c r="U821" t="s">
        <v>254</v>
      </c>
      <c r="W821" t="s">
        <v>1876</v>
      </c>
      <c r="X821" t="s">
        <v>2654</v>
      </c>
      <c r="Y821" t="s">
        <v>3064</v>
      </c>
      <c r="Z821" t="s">
        <v>3112</v>
      </c>
      <c r="AA821" t="s">
        <v>3135</v>
      </c>
      <c r="AB821">
        <v>11367</v>
      </c>
      <c r="AC821" t="s">
        <v>3147</v>
      </c>
      <c r="AD821" t="s">
        <v>3899</v>
      </c>
      <c r="AE821">
        <v>50</v>
      </c>
      <c r="AG821" t="s">
        <v>4034</v>
      </c>
      <c r="AH821" t="s">
        <v>291</v>
      </c>
      <c r="AK821" t="s">
        <v>4040</v>
      </c>
      <c r="AM821">
        <v>0</v>
      </c>
      <c r="AN821">
        <v>992.5700000000001</v>
      </c>
      <c r="AO821">
        <v>2.35</v>
      </c>
      <c r="AQ821" t="s">
        <v>4843</v>
      </c>
      <c r="AR821" t="s">
        <v>5707</v>
      </c>
      <c r="AS821">
        <v>60</v>
      </c>
      <c r="AT821" t="s">
        <v>5838</v>
      </c>
      <c r="AU821">
        <v>1</v>
      </c>
      <c r="AV821">
        <v>0</v>
      </c>
      <c r="AW821">
        <v>234.52</v>
      </c>
      <c r="AX821" t="s">
        <v>228</v>
      </c>
      <c r="AY821" t="s">
        <v>5849</v>
      </c>
      <c r="BA821" t="s">
        <v>5851</v>
      </c>
      <c r="BC821">
        <v>29292</v>
      </c>
      <c r="BG821" t="s">
        <v>184</v>
      </c>
      <c r="BJ821" t="s">
        <v>6015</v>
      </c>
      <c r="BK821" t="s">
        <v>230</v>
      </c>
      <c r="BL821" t="s">
        <v>329</v>
      </c>
    </row>
    <row r="822" spans="1:64">
      <c r="A822" s="1">
        <f>HYPERLINK("https://lsnyc.legalserver.org/matter/dynamic-profile/view/1910008","19-1910008")</f>
        <v>0</v>
      </c>
      <c r="B822" t="s">
        <v>67</v>
      </c>
      <c r="C822" t="s">
        <v>182</v>
      </c>
      <c r="D822" t="s">
        <v>200</v>
      </c>
      <c r="E822" t="s">
        <v>201</v>
      </c>
      <c r="G822" t="s">
        <v>202</v>
      </c>
      <c r="H822" t="s">
        <v>272</v>
      </c>
      <c r="I822" t="s">
        <v>202</v>
      </c>
      <c r="J822" t="s">
        <v>289</v>
      </c>
      <c r="K822" t="s">
        <v>292</v>
      </c>
      <c r="M822" t="s">
        <v>290</v>
      </c>
      <c r="N822" t="s">
        <v>419</v>
      </c>
      <c r="O822" t="s">
        <v>420</v>
      </c>
      <c r="P822" t="s">
        <v>427</v>
      </c>
      <c r="S822" t="s">
        <v>1088</v>
      </c>
      <c r="T822" t="s">
        <v>1774</v>
      </c>
      <c r="U822" t="s">
        <v>243</v>
      </c>
      <c r="W822" t="s">
        <v>1876</v>
      </c>
      <c r="X822" t="s">
        <v>2655</v>
      </c>
      <c r="Y822">
        <v>2</v>
      </c>
      <c r="Z822" t="s">
        <v>3109</v>
      </c>
      <c r="AA822" t="s">
        <v>3135</v>
      </c>
      <c r="AB822">
        <v>11433</v>
      </c>
      <c r="AC822" t="s">
        <v>3139</v>
      </c>
      <c r="AD822" t="s">
        <v>3900</v>
      </c>
      <c r="AE822">
        <v>3</v>
      </c>
      <c r="AG822" t="s">
        <v>4035</v>
      </c>
      <c r="AH822" t="s">
        <v>291</v>
      </c>
      <c r="AI822" t="s">
        <v>291</v>
      </c>
      <c r="AK822" t="s">
        <v>4040</v>
      </c>
      <c r="AM822">
        <v>0</v>
      </c>
      <c r="AN822">
        <v>1600</v>
      </c>
      <c r="AO822">
        <v>0.2</v>
      </c>
      <c r="AQ822" t="s">
        <v>4844</v>
      </c>
      <c r="AR822" t="s">
        <v>5708</v>
      </c>
      <c r="AS822">
        <v>0</v>
      </c>
      <c r="AT822" t="s">
        <v>5835</v>
      </c>
      <c r="AU822">
        <v>3</v>
      </c>
      <c r="AV822">
        <v>0</v>
      </c>
      <c r="AW822">
        <v>185.19</v>
      </c>
      <c r="BB822" t="s">
        <v>1322</v>
      </c>
      <c r="BC822">
        <v>39500</v>
      </c>
      <c r="BG822" t="s">
        <v>5923</v>
      </c>
      <c r="BJ822" t="s">
        <v>5949</v>
      </c>
      <c r="BK822" t="s">
        <v>259</v>
      </c>
      <c r="BL822" t="s">
        <v>6056</v>
      </c>
    </row>
    <row r="823" spans="1:64">
      <c r="A823" s="1">
        <f>HYPERLINK("https://lsnyc.legalserver.org/matter/dynamic-profile/view/1909477","19-1909477")</f>
        <v>0</v>
      </c>
      <c r="B823" t="s">
        <v>67</v>
      </c>
      <c r="C823" t="s">
        <v>182</v>
      </c>
      <c r="D823" t="s">
        <v>200</v>
      </c>
      <c r="E823" t="s">
        <v>202</v>
      </c>
      <c r="F823" t="s">
        <v>230</v>
      </c>
      <c r="G823" t="s">
        <v>202</v>
      </c>
      <c r="H823" t="s">
        <v>272</v>
      </c>
      <c r="I823" t="s">
        <v>202</v>
      </c>
      <c r="J823" t="s">
        <v>289</v>
      </c>
      <c r="K823" t="s">
        <v>202</v>
      </c>
      <c r="L823" t="s">
        <v>403</v>
      </c>
      <c r="M823" t="s">
        <v>290</v>
      </c>
      <c r="N823" t="s">
        <v>419</v>
      </c>
      <c r="O823" t="s">
        <v>420</v>
      </c>
      <c r="P823" t="s">
        <v>427</v>
      </c>
      <c r="S823" t="s">
        <v>1089</v>
      </c>
      <c r="T823" t="s">
        <v>1646</v>
      </c>
      <c r="U823" t="s">
        <v>230</v>
      </c>
      <c r="W823" t="s">
        <v>1876</v>
      </c>
      <c r="X823" t="s">
        <v>2656</v>
      </c>
      <c r="Y823" t="s">
        <v>3065</v>
      </c>
      <c r="Z823" t="s">
        <v>3116</v>
      </c>
      <c r="AA823" t="s">
        <v>3135</v>
      </c>
      <c r="AB823">
        <v>11418</v>
      </c>
      <c r="AC823" t="s">
        <v>3136</v>
      </c>
      <c r="AD823" t="s">
        <v>3901</v>
      </c>
      <c r="AE823">
        <v>6</v>
      </c>
      <c r="AG823" t="s">
        <v>4034</v>
      </c>
      <c r="AH823" t="s">
        <v>291</v>
      </c>
      <c r="AI823" t="s">
        <v>291</v>
      </c>
      <c r="AK823" t="s">
        <v>4040</v>
      </c>
      <c r="AM823">
        <v>0</v>
      </c>
      <c r="AN823">
        <v>1071.11</v>
      </c>
      <c r="AO823">
        <v>1.3</v>
      </c>
      <c r="AQ823" t="s">
        <v>4845</v>
      </c>
      <c r="AR823" t="s">
        <v>5709</v>
      </c>
      <c r="AS823">
        <v>195</v>
      </c>
      <c r="AT823" t="s">
        <v>5838</v>
      </c>
      <c r="AU823">
        <v>2</v>
      </c>
      <c r="AV823">
        <v>0</v>
      </c>
      <c r="AW823">
        <v>0</v>
      </c>
      <c r="BA823" t="s">
        <v>329</v>
      </c>
      <c r="BB823" t="s">
        <v>1322</v>
      </c>
      <c r="BC823">
        <v>0</v>
      </c>
      <c r="BG823" t="s">
        <v>5922</v>
      </c>
      <c r="BJ823" t="s">
        <v>5945</v>
      </c>
      <c r="BK823" t="s">
        <v>230</v>
      </c>
      <c r="BL823" t="s">
        <v>6056</v>
      </c>
    </row>
    <row r="824" spans="1:64">
      <c r="A824" s="1">
        <f>HYPERLINK("https://lsnyc.legalserver.org/matter/dynamic-profile/view/1906874","19-1906874")</f>
        <v>0</v>
      </c>
      <c r="B824" t="s">
        <v>67</v>
      </c>
      <c r="C824" t="s">
        <v>182</v>
      </c>
      <c r="D824" t="s">
        <v>200</v>
      </c>
      <c r="E824" t="s">
        <v>202</v>
      </c>
      <c r="F824" t="s">
        <v>240</v>
      </c>
      <c r="G824" t="s">
        <v>202</v>
      </c>
      <c r="H824" t="s">
        <v>271</v>
      </c>
      <c r="I824" t="s">
        <v>202</v>
      </c>
      <c r="J824" t="s">
        <v>289</v>
      </c>
      <c r="K824" t="s">
        <v>292</v>
      </c>
      <c r="M824" t="s">
        <v>290</v>
      </c>
      <c r="N824" t="s">
        <v>419</v>
      </c>
      <c r="O824" t="s">
        <v>420</v>
      </c>
      <c r="P824" t="s">
        <v>427</v>
      </c>
      <c r="S824" t="s">
        <v>1090</v>
      </c>
      <c r="T824" t="s">
        <v>1775</v>
      </c>
      <c r="U824" t="s">
        <v>240</v>
      </c>
      <c r="W824" t="s">
        <v>1876</v>
      </c>
      <c r="X824" t="s">
        <v>2657</v>
      </c>
      <c r="Z824" t="s">
        <v>3109</v>
      </c>
      <c r="AA824" t="s">
        <v>3135</v>
      </c>
      <c r="AB824">
        <v>11433</v>
      </c>
      <c r="AC824" t="s">
        <v>3139</v>
      </c>
      <c r="AD824" t="s">
        <v>3902</v>
      </c>
      <c r="AE824">
        <v>10</v>
      </c>
      <c r="AG824" t="s">
        <v>4035</v>
      </c>
      <c r="AH824" t="s">
        <v>291</v>
      </c>
      <c r="AI824" t="s">
        <v>291</v>
      </c>
      <c r="AK824" t="s">
        <v>4040</v>
      </c>
      <c r="AL824" t="s">
        <v>4046</v>
      </c>
      <c r="AM824">
        <v>0</v>
      </c>
      <c r="AN824">
        <v>1200</v>
      </c>
      <c r="AO824">
        <v>5.2</v>
      </c>
      <c r="AQ824" t="s">
        <v>4846</v>
      </c>
      <c r="AR824" t="s">
        <v>5710</v>
      </c>
      <c r="AS824">
        <v>0</v>
      </c>
      <c r="AT824" t="s">
        <v>5835</v>
      </c>
      <c r="AU824">
        <v>4</v>
      </c>
      <c r="AV824">
        <v>0</v>
      </c>
      <c r="AW824">
        <v>100.42</v>
      </c>
      <c r="BA824" t="s">
        <v>329</v>
      </c>
      <c r="BB824" t="s">
        <v>1322</v>
      </c>
      <c r="BC824">
        <v>25858.8</v>
      </c>
      <c r="BG824" t="s">
        <v>182</v>
      </c>
      <c r="BJ824" t="s">
        <v>5994</v>
      </c>
      <c r="BK824" t="s">
        <v>243</v>
      </c>
      <c r="BL824" t="s">
        <v>6056</v>
      </c>
    </row>
    <row r="825" spans="1:64">
      <c r="A825" s="1">
        <f>HYPERLINK("https://lsnyc.legalserver.org/matter/dynamic-profile/view/1907003","19-1907003")</f>
        <v>0</v>
      </c>
      <c r="B825" t="s">
        <v>67</v>
      </c>
      <c r="C825" t="s">
        <v>182</v>
      </c>
      <c r="D825" t="s">
        <v>200</v>
      </c>
      <c r="E825" t="s">
        <v>201</v>
      </c>
      <c r="G825" t="s">
        <v>202</v>
      </c>
      <c r="H825" t="s">
        <v>272</v>
      </c>
      <c r="I825" t="s">
        <v>202</v>
      </c>
      <c r="J825" t="s">
        <v>289</v>
      </c>
      <c r="K825" t="s">
        <v>292</v>
      </c>
      <c r="M825" t="s">
        <v>290</v>
      </c>
      <c r="N825" t="s">
        <v>202</v>
      </c>
      <c r="O825" t="s">
        <v>421</v>
      </c>
      <c r="P825" t="s">
        <v>427</v>
      </c>
      <c r="S825" t="s">
        <v>897</v>
      </c>
      <c r="T825" t="s">
        <v>1776</v>
      </c>
      <c r="U825" t="s">
        <v>226</v>
      </c>
      <c r="W825" t="s">
        <v>1876</v>
      </c>
      <c r="X825" t="s">
        <v>2602</v>
      </c>
      <c r="Y825" t="s">
        <v>2807</v>
      </c>
      <c r="Z825" t="s">
        <v>3111</v>
      </c>
      <c r="AA825" t="s">
        <v>3135</v>
      </c>
      <c r="AB825">
        <v>11373</v>
      </c>
      <c r="AC825" t="s">
        <v>3139</v>
      </c>
      <c r="AD825" t="s">
        <v>3903</v>
      </c>
      <c r="AE825">
        <v>28</v>
      </c>
      <c r="AG825" t="s">
        <v>4035</v>
      </c>
      <c r="AH825" t="s">
        <v>291</v>
      </c>
      <c r="AI825" t="s">
        <v>291</v>
      </c>
      <c r="AK825" t="s">
        <v>4040</v>
      </c>
      <c r="AL825" t="s">
        <v>4046</v>
      </c>
      <c r="AM825">
        <v>0</v>
      </c>
      <c r="AN825">
        <v>1530</v>
      </c>
      <c r="AO825">
        <v>13.7</v>
      </c>
      <c r="AQ825" t="s">
        <v>4847</v>
      </c>
      <c r="AR825" t="s">
        <v>5711</v>
      </c>
      <c r="AS825">
        <v>112</v>
      </c>
      <c r="AT825" t="s">
        <v>5838</v>
      </c>
      <c r="AU825">
        <v>3</v>
      </c>
      <c r="AV825">
        <v>0</v>
      </c>
      <c r="AW825">
        <v>135.02</v>
      </c>
      <c r="BA825" t="s">
        <v>329</v>
      </c>
      <c r="BB825" t="s">
        <v>5859</v>
      </c>
      <c r="BC825">
        <v>28800</v>
      </c>
      <c r="BG825" t="s">
        <v>5923</v>
      </c>
      <c r="BJ825" t="s">
        <v>5949</v>
      </c>
      <c r="BK825" t="s">
        <v>243</v>
      </c>
      <c r="BL825" t="s">
        <v>6056</v>
      </c>
    </row>
    <row r="826" spans="1:64">
      <c r="A826" s="1">
        <f>HYPERLINK("https://lsnyc.legalserver.org/matter/dynamic-profile/view/1908480","19-1908480")</f>
        <v>0</v>
      </c>
      <c r="B826" t="s">
        <v>67</v>
      </c>
      <c r="C826" t="s">
        <v>186</v>
      </c>
      <c r="D826" t="s">
        <v>200</v>
      </c>
      <c r="E826" t="s">
        <v>202</v>
      </c>
      <c r="F826" t="s">
        <v>237</v>
      </c>
      <c r="G826" t="s">
        <v>202</v>
      </c>
      <c r="H826" t="s">
        <v>271</v>
      </c>
      <c r="I826" t="s">
        <v>202</v>
      </c>
      <c r="J826" t="s">
        <v>289</v>
      </c>
      <c r="K826" t="s">
        <v>292</v>
      </c>
      <c r="M826" t="s">
        <v>290</v>
      </c>
      <c r="N826" t="s">
        <v>419</v>
      </c>
      <c r="O826" t="s">
        <v>420</v>
      </c>
      <c r="P826" t="s">
        <v>427</v>
      </c>
      <c r="S826" t="s">
        <v>489</v>
      </c>
      <c r="T826" t="s">
        <v>1777</v>
      </c>
      <c r="U826" t="s">
        <v>237</v>
      </c>
      <c r="W826" t="s">
        <v>1876</v>
      </c>
      <c r="X826" t="s">
        <v>2658</v>
      </c>
      <c r="Z826" t="s">
        <v>3104</v>
      </c>
      <c r="AA826" t="s">
        <v>3135</v>
      </c>
      <c r="AB826">
        <v>11378</v>
      </c>
      <c r="AC826" t="s">
        <v>3136</v>
      </c>
      <c r="AD826" t="s">
        <v>3904</v>
      </c>
      <c r="AE826">
        <v>13</v>
      </c>
      <c r="AG826" t="s">
        <v>4034</v>
      </c>
      <c r="AH826" t="s">
        <v>291</v>
      </c>
      <c r="AI826" t="s">
        <v>291</v>
      </c>
      <c r="AK826" t="s">
        <v>4040</v>
      </c>
      <c r="AM826">
        <v>0</v>
      </c>
      <c r="AN826">
        <v>1600</v>
      </c>
      <c r="AO826">
        <v>1.3</v>
      </c>
      <c r="AQ826" t="s">
        <v>4848</v>
      </c>
      <c r="AR826" t="s">
        <v>5712</v>
      </c>
      <c r="AS826">
        <v>3</v>
      </c>
      <c r="AT826" t="s">
        <v>5836</v>
      </c>
      <c r="AU826">
        <v>2</v>
      </c>
      <c r="AV826">
        <v>0</v>
      </c>
      <c r="AW826">
        <v>165.58</v>
      </c>
      <c r="BA826" t="s">
        <v>329</v>
      </c>
      <c r="BB826" t="s">
        <v>5859</v>
      </c>
      <c r="BC826">
        <v>28000</v>
      </c>
      <c r="BG826" t="s">
        <v>5922</v>
      </c>
      <c r="BJ826" t="s">
        <v>5949</v>
      </c>
      <c r="BK826" t="s">
        <v>237</v>
      </c>
      <c r="BL826" t="s">
        <v>6056</v>
      </c>
    </row>
    <row r="827" spans="1:64">
      <c r="A827" s="1">
        <f>HYPERLINK("https://lsnyc.legalserver.org/matter/dynamic-profile/view/1910037","19-1910037")</f>
        <v>0</v>
      </c>
      <c r="B827" t="s">
        <v>67</v>
      </c>
      <c r="C827" t="s">
        <v>186</v>
      </c>
      <c r="D827" t="s">
        <v>200</v>
      </c>
      <c r="E827" t="s">
        <v>202</v>
      </c>
      <c r="F827" t="s">
        <v>206</v>
      </c>
      <c r="G827" t="s">
        <v>202</v>
      </c>
      <c r="H827" t="s">
        <v>271</v>
      </c>
      <c r="I827" t="s">
        <v>202</v>
      </c>
      <c r="J827" t="s">
        <v>289</v>
      </c>
      <c r="K827" t="s">
        <v>202</v>
      </c>
      <c r="L827" t="s">
        <v>404</v>
      </c>
      <c r="M827" t="s">
        <v>290</v>
      </c>
      <c r="N827" t="s">
        <v>419</v>
      </c>
      <c r="O827" t="s">
        <v>420</v>
      </c>
      <c r="P827" t="s">
        <v>427</v>
      </c>
      <c r="S827" t="s">
        <v>953</v>
      </c>
      <c r="T827" t="s">
        <v>1778</v>
      </c>
      <c r="U827" t="s">
        <v>206</v>
      </c>
      <c r="W827" t="s">
        <v>1876</v>
      </c>
      <c r="X827" t="s">
        <v>2659</v>
      </c>
      <c r="Y827" t="s">
        <v>3042</v>
      </c>
      <c r="Z827" t="s">
        <v>3101</v>
      </c>
      <c r="AA827" t="s">
        <v>3135</v>
      </c>
      <c r="AB827">
        <v>11416</v>
      </c>
      <c r="AC827" t="s">
        <v>3136</v>
      </c>
      <c r="AD827" t="s">
        <v>3905</v>
      </c>
      <c r="AE827">
        <v>9</v>
      </c>
      <c r="AG827" t="s">
        <v>4034</v>
      </c>
      <c r="AH827" t="s">
        <v>291</v>
      </c>
      <c r="AI827" t="s">
        <v>291</v>
      </c>
      <c r="AK827" t="s">
        <v>4040</v>
      </c>
      <c r="AL827" t="s">
        <v>4046</v>
      </c>
      <c r="AM827">
        <v>0</v>
      </c>
      <c r="AN827">
        <v>1450</v>
      </c>
      <c r="AO827">
        <v>1.3</v>
      </c>
      <c r="AQ827" t="s">
        <v>4849</v>
      </c>
      <c r="AR827" t="s">
        <v>5713</v>
      </c>
      <c r="AS827">
        <v>2</v>
      </c>
      <c r="AT827" t="s">
        <v>5835</v>
      </c>
      <c r="AU827">
        <v>1</v>
      </c>
      <c r="AV827">
        <v>3</v>
      </c>
      <c r="AW827">
        <v>63.36</v>
      </c>
      <c r="BA827" t="s">
        <v>329</v>
      </c>
      <c r="BB827" t="s">
        <v>1322</v>
      </c>
      <c r="BC827">
        <v>16316</v>
      </c>
      <c r="BG827" t="s">
        <v>5922</v>
      </c>
      <c r="BJ827" t="s">
        <v>5962</v>
      </c>
      <c r="BK827" t="s">
        <v>206</v>
      </c>
      <c r="BL827" t="s">
        <v>6056</v>
      </c>
    </row>
    <row r="828" spans="1:64">
      <c r="A828" s="1">
        <f>HYPERLINK("https://lsnyc.legalserver.org/matter/dynamic-profile/view/1908433","19-1908433")</f>
        <v>0</v>
      </c>
      <c r="B828" t="s">
        <v>67</v>
      </c>
      <c r="C828" t="s">
        <v>186</v>
      </c>
      <c r="D828" t="s">
        <v>200</v>
      </c>
      <c r="E828" t="s">
        <v>202</v>
      </c>
      <c r="F828" t="s">
        <v>218</v>
      </c>
      <c r="G828" t="s">
        <v>202</v>
      </c>
      <c r="H828" t="s">
        <v>271</v>
      </c>
      <c r="I828" t="s">
        <v>202</v>
      </c>
      <c r="J828" t="s">
        <v>289</v>
      </c>
      <c r="K828" t="s">
        <v>292</v>
      </c>
      <c r="M828" t="s">
        <v>290</v>
      </c>
      <c r="N828" t="s">
        <v>202</v>
      </c>
      <c r="O828" t="s">
        <v>421</v>
      </c>
      <c r="P828" t="s">
        <v>427</v>
      </c>
      <c r="S828" t="s">
        <v>1091</v>
      </c>
      <c r="T828" t="s">
        <v>1779</v>
      </c>
      <c r="U828" t="s">
        <v>218</v>
      </c>
      <c r="W828" t="s">
        <v>1876</v>
      </c>
      <c r="X828" t="s">
        <v>2660</v>
      </c>
      <c r="Z828" t="s">
        <v>3109</v>
      </c>
      <c r="AA828" t="s">
        <v>3135</v>
      </c>
      <c r="AB828">
        <v>11434</v>
      </c>
      <c r="AC828" t="s">
        <v>3139</v>
      </c>
      <c r="AD828" t="s">
        <v>3906</v>
      </c>
      <c r="AE828">
        <v>-1</v>
      </c>
      <c r="AG828" t="s">
        <v>4035</v>
      </c>
      <c r="AH828" t="s">
        <v>291</v>
      </c>
      <c r="AI828" t="s">
        <v>291</v>
      </c>
      <c r="AK828" t="s">
        <v>4040</v>
      </c>
      <c r="AM828">
        <v>0</v>
      </c>
      <c r="AN828">
        <v>825</v>
      </c>
      <c r="AO828">
        <v>1.4</v>
      </c>
      <c r="AQ828" t="s">
        <v>4850</v>
      </c>
      <c r="AR828" t="s">
        <v>5714</v>
      </c>
      <c r="AS828">
        <v>1</v>
      </c>
      <c r="AT828" t="s">
        <v>5836</v>
      </c>
      <c r="AU828">
        <v>1</v>
      </c>
      <c r="AV828">
        <v>0</v>
      </c>
      <c r="AW828">
        <v>56.04</v>
      </c>
      <c r="BA828" t="s">
        <v>329</v>
      </c>
      <c r="BB828" t="s">
        <v>1322</v>
      </c>
      <c r="BC828">
        <v>7000</v>
      </c>
      <c r="BG828" t="s">
        <v>5922</v>
      </c>
      <c r="BJ828" t="s">
        <v>3143</v>
      </c>
      <c r="BK828" t="s">
        <v>259</v>
      </c>
      <c r="BL828" t="s">
        <v>6056</v>
      </c>
    </row>
    <row r="829" spans="1:64">
      <c r="A829" s="1">
        <f>HYPERLINK("https://lsnyc.legalserver.org/matter/dynamic-profile/view/1906961","19-1906961")</f>
        <v>0</v>
      </c>
      <c r="B829" t="s">
        <v>67</v>
      </c>
      <c r="C829" t="s">
        <v>186</v>
      </c>
      <c r="D829" t="s">
        <v>200</v>
      </c>
      <c r="E829" t="s">
        <v>201</v>
      </c>
      <c r="G829" t="s">
        <v>202</v>
      </c>
      <c r="H829" t="s">
        <v>271</v>
      </c>
      <c r="I829" t="s">
        <v>202</v>
      </c>
      <c r="J829" t="s">
        <v>289</v>
      </c>
      <c r="K829" t="s">
        <v>292</v>
      </c>
      <c r="M829" t="s">
        <v>290</v>
      </c>
      <c r="N829" t="s">
        <v>419</v>
      </c>
      <c r="O829" t="s">
        <v>420</v>
      </c>
      <c r="P829" t="s">
        <v>427</v>
      </c>
      <c r="S829" t="s">
        <v>1092</v>
      </c>
      <c r="T829" t="s">
        <v>602</v>
      </c>
      <c r="U829" t="s">
        <v>239</v>
      </c>
      <c r="W829" t="s">
        <v>1876</v>
      </c>
      <c r="X829" t="s">
        <v>2661</v>
      </c>
      <c r="Y829" t="s">
        <v>2790</v>
      </c>
      <c r="Z829" t="s">
        <v>3123</v>
      </c>
      <c r="AA829" t="s">
        <v>3135</v>
      </c>
      <c r="AB829">
        <v>11413</v>
      </c>
      <c r="AC829" t="s">
        <v>3136</v>
      </c>
      <c r="AD829" t="s">
        <v>3907</v>
      </c>
      <c r="AE829">
        <v>1</v>
      </c>
      <c r="AG829" t="s">
        <v>4034</v>
      </c>
      <c r="AH829" t="s">
        <v>291</v>
      </c>
      <c r="AI829" t="s">
        <v>291</v>
      </c>
      <c r="AK829" t="s">
        <v>4040</v>
      </c>
      <c r="AM829">
        <v>0</v>
      </c>
      <c r="AN829">
        <v>1000</v>
      </c>
      <c r="AO829">
        <v>1.33</v>
      </c>
      <c r="AQ829" t="s">
        <v>4851</v>
      </c>
      <c r="AR829" t="s">
        <v>5715</v>
      </c>
      <c r="AS829">
        <v>1</v>
      </c>
      <c r="AT829" t="s">
        <v>5835</v>
      </c>
      <c r="AU829">
        <v>2</v>
      </c>
      <c r="AV829">
        <v>1</v>
      </c>
      <c r="AW829">
        <v>137.27</v>
      </c>
      <c r="BA829" t="s">
        <v>329</v>
      </c>
      <c r="BB829" t="s">
        <v>1322</v>
      </c>
      <c r="BC829">
        <v>29280</v>
      </c>
      <c r="BG829" t="s">
        <v>5923</v>
      </c>
      <c r="BJ829" t="s">
        <v>5955</v>
      </c>
      <c r="BK829" t="s">
        <v>239</v>
      </c>
      <c r="BL829" t="s">
        <v>6056</v>
      </c>
    </row>
    <row r="830" spans="1:64">
      <c r="A830" s="1">
        <f>HYPERLINK("https://lsnyc.legalserver.org/matter/dynamic-profile/view/1906987","19-1906987")</f>
        <v>0</v>
      </c>
      <c r="B830" t="s">
        <v>67</v>
      </c>
      <c r="C830" t="s">
        <v>186</v>
      </c>
      <c r="D830" t="s">
        <v>200</v>
      </c>
      <c r="E830" t="s">
        <v>201</v>
      </c>
      <c r="G830" t="s">
        <v>202</v>
      </c>
      <c r="H830" t="s">
        <v>271</v>
      </c>
      <c r="I830" t="s">
        <v>202</v>
      </c>
      <c r="J830" t="s">
        <v>289</v>
      </c>
      <c r="K830" t="s">
        <v>292</v>
      </c>
      <c r="M830" t="s">
        <v>290</v>
      </c>
      <c r="N830" t="s">
        <v>202</v>
      </c>
      <c r="O830" t="s">
        <v>421</v>
      </c>
      <c r="P830" t="s">
        <v>427</v>
      </c>
      <c r="S830" t="s">
        <v>567</v>
      </c>
      <c r="T830" t="s">
        <v>1368</v>
      </c>
      <c r="U830" t="s">
        <v>239</v>
      </c>
      <c r="W830" t="s">
        <v>1876</v>
      </c>
      <c r="X830" t="s">
        <v>2662</v>
      </c>
      <c r="Y830" t="s">
        <v>2916</v>
      </c>
      <c r="Z830" t="s">
        <v>3119</v>
      </c>
      <c r="AA830" t="s">
        <v>3135</v>
      </c>
      <c r="AB830">
        <v>11385</v>
      </c>
      <c r="AC830" t="s">
        <v>3136</v>
      </c>
      <c r="AD830" t="s">
        <v>3908</v>
      </c>
      <c r="AE830">
        <v>1</v>
      </c>
      <c r="AG830" t="s">
        <v>4035</v>
      </c>
      <c r="AH830" t="s">
        <v>291</v>
      </c>
      <c r="AI830" t="s">
        <v>291</v>
      </c>
      <c r="AK830" t="s">
        <v>4040</v>
      </c>
      <c r="AL830" t="s">
        <v>4046</v>
      </c>
      <c r="AM830">
        <v>0</v>
      </c>
      <c r="AN830">
        <v>1200</v>
      </c>
      <c r="AO830">
        <v>19.6</v>
      </c>
      <c r="AQ830" t="s">
        <v>4852</v>
      </c>
      <c r="AR830" t="s">
        <v>5716</v>
      </c>
      <c r="AS830">
        <v>3</v>
      </c>
      <c r="AT830" t="s">
        <v>5835</v>
      </c>
      <c r="AU830">
        <v>1</v>
      </c>
      <c r="AV830">
        <v>0</v>
      </c>
      <c r="AW830">
        <v>0</v>
      </c>
      <c r="BC830">
        <v>0</v>
      </c>
      <c r="BG830" t="s">
        <v>184</v>
      </c>
      <c r="BJ830" t="s">
        <v>5945</v>
      </c>
      <c r="BK830" t="s">
        <v>256</v>
      </c>
      <c r="BL830" t="s">
        <v>6056</v>
      </c>
    </row>
    <row r="831" spans="1:64">
      <c r="A831" s="1">
        <f>HYPERLINK("https://lsnyc.legalserver.org/matter/dynamic-profile/view/1910052","19-1910052")</f>
        <v>0</v>
      </c>
      <c r="B831" t="s">
        <v>67</v>
      </c>
      <c r="C831" t="s">
        <v>186</v>
      </c>
      <c r="D831" t="s">
        <v>200</v>
      </c>
      <c r="E831" t="s">
        <v>202</v>
      </c>
      <c r="F831" t="s">
        <v>206</v>
      </c>
      <c r="G831" t="s">
        <v>202</v>
      </c>
      <c r="H831" t="s">
        <v>271</v>
      </c>
      <c r="I831" t="s">
        <v>202</v>
      </c>
      <c r="J831" t="s">
        <v>289</v>
      </c>
      <c r="K831" t="s">
        <v>202</v>
      </c>
      <c r="L831" t="s">
        <v>405</v>
      </c>
      <c r="M831" t="s">
        <v>290</v>
      </c>
      <c r="N831" t="s">
        <v>419</v>
      </c>
      <c r="O831" t="s">
        <v>420</v>
      </c>
      <c r="P831" t="s">
        <v>427</v>
      </c>
      <c r="S831" t="s">
        <v>582</v>
      </c>
      <c r="T831" t="s">
        <v>1780</v>
      </c>
      <c r="U831" t="s">
        <v>206</v>
      </c>
      <c r="W831" t="s">
        <v>1876</v>
      </c>
      <c r="X831" t="s">
        <v>2663</v>
      </c>
      <c r="Y831" t="s">
        <v>3066</v>
      </c>
      <c r="Z831" t="s">
        <v>3103</v>
      </c>
      <c r="AA831" t="s">
        <v>3135</v>
      </c>
      <c r="AB831">
        <v>11413</v>
      </c>
      <c r="AC831" t="s">
        <v>3136</v>
      </c>
      <c r="AD831" t="s">
        <v>3909</v>
      </c>
      <c r="AE831">
        <v>4</v>
      </c>
      <c r="AG831" t="s">
        <v>4034</v>
      </c>
      <c r="AH831" t="s">
        <v>291</v>
      </c>
      <c r="AI831" t="s">
        <v>291</v>
      </c>
      <c r="AK831" t="s">
        <v>4040</v>
      </c>
      <c r="AM831">
        <v>0</v>
      </c>
      <c r="AN831">
        <v>800</v>
      </c>
      <c r="AO831">
        <v>1.3</v>
      </c>
      <c r="AQ831" t="s">
        <v>4853</v>
      </c>
      <c r="AR831" t="s">
        <v>5717</v>
      </c>
      <c r="AS831">
        <v>1</v>
      </c>
      <c r="AT831" t="s">
        <v>5836</v>
      </c>
      <c r="AU831">
        <v>1</v>
      </c>
      <c r="AV831">
        <v>0</v>
      </c>
      <c r="AW831">
        <v>81.67</v>
      </c>
      <c r="BA831" t="s">
        <v>5853</v>
      </c>
      <c r="BB831" t="s">
        <v>1322</v>
      </c>
      <c r="BC831">
        <v>10200</v>
      </c>
      <c r="BG831" t="s">
        <v>5922</v>
      </c>
      <c r="BJ831" t="s">
        <v>5950</v>
      </c>
      <c r="BK831" t="s">
        <v>206</v>
      </c>
      <c r="BL831" t="s">
        <v>6056</v>
      </c>
    </row>
    <row r="832" spans="1:64">
      <c r="A832" s="1">
        <f>HYPERLINK("https://lsnyc.legalserver.org/matter/dynamic-profile/view/1908905","19-1908905")</f>
        <v>0</v>
      </c>
      <c r="B832" t="s">
        <v>67</v>
      </c>
      <c r="C832" t="s">
        <v>186</v>
      </c>
      <c r="D832" t="s">
        <v>200</v>
      </c>
      <c r="E832" t="s">
        <v>202</v>
      </c>
      <c r="F832" t="s">
        <v>238</v>
      </c>
      <c r="G832" t="s">
        <v>202</v>
      </c>
      <c r="H832" t="s">
        <v>271</v>
      </c>
      <c r="I832" t="s">
        <v>202</v>
      </c>
      <c r="J832" t="s">
        <v>289</v>
      </c>
      <c r="K832" t="s">
        <v>292</v>
      </c>
      <c r="M832" t="s">
        <v>290</v>
      </c>
      <c r="N832" t="s">
        <v>419</v>
      </c>
      <c r="P832" t="s">
        <v>427</v>
      </c>
      <c r="S832" t="s">
        <v>1093</v>
      </c>
      <c r="T832" t="s">
        <v>1781</v>
      </c>
      <c r="U832" t="s">
        <v>238</v>
      </c>
      <c r="W832" t="s">
        <v>1876</v>
      </c>
      <c r="X832" t="s">
        <v>2664</v>
      </c>
      <c r="Z832" t="s">
        <v>3105</v>
      </c>
      <c r="AA832" t="s">
        <v>3135</v>
      </c>
      <c r="AB832">
        <v>11105</v>
      </c>
      <c r="AC832" t="s">
        <v>3136</v>
      </c>
      <c r="AD832" t="s">
        <v>3910</v>
      </c>
      <c r="AE832">
        <v>3</v>
      </c>
      <c r="AG832" t="s">
        <v>4034</v>
      </c>
      <c r="AH832" t="s">
        <v>291</v>
      </c>
      <c r="AK832" t="s">
        <v>4040</v>
      </c>
      <c r="AM832">
        <v>0</v>
      </c>
      <c r="AN832">
        <v>1800</v>
      </c>
      <c r="AO832">
        <v>1.5</v>
      </c>
      <c r="AQ832" t="s">
        <v>4854</v>
      </c>
      <c r="AR832" t="s">
        <v>5718</v>
      </c>
      <c r="AS832">
        <v>2</v>
      </c>
      <c r="AT832" t="s">
        <v>5835</v>
      </c>
      <c r="AU832">
        <v>3</v>
      </c>
      <c r="AV832">
        <v>0</v>
      </c>
      <c r="AW832">
        <v>1172.06</v>
      </c>
      <c r="BA832" t="s">
        <v>329</v>
      </c>
      <c r="BC832">
        <v>250000</v>
      </c>
      <c r="BG832" t="s">
        <v>184</v>
      </c>
      <c r="BJ832" t="s">
        <v>5949</v>
      </c>
      <c r="BK832" t="s">
        <v>238</v>
      </c>
    </row>
    <row r="833" spans="1:64">
      <c r="A833" s="1">
        <f>HYPERLINK("https://lsnyc.legalserver.org/matter/dynamic-profile/view/1906985","19-1906985")</f>
        <v>0</v>
      </c>
      <c r="B833" t="s">
        <v>67</v>
      </c>
      <c r="C833" t="s">
        <v>186</v>
      </c>
      <c r="D833" t="s">
        <v>200</v>
      </c>
      <c r="E833" t="s">
        <v>201</v>
      </c>
      <c r="G833" t="s">
        <v>202</v>
      </c>
      <c r="H833" t="s">
        <v>271</v>
      </c>
      <c r="I833" t="s">
        <v>202</v>
      </c>
      <c r="J833" t="s">
        <v>289</v>
      </c>
      <c r="K833" t="s">
        <v>292</v>
      </c>
      <c r="M833" t="s">
        <v>290</v>
      </c>
      <c r="N833" t="s">
        <v>419</v>
      </c>
      <c r="O833" t="s">
        <v>420</v>
      </c>
      <c r="P833" t="s">
        <v>427</v>
      </c>
      <c r="S833" t="s">
        <v>662</v>
      </c>
      <c r="T833" t="s">
        <v>1578</v>
      </c>
      <c r="U833" t="s">
        <v>226</v>
      </c>
      <c r="W833" t="s">
        <v>1876</v>
      </c>
      <c r="X833" t="s">
        <v>2665</v>
      </c>
      <c r="Z833" t="s">
        <v>3109</v>
      </c>
      <c r="AA833" t="s">
        <v>3135</v>
      </c>
      <c r="AB833">
        <v>11434</v>
      </c>
      <c r="AC833" t="s">
        <v>3139</v>
      </c>
      <c r="AD833" t="s">
        <v>3911</v>
      </c>
      <c r="AE833">
        <v>14</v>
      </c>
      <c r="AG833" t="s">
        <v>4035</v>
      </c>
      <c r="AH833" t="s">
        <v>291</v>
      </c>
      <c r="AK833" t="s">
        <v>4040</v>
      </c>
      <c r="AM833">
        <v>0</v>
      </c>
      <c r="AN833">
        <v>0</v>
      </c>
      <c r="AO833">
        <v>12</v>
      </c>
      <c r="AQ833" t="s">
        <v>4855</v>
      </c>
      <c r="AR833" t="s">
        <v>5286</v>
      </c>
      <c r="AS833">
        <v>1</v>
      </c>
      <c r="AU833">
        <v>4</v>
      </c>
      <c r="AV833">
        <v>3</v>
      </c>
      <c r="AW833">
        <v>146.12</v>
      </c>
      <c r="BB833" t="s">
        <v>5859</v>
      </c>
      <c r="BC833">
        <v>57000</v>
      </c>
      <c r="BG833" t="s">
        <v>5923</v>
      </c>
      <c r="BJ833" t="s">
        <v>5949</v>
      </c>
      <c r="BK833" t="s">
        <v>228</v>
      </c>
      <c r="BL833" t="s">
        <v>6056</v>
      </c>
    </row>
    <row r="834" spans="1:64">
      <c r="A834" s="1">
        <f>HYPERLINK("https://lsnyc.legalserver.org/matter/dynamic-profile/view/1909463","19-1909463")</f>
        <v>0</v>
      </c>
      <c r="B834" t="s">
        <v>67</v>
      </c>
      <c r="C834" t="s">
        <v>186</v>
      </c>
      <c r="D834" t="s">
        <v>200</v>
      </c>
      <c r="E834" t="s">
        <v>201</v>
      </c>
      <c r="G834" t="s">
        <v>202</v>
      </c>
      <c r="H834" t="s">
        <v>272</v>
      </c>
      <c r="I834" t="s">
        <v>202</v>
      </c>
      <c r="J834" t="s">
        <v>289</v>
      </c>
      <c r="K834" t="s">
        <v>292</v>
      </c>
      <c r="M834" t="s">
        <v>290</v>
      </c>
      <c r="N834" t="s">
        <v>419</v>
      </c>
      <c r="O834" t="s">
        <v>420</v>
      </c>
      <c r="P834" t="s">
        <v>427</v>
      </c>
      <c r="S834" t="s">
        <v>1082</v>
      </c>
      <c r="T834" t="s">
        <v>1782</v>
      </c>
      <c r="U834" t="s">
        <v>230</v>
      </c>
      <c r="W834" t="s">
        <v>1876</v>
      </c>
      <c r="X834" t="s">
        <v>2666</v>
      </c>
      <c r="Y834" t="s">
        <v>3067</v>
      </c>
      <c r="Z834" t="s">
        <v>3112</v>
      </c>
      <c r="AA834" t="s">
        <v>3135</v>
      </c>
      <c r="AB834">
        <v>11367</v>
      </c>
      <c r="AC834" t="s">
        <v>3140</v>
      </c>
      <c r="AD834" t="s">
        <v>3912</v>
      </c>
      <c r="AE834">
        <v>6</v>
      </c>
      <c r="AG834" t="s">
        <v>4034</v>
      </c>
      <c r="AH834" t="s">
        <v>291</v>
      </c>
      <c r="AI834" t="s">
        <v>291</v>
      </c>
      <c r="AK834" t="s">
        <v>4040</v>
      </c>
      <c r="AL834" t="s">
        <v>4046</v>
      </c>
      <c r="AM834">
        <v>0</v>
      </c>
      <c r="AN834">
        <v>1396.64</v>
      </c>
      <c r="AO834">
        <v>2.5</v>
      </c>
      <c r="AQ834" t="s">
        <v>4856</v>
      </c>
      <c r="AR834" t="s">
        <v>5719</v>
      </c>
      <c r="AS834">
        <v>174</v>
      </c>
      <c r="AT834" t="s">
        <v>5838</v>
      </c>
      <c r="AU834">
        <v>1</v>
      </c>
      <c r="AV834">
        <v>0</v>
      </c>
      <c r="AW834">
        <v>117.12</v>
      </c>
      <c r="BA834" t="s">
        <v>329</v>
      </c>
      <c r="BB834" t="s">
        <v>1322</v>
      </c>
      <c r="BC834">
        <v>14628</v>
      </c>
      <c r="BG834" t="s">
        <v>176</v>
      </c>
      <c r="BJ834" t="s">
        <v>5944</v>
      </c>
      <c r="BK834" t="s">
        <v>230</v>
      </c>
      <c r="BL834" t="s">
        <v>6056</v>
      </c>
    </row>
    <row r="835" spans="1:64">
      <c r="A835" s="1">
        <f>HYPERLINK("https://lsnyc.legalserver.org/matter/dynamic-profile/view/1905250","19-1905250")</f>
        <v>0</v>
      </c>
      <c r="B835" t="s">
        <v>67</v>
      </c>
      <c r="C835" t="s">
        <v>186</v>
      </c>
      <c r="D835" t="s">
        <v>200</v>
      </c>
      <c r="E835" t="s">
        <v>202</v>
      </c>
      <c r="F835" t="s">
        <v>231</v>
      </c>
      <c r="G835" t="s">
        <v>202</v>
      </c>
      <c r="H835" t="s">
        <v>277</v>
      </c>
      <c r="I835" t="s">
        <v>202</v>
      </c>
      <c r="J835" t="s">
        <v>289</v>
      </c>
      <c r="K835" t="s">
        <v>292</v>
      </c>
      <c r="M835" t="s">
        <v>290</v>
      </c>
      <c r="N835" t="s">
        <v>202</v>
      </c>
      <c r="O835" t="s">
        <v>422</v>
      </c>
      <c r="P835" t="s">
        <v>428</v>
      </c>
      <c r="S835" t="s">
        <v>978</v>
      </c>
      <c r="T835" t="s">
        <v>1783</v>
      </c>
      <c r="U835" t="s">
        <v>231</v>
      </c>
      <c r="V835" t="s">
        <v>253</v>
      </c>
      <c r="W835" t="s">
        <v>1877</v>
      </c>
      <c r="X835" t="s">
        <v>2667</v>
      </c>
      <c r="Y835" t="s">
        <v>2836</v>
      </c>
      <c r="Z835" t="s">
        <v>3112</v>
      </c>
      <c r="AA835" t="s">
        <v>3135</v>
      </c>
      <c r="AB835">
        <v>11367</v>
      </c>
      <c r="AC835" t="s">
        <v>3143</v>
      </c>
      <c r="AD835" t="s">
        <v>3913</v>
      </c>
      <c r="AE835">
        <v>1</v>
      </c>
      <c r="AF835" t="s">
        <v>4023</v>
      </c>
      <c r="AG835" t="s">
        <v>4034</v>
      </c>
      <c r="AH835" t="s">
        <v>291</v>
      </c>
      <c r="AI835" t="s">
        <v>289</v>
      </c>
      <c r="AK835" t="s">
        <v>4040</v>
      </c>
      <c r="AL835" t="s">
        <v>4046</v>
      </c>
      <c r="AM835">
        <v>0</v>
      </c>
      <c r="AN835">
        <v>1100</v>
      </c>
      <c r="AO835">
        <v>1.75</v>
      </c>
      <c r="AP835" t="s">
        <v>4052</v>
      </c>
      <c r="AQ835" t="s">
        <v>4857</v>
      </c>
      <c r="AR835" t="s">
        <v>5720</v>
      </c>
      <c r="AS835">
        <v>4</v>
      </c>
      <c r="AT835" t="s">
        <v>5836</v>
      </c>
      <c r="AU835">
        <v>1</v>
      </c>
      <c r="AV835">
        <v>0</v>
      </c>
      <c r="AW835">
        <v>83.97</v>
      </c>
      <c r="BA835" t="s">
        <v>5853</v>
      </c>
      <c r="BB835" t="s">
        <v>1322</v>
      </c>
      <c r="BC835">
        <v>10488</v>
      </c>
      <c r="BG835" t="s">
        <v>5923</v>
      </c>
      <c r="BJ835" t="s">
        <v>5957</v>
      </c>
      <c r="BK835" t="s">
        <v>250</v>
      </c>
      <c r="BL835" t="s">
        <v>6056</v>
      </c>
    </row>
    <row r="836" spans="1:64">
      <c r="A836" s="1">
        <f>HYPERLINK("https://lsnyc.legalserver.org/matter/dynamic-profile/view/1904495","19-1904495")</f>
        <v>0</v>
      </c>
      <c r="B836" t="s">
        <v>67</v>
      </c>
      <c r="C836" t="s">
        <v>186</v>
      </c>
      <c r="D836" t="s">
        <v>200</v>
      </c>
      <c r="E836" t="s">
        <v>202</v>
      </c>
      <c r="F836" t="s">
        <v>205</v>
      </c>
      <c r="G836" t="s">
        <v>202</v>
      </c>
      <c r="H836" t="s">
        <v>272</v>
      </c>
      <c r="I836" t="s">
        <v>202</v>
      </c>
      <c r="J836" t="s">
        <v>289</v>
      </c>
      <c r="K836" t="s">
        <v>202</v>
      </c>
      <c r="L836" t="s">
        <v>406</v>
      </c>
      <c r="M836" t="s">
        <v>290</v>
      </c>
      <c r="N836" t="s">
        <v>419</v>
      </c>
      <c r="O836" t="s">
        <v>420</v>
      </c>
      <c r="P836" t="s">
        <v>427</v>
      </c>
      <c r="S836" t="s">
        <v>1094</v>
      </c>
      <c r="T836" t="s">
        <v>1784</v>
      </c>
      <c r="U836" t="s">
        <v>205</v>
      </c>
      <c r="W836" t="s">
        <v>1876</v>
      </c>
      <c r="X836" t="s">
        <v>2668</v>
      </c>
      <c r="Y836" t="s">
        <v>2844</v>
      </c>
      <c r="Z836" t="s">
        <v>3126</v>
      </c>
      <c r="AA836" t="s">
        <v>3135</v>
      </c>
      <c r="AB836">
        <v>11365</v>
      </c>
      <c r="AC836" t="s">
        <v>3136</v>
      </c>
      <c r="AD836" t="s">
        <v>3914</v>
      </c>
      <c r="AE836">
        <v>5</v>
      </c>
      <c r="AG836" t="s">
        <v>4034</v>
      </c>
      <c r="AH836" t="s">
        <v>291</v>
      </c>
      <c r="AI836" t="s">
        <v>291</v>
      </c>
      <c r="AK836" t="s">
        <v>4041</v>
      </c>
      <c r="AL836" t="s">
        <v>4046</v>
      </c>
      <c r="AM836">
        <v>0</v>
      </c>
      <c r="AN836">
        <v>263</v>
      </c>
      <c r="AO836">
        <v>1.3</v>
      </c>
      <c r="AQ836" t="s">
        <v>4858</v>
      </c>
      <c r="AR836" t="s">
        <v>5721</v>
      </c>
      <c r="AS836">
        <v>28</v>
      </c>
      <c r="AT836" t="s">
        <v>5837</v>
      </c>
      <c r="AU836">
        <v>1</v>
      </c>
      <c r="AV836">
        <v>0</v>
      </c>
      <c r="AW836">
        <v>82.34</v>
      </c>
      <c r="BA836" t="s">
        <v>329</v>
      </c>
      <c r="BB836" t="s">
        <v>1322</v>
      </c>
      <c r="BC836">
        <v>10284</v>
      </c>
      <c r="BG836" t="s">
        <v>5922</v>
      </c>
      <c r="BJ836" t="s">
        <v>5959</v>
      </c>
      <c r="BK836" t="s">
        <v>205</v>
      </c>
      <c r="BL836" t="s">
        <v>6056</v>
      </c>
    </row>
    <row r="837" spans="1:64">
      <c r="A837" s="1">
        <f>HYPERLINK("https://lsnyc.legalserver.org/matter/dynamic-profile/view/1905090","19-1905090")</f>
        <v>0</v>
      </c>
      <c r="B837" t="s">
        <v>67</v>
      </c>
      <c r="C837" t="s">
        <v>182</v>
      </c>
      <c r="D837" t="s">
        <v>200</v>
      </c>
      <c r="E837" t="s">
        <v>202</v>
      </c>
      <c r="F837" t="s">
        <v>258</v>
      </c>
      <c r="G837" t="s">
        <v>202</v>
      </c>
      <c r="H837" t="s">
        <v>271</v>
      </c>
      <c r="I837" t="s">
        <v>202</v>
      </c>
      <c r="J837" t="s">
        <v>289</v>
      </c>
      <c r="K837" t="s">
        <v>292</v>
      </c>
      <c r="M837" t="s">
        <v>290</v>
      </c>
      <c r="N837" t="s">
        <v>202</v>
      </c>
      <c r="O837" t="s">
        <v>421</v>
      </c>
      <c r="P837" t="s">
        <v>427</v>
      </c>
      <c r="S837" t="s">
        <v>1095</v>
      </c>
      <c r="T837" t="s">
        <v>1785</v>
      </c>
      <c r="U837" t="s">
        <v>258</v>
      </c>
      <c r="W837" t="s">
        <v>1876</v>
      </c>
      <c r="X837" t="s">
        <v>2669</v>
      </c>
      <c r="Y837" t="s">
        <v>3057</v>
      </c>
      <c r="Z837" t="s">
        <v>3109</v>
      </c>
      <c r="AA837" t="s">
        <v>3135</v>
      </c>
      <c r="AB837">
        <v>11434</v>
      </c>
      <c r="AC837" t="s">
        <v>3139</v>
      </c>
      <c r="AD837" t="s">
        <v>3915</v>
      </c>
      <c r="AE837">
        <v>3</v>
      </c>
      <c r="AG837" t="s">
        <v>4035</v>
      </c>
      <c r="AH837" t="s">
        <v>291</v>
      </c>
      <c r="AI837" t="s">
        <v>291</v>
      </c>
      <c r="AK837" t="s">
        <v>4040</v>
      </c>
      <c r="AL837" t="s">
        <v>4046</v>
      </c>
      <c r="AM837">
        <v>0</v>
      </c>
      <c r="AN837">
        <v>950</v>
      </c>
      <c r="AO837">
        <v>13.1</v>
      </c>
      <c r="AQ837" t="s">
        <v>4859</v>
      </c>
      <c r="AR837" t="s">
        <v>5722</v>
      </c>
      <c r="AS837">
        <v>3</v>
      </c>
      <c r="AT837" t="s">
        <v>5835</v>
      </c>
      <c r="AU837">
        <v>2</v>
      </c>
      <c r="AV837">
        <v>2</v>
      </c>
      <c r="AW837">
        <v>128.16</v>
      </c>
      <c r="BA837" t="s">
        <v>329</v>
      </c>
      <c r="BB837" t="s">
        <v>1322</v>
      </c>
      <c r="BC837">
        <v>33000</v>
      </c>
      <c r="BG837" t="s">
        <v>5922</v>
      </c>
      <c r="BJ837" t="s">
        <v>5949</v>
      </c>
      <c r="BK837" t="s">
        <v>237</v>
      </c>
      <c r="BL837" t="s">
        <v>6056</v>
      </c>
    </row>
    <row r="838" spans="1:64">
      <c r="A838" s="1">
        <f>HYPERLINK("https://lsnyc.legalserver.org/matter/dynamic-profile/view/1905851","19-1905851")</f>
        <v>0</v>
      </c>
      <c r="B838" t="s">
        <v>67</v>
      </c>
      <c r="C838" t="s">
        <v>182</v>
      </c>
      <c r="D838" t="s">
        <v>200</v>
      </c>
      <c r="E838" t="s">
        <v>201</v>
      </c>
      <c r="G838" t="s">
        <v>202</v>
      </c>
      <c r="H838" t="s">
        <v>271</v>
      </c>
      <c r="I838" t="s">
        <v>202</v>
      </c>
      <c r="J838" t="s">
        <v>289</v>
      </c>
      <c r="K838" t="s">
        <v>292</v>
      </c>
      <c r="M838" t="s">
        <v>290</v>
      </c>
      <c r="N838" t="s">
        <v>419</v>
      </c>
      <c r="O838" t="s">
        <v>420</v>
      </c>
      <c r="P838" t="s">
        <v>427</v>
      </c>
      <c r="S838" t="s">
        <v>1096</v>
      </c>
      <c r="T838" t="s">
        <v>1786</v>
      </c>
      <c r="U838" t="s">
        <v>262</v>
      </c>
      <c r="W838" t="s">
        <v>1876</v>
      </c>
      <c r="X838" t="s">
        <v>2670</v>
      </c>
      <c r="Y838">
        <v>6</v>
      </c>
      <c r="Z838" t="s">
        <v>3112</v>
      </c>
      <c r="AA838" t="s">
        <v>3135</v>
      </c>
      <c r="AB838">
        <v>11355</v>
      </c>
      <c r="AC838" t="s">
        <v>3136</v>
      </c>
      <c r="AD838" t="s">
        <v>3916</v>
      </c>
      <c r="AE838">
        <v>1</v>
      </c>
      <c r="AG838" t="s">
        <v>4034</v>
      </c>
      <c r="AH838" t="s">
        <v>291</v>
      </c>
      <c r="AI838" t="s">
        <v>291</v>
      </c>
      <c r="AK838" t="s">
        <v>4040</v>
      </c>
      <c r="AL838" t="s">
        <v>4046</v>
      </c>
      <c r="AM838">
        <v>0</v>
      </c>
      <c r="AN838">
        <v>800</v>
      </c>
      <c r="AO838">
        <v>1.6</v>
      </c>
      <c r="AQ838" t="s">
        <v>4860</v>
      </c>
      <c r="AR838" t="s">
        <v>5723</v>
      </c>
      <c r="AS838">
        <v>0</v>
      </c>
      <c r="AT838" t="s">
        <v>5835</v>
      </c>
      <c r="AU838">
        <v>1</v>
      </c>
      <c r="AV838">
        <v>0</v>
      </c>
      <c r="AW838">
        <v>52.84</v>
      </c>
      <c r="BB838" t="s">
        <v>5872</v>
      </c>
      <c r="BC838">
        <v>6600</v>
      </c>
      <c r="BG838" t="s">
        <v>182</v>
      </c>
      <c r="BJ838" t="s">
        <v>6010</v>
      </c>
      <c r="BK838" t="s">
        <v>209</v>
      </c>
    </row>
    <row r="839" spans="1:64">
      <c r="A839" s="1">
        <f>HYPERLINK("https://lsnyc.legalserver.org/matter/dynamic-profile/view/1910414","19-1910414")</f>
        <v>0</v>
      </c>
      <c r="B839" t="s">
        <v>67</v>
      </c>
      <c r="C839" t="s">
        <v>182</v>
      </c>
      <c r="D839" t="s">
        <v>200</v>
      </c>
      <c r="E839" t="s">
        <v>202</v>
      </c>
      <c r="F839" t="s">
        <v>266</v>
      </c>
      <c r="G839" t="s">
        <v>202</v>
      </c>
      <c r="H839" t="s">
        <v>271</v>
      </c>
      <c r="I839" t="s">
        <v>202</v>
      </c>
      <c r="J839" t="s">
        <v>289</v>
      </c>
      <c r="K839" t="s">
        <v>202</v>
      </c>
      <c r="L839" t="s">
        <v>407</v>
      </c>
      <c r="M839" t="s">
        <v>290</v>
      </c>
      <c r="N839" t="s">
        <v>419</v>
      </c>
      <c r="O839" t="s">
        <v>420</v>
      </c>
      <c r="P839" t="s">
        <v>427</v>
      </c>
      <c r="S839" t="s">
        <v>1097</v>
      </c>
      <c r="T839" t="s">
        <v>1787</v>
      </c>
      <c r="U839" t="s">
        <v>266</v>
      </c>
      <c r="W839" t="s">
        <v>1876</v>
      </c>
      <c r="X839" t="s">
        <v>2671</v>
      </c>
      <c r="Y839" t="s">
        <v>3042</v>
      </c>
      <c r="Z839" t="s">
        <v>3127</v>
      </c>
      <c r="AA839" t="s">
        <v>3135</v>
      </c>
      <c r="AB839">
        <v>11423</v>
      </c>
      <c r="AC839" t="s">
        <v>3136</v>
      </c>
      <c r="AD839" t="s">
        <v>3917</v>
      </c>
      <c r="AE839">
        <v>1</v>
      </c>
      <c r="AG839" t="s">
        <v>4034</v>
      </c>
      <c r="AH839" t="s">
        <v>291</v>
      </c>
      <c r="AI839" t="s">
        <v>291</v>
      </c>
      <c r="AK839" t="s">
        <v>4040</v>
      </c>
      <c r="AM839">
        <v>0</v>
      </c>
      <c r="AN839">
        <v>800</v>
      </c>
      <c r="AO839">
        <v>0.4</v>
      </c>
      <c r="AQ839" t="s">
        <v>4861</v>
      </c>
      <c r="AR839" t="s">
        <v>5724</v>
      </c>
      <c r="AS839">
        <v>2</v>
      </c>
      <c r="AT839" t="s">
        <v>5836</v>
      </c>
      <c r="AU839">
        <v>2</v>
      </c>
      <c r="AV839">
        <v>0</v>
      </c>
      <c r="AW839">
        <v>67.7</v>
      </c>
      <c r="BA839" t="s">
        <v>5853</v>
      </c>
      <c r="BB839" t="s">
        <v>1322</v>
      </c>
      <c r="BC839">
        <v>11448</v>
      </c>
      <c r="BG839" t="s">
        <v>5922</v>
      </c>
      <c r="BJ839" t="s">
        <v>6001</v>
      </c>
      <c r="BK839" t="s">
        <v>266</v>
      </c>
      <c r="BL839" t="s">
        <v>6056</v>
      </c>
    </row>
    <row r="840" spans="1:64">
      <c r="A840" s="1">
        <f>HYPERLINK("https://lsnyc.legalserver.org/matter/dynamic-profile/view/1909012","19-1909012")</f>
        <v>0</v>
      </c>
      <c r="B840" t="s">
        <v>67</v>
      </c>
      <c r="C840" t="s">
        <v>182</v>
      </c>
      <c r="D840" t="s">
        <v>200</v>
      </c>
      <c r="E840" t="s">
        <v>201</v>
      </c>
      <c r="G840" t="s">
        <v>202</v>
      </c>
      <c r="H840" t="s">
        <v>278</v>
      </c>
      <c r="I840" t="s">
        <v>288</v>
      </c>
      <c r="J840" t="s">
        <v>290</v>
      </c>
      <c r="K840" t="s">
        <v>292</v>
      </c>
      <c r="M840" t="s">
        <v>290</v>
      </c>
      <c r="N840" t="s">
        <v>202</v>
      </c>
      <c r="O840" t="s">
        <v>422</v>
      </c>
      <c r="P840" t="s">
        <v>427</v>
      </c>
      <c r="S840" t="s">
        <v>1098</v>
      </c>
      <c r="T840" t="s">
        <v>1788</v>
      </c>
      <c r="U840" t="s">
        <v>256</v>
      </c>
      <c r="W840" t="s">
        <v>1876</v>
      </c>
      <c r="X840" t="s">
        <v>2672</v>
      </c>
      <c r="Y840" t="s">
        <v>2806</v>
      </c>
      <c r="Z840" t="s">
        <v>3112</v>
      </c>
      <c r="AA840" t="s">
        <v>3135</v>
      </c>
      <c r="AB840">
        <v>11355</v>
      </c>
      <c r="AE840">
        <v>17</v>
      </c>
      <c r="AG840" t="s">
        <v>4035</v>
      </c>
      <c r="AH840" t="s">
        <v>291</v>
      </c>
      <c r="AI840" t="s">
        <v>291</v>
      </c>
      <c r="AK840" t="s">
        <v>4040</v>
      </c>
      <c r="AM840">
        <v>0</v>
      </c>
      <c r="AN840">
        <v>1800</v>
      </c>
      <c r="AO840">
        <v>5.1</v>
      </c>
      <c r="AQ840" t="s">
        <v>4862</v>
      </c>
      <c r="AR840" t="s">
        <v>5725</v>
      </c>
      <c r="AS840">
        <v>0</v>
      </c>
      <c r="AT840" t="s">
        <v>5838</v>
      </c>
      <c r="AU840">
        <v>1</v>
      </c>
      <c r="AV840">
        <v>0</v>
      </c>
      <c r="AW840">
        <v>960.77</v>
      </c>
      <c r="BB840" t="s">
        <v>5872</v>
      </c>
      <c r="BC840">
        <v>120000</v>
      </c>
      <c r="BG840" t="s">
        <v>182</v>
      </c>
      <c r="BJ840" t="s">
        <v>6004</v>
      </c>
      <c r="BK840" t="s">
        <v>259</v>
      </c>
    </row>
    <row r="841" spans="1:64">
      <c r="A841" s="1">
        <f>HYPERLINK("https://lsnyc.legalserver.org/matter/dynamic-profile/view/1908921","19-1908921")</f>
        <v>0</v>
      </c>
      <c r="B841" t="s">
        <v>67</v>
      </c>
      <c r="C841" t="s">
        <v>182</v>
      </c>
      <c r="D841" t="s">
        <v>200</v>
      </c>
      <c r="E841" t="s">
        <v>201</v>
      </c>
      <c r="G841" t="s">
        <v>202</v>
      </c>
      <c r="H841" t="s">
        <v>271</v>
      </c>
      <c r="I841" t="s">
        <v>288</v>
      </c>
      <c r="J841" t="s">
        <v>290</v>
      </c>
      <c r="K841" t="s">
        <v>292</v>
      </c>
      <c r="M841" t="s">
        <v>290</v>
      </c>
      <c r="N841" t="s">
        <v>419</v>
      </c>
      <c r="O841" t="s">
        <v>420</v>
      </c>
      <c r="P841" t="s">
        <v>427</v>
      </c>
      <c r="S841" t="s">
        <v>675</v>
      </c>
      <c r="T841" t="s">
        <v>1789</v>
      </c>
      <c r="U841" t="s">
        <v>238</v>
      </c>
      <c r="W841" t="s">
        <v>1876</v>
      </c>
      <c r="X841" t="s">
        <v>2673</v>
      </c>
      <c r="Y841" t="s">
        <v>3068</v>
      </c>
      <c r="Z841" t="s">
        <v>3115</v>
      </c>
      <c r="AA841" t="s">
        <v>3135</v>
      </c>
      <c r="AB841">
        <v>11427</v>
      </c>
      <c r="AC841" t="s">
        <v>3136</v>
      </c>
      <c r="AE841">
        <v>7</v>
      </c>
      <c r="AG841" t="s">
        <v>4034</v>
      </c>
      <c r="AH841" t="s">
        <v>291</v>
      </c>
      <c r="AI841" t="s">
        <v>291</v>
      </c>
      <c r="AK841" t="s">
        <v>4040</v>
      </c>
      <c r="AL841" t="s">
        <v>4046</v>
      </c>
      <c r="AM841">
        <v>0</v>
      </c>
      <c r="AN841">
        <v>0</v>
      </c>
      <c r="AO841">
        <v>1.6</v>
      </c>
      <c r="AQ841" t="s">
        <v>4863</v>
      </c>
      <c r="AR841" t="s">
        <v>5726</v>
      </c>
      <c r="AS841">
        <v>80</v>
      </c>
      <c r="AT841" t="s">
        <v>5845</v>
      </c>
      <c r="AU841">
        <v>1</v>
      </c>
      <c r="AV841">
        <v>1</v>
      </c>
      <c r="AW841">
        <v>57.42</v>
      </c>
      <c r="BA841" t="s">
        <v>329</v>
      </c>
      <c r="BC841">
        <v>9710</v>
      </c>
      <c r="BG841" t="s">
        <v>184</v>
      </c>
      <c r="BJ841" t="s">
        <v>5949</v>
      </c>
      <c r="BK841" t="s">
        <v>222</v>
      </c>
    </row>
    <row r="842" spans="1:64">
      <c r="A842" s="1">
        <f>HYPERLINK("https://lsnyc.legalserver.org/matter/dynamic-profile/view/1909056","19-1909056")</f>
        <v>0</v>
      </c>
      <c r="B842" t="s">
        <v>67</v>
      </c>
      <c r="C842" t="s">
        <v>182</v>
      </c>
      <c r="D842" t="s">
        <v>200</v>
      </c>
      <c r="E842" t="s">
        <v>201</v>
      </c>
      <c r="G842" t="s">
        <v>202</v>
      </c>
      <c r="H842" t="s">
        <v>278</v>
      </c>
      <c r="I842" t="s">
        <v>288</v>
      </c>
      <c r="J842" t="s">
        <v>290</v>
      </c>
      <c r="K842" t="s">
        <v>292</v>
      </c>
      <c r="M842" t="s">
        <v>290</v>
      </c>
      <c r="N842" t="s">
        <v>202</v>
      </c>
      <c r="O842" t="s">
        <v>422</v>
      </c>
      <c r="P842" t="s">
        <v>427</v>
      </c>
      <c r="S842" t="s">
        <v>1099</v>
      </c>
      <c r="T842" t="s">
        <v>1790</v>
      </c>
      <c r="U842" t="s">
        <v>256</v>
      </c>
      <c r="W842" t="s">
        <v>1876</v>
      </c>
      <c r="X842" t="s">
        <v>2674</v>
      </c>
      <c r="Y842" t="s">
        <v>2784</v>
      </c>
      <c r="Z842" t="s">
        <v>3112</v>
      </c>
      <c r="AA842" t="s">
        <v>3135</v>
      </c>
      <c r="AB842">
        <v>11355</v>
      </c>
      <c r="AD842" t="s">
        <v>3918</v>
      </c>
      <c r="AE842">
        <v>10</v>
      </c>
      <c r="AG842" t="s">
        <v>4035</v>
      </c>
      <c r="AH842" t="s">
        <v>291</v>
      </c>
      <c r="AI842" t="s">
        <v>291</v>
      </c>
      <c r="AK842" t="s">
        <v>4040</v>
      </c>
      <c r="AL842" t="s">
        <v>4046</v>
      </c>
      <c r="AM842">
        <v>0</v>
      </c>
      <c r="AN842">
        <v>2131.5</v>
      </c>
      <c r="AO842">
        <v>1</v>
      </c>
      <c r="AQ842" t="s">
        <v>4290</v>
      </c>
      <c r="AR842" t="s">
        <v>5727</v>
      </c>
      <c r="AS842">
        <v>0</v>
      </c>
      <c r="AT842" t="s">
        <v>5838</v>
      </c>
      <c r="AU842">
        <v>1</v>
      </c>
      <c r="AV842">
        <v>0</v>
      </c>
      <c r="AW842">
        <v>61.49</v>
      </c>
      <c r="BB842" t="s">
        <v>5872</v>
      </c>
      <c r="BC842">
        <v>7680</v>
      </c>
      <c r="BG842" t="s">
        <v>182</v>
      </c>
      <c r="BJ842" t="s">
        <v>6004</v>
      </c>
      <c r="BK842" t="s">
        <v>256</v>
      </c>
    </row>
    <row r="843" spans="1:64">
      <c r="A843" s="1">
        <f>HYPERLINK("https://lsnyc.legalserver.org/matter/dynamic-profile/view/1905341","19-1905341")</f>
        <v>0</v>
      </c>
      <c r="B843" t="s">
        <v>67</v>
      </c>
      <c r="C843" t="s">
        <v>182</v>
      </c>
      <c r="D843" t="s">
        <v>200</v>
      </c>
      <c r="E843" t="s">
        <v>201</v>
      </c>
      <c r="G843" t="s">
        <v>202</v>
      </c>
      <c r="H843" t="s">
        <v>272</v>
      </c>
      <c r="I843" t="s">
        <v>202</v>
      </c>
      <c r="J843" t="s">
        <v>289</v>
      </c>
      <c r="K843" t="s">
        <v>202</v>
      </c>
      <c r="L843" t="s">
        <v>408</v>
      </c>
      <c r="M843" t="s">
        <v>290</v>
      </c>
      <c r="N843" t="s">
        <v>419</v>
      </c>
      <c r="O843" t="s">
        <v>420</v>
      </c>
      <c r="P843" t="s">
        <v>427</v>
      </c>
      <c r="S843" t="s">
        <v>741</v>
      </c>
      <c r="T843" t="s">
        <v>1791</v>
      </c>
      <c r="U843" t="s">
        <v>214</v>
      </c>
      <c r="W843" t="s">
        <v>1876</v>
      </c>
      <c r="X843" t="s">
        <v>2675</v>
      </c>
      <c r="Y843">
        <v>2</v>
      </c>
      <c r="Z843" t="s">
        <v>3115</v>
      </c>
      <c r="AA843" t="s">
        <v>3135</v>
      </c>
      <c r="AB843">
        <v>11429</v>
      </c>
      <c r="AC843" t="s">
        <v>3136</v>
      </c>
      <c r="AD843" t="s">
        <v>3919</v>
      </c>
      <c r="AE843">
        <v>4</v>
      </c>
      <c r="AG843" t="s">
        <v>4034</v>
      </c>
      <c r="AH843" t="s">
        <v>291</v>
      </c>
      <c r="AI843" t="s">
        <v>291</v>
      </c>
      <c r="AK843" t="s">
        <v>4040</v>
      </c>
      <c r="AM843">
        <v>0</v>
      </c>
      <c r="AN843">
        <v>1500</v>
      </c>
      <c r="AO843">
        <v>1.83</v>
      </c>
      <c r="AQ843" t="s">
        <v>4864</v>
      </c>
      <c r="AR843" t="s">
        <v>5728</v>
      </c>
      <c r="AS843">
        <v>2</v>
      </c>
      <c r="AT843" t="s">
        <v>5835</v>
      </c>
      <c r="AU843">
        <v>3</v>
      </c>
      <c r="AV843">
        <v>3</v>
      </c>
      <c r="AW843">
        <v>37.66</v>
      </c>
      <c r="BC843">
        <v>13025</v>
      </c>
      <c r="BG843" t="s">
        <v>5923</v>
      </c>
      <c r="BJ843" t="s">
        <v>6048</v>
      </c>
      <c r="BK843" t="s">
        <v>259</v>
      </c>
      <c r="BL843" t="s">
        <v>6056</v>
      </c>
    </row>
    <row r="844" spans="1:64">
      <c r="A844" s="1">
        <f>HYPERLINK("https://lsnyc.legalserver.org/matter/dynamic-profile/view/1905813","19-1905813")</f>
        <v>0</v>
      </c>
      <c r="B844" t="s">
        <v>67</v>
      </c>
      <c r="C844" t="s">
        <v>182</v>
      </c>
      <c r="D844" t="s">
        <v>200</v>
      </c>
      <c r="E844" t="s">
        <v>202</v>
      </c>
      <c r="F844" t="s">
        <v>262</v>
      </c>
      <c r="G844" t="s">
        <v>202</v>
      </c>
      <c r="H844" t="s">
        <v>272</v>
      </c>
      <c r="I844" t="s">
        <v>202</v>
      </c>
      <c r="J844" t="s">
        <v>289</v>
      </c>
      <c r="K844" t="s">
        <v>202</v>
      </c>
      <c r="L844" t="s">
        <v>409</v>
      </c>
      <c r="M844" t="s">
        <v>290</v>
      </c>
      <c r="N844" t="s">
        <v>202</v>
      </c>
      <c r="O844" t="s">
        <v>422</v>
      </c>
      <c r="P844" t="s">
        <v>428</v>
      </c>
      <c r="S844" t="s">
        <v>1051</v>
      </c>
      <c r="T844" t="s">
        <v>1792</v>
      </c>
      <c r="U844" t="s">
        <v>262</v>
      </c>
      <c r="V844" t="s">
        <v>222</v>
      </c>
      <c r="W844" t="s">
        <v>1877</v>
      </c>
      <c r="X844" t="s">
        <v>2676</v>
      </c>
      <c r="Z844" t="s">
        <v>3108</v>
      </c>
      <c r="AA844" t="s">
        <v>3135</v>
      </c>
      <c r="AB844">
        <v>11420</v>
      </c>
      <c r="AC844" t="s">
        <v>3136</v>
      </c>
      <c r="AD844" t="s">
        <v>3920</v>
      </c>
      <c r="AE844">
        <v>3</v>
      </c>
      <c r="AF844" t="s">
        <v>4023</v>
      </c>
      <c r="AG844" t="s">
        <v>4034</v>
      </c>
      <c r="AH844" t="s">
        <v>291</v>
      </c>
      <c r="AI844" t="s">
        <v>291</v>
      </c>
      <c r="AK844" t="s">
        <v>4040</v>
      </c>
      <c r="AL844" t="s">
        <v>4046</v>
      </c>
      <c r="AM844">
        <v>0</v>
      </c>
      <c r="AN844">
        <v>1956</v>
      </c>
      <c r="AO844">
        <v>2</v>
      </c>
      <c r="AP844" t="s">
        <v>4052</v>
      </c>
      <c r="AQ844" t="s">
        <v>4865</v>
      </c>
      <c r="AR844" t="s">
        <v>5729</v>
      </c>
      <c r="AS844">
        <v>1</v>
      </c>
      <c r="AT844" t="s">
        <v>5836</v>
      </c>
      <c r="AU844">
        <v>2</v>
      </c>
      <c r="AV844">
        <v>3</v>
      </c>
      <c r="AW844">
        <v>51.71</v>
      </c>
      <c r="BA844" t="s">
        <v>5852</v>
      </c>
      <c r="BB844" t="s">
        <v>1322</v>
      </c>
      <c r="BC844">
        <v>15600</v>
      </c>
      <c r="BG844" t="s">
        <v>5922</v>
      </c>
      <c r="BJ844" t="s">
        <v>5949</v>
      </c>
      <c r="BK844" t="s">
        <v>222</v>
      </c>
      <c r="BL844" t="s">
        <v>6056</v>
      </c>
    </row>
    <row r="845" spans="1:64">
      <c r="A845" s="1">
        <f>HYPERLINK("https://lsnyc.legalserver.org/matter/dynamic-profile/view/1906411","19-1906411")</f>
        <v>0</v>
      </c>
      <c r="B845" t="s">
        <v>67</v>
      </c>
      <c r="C845" t="s">
        <v>182</v>
      </c>
      <c r="D845" t="s">
        <v>200</v>
      </c>
      <c r="E845" t="s">
        <v>202</v>
      </c>
      <c r="F845" t="s">
        <v>207</v>
      </c>
      <c r="G845" t="s">
        <v>202</v>
      </c>
      <c r="H845" t="s">
        <v>271</v>
      </c>
      <c r="I845" t="s">
        <v>202</v>
      </c>
      <c r="J845" t="s">
        <v>289</v>
      </c>
      <c r="K845" t="s">
        <v>292</v>
      </c>
      <c r="M845" t="s">
        <v>290</v>
      </c>
      <c r="N845" t="s">
        <v>202</v>
      </c>
      <c r="O845" t="s">
        <v>422</v>
      </c>
      <c r="P845" t="s">
        <v>428</v>
      </c>
      <c r="S845" t="s">
        <v>1100</v>
      </c>
      <c r="T845" t="s">
        <v>1793</v>
      </c>
      <c r="U845" t="s">
        <v>207</v>
      </c>
      <c r="V845" t="s">
        <v>264</v>
      </c>
      <c r="W845" t="s">
        <v>1877</v>
      </c>
      <c r="X845" t="s">
        <v>2677</v>
      </c>
      <c r="Y845" t="s">
        <v>3057</v>
      </c>
      <c r="Z845" t="s">
        <v>3122</v>
      </c>
      <c r="AA845" t="s">
        <v>3135</v>
      </c>
      <c r="AB845">
        <v>11412</v>
      </c>
      <c r="AC845" t="s">
        <v>3136</v>
      </c>
      <c r="AD845" t="s">
        <v>3921</v>
      </c>
      <c r="AE845">
        <v>11</v>
      </c>
      <c r="AF845" t="s">
        <v>4023</v>
      </c>
      <c r="AG845" t="s">
        <v>4034</v>
      </c>
      <c r="AH845" t="s">
        <v>291</v>
      </c>
      <c r="AI845" t="s">
        <v>291</v>
      </c>
      <c r="AK845" t="s">
        <v>4040</v>
      </c>
      <c r="AM845">
        <v>0</v>
      </c>
      <c r="AN845">
        <v>900</v>
      </c>
      <c r="AO845">
        <v>2.6</v>
      </c>
      <c r="AP845" t="s">
        <v>4052</v>
      </c>
      <c r="AQ845" t="s">
        <v>4086</v>
      </c>
      <c r="AR845" t="s">
        <v>5730</v>
      </c>
      <c r="AS845">
        <v>2</v>
      </c>
      <c r="AT845" t="s">
        <v>5836</v>
      </c>
      <c r="AU845">
        <v>2</v>
      </c>
      <c r="AV845">
        <v>1</v>
      </c>
      <c r="AW845">
        <v>97.52</v>
      </c>
      <c r="BA845" t="s">
        <v>329</v>
      </c>
      <c r="BB845" t="s">
        <v>1322</v>
      </c>
      <c r="BC845">
        <v>20800</v>
      </c>
      <c r="BG845" t="s">
        <v>5922</v>
      </c>
      <c r="BJ845" t="s">
        <v>5949</v>
      </c>
      <c r="BK845" t="s">
        <v>264</v>
      </c>
      <c r="BL845" t="s">
        <v>6056</v>
      </c>
    </row>
    <row r="846" spans="1:64">
      <c r="A846" s="1">
        <f>HYPERLINK("https://lsnyc.legalserver.org/matter/dynamic-profile/view/1906218","19-1906218")</f>
        <v>0</v>
      </c>
      <c r="B846" t="s">
        <v>67</v>
      </c>
      <c r="C846" t="s">
        <v>182</v>
      </c>
      <c r="D846" t="s">
        <v>200</v>
      </c>
      <c r="E846" t="s">
        <v>201</v>
      </c>
      <c r="G846" t="s">
        <v>202</v>
      </c>
      <c r="H846" t="s">
        <v>272</v>
      </c>
      <c r="I846" t="s">
        <v>202</v>
      </c>
      <c r="J846" t="s">
        <v>289</v>
      </c>
      <c r="K846" t="s">
        <v>202</v>
      </c>
      <c r="L846" t="s">
        <v>410</v>
      </c>
      <c r="M846" t="s">
        <v>290</v>
      </c>
      <c r="N846" t="s">
        <v>419</v>
      </c>
      <c r="O846" t="s">
        <v>420</v>
      </c>
      <c r="P846" t="s">
        <v>427</v>
      </c>
      <c r="S846" t="s">
        <v>1101</v>
      </c>
      <c r="T846" t="s">
        <v>1794</v>
      </c>
      <c r="U846" t="s">
        <v>261</v>
      </c>
      <c r="W846" t="s">
        <v>1876</v>
      </c>
      <c r="X846" t="s">
        <v>2678</v>
      </c>
      <c r="Y846" t="s">
        <v>2797</v>
      </c>
      <c r="Z846" t="s">
        <v>3105</v>
      </c>
      <c r="AA846" t="s">
        <v>3135</v>
      </c>
      <c r="AB846">
        <v>11102</v>
      </c>
      <c r="AC846" t="s">
        <v>3136</v>
      </c>
      <c r="AD846" t="s">
        <v>3922</v>
      </c>
      <c r="AE846">
        <v>1</v>
      </c>
      <c r="AG846" t="s">
        <v>4034</v>
      </c>
      <c r="AH846" t="s">
        <v>291</v>
      </c>
      <c r="AK846" t="s">
        <v>4040</v>
      </c>
      <c r="AM846">
        <v>0</v>
      </c>
      <c r="AN846">
        <v>2100</v>
      </c>
      <c r="AO846">
        <v>1.5</v>
      </c>
      <c r="AQ846" t="s">
        <v>4866</v>
      </c>
      <c r="AR846" t="s">
        <v>5731</v>
      </c>
      <c r="AS846">
        <v>4</v>
      </c>
      <c r="AT846" t="s">
        <v>5835</v>
      </c>
      <c r="AU846">
        <v>3</v>
      </c>
      <c r="AV846">
        <v>0</v>
      </c>
      <c r="AW846">
        <v>29.54</v>
      </c>
      <c r="BA846" t="s">
        <v>329</v>
      </c>
      <c r="BB846" t="s">
        <v>1322</v>
      </c>
      <c r="BC846">
        <v>6300</v>
      </c>
      <c r="BG846" t="s">
        <v>5923</v>
      </c>
      <c r="BJ846" t="s">
        <v>6004</v>
      </c>
      <c r="BK846" t="s">
        <v>261</v>
      </c>
      <c r="BL846" t="s">
        <v>6056</v>
      </c>
    </row>
    <row r="847" spans="1:64">
      <c r="A847" s="1">
        <f>HYPERLINK("https://lsnyc.legalserver.org/matter/dynamic-profile/view/1909973","19-1909973")</f>
        <v>0</v>
      </c>
      <c r="B847" t="s">
        <v>67</v>
      </c>
      <c r="C847" t="s">
        <v>182</v>
      </c>
      <c r="D847" t="s">
        <v>200</v>
      </c>
      <c r="E847" t="s">
        <v>201</v>
      </c>
      <c r="G847" t="s">
        <v>202</v>
      </c>
      <c r="H847" t="s">
        <v>272</v>
      </c>
      <c r="I847" t="s">
        <v>202</v>
      </c>
      <c r="J847" t="s">
        <v>289</v>
      </c>
      <c r="K847" t="s">
        <v>292</v>
      </c>
      <c r="M847" t="s">
        <v>290</v>
      </c>
      <c r="N847" t="s">
        <v>419</v>
      </c>
      <c r="P847" t="s">
        <v>427</v>
      </c>
      <c r="S847" t="s">
        <v>1102</v>
      </c>
      <c r="T847" t="s">
        <v>1227</v>
      </c>
      <c r="U847" t="s">
        <v>243</v>
      </c>
      <c r="W847" t="s">
        <v>1876</v>
      </c>
      <c r="X847" t="s">
        <v>2679</v>
      </c>
      <c r="Y847" t="s">
        <v>3069</v>
      </c>
      <c r="Z847" t="s">
        <v>3109</v>
      </c>
      <c r="AA847" t="s">
        <v>3135</v>
      </c>
      <c r="AB847">
        <v>11434</v>
      </c>
      <c r="AD847" t="s">
        <v>3923</v>
      </c>
      <c r="AE847">
        <v>20</v>
      </c>
      <c r="AG847" t="s">
        <v>4035</v>
      </c>
      <c r="AH847" t="s">
        <v>291</v>
      </c>
      <c r="AK847" t="s">
        <v>4040</v>
      </c>
      <c r="AM847">
        <v>0</v>
      </c>
      <c r="AN847">
        <v>1100</v>
      </c>
      <c r="AO847">
        <v>0</v>
      </c>
      <c r="AQ847" t="s">
        <v>4867</v>
      </c>
      <c r="AR847" t="s">
        <v>5732</v>
      </c>
      <c r="AS847">
        <v>0</v>
      </c>
      <c r="AT847" t="s">
        <v>5834</v>
      </c>
      <c r="AU847">
        <v>3</v>
      </c>
      <c r="AV847">
        <v>0</v>
      </c>
      <c r="AW847">
        <v>295.36</v>
      </c>
      <c r="BB847" t="s">
        <v>1322</v>
      </c>
      <c r="BC847">
        <v>63000</v>
      </c>
      <c r="BG847" t="s">
        <v>182</v>
      </c>
      <c r="BJ847" t="s">
        <v>5949</v>
      </c>
    </row>
    <row r="848" spans="1:64">
      <c r="A848" s="1">
        <f>HYPERLINK("https://lsnyc.legalserver.org/matter/dynamic-profile/view/1908607","19-1908607")</f>
        <v>0</v>
      </c>
      <c r="B848" t="s">
        <v>67</v>
      </c>
      <c r="C848" t="s">
        <v>187</v>
      </c>
      <c r="D848" t="s">
        <v>200</v>
      </c>
      <c r="E848" t="s">
        <v>202</v>
      </c>
      <c r="F848" t="s">
        <v>236</v>
      </c>
      <c r="G848" t="s">
        <v>202</v>
      </c>
      <c r="H848" t="s">
        <v>272</v>
      </c>
      <c r="I848" t="s">
        <v>202</v>
      </c>
      <c r="J848" t="s">
        <v>289</v>
      </c>
      <c r="K848" t="s">
        <v>292</v>
      </c>
      <c r="M848" t="s">
        <v>290</v>
      </c>
      <c r="N848" t="s">
        <v>419</v>
      </c>
      <c r="O848" t="s">
        <v>420</v>
      </c>
      <c r="P848" t="s">
        <v>427</v>
      </c>
      <c r="S848" t="s">
        <v>1103</v>
      </c>
      <c r="T848" t="s">
        <v>1795</v>
      </c>
      <c r="U848" t="s">
        <v>236</v>
      </c>
      <c r="W848" t="s">
        <v>1876</v>
      </c>
      <c r="X848" t="s">
        <v>2680</v>
      </c>
      <c r="Y848" t="s">
        <v>2906</v>
      </c>
      <c r="Z848" t="s">
        <v>3128</v>
      </c>
      <c r="AA848" t="s">
        <v>3135</v>
      </c>
      <c r="AB848">
        <v>11374</v>
      </c>
      <c r="AC848" t="s">
        <v>3136</v>
      </c>
      <c r="AD848" t="s">
        <v>3924</v>
      </c>
      <c r="AE848">
        <v>7</v>
      </c>
      <c r="AG848" t="s">
        <v>4034</v>
      </c>
      <c r="AH848" t="s">
        <v>291</v>
      </c>
      <c r="AI848" t="s">
        <v>291</v>
      </c>
      <c r="AK848" t="s">
        <v>4040</v>
      </c>
      <c r="AL848" t="s">
        <v>4046</v>
      </c>
      <c r="AM848">
        <v>0</v>
      </c>
      <c r="AN848">
        <v>1303.53</v>
      </c>
      <c r="AO848">
        <v>1.1</v>
      </c>
      <c r="AQ848" t="s">
        <v>4868</v>
      </c>
      <c r="AR848" t="s">
        <v>5733</v>
      </c>
      <c r="AS848">
        <v>36</v>
      </c>
      <c r="AT848" t="s">
        <v>5838</v>
      </c>
      <c r="AU848">
        <v>1</v>
      </c>
      <c r="AV848">
        <v>1</v>
      </c>
      <c r="AW848">
        <v>0</v>
      </c>
      <c r="BA848" t="s">
        <v>329</v>
      </c>
      <c r="BB848" t="s">
        <v>1322</v>
      </c>
      <c r="BC848">
        <v>0</v>
      </c>
      <c r="BG848" t="s">
        <v>5922</v>
      </c>
      <c r="BJ848" t="s">
        <v>5945</v>
      </c>
      <c r="BK848" t="s">
        <v>264</v>
      </c>
      <c r="BL848" t="s">
        <v>6056</v>
      </c>
    </row>
    <row r="849" spans="1:64">
      <c r="A849" s="1">
        <f>HYPERLINK("https://lsnyc.legalserver.org/matter/dynamic-profile/view/1908620","19-1908620")</f>
        <v>0</v>
      </c>
      <c r="B849" t="s">
        <v>67</v>
      </c>
      <c r="C849" t="s">
        <v>187</v>
      </c>
      <c r="D849" t="s">
        <v>200</v>
      </c>
      <c r="E849" t="s">
        <v>202</v>
      </c>
      <c r="F849" t="s">
        <v>236</v>
      </c>
      <c r="G849" t="s">
        <v>202</v>
      </c>
      <c r="H849" t="s">
        <v>272</v>
      </c>
      <c r="I849" t="s">
        <v>202</v>
      </c>
      <c r="J849" t="s">
        <v>289</v>
      </c>
      <c r="K849" t="s">
        <v>292</v>
      </c>
      <c r="M849" t="s">
        <v>290</v>
      </c>
      <c r="N849" t="s">
        <v>202</v>
      </c>
      <c r="O849" t="s">
        <v>421</v>
      </c>
      <c r="P849" t="s">
        <v>427</v>
      </c>
      <c r="S849" t="s">
        <v>1104</v>
      </c>
      <c r="T849" t="s">
        <v>1796</v>
      </c>
      <c r="U849" t="s">
        <v>236</v>
      </c>
      <c r="W849" t="s">
        <v>1876</v>
      </c>
      <c r="X849" t="s">
        <v>2681</v>
      </c>
      <c r="Y849" t="s">
        <v>2822</v>
      </c>
      <c r="Z849" t="s">
        <v>3102</v>
      </c>
      <c r="AA849" t="s">
        <v>3135</v>
      </c>
      <c r="AB849">
        <v>11377</v>
      </c>
      <c r="AC849" t="s">
        <v>3136</v>
      </c>
      <c r="AD849" t="s">
        <v>3925</v>
      </c>
      <c r="AE849">
        <v>20</v>
      </c>
      <c r="AG849" t="s">
        <v>4034</v>
      </c>
      <c r="AH849" t="s">
        <v>291</v>
      </c>
      <c r="AI849" t="s">
        <v>291</v>
      </c>
      <c r="AK849" t="s">
        <v>4040</v>
      </c>
      <c r="AM849">
        <v>0</v>
      </c>
      <c r="AN849">
        <v>1200</v>
      </c>
      <c r="AO849">
        <v>3.85</v>
      </c>
      <c r="AQ849" t="s">
        <v>4869</v>
      </c>
      <c r="AR849" t="s">
        <v>5734</v>
      </c>
      <c r="AS849">
        <v>6</v>
      </c>
      <c r="AT849" t="s">
        <v>5836</v>
      </c>
      <c r="AU849">
        <v>3</v>
      </c>
      <c r="AV849">
        <v>0</v>
      </c>
      <c r="AW849">
        <v>170.65</v>
      </c>
      <c r="BA849" t="s">
        <v>329</v>
      </c>
      <c r="BB849" t="s">
        <v>5873</v>
      </c>
      <c r="BC849">
        <v>36400</v>
      </c>
      <c r="BG849" t="s">
        <v>5922</v>
      </c>
      <c r="BJ849" t="s">
        <v>6049</v>
      </c>
      <c r="BK849" t="s">
        <v>259</v>
      </c>
      <c r="BL849" t="s">
        <v>6056</v>
      </c>
    </row>
    <row r="850" spans="1:64">
      <c r="A850" s="1">
        <f>HYPERLINK("https://lsnyc.legalserver.org/matter/dynamic-profile/view/1909571","19-1909571")</f>
        <v>0</v>
      </c>
      <c r="B850" t="s">
        <v>67</v>
      </c>
      <c r="C850" t="s">
        <v>184</v>
      </c>
      <c r="D850" t="s">
        <v>200</v>
      </c>
      <c r="E850" t="s">
        <v>202</v>
      </c>
      <c r="F850" t="s">
        <v>230</v>
      </c>
      <c r="G850" t="s">
        <v>270</v>
      </c>
      <c r="I850" t="s">
        <v>202</v>
      </c>
      <c r="J850" t="s">
        <v>289</v>
      </c>
      <c r="K850" t="s">
        <v>292</v>
      </c>
      <c r="M850" t="s">
        <v>290</v>
      </c>
      <c r="N850" t="s">
        <v>202</v>
      </c>
      <c r="O850" t="s">
        <v>422</v>
      </c>
      <c r="P850" t="s">
        <v>427</v>
      </c>
      <c r="S850" t="s">
        <v>1105</v>
      </c>
      <c r="T850" t="s">
        <v>1245</v>
      </c>
      <c r="U850" t="s">
        <v>230</v>
      </c>
      <c r="W850" t="s">
        <v>1876</v>
      </c>
      <c r="X850" t="s">
        <v>2682</v>
      </c>
      <c r="Y850" t="s">
        <v>3070</v>
      </c>
      <c r="Z850" t="s">
        <v>3100</v>
      </c>
      <c r="AA850" t="s">
        <v>3135</v>
      </c>
      <c r="AB850">
        <v>11368</v>
      </c>
      <c r="AC850" t="s">
        <v>3136</v>
      </c>
      <c r="AD850" t="s">
        <v>3926</v>
      </c>
      <c r="AE850">
        <v>3</v>
      </c>
      <c r="AG850" t="s">
        <v>4034</v>
      </c>
      <c r="AH850" t="s">
        <v>291</v>
      </c>
      <c r="AK850" t="s">
        <v>4040</v>
      </c>
      <c r="AM850">
        <v>0</v>
      </c>
      <c r="AN850">
        <v>1650</v>
      </c>
      <c r="AO850">
        <v>3.6</v>
      </c>
      <c r="AQ850" t="s">
        <v>4870</v>
      </c>
      <c r="AR850" t="s">
        <v>5735</v>
      </c>
      <c r="AS850">
        <v>126</v>
      </c>
      <c r="AT850" t="s">
        <v>5838</v>
      </c>
      <c r="AU850">
        <v>1</v>
      </c>
      <c r="AV850">
        <v>1</v>
      </c>
      <c r="AW850">
        <v>0</v>
      </c>
      <c r="BA850" t="s">
        <v>329</v>
      </c>
      <c r="BC850">
        <v>0</v>
      </c>
      <c r="BG850" t="s">
        <v>184</v>
      </c>
      <c r="BJ850" t="s">
        <v>5965</v>
      </c>
      <c r="BK850" t="s">
        <v>222</v>
      </c>
    </row>
    <row r="851" spans="1:64">
      <c r="A851" s="1">
        <f>HYPERLINK("https://lsnyc.legalserver.org/matter/dynamic-profile/view/1905353","19-1905353")</f>
        <v>0</v>
      </c>
      <c r="B851" t="s">
        <v>67</v>
      </c>
      <c r="C851" t="s">
        <v>182</v>
      </c>
      <c r="D851" t="s">
        <v>200</v>
      </c>
      <c r="E851" t="s">
        <v>201</v>
      </c>
      <c r="G851" t="s">
        <v>202</v>
      </c>
      <c r="H851" t="s">
        <v>272</v>
      </c>
      <c r="I851" t="s">
        <v>202</v>
      </c>
      <c r="J851" t="s">
        <v>289</v>
      </c>
      <c r="K851" t="s">
        <v>292</v>
      </c>
      <c r="M851" t="s">
        <v>290</v>
      </c>
      <c r="N851" t="s">
        <v>419</v>
      </c>
      <c r="O851" t="s">
        <v>420</v>
      </c>
      <c r="P851" t="s">
        <v>427</v>
      </c>
      <c r="S851" t="s">
        <v>509</v>
      </c>
      <c r="T851" t="s">
        <v>1797</v>
      </c>
      <c r="U851" t="s">
        <v>214</v>
      </c>
      <c r="W851" t="s">
        <v>1876</v>
      </c>
      <c r="X851" t="s">
        <v>2683</v>
      </c>
      <c r="Y851" t="s">
        <v>2796</v>
      </c>
      <c r="Z851" t="s">
        <v>3100</v>
      </c>
      <c r="AA851" t="s">
        <v>3135</v>
      </c>
      <c r="AB851">
        <v>11368</v>
      </c>
      <c r="AC851" t="s">
        <v>3136</v>
      </c>
      <c r="AD851" t="s">
        <v>3927</v>
      </c>
      <c r="AE851">
        <v>6</v>
      </c>
      <c r="AG851" t="s">
        <v>4034</v>
      </c>
      <c r="AH851" t="s">
        <v>291</v>
      </c>
      <c r="AI851" t="s">
        <v>291</v>
      </c>
      <c r="AK851" t="s">
        <v>4040</v>
      </c>
      <c r="AM851">
        <v>0</v>
      </c>
      <c r="AN851">
        <v>1400</v>
      </c>
      <c r="AO851">
        <v>1.5</v>
      </c>
      <c r="AQ851" t="s">
        <v>4871</v>
      </c>
      <c r="AR851" t="s">
        <v>5736</v>
      </c>
      <c r="AS851">
        <v>3</v>
      </c>
      <c r="AT851" t="s">
        <v>5836</v>
      </c>
      <c r="AU851">
        <v>1</v>
      </c>
      <c r="AV851">
        <v>0</v>
      </c>
      <c r="AW851">
        <v>0</v>
      </c>
      <c r="BA851" t="s">
        <v>329</v>
      </c>
      <c r="BC851">
        <v>0</v>
      </c>
      <c r="BG851" t="s">
        <v>5923</v>
      </c>
      <c r="BJ851" t="s">
        <v>5945</v>
      </c>
      <c r="BK851" t="s">
        <v>214</v>
      </c>
      <c r="BL851" t="s">
        <v>6056</v>
      </c>
    </row>
    <row r="852" spans="1:64">
      <c r="A852" s="1">
        <f>HYPERLINK("https://lsnyc.legalserver.org/matter/dynamic-profile/view/1910405","19-1910405")</f>
        <v>0</v>
      </c>
      <c r="B852" t="s">
        <v>67</v>
      </c>
      <c r="C852" t="s">
        <v>188</v>
      </c>
      <c r="D852" t="s">
        <v>200</v>
      </c>
      <c r="E852" t="s">
        <v>202</v>
      </c>
      <c r="F852" t="s">
        <v>266</v>
      </c>
      <c r="G852" t="s">
        <v>202</v>
      </c>
      <c r="H852" t="s">
        <v>271</v>
      </c>
      <c r="I852" t="s">
        <v>202</v>
      </c>
      <c r="J852" t="s">
        <v>289</v>
      </c>
      <c r="K852" t="s">
        <v>202</v>
      </c>
      <c r="L852" t="s">
        <v>411</v>
      </c>
      <c r="M852" t="s">
        <v>290</v>
      </c>
      <c r="N852" t="s">
        <v>419</v>
      </c>
      <c r="O852" t="s">
        <v>420</v>
      </c>
      <c r="P852" t="s">
        <v>427</v>
      </c>
      <c r="S852" t="s">
        <v>1106</v>
      </c>
      <c r="T852" t="s">
        <v>1798</v>
      </c>
      <c r="U852" t="s">
        <v>266</v>
      </c>
      <c r="W852" t="s">
        <v>1876</v>
      </c>
      <c r="X852" t="s">
        <v>2684</v>
      </c>
      <c r="Y852" t="s">
        <v>3042</v>
      </c>
      <c r="Z852" t="s">
        <v>3129</v>
      </c>
      <c r="AA852" t="s">
        <v>3135</v>
      </c>
      <c r="AB852">
        <v>11370</v>
      </c>
      <c r="AC852" t="s">
        <v>3136</v>
      </c>
      <c r="AD852" t="s">
        <v>3928</v>
      </c>
      <c r="AE852">
        <v>1</v>
      </c>
      <c r="AG852" t="s">
        <v>4034</v>
      </c>
      <c r="AH852" t="s">
        <v>291</v>
      </c>
      <c r="AI852" t="s">
        <v>291</v>
      </c>
      <c r="AK852" t="s">
        <v>4040</v>
      </c>
      <c r="AM852">
        <v>0</v>
      </c>
      <c r="AN852">
        <v>900</v>
      </c>
      <c r="AO852">
        <v>0.9</v>
      </c>
      <c r="AQ852" t="s">
        <v>4872</v>
      </c>
      <c r="AR852" t="s">
        <v>5737</v>
      </c>
      <c r="AS852">
        <v>2</v>
      </c>
      <c r="AT852" t="s">
        <v>5836</v>
      </c>
      <c r="AU852">
        <v>1</v>
      </c>
      <c r="AV852">
        <v>2</v>
      </c>
      <c r="AW852">
        <v>121.89</v>
      </c>
      <c r="BA852" t="s">
        <v>329</v>
      </c>
      <c r="BB852" t="s">
        <v>1322</v>
      </c>
      <c r="BC852">
        <v>26000</v>
      </c>
      <c r="BG852" t="s">
        <v>5922</v>
      </c>
      <c r="BJ852" t="s">
        <v>5949</v>
      </c>
      <c r="BK852" t="s">
        <v>266</v>
      </c>
      <c r="BL852" t="s">
        <v>6056</v>
      </c>
    </row>
    <row r="853" spans="1:64">
      <c r="A853" s="1">
        <f>HYPERLINK("https://lsnyc.legalserver.org/matter/dynamic-profile/view/1907512","19-1907512")</f>
        <v>0</v>
      </c>
      <c r="B853" t="s">
        <v>67</v>
      </c>
      <c r="C853" t="s">
        <v>188</v>
      </c>
      <c r="D853" t="s">
        <v>200</v>
      </c>
      <c r="E853" t="s">
        <v>201</v>
      </c>
      <c r="G853" t="s">
        <v>202</v>
      </c>
      <c r="H853" t="s">
        <v>272</v>
      </c>
      <c r="I853" t="s">
        <v>202</v>
      </c>
      <c r="J853" t="s">
        <v>289</v>
      </c>
      <c r="K853" t="s">
        <v>292</v>
      </c>
      <c r="M853" t="s">
        <v>290</v>
      </c>
      <c r="N853" t="s">
        <v>202</v>
      </c>
      <c r="O853" t="s">
        <v>422</v>
      </c>
      <c r="P853" t="s">
        <v>427</v>
      </c>
      <c r="S853" t="s">
        <v>1107</v>
      </c>
      <c r="T853" t="s">
        <v>1799</v>
      </c>
      <c r="U853" t="s">
        <v>220</v>
      </c>
      <c r="W853" t="s">
        <v>1876</v>
      </c>
      <c r="X853" t="s">
        <v>2685</v>
      </c>
      <c r="Y853" t="s">
        <v>3071</v>
      </c>
      <c r="Z853" t="s">
        <v>3116</v>
      </c>
      <c r="AA853" t="s">
        <v>3135</v>
      </c>
      <c r="AB853">
        <v>11418</v>
      </c>
      <c r="AC853" t="s">
        <v>3136</v>
      </c>
      <c r="AD853" t="s">
        <v>3929</v>
      </c>
      <c r="AE853">
        <v>15</v>
      </c>
      <c r="AG853" t="s">
        <v>4034</v>
      </c>
      <c r="AH853" t="s">
        <v>291</v>
      </c>
      <c r="AK853" t="s">
        <v>4040</v>
      </c>
      <c r="AM853">
        <v>0</v>
      </c>
      <c r="AN853">
        <v>1433</v>
      </c>
      <c r="AO853">
        <v>1.7</v>
      </c>
      <c r="AQ853" t="s">
        <v>4873</v>
      </c>
      <c r="AR853" t="s">
        <v>5738</v>
      </c>
      <c r="AS853">
        <v>72</v>
      </c>
      <c r="AT853" t="s">
        <v>5838</v>
      </c>
      <c r="AU853">
        <v>1</v>
      </c>
      <c r="AV853">
        <v>1</v>
      </c>
      <c r="AW853">
        <v>62.73</v>
      </c>
      <c r="BA853" t="s">
        <v>329</v>
      </c>
      <c r="BC853">
        <v>10608</v>
      </c>
      <c r="BG853" t="s">
        <v>184</v>
      </c>
      <c r="BJ853" t="s">
        <v>5961</v>
      </c>
      <c r="BK853" t="s">
        <v>234</v>
      </c>
      <c r="BL853" t="s">
        <v>6056</v>
      </c>
    </row>
    <row r="854" spans="1:64">
      <c r="A854" s="1">
        <f>HYPERLINK("https://lsnyc.legalserver.org/matter/dynamic-profile/view/1904048","19-1904048")</f>
        <v>0</v>
      </c>
      <c r="B854" t="s">
        <v>67</v>
      </c>
      <c r="C854" t="s">
        <v>188</v>
      </c>
      <c r="D854" t="s">
        <v>200</v>
      </c>
      <c r="E854" t="s">
        <v>202</v>
      </c>
      <c r="F854" t="s">
        <v>251</v>
      </c>
      <c r="G854" t="s">
        <v>202</v>
      </c>
      <c r="H854" t="s">
        <v>272</v>
      </c>
      <c r="I854" t="s">
        <v>202</v>
      </c>
      <c r="J854" t="s">
        <v>289</v>
      </c>
      <c r="K854" t="s">
        <v>292</v>
      </c>
      <c r="M854" t="s">
        <v>290</v>
      </c>
      <c r="N854" t="s">
        <v>202</v>
      </c>
      <c r="O854" t="s">
        <v>421</v>
      </c>
      <c r="P854" t="s">
        <v>427</v>
      </c>
      <c r="S854" t="s">
        <v>1108</v>
      </c>
      <c r="T854" t="s">
        <v>1411</v>
      </c>
      <c r="U854" t="s">
        <v>227</v>
      </c>
      <c r="W854" t="s">
        <v>1876</v>
      </c>
      <c r="X854" t="s">
        <v>2686</v>
      </c>
      <c r="Y854">
        <v>11</v>
      </c>
      <c r="Z854" t="s">
        <v>3109</v>
      </c>
      <c r="AA854" t="s">
        <v>3135</v>
      </c>
      <c r="AB854">
        <v>11435</v>
      </c>
      <c r="AC854" t="s">
        <v>3136</v>
      </c>
      <c r="AD854" t="s">
        <v>3930</v>
      </c>
      <c r="AE854">
        <v>35</v>
      </c>
      <c r="AG854" t="s">
        <v>4034</v>
      </c>
      <c r="AH854" t="s">
        <v>291</v>
      </c>
      <c r="AI854" t="s">
        <v>291</v>
      </c>
      <c r="AK854" t="s">
        <v>4040</v>
      </c>
      <c r="AL854" t="s">
        <v>4046</v>
      </c>
      <c r="AM854">
        <v>0</v>
      </c>
      <c r="AN854">
        <v>802</v>
      </c>
      <c r="AO854">
        <v>39.8</v>
      </c>
      <c r="AQ854" t="s">
        <v>4874</v>
      </c>
      <c r="AR854" t="s">
        <v>5739</v>
      </c>
      <c r="AS854">
        <v>24</v>
      </c>
      <c r="AT854" t="s">
        <v>5838</v>
      </c>
      <c r="AU854">
        <v>1</v>
      </c>
      <c r="AV854">
        <v>0</v>
      </c>
      <c r="AW854">
        <v>0</v>
      </c>
      <c r="BA854" t="s">
        <v>329</v>
      </c>
      <c r="BB854" t="s">
        <v>1322</v>
      </c>
      <c r="BC854">
        <v>0</v>
      </c>
      <c r="BG854" t="s">
        <v>188</v>
      </c>
      <c r="BJ854" t="s">
        <v>5945</v>
      </c>
      <c r="BK854" t="s">
        <v>216</v>
      </c>
      <c r="BL854" t="s">
        <v>6056</v>
      </c>
    </row>
    <row r="855" spans="1:64">
      <c r="A855" s="1">
        <f>HYPERLINK("https://lsnyc.legalserver.org/matter/dynamic-profile/view/1905311","19-1905311")</f>
        <v>0</v>
      </c>
      <c r="B855" t="s">
        <v>67</v>
      </c>
      <c r="C855" t="s">
        <v>188</v>
      </c>
      <c r="D855" t="s">
        <v>200</v>
      </c>
      <c r="E855" t="s">
        <v>202</v>
      </c>
      <c r="F855" t="s">
        <v>231</v>
      </c>
      <c r="G855" t="s">
        <v>202</v>
      </c>
      <c r="H855" t="s">
        <v>271</v>
      </c>
      <c r="I855" t="s">
        <v>202</v>
      </c>
      <c r="J855" t="s">
        <v>289</v>
      </c>
      <c r="K855" t="s">
        <v>202</v>
      </c>
      <c r="L855" t="s">
        <v>329</v>
      </c>
      <c r="M855" t="s">
        <v>290</v>
      </c>
      <c r="N855" t="s">
        <v>202</v>
      </c>
      <c r="O855" t="s">
        <v>422</v>
      </c>
      <c r="P855" t="s">
        <v>428</v>
      </c>
      <c r="S855" t="s">
        <v>694</v>
      </c>
      <c r="T855" t="s">
        <v>1392</v>
      </c>
      <c r="U855" t="s">
        <v>231</v>
      </c>
      <c r="V855" t="s">
        <v>262</v>
      </c>
      <c r="W855" t="s">
        <v>1877</v>
      </c>
      <c r="X855" t="s">
        <v>2687</v>
      </c>
      <c r="Y855" t="s">
        <v>2797</v>
      </c>
      <c r="Z855" t="s">
        <v>3130</v>
      </c>
      <c r="AA855" t="s">
        <v>3135</v>
      </c>
      <c r="AB855">
        <v>11421</v>
      </c>
      <c r="AC855" t="s">
        <v>3136</v>
      </c>
      <c r="AD855" t="s">
        <v>3931</v>
      </c>
      <c r="AE855">
        <v>7</v>
      </c>
      <c r="AF855" t="s">
        <v>4023</v>
      </c>
      <c r="AG855" t="s">
        <v>4034</v>
      </c>
      <c r="AH855" t="s">
        <v>291</v>
      </c>
      <c r="AI855" t="s">
        <v>291</v>
      </c>
      <c r="AK855" t="s">
        <v>4040</v>
      </c>
      <c r="AL855" t="s">
        <v>4046</v>
      </c>
      <c r="AM855">
        <v>0</v>
      </c>
      <c r="AN855">
        <v>1300</v>
      </c>
      <c r="AO855">
        <v>2.23</v>
      </c>
      <c r="AP855" t="s">
        <v>4052</v>
      </c>
      <c r="AQ855" t="s">
        <v>4875</v>
      </c>
      <c r="AR855" t="s">
        <v>5740</v>
      </c>
      <c r="AS855">
        <v>3</v>
      </c>
      <c r="AT855" t="s">
        <v>5835</v>
      </c>
      <c r="AU855">
        <v>1</v>
      </c>
      <c r="AV855">
        <v>3</v>
      </c>
      <c r="AW855">
        <v>116.12</v>
      </c>
      <c r="BA855" t="s">
        <v>329</v>
      </c>
      <c r="BB855" t="s">
        <v>1322</v>
      </c>
      <c r="BC855">
        <v>29900</v>
      </c>
      <c r="BG855" t="s">
        <v>5923</v>
      </c>
      <c r="BJ855" t="s">
        <v>5949</v>
      </c>
      <c r="BK855" t="s">
        <v>232</v>
      </c>
      <c r="BL855" t="s">
        <v>6056</v>
      </c>
    </row>
    <row r="856" spans="1:64">
      <c r="A856" s="1">
        <f>HYPERLINK("https://lsnyc.legalserver.org/matter/dynamic-profile/view/1908555","19-1908555")</f>
        <v>0</v>
      </c>
      <c r="B856" t="s">
        <v>67</v>
      </c>
      <c r="C856" t="s">
        <v>188</v>
      </c>
      <c r="D856" t="s">
        <v>200</v>
      </c>
      <c r="E856" t="s">
        <v>202</v>
      </c>
      <c r="F856" t="s">
        <v>237</v>
      </c>
      <c r="G856" t="s">
        <v>202</v>
      </c>
      <c r="H856" t="s">
        <v>272</v>
      </c>
      <c r="I856" t="s">
        <v>202</v>
      </c>
      <c r="J856" t="s">
        <v>289</v>
      </c>
      <c r="K856" t="s">
        <v>292</v>
      </c>
      <c r="M856" t="s">
        <v>290</v>
      </c>
      <c r="N856" t="s">
        <v>202</v>
      </c>
      <c r="O856" t="s">
        <v>421</v>
      </c>
      <c r="P856" t="s">
        <v>427</v>
      </c>
      <c r="S856" t="s">
        <v>1109</v>
      </c>
      <c r="T856" t="s">
        <v>1800</v>
      </c>
      <c r="U856" t="s">
        <v>237</v>
      </c>
      <c r="W856" t="s">
        <v>1876</v>
      </c>
      <c r="X856" t="s">
        <v>2688</v>
      </c>
      <c r="Y856" t="s">
        <v>3021</v>
      </c>
      <c r="Z856" t="s">
        <v>3111</v>
      </c>
      <c r="AA856" t="s">
        <v>3135</v>
      </c>
      <c r="AB856">
        <v>11373</v>
      </c>
      <c r="AC856" t="s">
        <v>3139</v>
      </c>
      <c r="AD856" t="s">
        <v>3932</v>
      </c>
      <c r="AE856">
        <v>41</v>
      </c>
      <c r="AG856" t="s">
        <v>4035</v>
      </c>
      <c r="AH856" t="s">
        <v>291</v>
      </c>
      <c r="AI856" t="s">
        <v>291</v>
      </c>
      <c r="AK856" t="s">
        <v>4040</v>
      </c>
      <c r="AM856">
        <v>0</v>
      </c>
      <c r="AN856">
        <v>802.47</v>
      </c>
      <c r="AO856">
        <v>1.8</v>
      </c>
      <c r="AQ856" t="s">
        <v>4876</v>
      </c>
      <c r="AR856" t="s">
        <v>5286</v>
      </c>
      <c r="AS856">
        <v>70</v>
      </c>
      <c r="AT856" t="s">
        <v>5836</v>
      </c>
      <c r="AU856">
        <v>2</v>
      </c>
      <c r="AV856">
        <v>2</v>
      </c>
      <c r="AW856">
        <v>79.22</v>
      </c>
      <c r="BA856" t="s">
        <v>329</v>
      </c>
      <c r="BB856" t="s">
        <v>1322</v>
      </c>
      <c r="BC856">
        <v>20400</v>
      </c>
      <c r="BG856" t="s">
        <v>5922</v>
      </c>
      <c r="BJ856" t="s">
        <v>5969</v>
      </c>
      <c r="BK856" t="s">
        <v>216</v>
      </c>
      <c r="BL856" t="s">
        <v>6056</v>
      </c>
    </row>
    <row r="857" spans="1:64">
      <c r="A857" s="1">
        <f>HYPERLINK("https://lsnyc.legalserver.org/matter/dynamic-profile/view/1908497","19-1908497")</f>
        <v>0</v>
      </c>
      <c r="B857" t="s">
        <v>67</v>
      </c>
      <c r="C857" t="s">
        <v>189</v>
      </c>
      <c r="D857" t="s">
        <v>200</v>
      </c>
      <c r="E857" t="s">
        <v>202</v>
      </c>
      <c r="F857" t="s">
        <v>206</v>
      </c>
      <c r="G857" t="s">
        <v>202</v>
      </c>
      <c r="H857" t="s">
        <v>272</v>
      </c>
      <c r="I857" t="s">
        <v>202</v>
      </c>
      <c r="J857" t="s">
        <v>289</v>
      </c>
      <c r="K857" t="s">
        <v>292</v>
      </c>
      <c r="M857" t="s">
        <v>290</v>
      </c>
      <c r="N857" t="s">
        <v>202</v>
      </c>
      <c r="O857" t="s">
        <v>422</v>
      </c>
      <c r="P857" t="s">
        <v>427</v>
      </c>
      <c r="S857" t="s">
        <v>1110</v>
      </c>
      <c r="T857" t="s">
        <v>1801</v>
      </c>
      <c r="U857" t="s">
        <v>237</v>
      </c>
      <c r="W857" t="s">
        <v>1876</v>
      </c>
      <c r="X857" t="s">
        <v>2689</v>
      </c>
      <c r="Y857" t="s">
        <v>3072</v>
      </c>
      <c r="Z857" t="s">
        <v>3109</v>
      </c>
      <c r="AA857" t="s">
        <v>3135</v>
      </c>
      <c r="AB857">
        <v>11434</v>
      </c>
      <c r="AC857" t="s">
        <v>3139</v>
      </c>
      <c r="AD857" t="s">
        <v>3933</v>
      </c>
      <c r="AE857">
        <v>20</v>
      </c>
      <c r="AG857" t="s">
        <v>4035</v>
      </c>
      <c r="AH857" t="s">
        <v>291</v>
      </c>
      <c r="AI857" t="s">
        <v>291</v>
      </c>
      <c r="AK857" t="s">
        <v>4040</v>
      </c>
      <c r="AL857" t="s">
        <v>4047</v>
      </c>
      <c r="AM857">
        <v>0</v>
      </c>
      <c r="AN857">
        <v>0</v>
      </c>
      <c r="AO857">
        <v>2.23</v>
      </c>
      <c r="AQ857" t="s">
        <v>4877</v>
      </c>
      <c r="AR857" t="s">
        <v>5741</v>
      </c>
      <c r="AS857">
        <v>148</v>
      </c>
      <c r="AT857" t="s">
        <v>5847</v>
      </c>
      <c r="AU857">
        <v>3</v>
      </c>
      <c r="AV857">
        <v>2</v>
      </c>
      <c r="AW857">
        <v>151.14</v>
      </c>
      <c r="BA857" t="s">
        <v>329</v>
      </c>
      <c r="BB857" t="s">
        <v>1322</v>
      </c>
      <c r="BC857">
        <v>45600</v>
      </c>
      <c r="BG857" t="s">
        <v>5923</v>
      </c>
      <c r="BJ857" t="s">
        <v>5949</v>
      </c>
      <c r="BK857" t="s">
        <v>267</v>
      </c>
      <c r="BL857" t="s">
        <v>6056</v>
      </c>
    </row>
    <row r="858" spans="1:64">
      <c r="A858" s="1">
        <f>HYPERLINK("https://lsnyc.legalserver.org/matter/dynamic-profile/view/1910117","19-1910117")</f>
        <v>0</v>
      </c>
      <c r="B858" t="s">
        <v>67</v>
      </c>
      <c r="C858" t="s">
        <v>189</v>
      </c>
      <c r="D858" t="s">
        <v>200</v>
      </c>
      <c r="E858" t="s">
        <v>202</v>
      </c>
      <c r="F858" t="s">
        <v>206</v>
      </c>
      <c r="G858" t="s">
        <v>202</v>
      </c>
      <c r="H858" t="s">
        <v>272</v>
      </c>
      <c r="I858" t="s">
        <v>202</v>
      </c>
      <c r="J858" t="s">
        <v>289</v>
      </c>
      <c r="K858" t="s">
        <v>292</v>
      </c>
      <c r="M858" t="s">
        <v>290</v>
      </c>
      <c r="N858" t="s">
        <v>202</v>
      </c>
      <c r="O858" t="s">
        <v>421</v>
      </c>
      <c r="P858" t="s">
        <v>427</v>
      </c>
      <c r="S858" t="s">
        <v>1111</v>
      </c>
      <c r="T858" t="s">
        <v>1802</v>
      </c>
      <c r="U858" t="s">
        <v>206</v>
      </c>
      <c r="W858" t="s">
        <v>1876</v>
      </c>
      <c r="X858" t="s">
        <v>2690</v>
      </c>
      <c r="Y858" t="s">
        <v>2981</v>
      </c>
      <c r="Z858" t="s">
        <v>3109</v>
      </c>
      <c r="AA858" t="s">
        <v>3135</v>
      </c>
      <c r="AB858">
        <v>11434</v>
      </c>
      <c r="AC858" t="s">
        <v>3139</v>
      </c>
      <c r="AD858" t="s">
        <v>3934</v>
      </c>
      <c r="AE858">
        <v>42</v>
      </c>
      <c r="AG858" t="s">
        <v>4035</v>
      </c>
      <c r="AH858" t="s">
        <v>291</v>
      </c>
      <c r="AI858" t="s">
        <v>291</v>
      </c>
      <c r="AK858" t="s">
        <v>4040</v>
      </c>
      <c r="AM858">
        <v>0</v>
      </c>
      <c r="AN858">
        <v>517</v>
      </c>
      <c r="AO858">
        <v>0.4</v>
      </c>
      <c r="AQ858" t="s">
        <v>4878</v>
      </c>
      <c r="AR858" t="s">
        <v>5286</v>
      </c>
      <c r="AS858">
        <v>0</v>
      </c>
      <c r="AT858" t="s">
        <v>5836</v>
      </c>
      <c r="AU858">
        <v>1</v>
      </c>
      <c r="AV858">
        <v>0</v>
      </c>
      <c r="AW858">
        <v>60.53</v>
      </c>
      <c r="BA858" t="s">
        <v>329</v>
      </c>
      <c r="BB858" t="s">
        <v>1322</v>
      </c>
      <c r="BC858">
        <v>7560</v>
      </c>
      <c r="BG858" t="s">
        <v>5922</v>
      </c>
      <c r="BJ858" t="s">
        <v>5959</v>
      </c>
      <c r="BK858" t="s">
        <v>206</v>
      </c>
      <c r="BL858" t="s">
        <v>6056</v>
      </c>
    </row>
    <row r="859" spans="1:64">
      <c r="A859" s="1">
        <f>HYPERLINK("https://lsnyc.legalserver.org/matter/dynamic-profile/view/1909693","19-1909693")</f>
        <v>0</v>
      </c>
      <c r="B859" t="s">
        <v>67</v>
      </c>
      <c r="C859" t="s">
        <v>189</v>
      </c>
      <c r="D859" t="s">
        <v>200</v>
      </c>
      <c r="E859" t="s">
        <v>201</v>
      </c>
      <c r="G859" t="s">
        <v>202</v>
      </c>
      <c r="H859" t="s">
        <v>271</v>
      </c>
      <c r="I859" t="s">
        <v>202</v>
      </c>
      <c r="J859" t="s">
        <v>289</v>
      </c>
      <c r="K859" t="s">
        <v>202</v>
      </c>
      <c r="L859" t="s">
        <v>412</v>
      </c>
      <c r="M859" t="s">
        <v>290</v>
      </c>
      <c r="N859" t="s">
        <v>419</v>
      </c>
      <c r="O859" t="s">
        <v>420</v>
      </c>
      <c r="P859" t="s">
        <v>427</v>
      </c>
      <c r="S859" t="s">
        <v>1112</v>
      </c>
      <c r="T859" t="s">
        <v>1803</v>
      </c>
      <c r="U859" t="s">
        <v>264</v>
      </c>
      <c r="W859" t="s">
        <v>1876</v>
      </c>
      <c r="X859" t="s">
        <v>2691</v>
      </c>
      <c r="Y859" t="s">
        <v>3042</v>
      </c>
      <c r="Z859" t="s">
        <v>3126</v>
      </c>
      <c r="AA859" t="s">
        <v>3135</v>
      </c>
      <c r="AB859">
        <v>11365</v>
      </c>
      <c r="AC859" t="s">
        <v>3136</v>
      </c>
      <c r="AD859" t="s">
        <v>3935</v>
      </c>
      <c r="AE859">
        <v>3</v>
      </c>
      <c r="AG859" t="s">
        <v>4034</v>
      </c>
      <c r="AH859" t="s">
        <v>291</v>
      </c>
      <c r="AI859" t="s">
        <v>291</v>
      </c>
      <c r="AK859" t="s">
        <v>4040</v>
      </c>
      <c r="AM859">
        <v>0</v>
      </c>
      <c r="AN859">
        <v>2400</v>
      </c>
      <c r="AO859">
        <v>0.42</v>
      </c>
      <c r="AQ859" t="s">
        <v>4879</v>
      </c>
      <c r="AR859" t="s">
        <v>5742</v>
      </c>
      <c r="AS859">
        <v>3</v>
      </c>
      <c r="AU859">
        <v>3</v>
      </c>
      <c r="AV859">
        <v>1</v>
      </c>
      <c r="AW859">
        <v>39.75</v>
      </c>
      <c r="BA859" t="s">
        <v>5850</v>
      </c>
      <c r="BB859" t="s">
        <v>1322</v>
      </c>
      <c r="BC859">
        <v>10236</v>
      </c>
      <c r="BG859" t="s">
        <v>5923</v>
      </c>
      <c r="BJ859" t="s">
        <v>5959</v>
      </c>
      <c r="BK859" t="s">
        <v>264</v>
      </c>
      <c r="BL859" t="s">
        <v>6056</v>
      </c>
    </row>
    <row r="860" spans="1:64">
      <c r="A860" s="1">
        <f>HYPERLINK("https://lsnyc.legalserver.org/matter/dynamic-profile/view/1905254","19-1905254")</f>
        <v>0</v>
      </c>
      <c r="B860" t="s">
        <v>67</v>
      </c>
      <c r="C860" t="s">
        <v>189</v>
      </c>
      <c r="D860" t="s">
        <v>200</v>
      </c>
      <c r="E860" t="s">
        <v>201</v>
      </c>
      <c r="G860" t="s">
        <v>202</v>
      </c>
      <c r="H860" t="s">
        <v>271</v>
      </c>
      <c r="I860" t="s">
        <v>288</v>
      </c>
      <c r="J860" t="s">
        <v>291</v>
      </c>
      <c r="K860" t="s">
        <v>292</v>
      </c>
      <c r="M860" t="s">
        <v>290</v>
      </c>
      <c r="N860" t="s">
        <v>202</v>
      </c>
      <c r="O860" t="s">
        <v>421</v>
      </c>
      <c r="P860" t="s">
        <v>427</v>
      </c>
      <c r="S860" t="s">
        <v>661</v>
      </c>
      <c r="T860" t="s">
        <v>1804</v>
      </c>
      <c r="U860" t="s">
        <v>231</v>
      </c>
      <c r="W860" t="s">
        <v>1876</v>
      </c>
      <c r="X860" t="s">
        <v>2692</v>
      </c>
      <c r="Z860" t="s">
        <v>3109</v>
      </c>
      <c r="AA860" t="s">
        <v>3135</v>
      </c>
      <c r="AB860">
        <v>11434</v>
      </c>
      <c r="AC860" t="s">
        <v>3139</v>
      </c>
      <c r="AD860" t="s">
        <v>3936</v>
      </c>
      <c r="AE860">
        <v>-1</v>
      </c>
      <c r="AG860" t="s">
        <v>4035</v>
      </c>
      <c r="AH860" t="s">
        <v>291</v>
      </c>
      <c r="AI860" t="s">
        <v>291</v>
      </c>
      <c r="AK860" t="s">
        <v>4040</v>
      </c>
      <c r="AL860" t="s">
        <v>4046</v>
      </c>
      <c r="AM860">
        <v>0</v>
      </c>
      <c r="AN860">
        <v>1600</v>
      </c>
      <c r="AO860">
        <v>31.12</v>
      </c>
      <c r="AQ860" t="s">
        <v>4880</v>
      </c>
      <c r="AR860" t="s">
        <v>5743</v>
      </c>
      <c r="AS860">
        <v>0</v>
      </c>
      <c r="AU860">
        <v>2</v>
      </c>
      <c r="AV860">
        <v>4</v>
      </c>
      <c r="AW860">
        <v>115.64</v>
      </c>
      <c r="BA860" t="s">
        <v>329</v>
      </c>
      <c r="BB860" t="s">
        <v>1322</v>
      </c>
      <c r="BC860">
        <v>40000</v>
      </c>
      <c r="BG860" t="s">
        <v>5923</v>
      </c>
      <c r="BJ860" t="s">
        <v>5949</v>
      </c>
      <c r="BK860" t="s">
        <v>222</v>
      </c>
      <c r="BL860" t="s">
        <v>6056</v>
      </c>
    </row>
    <row r="861" spans="1:64">
      <c r="A861" s="1">
        <f>HYPERLINK("https://lsnyc.legalserver.org/matter/dynamic-profile/view/1908952","19-1908952")</f>
        <v>0</v>
      </c>
      <c r="B861" t="s">
        <v>67</v>
      </c>
      <c r="C861" t="s">
        <v>189</v>
      </c>
      <c r="D861" t="s">
        <v>200</v>
      </c>
      <c r="E861" t="s">
        <v>202</v>
      </c>
      <c r="F861" t="s">
        <v>238</v>
      </c>
      <c r="G861" t="s">
        <v>202</v>
      </c>
      <c r="H861" t="s">
        <v>271</v>
      </c>
      <c r="I861" t="s">
        <v>202</v>
      </c>
      <c r="J861" t="s">
        <v>289</v>
      </c>
      <c r="K861" t="s">
        <v>292</v>
      </c>
      <c r="M861" t="s">
        <v>290</v>
      </c>
      <c r="N861" t="s">
        <v>419</v>
      </c>
      <c r="O861" t="s">
        <v>420</v>
      </c>
      <c r="P861" t="s">
        <v>427</v>
      </c>
      <c r="S861" t="s">
        <v>1113</v>
      </c>
      <c r="T861" t="s">
        <v>1805</v>
      </c>
      <c r="U861" t="s">
        <v>238</v>
      </c>
      <c r="W861" t="s">
        <v>1876</v>
      </c>
      <c r="X861" t="s">
        <v>2693</v>
      </c>
      <c r="Y861" t="s">
        <v>2809</v>
      </c>
      <c r="Z861" t="s">
        <v>3109</v>
      </c>
      <c r="AA861" t="s">
        <v>3135</v>
      </c>
      <c r="AB861">
        <v>11432</v>
      </c>
      <c r="AC861" t="s">
        <v>3136</v>
      </c>
      <c r="AD861" t="s">
        <v>3937</v>
      </c>
      <c r="AE861">
        <v>24</v>
      </c>
      <c r="AG861" t="s">
        <v>4034</v>
      </c>
      <c r="AH861" t="s">
        <v>291</v>
      </c>
      <c r="AI861" t="s">
        <v>291</v>
      </c>
      <c r="AK861" t="s">
        <v>4040</v>
      </c>
      <c r="AM861">
        <v>0</v>
      </c>
      <c r="AN861">
        <v>845.89</v>
      </c>
      <c r="AO861">
        <v>5.95</v>
      </c>
      <c r="AQ861" t="s">
        <v>4881</v>
      </c>
      <c r="AR861" t="s">
        <v>5744</v>
      </c>
      <c r="AS861">
        <v>16</v>
      </c>
      <c r="AT861" t="s">
        <v>5836</v>
      </c>
      <c r="AU861">
        <v>1</v>
      </c>
      <c r="AV861">
        <v>0</v>
      </c>
      <c r="AW861">
        <v>64.05</v>
      </c>
      <c r="BA861" t="s">
        <v>329</v>
      </c>
      <c r="BB861" t="s">
        <v>1322</v>
      </c>
      <c r="BC861">
        <v>8000</v>
      </c>
      <c r="BG861" t="s">
        <v>5922</v>
      </c>
      <c r="BJ861" t="s">
        <v>5949</v>
      </c>
      <c r="BK861" t="s">
        <v>243</v>
      </c>
      <c r="BL861" t="s">
        <v>6056</v>
      </c>
    </row>
    <row r="862" spans="1:64">
      <c r="A862" s="1">
        <f>HYPERLINK("https://lsnyc.legalserver.org/matter/dynamic-profile/view/1904064","19-1904064")</f>
        <v>0</v>
      </c>
      <c r="B862" t="s">
        <v>67</v>
      </c>
      <c r="C862" t="s">
        <v>188</v>
      </c>
      <c r="D862" t="s">
        <v>200</v>
      </c>
      <c r="E862" t="s">
        <v>202</v>
      </c>
      <c r="F862" t="s">
        <v>251</v>
      </c>
      <c r="G862" t="s">
        <v>202</v>
      </c>
      <c r="H862" t="s">
        <v>277</v>
      </c>
      <c r="I862" t="s">
        <v>202</v>
      </c>
      <c r="J862" t="s">
        <v>289</v>
      </c>
      <c r="K862" t="s">
        <v>292</v>
      </c>
      <c r="M862" t="s">
        <v>290</v>
      </c>
      <c r="N862" t="s">
        <v>202</v>
      </c>
      <c r="O862" t="s">
        <v>422</v>
      </c>
      <c r="P862" t="s">
        <v>427</v>
      </c>
      <c r="S862" t="s">
        <v>1114</v>
      </c>
      <c r="T862" t="s">
        <v>1806</v>
      </c>
      <c r="U862" t="s">
        <v>251</v>
      </c>
      <c r="W862" t="s">
        <v>1876</v>
      </c>
      <c r="X862" t="s">
        <v>2694</v>
      </c>
      <c r="Z862" t="s">
        <v>3131</v>
      </c>
      <c r="AA862" t="s">
        <v>3135</v>
      </c>
      <c r="AB862">
        <v>11419</v>
      </c>
      <c r="AC862" t="s">
        <v>3136</v>
      </c>
      <c r="AD862" t="s">
        <v>3938</v>
      </c>
      <c r="AE862">
        <v>19</v>
      </c>
      <c r="AG862" t="s">
        <v>4034</v>
      </c>
      <c r="AH862" t="s">
        <v>291</v>
      </c>
      <c r="AI862" t="s">
        <v>291</v>
      </c>
      <c r="AK862" t="s">
        <v>4040</v>
      </c>
      <c r="AL862" t="s">
        <v>4046</v>
      </c>
      <c r="AM862">
        <v>0</v>
      </c>
      <c r="AN862">
        <v>0</v>
      </c>
      <c r="AO862">
        <v>0.6</v>
      </c>
      <c r="AQ862" t="s">
        <v>4882</v>
      </c>
      <c r="AR862" t="s">
        <v>5745</v>
      </c>
      <c r="AS862">
        <v>1</v>
      </c>
      <c r="AT862" t="s">
        <v>5835</v>
      </c>
      <c r="AU862">
        <v>1</v>
      </c>
      <c r="AV862">
        <v>0</v>
      </c>
      <c r="AW862">
        <v>70.14</v>
      </c>
      <c r="BA862" t="s">
        <v>329</v>
      </c>
      <c r="BB862" t="s">
        <v>1322</v>
      </c>
      <c r="BC862">
        <v>8760</v>
      </c>
      <c r="BG862" t="s">
        <v>5922</v>
      </c>
      <c r="BJ862" t="s">
        <v>5988</v>
      </c>
      <c r="BK862" t="s">
        <v>233</v>
      </c>
      <c r="BL862" t="s">
        <v>6056</v>
      </c>
    </row>
    <row r="863" spans="1:64">
      <c r="A863" s="1">
        <f>HYPERLINK("https://lsnyc.legalserver.org/matter/dynamic-profile/view/1907597","19-1907597")</f>
        <v>0</v>
      </c>
      <c r="B863" t="s">
        <v>67</v>
      </c>
      <c r="C863" t="s">
        <v>188</v>
      </c>
      <c r="D863" t="s">
        <v>200</v>
      </c>
      <c r="E863" t="s">
        <v>201</v>
      </c>
      <c r="G863" t="s">
        <v>202</v>
      </c>
      <c r="H863" t="s">
        <v>271</v>
      </c>
      <c r="I863" t="s">
        <v>202</v>
      </c>
      <c r="J863" t="s">
        <v>289</v>
      </c>
      <c r="K863" t="s">
        <v>202</v>
      </c>
      <c r="L863" t="s">
        <v>413</v>
      </c>
      <c r="M863" t="s">
        <v>290</v>
      </c>
      <c r="N863" t="s">
        <v>419</v>
      </c>
      <c r="O863" t="s">
        <v>420</v>
      </c>
      <c r="P863" t="s">
        <v>427</v>
      </c>
      <c r="S863" t="s">
        <v>1115</v>
      </c>
      <c r="T863" t="s">
        <v>1807</v>
      </c>
      <c r="U863" t="s">
        <v>254</v>
      </c>
      <c r="W863" t="s">
        <v>1876</v>
      </c>
      <c r="X863" t="s">
        <v>2695</v>
      </c>
      <c r="Y863" t="s">
        <v>2797</v>
      </c>
      <c r="Z863" t="s">
        <v>3109</v>
      </c>
      <c r="AA863" t="s">
        <v>3135</v>
      </c>
      <c r="AB863">
        <v>11434</v>
      </c>
      <c r="AC863" t="s">
        <v>3136</v>
      </c>
      <c r="AD863" t="s">
        <v>3939</v>
      </c>
      <c r="AE863">
        <v>1</v>
      </c>
      <c r="AG863" t="s">
        <v>4035</v>
      </c>
      <c r="AH863" t="s">
        <v>291</v>
      </c>
      <c r="AI863" t="s">
        <v>289</v>
      </c>
      <c r="AK863" t="s">
        <v>4040</v>
      </c>
      <c r="AL863" t="s">
        <v>4046</v>
      </c>
      <c r="AM863">
        <v>0</v>
      </c>
      <c r="AN863">
        <v>650</v>
      </c>
      <c r="AO863">
        <v>1.48</v>
      </c>
      <c r="AQ863" t="s">
        <v>4883</v>
      </c>
      <c r="AR863" t="s">
        <v>5746</v>
      </c>
      <c r="AS863">
        <v>2</v>
      </c>
      <c r="AT863" t="s">
        <v>5835</v>
      </c>
      <c r="AU863">
        <v>1</v>
      </c>
      <c r="AV863">
        <v>1</v>
      </c>
      <c r="AW863">
        <v>85.16</v>
      </c>
      <c r="BA863" t="s">
        <v>329</v>
      </c>
      <c r="BB863" t="s">
        <v>1322</v>
      </c>
      <c r="BC863">
        <v>14400</v>
      </c>
      <c r="BG863" t="s">
        <v>5923</v>
      </c>
      <c r="BJ863" t="s">
        <v>5951</v>
      </c>
      <c r="BK863" t="s">
        <v>216</v>
      </c>
      <c r="BL863" t="s">
        <v>6056</v>
      </c>
    </row>
    <row r="864" spans="1:64">
      <c r="A864" s="1">
        <f>HYPERLINK("https://lsnyc.legalserver.org/matter/dynamic-profile/view/1906783","19-1906783")</f>
        <v>0</v>
      </c>
      <c r="B864" t="s">
        <v>67</v>
      </c>
      <c r="C864" t="s">
        <v>188</v>
      </c>
      <c r="D864" t="s">
        <v>200</v>
      </c>
      <c r="E864" t="s">
        <v>202</v>
      </c>
      <c r="F864" t="s">
        <v>234</v>
      </c>
      <c r="G864" t="s">
        <v>202</v>
      </c>
      <c r="H864" t="s">
        <v>271</v>
      </c>
      <c r="I864" t="s">
        <v>288</v>
      </c>
      <c r="J864" t="s">
        <v>290</v>
      </c>
      <c r="K864" t="s">
        <v>292</v>
      </c>
      <c r="M864" t="s">
        <v>290</v>
      </c>
      <c r="N864" t="s">
        <v>202</v>
      </c>
      <c r="O864" t="s">
        <v>421</v>
      </c>
      <c r="P864" t="s">
        <v>427</v>
      </c>
      <c r="S864" t="s">
        <v>741</v>
      </c>
      <c r="T864" t="s">
        <v>1242</v>
      </c>
      <c r="U864" t="s">
        <v>209</v>
      </c>
      <c r="W864" t="s">
        <v>1876</v>
      </c>
      <c r="X864" t="s">
        <v>2696</v>
      </c>
      <c r="Z864" t="s">
        <v>3109</v>
      </c>
      <c r="AA864" t="s">
        <v>3135</v>
      </c>
      <c r="AB864">
        <v>11433</v>
      </c>
      <c r="AD864" t="s">
        <v>3940</v>
      </c>
      <c r="AE864">
        <v>0</v>
      </c>
      <c r="AG864" t="s">
        <v>4035</v>
      </c>
      <c r="AH864" t="s">
        <v>291</v>
      </c>
      <c r="AI864" t="s">
        <v>291</v>
      </c>
      <c r="AK864" t="s">
        <v>4040</v>
      </c>
      <c r="AL864" t="s">
        <v>4046</v>
      </c>
      <c r="AM864">
        <v>0</v>
      </c>
      <c r="AN864">
        <v>0</v>
      </c>
      <c r="AO864">
        <v>11.1</v>
      </c>
      <c r="AQ864" t="s">
        <v>4884</v>
      </c>
      <c r="AR864" t="s">
        <v>5747</v>
      </c>
      <c r="AS864">
        <v>2</v>
      </c>
      <c r="AT864" t="s">
        <v>5835</v>
      </c>
      <c r="AU864">
        <v>1</v>
      </c>
      <c r="AV864">
        <v>0</v>
      </c>
      <c r="AW864">
        <v>124.9</v>
      </c>
      <c r="BB864" t="s">
        <v>1322</v>
      </c>
      <c r="BC864">
        <v>15600</v>
      </c>
      <c r="BG864" t="s">
        <v>5909</v>
      </c>
      <c r="BJ864" t="s">
        <v>5949</v>
      </c>
      <c r="BK864" t="s">
        <v>216</v>
      </c>
    </row>
    <row r="865" spans="1:64">
      <c r="A865" s="1">
        <f>HYPERLINK("https://lsnyc.legalserver.org/matter/dynamic-profile/view/1908421","19-1908421")</f>
        <v>0</v>
      </c>
      <c r="B865" t="s">
        <v>67</v>
      </c>
      <c r="C865" t="s">
        <v>188</v>
      </c>
      <c r="D865" t="s">
        <v>200</v>
      </c>
      <c r="E865" t="s">
        <v>201</v>
      </c>
      <c r="G865" t="s">
        <v>202</v>
      </c>
      <c r="H865" t="s">
        <v>271</v>
      </c>
      <c r="I865" t="s">
        <v>202</v>
      </c>
      <c r="J865" t="s">
        <v>289</v>
      </c>
      <c r="K865" t="s">
        <v>202</v>
      </c>
      <c r="L865" t="s">
        <v>329</v>
      </c>
      <c r="M865" t="s">
        <v>290</v>
      </c>
      <c r="N865" t="s">
        <v>202</v>
      </c>
      <c r="O865" t="s">
        <v>421</v>
      </c>
      <c r="P865" t="s">
        <v>427</v>
      </c>
      <c r="S865" t="s">
        <v>1116</v>
      </c>
      <c r="T865" t="s">
        <v>1808</v>
      </c>
      <c r="U865" t="s">
        <v>218</v>
      </c>
      <c r="W865" t="s">
        <v>1876</v>
      </c>
      <c r="X865" t="s">
        <v>2697</v>
      </c>
      <c r="Y865" t="s">
        <v>3073</v>
      </c>
      <c r="Z865" t="s">
        <v>3119</v>
      </c>
      <c r="AA865" t="s">
        <v>3135</v>
      </c>
      <c r="AB865">
        <v>11385</v>
      </c>
      <c r="AD865" t="s">
        <v>3941</v>
      </c>
      <c r="AE865">
        <v>-1</v>
      </c>
      <c r="AG865" t="s">
        <v>4035</v>
      </c>
      <c r="AH865" t="s">
        <v>291</v>
      </c>
      <c r="AI865" t="s">
        <v>291</v>
      </c>
      <c r="AK865" t="s">
        <v>4040</v>
      </c>
      <c r="AM865">
        <v>0</v>
      </c>
      <c r="AN865">
        <v>825</v>
      </c>
      <c r="AO865">
        <v>2.33</v>
      </c>
      <c r="AQ865" t="s">
        <v>4885</v>
      </c>
      <c r="AR865" t="s">
        <v>5748</v>
      </c>
      <c r="AS865">
        <v>2</v>
      </c>
      <c r="AT865" t="s">
        <v>5835</v>
      </c>
      <c r="AU865">
        <v>1</v>
      </c>
      <c r="AV865">
        <v>0</v>
      </c>
      <c r="AW865">
        <v>192.15</v>
      </c>
      <c r="BB865" t="s">
        <v>5874</v>
      </c>
      <c r="BC865">
        <v>24000</v>
      </c>
      <c r="BG865" t="s">
        <v>5923</v>
      </c>
      <c r="BJ865" t="s">
        <v>5949</v>
      </c>
      <c r="BK865" t="s">
        <v>259</v>
      </c>
      <c r="BL865" t="s">
        <v>6056</v>
      </c>
    </row>
    <row r="866" spans="1:64">
      <c r="A866" s="1">
        <f>HYPERLINK("https://lsnyc.legalserver.org/matter/dynamic-profile/view/1907260","19-1907260")</f>
        <v>0</v>
      </c>
      <c r="B866" t="s">
        <v>67</v>
      </c>
      <c r="C866" t="s">
        <v>188</v>
      </c>
      <c r="D866" t="s">
        <v>200</v>
      </c>
      <c r="E866" t="s">
        <v>202</v>
      </c>
      <c r="F866" t="s">
        <v>235</v>
      </c>
      <c r="G866" t="s">
        <v>202</v>
      </c>
      <c r="H866" t="s">
        <v>272</v>
      </c>
      <c r="I866" t="s">
        <v>202</v>
      </c>
      <c r="J866" t="s">
        <v>289</v>
      </c>
      <c r="K866" t="s">
        <v>292</v>
      </c>
      <c r="M866" t="s">
        <v>290</v>
      </c>
      <c r="N866" t="s">
        <v>202</v>
      </c>
      <c r="O866" t="s">
        <v>421</v>
      </c>
      <c r="P866" t="s">
        <v>427</v>
      </c>
      <c r="S866" t="s">
        <v>753</v>
      </c>
      <c r="T866" t="s">
        <v>594</v>
      </c>
      <c r="U866" t="s">
        <v>235</v>
      </c>
      <c r="W866" t="s">
        <v>1876</v>
      </c>
      <c r="X866" t="s">
        <v>2698</v>
      </c>
      <c r="Y866" t="s">
        <v>3074</v>
      </c>
      <c r="Z866" t="s">
        <v>3111</v>
      </c>
      <c r="AA866" t="s">
        <v>3135</v>
      </c>
      <c r="AB866">
        <v>11373</v>
      </c>
      <c r="AC866" t="s">
        <v>3136</v>
      </c>
      <c r="AD866" t="s">
        <v>3942</v>
      </c>
      <c r="AE866">
        <v>2</v>
      </c>
      <c r="AG866" t="s">
        <v>4035</v>
      </c>
      <c r="AH866" t="s">
        <v>291</v>
      </c>
      <c r="AI866" t="s">
        <v>291</v>
      </c>
      <c r="AK866" t="s">
        <v>4040</v>
      </c>
      <c r="AL866" t="s">
        <v>4046</v>
      </c>
      <c r="AM866">
        <v>0</v>
      </c>
      <c r="AN866">
        <v>1900</v>
      </c>
      <c r="AO866">
        <v>19.9</v>
      </c>
      <c r="AQ866" t="s">
        <v>4886</v>
      </c>
      <c r="AR866" t="s">
        <v>5749</v>
      </c>
      <c r="AS866">
        <v>63</v>
      </c>
      <c r="AT866" t="s">
        <v>5836</v>
      </c>
      <c r="AU866">
        <v>1</v>
      </c>
      <c r="AV866">
        <v>1</v>
      </c>
      <c r="AW866">
        <v>0</v>
      </c>
      <c r="BA866" t="s">
        <v>329</v>
      </c>
      <c r="BB866" t="s">
        <v>1322</v>
      </c>
      <c r="BC866">
        <v>0</v>
      </c>
      <c r="BG866" t="s">
        <v>5922</v>
      </c>
      <c r="BJ866" t="s">
        <v>5945</v>
      </c>
      <c r="BK866" t="s">
        <v>259</v>
      </c>
      <c r="BL866" t="s">
        <v>6056</v>
      </c>
    </row>
    <row r="867" spans="1:64">
      <c r="A867" s="1">
        <f>HYPERLINK("https://lsnyc.legalserver.org/matter/dynamic-profile/view/1909938","19-1909938")</f>
        <v>0</v>
      </c>
      <c r="B867" t="s">
        <v>67</v>
      </c>
      <c r="C867" t="s">
        <v>188</v>
      </c>
      <c r="D867" t="s">
        <v>200</v>
      </c>
      <c r="E867" t="s">
        <v>201</v>
      </c>
      <c r="G867" t="s">
        <v>202</v>
      </c>
      <c r="H867" t="s">
        <v>271</v>
      </c>
      <c r="I867" t="s">
        <v>202</v>
      </c>
      <c r="J867" t="s">
        <v>289</v>
      </c>
      <c r="K867" t="s">
        <v>292</v>
      </c>
      <c r="M867" t="s">
        <v>290</v>
      </c>
      <c r="N867" t="s">
        <v>419</v>
      </c>
      <c r="O867" t="s">
        <v>420</v>
      </c>
      <c r="P867" t="s">
        <v>427</v>
      </c>
      <c r="S867" t="s">
        <v>849</v>
      </c>
      <c r="T867" t="s">
        <v>1276</v>
      </c>
      <c r="U867" t="s">
        <v>243</v>
      </c>
      <c r="W867" t="s">
        <v>1876</v>
      </c>
      <c r="X867" t="s">
        <v>2699</v>
      </c>
      <c r="Z867" t="s">
        <v>3109</v>
      </c>
      <c r="AA867" t="s">
        <v>3135</v>
      </c>
      <c r="AB867">
        <v>11434</v>
      </c>
      <c r="AC867" t="s">
        <v>3139</v>
      </c>
      <c r="AD867" t="s">
        <v>3943</v>
      </c>
      <c r="AE867">
        <v>-1</v>
      </c>
      <c r="AG867" t="s">
        <v>4035</v>
      </c>
      <c r="AH867" t="s">
        <v>291</v>
      </c>
      <c r="AI867" t="s">
        <v>291</v>
      </c>
      <c r="AK867" t="s">
        <v>4040</v>
      </c>
      <c r="AL867" t="s">
        <v>4046</v>
      </c>
      <c r="AM867">
        <v>0</v>
      </c>
      <c r="AN867">
        <v>800</v>
      </c>
      <c r="AO867">
        <v>0.55</v>
      </c>
      <c r="AQ867" t="s">
        <v>4789</v>
      </c>
      <c r="AR867" t="s">
        <v>5750</v>
      </c>
      <c r="AS867">
        <v>2</v>
      </c>
      <c r="AT867" t="s">
        <v>5835</v>
      </c>
      <c r="AU867">
        <v>1</v>
      </c>
      <c r="AV867">
        <v>0</v>
      </c>
      <c r="AW867">
        <v>153.72</v>
      </c>
      <c r="BA867" t="s">
        <v>329</v>
      </c>
      <c r="BB867" t="s">
        <v>1322</v>
      </c>
      <c r="BC867">
        <v>19200</v>
      </c>
      <c r="BG867" t="s">
        <v>5922</v>
      </c>
      <c r="BJ867" t="s">
        <v>5949</v>
      </c>
      <c r="BK867" t="s">
        <v>206</v>
      </c>
      <c r="BL867" t="s">
        <v>6056</v>
      </c>
    </row>
    <row r="868" spans="1:64">
      <c r="A868" s="1">
        <f>HYPERLINK("https://lsnyc.legalserver.org/matter/dynamic-profile/view/1905368","19-1905368")</f>
        <v>0</v>
      </c>
      <c r="B868" t="s">
        <v>67</v>
      </c>
      <c r="C868" t="s">
        <v>188</v>
      </c>
      <c r="D868" t="s">
        <v>200</v>
      </c>
      <c r="E868" t="s">
        <v>202</v>
      </c>
      <c r="F868" t="s">
        <v>232</v>
      </c>
      <c r="G868" t="s">
        <v>202</v>
      </c>
      <c r="H868" t="s">
        <v>272</v>
      </c>
      <c r="I868" t="s">
        <v>202</v>
      </c>
      <c r="J868" t="s">
        <v>289</v>
      </c>
      <c r="K868" t="s">
        <v>202</v>
      </c>
      <c r="L868" t="s">
        <v>414</v>
      </c>
      <c r="M868" t="s">
        <v>290</v>
      </c>
      <c r="N868" t="s">
        <v>202</v>
      </c>
      <c r="O868" t="s">
        <v>422</v>
      </c>
      <c r="P868" t="s">
        <v>428</v>
      </c>
      <c r="S868" t="s">
        <v>839</v>
      </c>
      <c r="T868" t="s">
        <v>1809</v>
      </c>
      <c r="U868" t="s">
        <v>214</v>
      </c>
      <c r="V868" t="s">
        <v>253</v>
      </c>
      <c r="W868" t="s">
        <v>1877</v>
      </c>
      <c r="X868" t="s">
        <v>2700</v>
      </c>
      <c r="Y868" t="s">
        <v>3075</v>
      </c>
      <c r="Z868" t="s">
        <v>3132</v>
      </c>
      <c r="AA868" t="s">
        <v>3135</v>
      </c>
      <c r="AB868">
        <v>11101</v>
      </c>
      <c r="AC868" t="s">
        <v>3136</v>
      </c>
      <c r="AD868" t="s">
        <v>3944</v>
      </c>
      <c r="AE868">
        <v>5</v>
      </c>
      <c r="AF868" t="s">
        <v>4023</v>
      </c>
      <c r="AG868" t="s">
        <v>4034</v>
      </c>
      <c r="AH868" t="s">
        <v>291</v>
      </c>
      <c r="AI868" t="s">
        <v>291</v>
      </c>
      <c r="AK868" t="s">
        <v>4041</v>
      </c>
      <c r="AL868" t="s">
        <v>4049</v>
      </c>
      <c r="AM868">
        <v>0</v>
      </c>
      <c r="AN868">
        <v>215</v>
      </c>
      <c r="AO868">
        <v>1.4</v>
      </c>
      <c r="AP868" t="s">
        <v>4052</v>
      </c>
      <c r="AQ868" t="s">
        <v>4887</v>
      </c>
      <c r="AS868">
        <v>30</v>
      </c>
      <c r="AT868" t="s">
        <v>5837</v>
      </c>
      <c r="AU868">
        <v>2</v>
      </c>
      <c r="AV868">
        <v>0</v>
      </c>
      <c r="AW868">
        <v>44.35</v>
      </c>
      <c r="BA868" t="s">
        <v>3143</v>
      </c>
      <c r="BB868" t="s">
        <v>1322</v>
      </c>
      <c r="BC868">
        <v>7500</v>
      </c>
      <c r="BG868" t="s">
        <v>188</v>
      </c>
      <c r="BJ868" t="s">
        <v>5960</v>
      </c>
      <c r="BK868" t="s">
        <v>210</v>
      </c>
      <c r="BL868" t="s">
        <v>6056</v>
      </c>
    </row>
    <row r="869" spans="1:64">
      <c r="A869" s="1">
        <f>HYPERLINK("https://lsnyc.legalserver.org/matter/dynamic-profile/view/1908489","19-1908489")</f>
        <v>0</v>
      </c>
      <c r="B869" t="s">
        <v>67</v>
      </c>
      <c r="C869" t="s">
        <v>189</v>
      </c>
      <c r="D869" t="s">
        <v>200</v>
      </c>
      <c r="E869" t="s">
        <v>201</v>
      </c>
      <c r="G869" t="s">
        <v>202</v>
      </c>
      <c r="H869" t="s">
        <v>271</v>
      </c>
      <c r="I869" t="s">
        <v>202</v>
      </c>
      <c r="J869" t="s">
        <v>289</v>
      </c>
      <c r="K869" t="s">
        <v>292</v>
      </c>
      <c r="M869" t="s">
        <v>290</v>
      </c>
      <c r="N869" t="s">
        <v>419</v>
      </c>
      <c r="O869" t="s">
        <v>420</v>
      </c>
      <c r="P869" t="s">
        <v>427</v>
      </c>
      <c r="S869" t="s">
        <v>1117</v>
      </c>
      <c r="T869" t="s">
        <v>936</v>
      </c>
      <c r="U869" t="s">
        <v>237</v>
      </c>
      <c r="W869" t="s">
        <v>1876</v>
      </c>
      <c r="X869" t="s">
        <v>2701</v>
      </c>
      <c r="Y869" t="s">
        <v>3076</v>
      </c>
      <c r="Z869" t="s">
        <v>3111</v>
      </c>
      <c r="AA869" t="s">
        <v>3135</v>
      </c>
      <c r="AB869">
        <v>11373</v>
      </c>
      <c r="AC869" t="s">
        <v>3139</v>
      </c>
      <c r="AD869" t="s">
        <v>3945</v>
      </c>
      <c r="AE869">
        <v>6</v>
      </c>
      <c r="AG869" t="s">
        <v>4035</v>
      </c>
      <c r="AH869" t="s">
        <v>291</v>
      </c>
      <c r="AI869" t="s">
        <v>291</v>
      </c>
      <c r="AK869" t="s">
        <v>4040</v>
      </c>
      <c r="AL869" t="s">
        <v>4046</v>
      </c>
      <c r="AM869">
        <v>0</v>
      </c>
      <c r="AN869">
        <v>0</v>
      </c>
      <c r="AO869">
        <v>1.33</v>
      </c>
      <c r="AQ869" t="s">
        <v>4888</v>
      </c>
      <c r="AR869" t="s">
        <v>5751</v>
      </c>
      <c r="AS869">
        <v>0</v>
      </c>
      <c r="AU869">
        <v>2</v>
      </c>
      <c r="AV869">
        <v>2</v>
      </c>
      <c r="AW869">
        <v>121.17</v>
      </c>
      <c r="BA869" t="s">
        <v>329</v>
      </c>
      <c r="BB869" t="s">
        <v>1322</v>
      </c>
      <c r="BC869">
        <v>31200</v>
      </c>
      <c r="BG869" t="s">
        <v>5923</v>
      </c>
      <c r="BJ869" t="s">
        <v>5949</v>
      </c>
      <c r="BK869" t="s">
        <v>259</v>
      </c>
      <c r="BL869" t="s">
        <v>6056</v>
      </c>
    </row>
    <row r="870" spans="1:64">
      <c r="A870" s="1">
        <f>HYPERLINK("https://lsnyc.legalserver.org/matter/dynamic-profile/view/1908600","19-1908600")</f>
        <v>0</v>
      </c>
      <c r="B870" t="s">
        <v>67</v>
      </c>
      <c r="C870" t="s">
        <v>189</v>
      </c>
      <c r="D870" t="s">
        <v>200</v>
      </c>
      <c r="E870" t="s">
        <v>202</v>
      </c>
      <c r="F870" t="s">
        <v>236</v>
      </c>
      <c r="G870" t="s">
        <v>202</v>
      </c>
      <c r="H870" t="s">
        <v>271</v>
      </c>
      <c r="I870" t="s">
        <v>202</v>
      </c>
      <c r="J870" t="s">
        <v>289</v>
      </c>
      <c r="K870" t="s">
        <v>292</v>
      </c>
      <c r="M870" t="s">
        <v>290</v>
      </c>
      <c r="N870" t="s">
        <v>419</v>
      </c>
      <c r="O870" t="s">
        <v>420</v>
      </c>
      <c r="P870" t="s">
        <v>427</v>
      </c>
      <c r="S870" t="s">
        <v>476</v>
      </c>
      <c r="T870" t="s">
        <v>1810</v>
      </c>
      <c r="U870" t="s">
        <v>236</v>
      </c>
      <c r="W870" t="s">
        <v>1876</v>
      </c>
      <c r="X870" t="s">
        <v>2702</v>
      </c>
      <c r="Y870" t="s">
        <v>2834</v>
      </c>
      <c r="Z870" t="s">
        <v>3119</v>
      </c>
      <c r="AA870" t="s">
        <v>3135</v>
      </c>
      <c r="AB870">
        <v>11385</v>
      </c>
      <c r="AC870" t="s">
        <v>3140</v>
      </c>
      <c r="AD870" t="s">
        <v>3946</v>
      </c>
      <c r="AE870">
        <v>31</v>
      </c>
      <c r="AG870" t="s">
        <v>4035</v>
      </c>
      <c r="AH870" t="s">
        <v>291</v>
      </c>
      <c r="AI870" t="s">
        <v>291</v>
      </c>
      <c r="AK870" t="s">
        <v>4040</v>
      </c>
      <c r="AL870" t="s">
        <v>4046</v>
      </c>
      <c r="AM870">
        <v>0</v>
      </c>
      <c r="AN870">
        <v>873</v>
      </c>
      <c r="AO870">
        <v>7.4</v>
      </c>
      <c r="AQ870" t="s">
        <v>4889</v>
      </c>
      <c r="AR870" t="s">
        <v>5752</v>
      </c>
      <c r="AS870">
        <v>6</v>
      </c>
      <c r="AT870" t="s">
        <v>5838</v>
      </c>
      <c r="AU870">
        <v>2</v>
      </c>
      <c r="AV870">
        <v>0</v>
      </c>
      <c r="AW870">
        <v>0</v>
      </c>
      <c r="BA870" t="s">
        <v>329</v>
      </c>
      <c r="BB870" t="s">
        <v>1322</v>
      </c>
      <c r="BC870">
        <v>0</v>
      </c>
      <c r="BG870" t="s">
        <v>5922</v>
      </c>
      <c r="BJ870" t="s">
        <v>5945</v>
      </c>
      <c r="BK870" t="s">
        <v>243</v>
      </c>
      <c r="BL870" t="s">
        <v>6056</v>
      </c>
    </row>
    <row r="871" spans="1:64">
      <c r="A871" s="1">
        <f>HYPERLINK("https://lsnyc.legalserver.org/matter/dynamic-profile/view/1906245","19-1906245")</f>
        <v>0</v>
      </c>
      <c r="B871" t="s">
        <v>67</v>
      </c>
      <c r="C871" t="s">
        <v>189</v>
      </c>
      <c r="D871" t="s">
        <v>200</v>
      </c>
      <c r="E871" t="s">
        <v>202</v>
      </c>
      <c r="F871" t="s">
        <v>235</v>
      </c>
      <c r="G871" t="s">
        <v>202</v>
      </c>
      <c r="H871" t="s">
        <v>272</v>
      </c>
      <c r="I871" t="s">
        <v>202</v>
      </c>
      <c r="J871" t="s">
        <v>289</v>
      </c>
      <c r="K871" t="s">
        <v>292</v>
      </c>
      <c r="M871" t="s">
        <v>290</v>
      </c>
      <c r="N871" t="s">
        <v>202</v>
      </c>
      <c r="O871" t="s">
        <v>421</v>
      </c>
      <c r="P871" t="s">
        <v>427</v>
      </c>
      <c r="S871" t="s">
        <v>1007</v>
      </c>
      <c r="T871" t="s">
        <v>1238</v>
      </c>
      <c r="U871" t="s">
        <v>261</v>
      </c>
      <c r="W871" t="s">
        <v>1876</v>
      </c>
      <c r="X871" t="s">
        <v>2703</v>
      </c>
      <c r="Y871" t="s">
        <v>3077</v>
      </c>
      <c r="Z871" t="s">
        <v>3111</v>
      </c>
      <c r="AA871" t="s">
        <v>3135</v>
      </c>
      <c r="AB871">
        <v>11373</v>
      </c>
      <c r="AC871" t="s">
        <v>3136</v>
      </c>
      <c r="AD871" t="s">
        <v>3947</v>
      </c>
      <c r="AE871">
        <v>2</v>
      </c>
      <c r="AG871" t="s">
        <v>4035</v>
      </c>
      <c r="AH871" t="s">
        <v>291</v>
      </c>
      <c r="AI871" t="s">
        <v>289</v>
      </c>
      <c r="AK871" t="s">
        <v>4040</v>
      </c>
      <c r="AL871" t="s">
        <v>4047</v>
      </c>
      <c r="AM871">
        <v>0</v>
      </c>
      <c r="AN871">
        <v>1850</v>
      </c>
      <c r="AO871">
        <v>33.3</v>
      </c>
      <c r="AQ871" t="s">
        <v>4890</v>
      </c>
      <c r="AR871" t="s">
        <v>5753</v>
      </c>
      <c r="AS871">
        <v>164</v>
      </c>
      <c r="AT871" t="s">
        <v>5838</v>
      </c>
      <c r="AU871">
        <v>2</v>
      </c>
      <c r="AV871">
        <v>0</v>
      </c>
      <c r="AW871">
        <v>129.15</v>
      </c>
      <c r="BA871" t="s">
        <v>329</v>
      </c>
      <c r="BB871" t="s">
        <v>1322</v>
      </c>
      <c r="BC871">
        <v>21840</v>
      </c>
      <c r="BG871" t="s">
        <v>5923</v>
      </c>
      <c r="BJ871" t="s">
        <v>6050</v>
      </c>
      <c r="BK871" t="s">
        <v>259</v>
      </c>
      <c r="BL871" t="s">
        <v>6056</v>
      </c>
    </row>
    <row r="872" spans="1:64">
      <c r="A872" s="1">
        <f>HYPERLINK("https://lsnyc.legalserver.org/matter/dynamic-profile/view/1904134","19-1904134")</f>
        <v>0</v>
      </c>
      <c r="B872" t="s">
        <v>67</v>
      </c>
      <c r="C872" t="s">
        <v>189</v>
      </c>
      <c r="D872" t="s">
        <v>200</v>
      </c>
      <c r="E872" t="s">
        <v>202</v>
      </c>
      <c r="F872" t="s">
        <v>245</v>
      </c>
      <c r="G872" t="s">
        <v>202</v>
      </c>
      <c r="H872" t="s">
        <v>271</v>
      </c>
      <c r="I872" t="s">
        <v>202</v>
      </c>
      <c r="J872" t="s">
        <v>289</v>
      </c>
      <c r="K872" t="s">
        <v>292</v>
      </c>
      <c r="M872" t="s">
        <v>290</v>
      </c>
      <c r="N872" t="s">
        <v>202</v>
      </c>
      <c r="O872" t="s">
        <v>421</v>
      </c>
      <c r="P872" t="s">
        <v>202</v>
      </c>
      <c r="Q872" t="s">
        <v>430</v>
      </c>
      <c r="R872" t="s">
        <v>453</v>
      </c>
      <c r="S872" t="s">
        <v>548</v>
      </c>
      <c r="T872" t="s">
        <v>1811</v>
      </c>
      <c r="U872" t="s">
        <v>227</v>
      </c>
      <c r="W872" t="s">
        <v>1876</v>
      </c>
      <c r="X872" t="s">
        <v>2704</v>
      </c>
      <c r="Y872" t="s">
        <v>2865</v>
      </c>
      <c r="Z872" t="s">
        <v>3111</v>
      </c>
      <c r="AA872" t="s">
        <v>3135</v>
      </c>
      <c r="AB872">
        <v>11373</v>
      </c>
      <c r="AC872" t="s">
        <v>3139</v>
      </c>
      <c r="AD872" t="s">
        <v>3948</v>
      </c>
      <c r="AE872">
        <v>10</v>
      </c>
      <c r="AG872" t="s">
        <v>4035</v>
      </c>
      <c r="AH872" t="s">
        <v>291</v>
      </c>
      <c r="AI872" t="s">
        <v>291</v>
      </c>
      <c r="AK872" t="s">
        <v>4040</v>
      </c>
      <c r="AL872" t="s">
        <v>4046</v>
      </c>
      <c r="AM872">
        <v>0</v>
      </c>
      <c r="AN872">
        <v>1350</v>
      </c>
      <c r="AO872">
        <v>23.25</v>
      </c>
      <c r="AQ872" t="s">
        <v>4891</v>
      </c>
      <c r="AR872" t="s">
        <v>5754</v>
      </c>
      <c r="AS872">
        <v>169</v>
      </c>
      <c r="AT872" t="s">
        <v>5845</v>
      </c>
      <c r="AU872">
        <v>2</v>
      </c>
      <c r="AV872">
        <v>2</v>
      </c>
      <c r="AW872">
        <v>93.2</v>
      </c>
      <c r="BA872" t="s">
        <v>329</v>
      </c>
      <c r="BB872" t="s">
        <v>1322</v>
      </c>
      <c r="BC872">
        <v>24000</v>
      </c>
      <c r="BG872" t="s">
        <v>5923</v>
      </c>
      <c r="BH872" t="s">
        <v>5927</v>
      </c>
      <c r="BI872" t="s">
        <v>5933</v>
      </c>
      <c r="BJ872" t="s">
        <v>5949</v>
      </c>
      <c r="BK872" t="s">
        <v>257</v>
      </c>
      <c r="BL872" t="s">
        <v>6056</v>
      </c>
    </row>
    <row r="873" spans="1:64">
      <c r="A873" s="1">
        <f>HYPERLINK("https://lsnyc.legalserver.org/matter/dynamic-profile/view/1905107","19-1905107")</f>
        <v>0</v>
      </c>
      <c r="B873" t="s">
        <v>67</v>
      </c>
      <c r="C873" t="s">
        <v>188</v>
      </c>
      <c r="D873" t="s">
        <v>200</v>
      </c>
      <c r="E873" t="s">
        <v>202</v>
      </c>
      <c r="F873" t="s">
        <v>258</v>
      </c>
      <c r="G873" t="s">
        <v>202</v>
      </c>
      <c r="H873" t="s">
        <v>272</v>
      </c>
      <c r="I873" t="s">
        <v>202</v>
      </c>
      <c r="J873" t="s">
        <v>289</v>
      </c>
      <c r="K873" t="s">
        <v>292</v>
      </c>
      <c r="M873" t="s">
        <v>290</v>
      </c>
      <c r="N873" t="s">
        <v>202</v>
      </c>
      <c r="O873" t="s">
        <v>421</v>
      </c>
      <c r="P873" t="s">
        <v>427</v>
      </c>
      <c r="S873" t="s">
        <v>1118</v>
      </c>
      <c r="T873" t="s">
        <v>1812</v>
      </c>
      <c r="U873" t="s">
        <v>258</v>
      </c>
      <c r="W873" t="s">
        <v>1876</v>
      </c>
      <c r="X873" t="s">
        <v>2705</v>
      </c>
      <c r="Y873" t="s">
        <v>2796</v>
      </c>
      <c r="Z873" t="s">
        <v>3113</v>
      </c>
      <c r="AA873" t="s">
        <v>3135</v>
      </c>
      <c r="AB873">
        <v>11385</v>
      </c>
      <c r="AC873" t="s">
        <v>3139</v>
      </c>
      <c r="AD873" t="s">
        <v>3949</v>
      </c>
      <c r="AE873">
        <v>10</v>
      </c>
      <c r="AG873" t="s">
        <v>4035</v>
      </c>
      <c r="AH873" t="s">
        <v>291</v>
      </c>
      <c r="AI873" t="s">
        <v>289</v>
      </c>
      <c r="AK873" t="s">
        <v>4040</v>
      </c>
      <c r="AL873" t="s">
        <v>4046</v>
      </c>
      <c r="AM873">
        <v>0</v>
      </c>
      <c r="AN873">
        <v>1365</v>
      </c>
      <c r="AO873">
        <v>23.4</v>
      </c>
      <c r="AQ873" t="s">
        <v>4892</v>
      </c>
      <c r="AS873">
        <v>6</v>
      </c>
      <c r="AT873" t="s">
        <v>5838</v>
      </c>
      <c r="AU873">
        <v>1</v>
      </c>
      <c r="AV873">
        <v>0</v>
      </c>
      <c r="AW873">
        <v>0</v>
      </c>
      <c r="BA873" t="s">
        <v>5851</v>
      </c>
      <c r="BB873" t="s">
        <v>1322</v>
      </c>
      <c r="BC873">
        <v>0</v>
      </c>
      <c r="BG873" t="s">
        <v>5923</v>
      </c>
      <c r="BJ873" t="s">
        <v>5945</v>
      </c>
      <c r="BK873" t="s">
        <v>216</v>
      </c>
      <c r="BL873" t="s">
        <v>6056</v>
      </c>
    </row>
    <row r="874" spans="1:64">
      <c r="A874" s="1">
        <f>HYPERLINK("https://lsnyc.legalserver.org/matter/dynamic-profile/view/1905378","19-1905378")</f>
        <v>0</v>
      </c>
      <c r="B874" t="s">
        <v>67</v>
      </c>
      <c r="C874" t="s">
        <v>188</v>
      </c>
      <c r="D874" t="s">
        <v>200</v>
      </c>
      <c r="E874" t="s">
        <v>201</v>
      </c>
      <c r="G874" t="s">
        <v>202</v>
      </c>
      <c r="H874" t="s">
        <v>272</v>
      </c>
      <c r="I874" t="s">
        <v>288</v>
      </c>
      <c r="J874" t="s">
        <v>290</v>
      </c>
      <c r="K874" t="s">
        <v>292</v>
      </c>
      <c r="M874" t="s">
        <v>290</v>
      </c>
      <c r="N874" t="s">
        <v>202</v>
      </c>
      <c r="O874" t="s">
        <v>422</v>
      </c>
      <c r="P874" t="s">
        <v>427</v>
      </c>
      <c r="S874" t="s">
        <v>1119</v>
      </c>
      <c r="T874" t="s">
        <v>1813</v>
      </c>
      <c r="U874" t="s">
        <v>214</v>
      </c>
      <c r="W874" t="s">
        <v>1876</v>
      </c>
      <c r="X874" t="s">
        <v>2706</v>
      </c>
      <c r="Y874" t="s">
        <v>2822</v>
      </c>
      <c r="Z874" t="s">
        <v>3102</v>
      </c>
      <c r="AA874" t="s">
        <v>3135</v>
      </c>
      <c r="AB874">
        <v>11377</v>
      </c>
      <c r="AC874" t="s">
        <v>3136</v>
      </c>
      <c r="AD874" t="s">
        <v>3950</v>
      </c>
      <c r="AE874">
        <v>3</v>
      </c>
      <c r="AG874" t="s">
        <v>4034</v>
      </c>
      <c r="AH874" t="s">
        <v>291</v>
      </c>
      <c r="AI874" t="s">
        <v>291</v>
      </c>
      <c r="AK874" t="s">
        <v>4040</v>
      </c>
      <c r="AL874" t="s">
        <v>4046</v>
      </c>
      <c r="AM874">
        <v>0</v>
      </c>
      <c r="AN874">
        <v>2500</v>
      </c>
      <c r="AO874">
        <v>2.77</v>
      </c>
      <c r="AQ874" t="s">
        <v>4893</v>
      </c>
      <c r="AR874" t="s">
        <v>5755</v>
      </c>
      <c r="AS874">
        <v>2</v>
      </c>
      <c r="AT874" t="s">
        <v>5835</v>
      </c>
      <c r="AU874">
        <v>3</v>
      </c>
      <c r="AV874">
        <v>2</v>
      </c>
      <c r="AW874">
        <v>207.58</v>
      </c>
      <c r="BA874" t="s">
        <v>5858</v>
      </c>
      <c r="BC874">
        <v>62626.56</v>
      </c>
      <c r="BG874" t="s">
        <v>184</v>
      </c>
      <c r="BJ874" t="s">
        <v>5949</v>
      </c>
      <c r="BK874" t="s">
        <v>213</v>
      </c>
    </row>
    <row r="875" spans="1:64">
      <c r="A875" s="1">
        <f>HYPERLINK("https://lsnyc.legalserver.org/matter/dynamic-profile/view/1908960","19-1908960")</f>
        <v>0</v>
      </c>
      <c r="B875" t="s">
        <v>67</v>
      </c>
      <c r="C875" t="s">
        <v>188</v>
      </c>
      <c r="D875" t="s">
        <v>200</v>
      </c>
      <c r="E875" t="s">
        <v>202</v>
      </c>
      <c r="F875" t="s">
        <v>238</v>
      </c>
      <c r="G875" t="s">
        <v>202</v>
      </c>
      <c r="H875" t="s">
        <v>271</v>
      </c>
      <c r="I875" t="s">
        <v>202</v>
      </c>
      <c r="J875" t="s">
        <v>289</v>
      </c>
      <c r="K875" t="s">
        <v>292</v>
      </c>
      <c r="M875" t="s">
        <v>290</v>
      </c>
      <c r="N875" t="s">
        <v>419</v>
      </c>
      <c r="O875" t="s">
        <v>420</v>
      </c>
      <c r="P875" t="s">
        <v>427</v>
      </c>
      <c r="S875" t="s">
        <v>706</v>
      </c>
      <c r="T875" t="s">
        <v>1814</v>
      </c>
      <c r="U875" t="s">
        <v>238</v>
      </c>
      <c r="W875" t="s">
        <v>1876</v>
      </c>
      <c r="X875" t="s">
        <v>2707</v>
      </c>
      <c r="Y875" t="s">
        <v>2824</v>
      </c>
      <c r="Z875" t="s">
        <v>3117</v>
      </c>
      <c r="AA875" t="s">
        <v>3135</v>
      </c>
      <c r="AB875">
        <v>11104</v>
      </c>
      <c r="AC875" t="s">
        <v>3140</v>
      </c>
      <c r="AD875" t="s">
        <v>3951</v>
      </c>
      <c r="AE875">
        <v>23</v>
      </c>
      <c r="AG875" t="s">
        <v>4034</v>
      </c>
      <c r="AH875" t="s">
        <v>291</v>
      </c>
      <c r="AI875" t="s">
        <v>291</v>
      </c>
      <c r="AK875" t="s">
        <v>4040</v>
      </c>
      <c r="AM875">
        <v>0</v>
      </c>
      <c r="AN875">
        <v>1101.58</v>
      </c>
      <c r="AO875">
        <v>1.98</v>
      </c>
      <c r="AQ875" t="s">
        <v>4894</v>
      </c>
      <c r="AR875" t="s">
        <v>5756</v>
      </c>
      <c r="AS875">
        <v>7</v>
      </c>
      <c r="AT875" t="s">
        <v>5836</v>
      </c>
      <c r="AU875">
        <v>1</v>
      </c>
      <c r="AV875">
        <v>0</v>
      </c>
      <c r="AW875">
        <v>48.04</v>
      </c>
      <c r="BA875" t="s">
        <v>329</v>
      </c>
      <c r="BB875" t="s">
        <v>1322</v>
      </c>
      <c r="BC875">
        <v>6000</v>
      </c>
      <c r="BG875" t="s">
        <v>5922</v>
      </c>
      <c r="BJ875" t="s">
        <v>5949</v>
      </c>
      <c r="BK875" t="s">
        <v>259</v>
      </c>
      <c r="BL875" t="s">
        <v>6056</v>
      </c>
    </row>
    <row r="876" spans="1:64">
      <c r="A876" s="1">
        <f>HYPERLINK("https://lsnyc.legalserver.org/matter/dynamic-profile/view/1907008","19-1907008")</f>
        <v>0</v>
      </c>
      <c r="B876" t="s">
        <v>67</v>
      </c>
      <c r="C876" t="s">
        <v>172</v>
      </c>
      <c r="D876" t="s">
        <v>200</v>
      </c>
      <c r="E876" t="s">
        <v>201</v>
      </c>
      <c r="G876" t="s">
        <v>202</v>
      </c>
      <c r="H876" t="s">
        <v>271</v>
      </c>
      <c r="I876" t="s">
        <v>202</v>
      </c>
      <c r="J876" t="s">
        <v>289</v>
      </c>
      <c r="K876" t="s">
        <v>292</v>
      </c>
      <c r="M876" t="s">
        <v>290</v>
      </c>
      <c r="N876" t="s">
        <v>202</v>
      </c>
      <c r="O876" t="s">
        <v>421</v>
      </c>
      <c r="P876" t="s">
        <v>427</v>
      </c>
      <c r="S876" t="s">
        <v>1120</v>
      </c>
      <c r="T876" t="s">
        <v>1815</v>
      </c>
      <c r="U876" t="s">
        <v>226</v>
      </c>
      <c r="W876" t="s">
        <v>1876</v>
      </c>
      <c r="X876" t="s">
        <v>2708</v>
      </c>
      <c r="Y876">
        <v>2</v>
      </c>
      <c r="Z876" t="s">
        <v>3119</v>
      </c>
      <c r="AA876" t="s">
        <v>3135</v>
      </c>
      <c r="AB876">
        <v>11385</v>
      </c>
      <c r="AC876" t="s">
        <v>3139</v>
      </c>
      <c r="AE876">
        <v>1</v>
      </c>
      <c r="AG876" t="s">
        <v>4035</v>
      </c>
      <c r="AH876" t="s">
        <v>291</v>
      </c>
      <c r="AI876" t="s">
        <v>291</v>
      </c>
      <c r="AK876" t="s">
        <v>4040</v>
      </c>
      <c r="AM876">
        <v>0</v>
      </c>
      <c r="AN876">
        <v>1900</v>
      </c>
      <c r="AO876">
        <v>2.23</v>
      </c>
      <c r="AQ876" t="s">
        <v>4895</v>
      </c>
      <c r="AR876" t="s">
        <v>5286</v>
      </c>
      <c r="AS876">
        <v>3</v>
      </c>
      <c r="AU876">
        <v>3</v>
      </c>
      <c r="AV876">
        <v>2</v>
      </c>
      <c r="AW876">
        <v>137.89</v>
      </c>
      <c r="BA876" t="s">
        <v>329</v>
      </c>
      <c r="BB876" t="s">
        <v>5859</v>
      </c>
      <c r="BC876">
        <v>41600</v>
      </c>
      <c r="BG876" t="s">
        <v>5923</v>
      </c>
      <c r="BJ876" t="s">
        <v>5949</v>
      </c>
      <c r="BK876" t="s">
        <v>243</v>
      </c>
      <c r="BL876" t="s">
        <v>6056</v>
      </c>
    </row>
    <row r="877" spans="1:64">
      <c r="A877" s="1">
        <f>HYPERLINK("https://lsnyc.legalserver.org/matter/dynamic-profile/view/1908543","19-1908543")</f>
        <v>0</v>
      </c>
      <c r="B877" t="s">
        <v>67</v>
      </c>
      <c r="C877" t="s">
        <v>172</v>
      </c>
      <c r="D877" t="s">
        <v>200</v>
      </c>
      <c r="E877" t="s">
        <v>202</v>
      </c>
      <c r="F877" t="s">
        <v>237</v>
      </c>
      <c r="G877" t="s">
        <v>202</v>
      </c>
      <c r="H877" t="s">
        <v>271</v>
      </c>
      <c r="I877" t="s">
        <v>202</v>
      </c>
      <c r="J877" t="s">
        <v>289</v>
      </c>
      <c r="K877" t="s">
        <v>292</v>
      </c>
      <c r="M877" t="s">
        <v>290</v>
      </c>
      <c r="N877" t="s">
        <v>202</v>
      </c>
      <c r="O877" t="s">
        <v>421</v>
      </c>
      <c r="P877" t="s">
        <v>427</v>
      </c>
      <c r="S877" t="s">
        <v>1121</v>
      </c>
      <c r="T877" t="s">
        <v>1816</v>
      </c>
      <c r="U877" t="s">
        <v>237</v>
      </c>
      <c r="W877" t="s">
        <v>1876</v>
      </c>
      <c r="X877" t="s">
        <v>2709</v>
      </c>
      <c r="Y877" t="s">
        <v>3057</v>
      </c>
      <c r="Z877" t="s">
        <v>3113</v>
      </c>
      <c r="AA877" t="s">
        <v>3135</v>
      </c>
      <c r="AB877">
        <v>11385</v>
      </c>
      <c r="AC877" t="s">
        <v>3139</v>
      </c>
      <c r="AD877" t="s">
        <v>3952</v>
      </c>
      <c r="AE877">
        <v>1</v>
      </c>
      <c r="AG877" t="s">
        <v>4035</v>
      </c>
      <c r="AH877" t="s">
        <v>291</v>
      </c>
      <c r="AI877" t="s">
        <v>291</v>
      </c>
      <c r="AK877" t="s">
        <v>4040</v>
      </c>
      <c r="AM877">
        <v>0</v>
      </c>
      <c r="AN877">
        <v>800</v>
      </c>
      <c r="AO877">
        <v>1.3</v>
      </c>
      <c r="AQ877" t="s">
        <v>4896</v>
      </c>
      <c r="AR877" t="s">
        <v>5757</v>
      </c>
      <c r="AS877">
        <v>4</v>
      </c>
      <c r="AT877" t="s">
        <v>5836</v>
      </c>
      <c r="AU877">
        <v>2</v>
      </c>
      <c r="AV877">
        <v>0</v>
      </c>
      <c r="AW877">
        <v>106.45</v>
      </c>
      <c r="BA877" t="s">
        <v>329</v>
      </c>
      <c r="BB877" t="s">
        <v>5867</v>
      </c>
      <c r="BC877">
        <v>18000</v>
      </c>
      <c r="BG877" t="s">
        <v>5922</v>
      </c>
      <c r="BJ877" t="s">
        <v>5949</v>
      </c>
      <c r="BK877" t="s">
        <v>237</v>
      </c>
      <c r="BL877" t="s">
        <v>6056</v>
      </c>
    </row>
    <row r="878" spans="1:64">
      <c r="A878" s="1">
        <f>HYPERLINK("https://lsnyc.legalserver.org/matter/dynamic-profile/view/1910059","19-1910059")</f>
        <v>0</v>
      </c>
      <c r="B878" t="s">
        <v>67</v>
      </c>
      <c r="C878" t="s">
        <v>172</v>
      </c>
      <c r="D878" t="s">
        <v>200</v>
      </c>
      <c r="E878" t="s">
        <v>202</v>
      </c>
      <c r="F878" t="s">
        <v>206</v>
      </c>
      <c r="G878" t="s">
        <v>202</v>
      </c>
      <c r="H878" t="s">
        <v>271</v>
      </c>
      <c r="I878" t="s">
        <v>202</v>
      </c>
      <c r="J878" t="s">
        <v>289</v>
      </c>
      <c r="K878" t="s">
        <v>202</v>
      </c>
      <c r="L878" t="s">
        <v>415</v>
      </c>
      <c r="M878" t="s">
        <v>290</v>
      </c>
      <c r="N878" t="s">
        <v>419</v>
      </c>
      <c r="O878" t="s">
        <v>420</v>
      </c>
      <c r="P878" t="s">
        <v>427</v>
      </c>
      <c r="S878" t="s">
        <v>1122</v>
      </c>
      <c r="T878" t="s">
        <v>1692</v>
      </c>
      <c r="U878" t="s">
        <v>206</v>
      </c>
      <c r="W878" t="s">
        <v>1876</v>
      </c>
      <c r="X878" t="s">
        <v>2710</v>
      </c>
      <c r="Z878" t="s">
        <v>3102</v>
      </c>
      <c r="AA878" t="s">
        <v>3135</v>
      </c>
      <c r="AB878">
        <v>11377</v>
      </c>
      <c r="AC878" t="s">
        <v>3136</v>
      </c>
      <c r="AD878" t="s">
        <v>3953</v>
      </c>
      <c r="AE878">
        <v>1</v>
      </c>
      <c r="AG878" t="s">
        <v>4034</v>
      </c>
      <c r="AH878" t="s">
        <v>291</v>
      </c>
      <c r="AI878" t="s">
        <v>291</v>
      </c>
      <c r="AK878" t="s">
        <v>4040</v>
      </c>
      <c r="AM878">
        <v>0</v>
      </c>
      <c r="AN878">
        <v>2050</v>
      </c>
      <c r="AO878">
        <v>1.3</v>
      </c>
      <c r="AQ878" t="s">
        <v>4897</v>
      </c>
      <c r="AR878" t="s">
        <v>5758</v>
      </c>
      <c r="AS878">
        <v>2</v>
      </c>
      <c r="AT878" t="s">
        <v>5836</v>
      </c>
      <c r="AU878">
        <v>2</v>
      </c>
      <c r="AV878">
        <v>2</v>
      </c>
      <c r="AW878">
        <v>130.49</v>
      </c>
      <c r="BA878" t="s">
        <v>329</v>
      </c>
      <c r="BB878" t="s">
        <v>1322</v>
      </c>
      <c r="BC878">
        <v>33600</v>
      </c>
      <c r="BG878" t="s">
        <v>5922</v>
      </c>
      <c r="BJ878" t="s">
        <v>5949</v>
      </c>
      <c r="BK878" t="s">
        <v>206</v>
      </c>
      <c r="BL878" t="s">
        <v>6056</v>
      </c>
    </row>
    <row r="879" spans="1:64">
      <c r="A879" s="1">
        <f>HYPERLINK("https://lsnyc.legalserver.org/matter/dynamic-profile/view/1908275","19-1908275")</f>
        <v>0</v>
      </c>
      <c r="B879" t="s">
        <v>67</v>
      </c>
      <c r="C879" t="s">
        <v>185</v>
      </c>
      <c r="D879" t="s">
        <v>200</v>
      </c>
      <c r="E879" t="s">
        <v>202</v>
      </c>
      <c r="F879" t="s">
        <v>225</v>
      </c>
      <c r="G879" t="s">
        <v>270</v>
      </c>
      <c r="I879" t="s">
        <v>202</v>
      </c>
      <c r="J879" t="s">
        <v>289</v>
      </c>
      <c r="K879" t="s">
        <v>202</v>
      </c>
      <c r="L879" t="s">
        <v>416</v>
      </c>
      <c r="M879" t="s">
        <v>290</v>
      </c>
      <c r="N879" t="s">
        <v>419</v>
      </c>
      <c r="O879" t="s">
        <v>420</v>
      </c>
      <c r="P879" t="s">
        <v>427</v>
      </c>
      <c r="S879" t="s">
        <v>1123</v>
      </c>
      <c r="T879" t="s">
        <v>1817</v>
      </c>
      <c r="U879" t="s">
        <v>225</v>
      </c>
      <c r="W879" t="s">
        <v>1876</v>
      </c>
      <c r="X879" t="s">
        <v>2711</v>
      </c>
      <c r="Y879" t="s">
        <v>2784</v>
      </c>
      <c r="Z879" t="s">
        <v>3105</v>
      </c>
      <c r="AA879" t="s">
        <v>3135</v>
      </c>
      <c r="AB879">
        <v>11102</v>
      </c>
      <c r="AC879" t="s">
        <v>3136</v>
      </c>
      <c r="AD879" t="s">
        <v>3882</v>
      </c>
      <c r="AE879">
        <v>2</v>
      </c>
      <c r="AG879" t="s">
        <v>4034</v>
      </c>
      <c r="AH879" t="s">
        <v>291</v>
      </c>
      <c r="AI879" t="s">
        <v>291</v>
      </c>
      <c r="AK879" t="s">
        <v>4041</v>
      </c>
      <c r="AM879">
        <v>0</v>
      </c>
      <c r="AN879">
        <v>561</v>
      </c>
      <c r="AO879">
        <v>0.5</v>
      </c>
      <c r="AQ879" t="s">
        <v>4898</v>
      </c>
      <c r="AR879" t="s">
        <v>5759</v>
      </c>
      <c r="AS879">
        <v>42</v>
      </c>
      <c r="AT879" t="s">
        <v>5837</v>
      </c>
      <c r="AU879">
        <v>1</v>
      </c>
      <c r="AV879">
        <v>0</v>
      </c>
      <c r="AW879">
        <v>136.11</v>
      </c>
      <c r="BA879" t="s">
        <v>329</v>
      </c>
      <c r="BB879" t="s">
        <v>1322</v>
      </c>
      <c r="BC879">
        <v>17000</v>
      </c>
      <c r="BG879" t="s">
        <v>5922</v>
      </c>
      <c r="BJ879" t="s">
        <v>5949</v>
      </c>
      <c r="BK879" t="s">
        <v>225</v>
      </c>
      <c r="BL879" t="s">
        <v>6056</v>
      </c>
    </row>
    <row r="880" spans="1:64">
      <c r="A880" s="1">
        <f>HYPERLINK("https://lsnyc.legalserver.org/matter/dynamic-profile/view/1905431","19-1905431")</f>
        <v>0</v>
      </c>
      <c r="B880" t="s">
        <v>67</v>
      </c>
      <c r="C880" t="s">
        <v>172</v>
      </c>
      <c r="D880" t="s">
        <v>200</v>
      </c>
      <c r="E880" t="s">
        <v>202</v>
      </c>
      <c r="F880" t="s">
        <v>242</v>
      </c>
      <c r="G880" t="s">
        <v>202</v>
      </c>
      <c r="H880" t="s">
        <v>271</v>
      </c>
      <c r="I880" t="s">
        <v>202</v>
      </c>
      <c r="J880" t="s">
        <v>289</v>
      </c>
      <c r="K880" t="s">
        <v>292</v>
      </c>
      <c r="M880" t="s">
        <v>290</v>
      </c>
      <c r="N880" t="s">
        <v>202</v>
      </c>
      <c r="O880" t="s">
        <v>421</v>
      </c>
      <c r="P880" t="s">
        <v>427</v>
      </c>
      <c r="S880" t="s">
        <v>1124</v>
      </c>
      <c r="T880" t="s">
        <v>1465</v>
      </c>
      <c r="U880" t="s">
        <v>242</v>
      </c>
      <c r="W880" t="s">
        <v>1876</v>
      </c>
      <c r="X880" t="s">
        <v>2712</v>
      </c>
      <c r="Y880" t="s">
        <v>3078</v>
      </c>
      <c r="Z880" t="s">
        <v>3119</v>
      </c>
      <c r="AA880" t="s">
        <v>3135</v>
      </c>
      <c r="AB880">
        <v>11385</v>
      </c>
      <c r="AC880" t="s">
        <v>3139</v>
      </c>
      <c r="AD880" t="s">
        <v>3954</v>
      </c>
      <c r="AE880">
        <v>1</v>
      </c>
      <c r="AG880" t="s">
        <v>4035</v>
      </c>
      <c r="AH880" t="s">
        <v>291</v>
      </c>
      <c r="AI880" t="s">
        <v>291</v>
      </c>
      <c r="AK880" t="s">
        <v>4040</v>
      </c>
      <c r="AL880" t="s">
        <v>4046</v>
      </c>
      <c r="AM880">
        <v>0</v>
      </c>
      <c r="AN880">
        <v>4000</v>
      </c>
      <c r="AO880">
        <v>8.67</v>
      </c>
      <c r="AQ880" t="s">
        <v>4899</v>
      </c>
      <c r="AR880" t="s">
        <v>5760</v>
      </c>
      <c r="AS880">
        <v>10</v>
      </c>
      <c r="AT880" t="s">
        <v>5836</v>
      </c>
      <c r="AU880">
        <v>1</v>
      </c>
      <c r="AV880">
        <v>0</v>
      </c>
      <c r="AW880">
        <v>240.19</v>
      </c>
      <c r="AX880" t="s">
        <v>210</v>
      </c>
      <c r="AY880" t="s">
        <v>5849</v>
      </c>
      <c r="BA880" t="s">
        <v>329</v>
      </c>
      <c r="BB880" t="s">
        <v>1322</v>
      </c>
      <c r="BC880">
        <v>30000</v>
      </c>
      <c r="BG880" t="s">
        <v>5922</v>
      </c>
      <c r="BJ880" t="s">
        <v>5949</v>
      </c>
      <c r="BK880" t="s">
        <v>237</v>
      </c>
      <c r="BL880" t="s">
        <v>6056</v>
      </c>
    </row>
    <row r="881" spans="1:64">
      <c r="A881" s="1">
        <f>HYPERLINK("https://lsnyc.legalserver.org/matter/dynamic-profile/view/1909525","19-1909525")</f>
        <v>0</v>
      </c>
      <c r="B881" t="s">
        <v>67</v>
      </c>
      <c r="C881" t="s">
        <v>172</v>
      </c>
      <c r="D881" t="s">
        <v>200</v>
      </c>
      <c r="E881" t="s">
        <v>202</v>
      </c>
      <c r="F881" t="s">
        <v>238</v>
      </c>
      <c r="G881" t="s">
        <v>202</v>
      </c>
      <c r="H881" t="s">
        <v>272</v>
      </c>
      <c r="I881" t="s">
        <v>202</v>
      </c>
      <c r="J881" t="s">
        <v>289</v>
      </c>
      <c r="K881" t="s">
        <v>292</v>
      </c>
      <c r="M881" t="s">
        <v>290</v>
      </c>
      <c r="N881" t="s">
        <v>419</v>
      </c>
      <c r="P881" t="s">
        <v>427</v>
      </c>
      <c r="S881" t="s">
        <v>726</v>
      </c>
      <c r="T881" t="s">
        <v>1818</v>
      </c>
      <c r="U881" t="s">
        <v>238</v>
      </c>
      <c r="W881" t="s">
        <v>1876</v>
      </c>
      <c r="X881" t="s">
        <v>2713</v>
      </c>
      <c r="Y881" t="s">
        <v>2809</v>
      </c>
      <c r="Z881" t="s">
        <v>3102</v>
      </c>
      <c r="AA881" t="s">
        <v>3135</v>
      </c>
      <c r="AB881">
        <v>11377</v>
      </c>
      <c r="AC881" t="s">
        <v>3136</v>
      </c>
      <c r="AD881" t="s">
        <v>3955</v>
      </c>
      <c r="AE881">
        <v>46</v>
      </c>
      <c r="AG881" t="s">
        <v>4034</v>
      </c>
      <c r="AH881" t="s">
        <v>291</v>
      </c>
      <c r="AK881" t="s">
        <v>4040</v>
      </c>
      <c r="AM881">
        <v>0</v>
      </c>
      <c r="AN881">
        <v>687</v>
      </c>
      <c r="AO881">
        <v>1.5</v>
      </c>
      <c r="AQ881" t="s">
        <v>4900</v>
      </c>
      <c r="AR881" t="s">
        <v>5761</v>
      </c>
      <c r="AS881">
        <v>6</v>
      </c>
      <c r="AU881">
        <v>1</v>
      </c>
      <c r="AV881">
        <v>0</v>
      </c>
      <c r="AW881">
        <v>88.06999999999999</v>
      </c>
      <c r="BA881" t="s">
        <v>5851</v>
      </c>
      <c r="BB881" t="s">
        <v>5859</v>
      </c>
      <c r="BC881">
        <v>11000</v>
      </c>
      <c r="BG881" t="s">
        <v>184</v>
      </c>
      <c r="BJ881" t="s">
        <v>5942</v>
      </c>
      <c r="BK881" t="s">
        <v>238</v>
      </c>
    </row>
    <row r="882" spans="1:64">
      <c r="A882" s="1">
        <f>HYPERLINK("https://lsnyc.legalserver.org/matter/dynamic-profile/view/1903848","19-1903848")</f>
        <v>0</v>
      </c>
      <c r="B882" t="s">
        <v>67</v>
      </c>
      <c r="C882" t="s">
        <v>172</v>
      </c>
      <c r="D882" t="s">
        <v>200</v>
      </c>
      <c r="E882" t="s">
        <v>201</v>
      </c>
      <c r="G882" t="s">
        <v>202</v>
      </c>
      <c r="H882" t="s">
        <v>272</v>
      </c>
      <c r="I882" t="s">
        <v>202</v>
      </c>
      <c r="J882" t="s">
        <v>289</v>
      </c>
      <c r="K882" t="s">
        <v>202</v>
      </c>
      <c r="L882" t="s">
        <v>417</v>
      </c>
      <c r="M882" t="s">
        <v>290</v>
      </c>
      <c r="N882" t="s">
        <v>202</v>
      </c>
      <c r="O882" t="s">
        <v>421</v>
      </c>
      <c r="P882" t="s">
        <v>427</v>
      </c>
      <c r="S882" t="s">
        <v>1125</v>
      </c>
      <c r="T882" t="s">
        <v>1819</v>
      </c>
      <c r="U882" t="s">
        <v>229</v>
      </c>
      <c r="W882" t="s">
        <v>1876</v>
      </c>
      <c r="X882" t="s">
        <v>2714</v>
      </c>
      <c r="Y882">
        <v>1</v>
      </c>
      <c r="Z882" t="s">
        <v>3109</v>
      </c>
      <c r="AA882" t="s">
        <v>3135</v>
      </c>
      <c r="AB882">
        <v>11434</v>
      </c>
      <c r="AC882" t="s">
        <v>3136</v>
      </c>
      <c r="AD882" t="s">
        <v>3956</v>
      </c>
      <c r="AE882">
        <v>1</v>
      </c>
      <c r="AG882" t="s">
        <v>4035</v>
      </c>
      <c r="AH882" t="s">
        <v>291</v>
      </c>
      <c r="AI882" t="s">
        <v>291</v>
      </c>
      <c r="AK882" t="s">
        <v>4040</v>
      </c>
      <c r="AL882" t="s">
        <v>4046</v>
      </c>
      <c r="AM882">
        <v>0</v>
      </c>
      <c r="AN882">
        <v>2010</v>
      </c>
      <c r="AO882">
        <v>10.95</v>
      </c>
      <c r="AQ882" t="s">
        <v>4901</v>
      </c>
      <c r="AR882" t="s">
        <v>5762</v>
      </c>
      <c r="AS882">
        <v>2</v>
      </c>
      <c r="AT882" t="s">
        <v>5835</v>
      </c>
      <c r="AU882">
        <v>1</v>
      </c>
      <c r="AV882">
        <v>4</v>
      </c>
      <c r="AW882">
        <v>21.29</v>
      </c>
      <c r="BA882" t="s">
        <v>5852</v>
      </c>
      <c r="BB882" t="s">
        <v>5859</v>
      </c>
      <c r="BC882">
        <v>6422</v>
      </c>
      <c r="BG882" t="s">
        <v>5922</v>
      </c>
      <c r="BJ882" t="s">
        <v>5987</v>
      </c>
      <c r="BK882" t="s">
        <v>213</v>
      </c>
      <c r="BL882" t="s">
        <v>6056</v>
      </c>
    </row>
    <row r="883" spans="1:64">
      <c r="A883" s="1">
        <f>HYPERLINK("https://lsnyc.legalserver.org/matter/dynamic-profile/view/1909610","19-1909610")</f>
        <v>0</v>
      </c>
      <c r="B883" t="s">
        <v>67</v>
      </c>
      <c r="C883" t="s">
        <v>172</v>
      </c>
      <c r="D883" t="s">
        <v>200</v>
      </c>
      <c r="E883" t="s">
        <v>202</v>
      </c>
      <c r="F883" t="s">
        <v>222</v>
      </c>
      <c r="G883" t="s">
        <v>202</v>
      </c>
      <c r="H883" t="s">
        <v>272</v>
      </c>
      <c r="I883" t="s">
        <v>202</v>
      </c>
      <c r="J883" t="s">
        <v>289</v>
      </c>
      <c r="K883" t="s">
        <v>292</v>
      </c>
      <c r="M883" t="s">
        <v>290</v>
      </c>
      <c r="N883" t="s">
        <v>419</v>
      </c>
      <c r="O883" t="s">
        <v>420</v>
      </c>
      <c r="P883" t="s">
        <v>427</v>
      </c>
      <c r="S883" t="s">
        <v>885</v>
      </c>
      <c r="T883" t="s">
        <v>1820</v>
      </c>
      <c r="U883" t="s">
        <v>222</v>
      </c>
      <c r="W883" t="s">
        <v>1876</v>
      </c>
      <c r="X883" t="s">
        <v>2715</v>
      </c>
      <c r="Z883" t="s">
        <v>3108</v>
      </c>
      <c r="AA883" t="s">
        <v>3135</v>
      </c>
      <c r="AB883">
        <v>11420</v>
      </c>
      <c r="AC883" t="s">
        <v>3136</v>
      </c>
      <c r="AD883" t="s">
        <v>3957</v>
      </c>
      <c r="AE883">
        <v>5</v>
      </c>
      <c r="AG883" t="s">
        <v>4034</v>
      </c>
      <c r="AH883" t="s">
        <v>291</v>
      </c>
      <c r="AI883" t="s">
        <v>291</v>
      </c>
      <c r="AK883" t="s">
        <v>4040</v>
      </c>
      <c r="AM883">
        <v>0</v>
      </c>
      <c r="AN883">
        <v>1600</v>
      </c>
      <c r="AO883">
        <v>0.9</v>
      </c>
      <c r="AQ883" t="s">
        <v>4902</v>
      </c>
      <c r="AR883" t="s">
        <v>5763</v>
      </c>
      <c r="AS883">
        <v>3</v>
      </c>
      <c r="AT883" t="s">
        <v>5836</v>
      </c>
      <c r="AU883">
        <v>2</v>
      </c>
      <c r="AV883">
        <v>1</v>
      </c>
      <c r="AW883">
        <v>93.61</v>
      </c>
      <c r="BA883" t="s">
        <v>329</v>
      </c>
      <c r="BB883" t="s">
        <v>1322</v>
      </c>
      <c r="BC883">
        <v>19968</v>
      </c>
      <c r="BG883" t="s">
        <v>5922</v>
      </c>
      <c r="BJ883" t="s">
        <v>5946</v>
      </c>
      <c r="BK883" t="s">
        <v>222</v>
      </c>
      <c r="BL883" t="s">
        <v>6056</v>
      </c>
    </row>
    <row r="884" spans="1:64">
      <c r="A884" s="1">
        <f>HYPERLINK("https://lsnyc.legalserver.org/matter/dynamic-profile/view/1905233","19-1905233")</f>
        <v>0</v>
      </c>
      <c r="B884" t="s">
        <v>67</v>
      </c>
      <c r="C884" t="s">
        <v>172</v>
      </c>
      <c r="D884" t="s">
        <v>200</v>
      </c>
      <c r="E884" t="s">
        <v>202</v>
      </c>
      <c r="F884" t="s">
        <v>231</v>
      </c>
      <c r="G884" t="s">
        <v>202</v>
      </c>
      <c r="H884" t="s">
        <v>272</v>
      </c>
      <c r="I884" t="s">
        <v>202</v>
      </c>
      <c r="J884" t="s">
        <v>289</v>
      </c>
      <c r="K884" t="s">
        <v>292</v>
      </c>
      <c r="M884" t="s">
        <v>290</v>
      </c>
      <c r="N884" t="s">
        <v>419</v>
      </c>
      <c r="O884" t="s">
        <v>420</v>
      </c>
      <c r="P884" t="s">
        <v>427</v>
      </c>
      <c r="S884" t="s">
        <v>1126</v>
      </c>
      <c r="T884" t="s">
        <v>1821</v>
      </c>
      <c r="U884" t="s">
        <v>231</v>
      </c>
      <c r="W884" t="s">
        <v>1876</v>
      </c>
      <c r="X884" t="s">
        <v>2716</v>
      </c>
      <c r="Y884" t="s">
        <v>3079</v>
      </c>
      <c r="Z884" t="s">
        <v>3114</v>
      </c>
      <c r="AA884" t="s">
        <v>3135</v>
      </c>
      <c r="AB884">
        <v>11693</v>
      </c>
      <c r="AC884" t="s">
        <v>3136</v>
      </c>
      <c r="AD884" t="s">
        <v>3958</v>
      </c>
      <c r="AE884">
        <v>3</v>
      </c>
      <c r="AG884" t="s">
        <v>4034</v>
      </c>
      <c r="AH884" t="s">
        <v>291</v>
      </c>
      <c r="AI884" t="s">
        <v>291</v>
      </c>
      <c r="AK884" t="s">
        <v>4041</v>
      </c>
      <c r="AL884" t="s">
        <v>4046</v>
      </c>
      <c r="AM884">
        <v>0</v>
      </c>
      <c r="AN884">
        <v>215</v>
      </c>
      <c r="AO884">
        <v>1</v>
      </c>
      <c r="AQ884" t="s">
        <v>4903</v>
      </c>
      <c r="AR884" t="s">
        <v>5764</v>
      </c>
      <c r="AS884">
        <v>42</v>
      </c>
      <c r="AT884" t="s">
        <v>5837</v>
      </c>
      <c r="AU884">
        <v>2</v>
      </c>
      <c r="AV884">
        <v>0</v>
      </c>
      <c r="AW884">
        <v>70.95999999999999</v>
      </c>
      <c r="BA884" t="s">
        <v>329</v>
      </c>
      <c r="BB884" t="s">
        <v>1322</v>
      </c>
      <c r="BC884">
        <v>12000</v>
      </c>
      <c r="BG884" t="s">
        <v>5922</v>
      </c>
      <c r="BJ884" t="s">
        <v>5950</v>
      </c>
      <c r="BK884" t="s">
        <v>231</v>
      </c>
      <c r="BL884" t="s">
        <v>6056</v>
      </c>
    </row>
    <row r="885" spans="1:64">
      <c r="A885" s="1">
        <f>HYPERLINK("https://lsnyc.legalserver.org/matter/dynamic-profile/view/1910118","19-1910118")</f>
        <v>0</v>
      </c>
      <c r="B885" t="s">
        <v>67</v>
      </c>
      <c r="C885" t="s">
        <v>172</v>
      </c>
      <c r="D885" t="s">
        <v>200</v>
      </c>
      <c r="E885" t="s">
        <v>201</v>
      </c>
      <c r="G885" t="s">
        <v>202</v>
      </c>
      <c r="H885" t="s">
        <v>271</v>
      </c>
      <c r="I885" t="s">
        <v>202</v>
      </c>
      <c r="J885" t="s">
        <v>289</v>
      </c>
      <c r="K885" t="s">
        <v>202</v>
      </c>
      <c r="L885" t="s">
        <v>418</v>
      </c>
      <c r="M885" t="s">
        <v>290</v>
      </c>
      <c r="N885" t="s">
        <v>419</v>
      </c>
      <c r="O885" t="s">
        <v>420</v>
      </c>
      <c r="P885" t="s">
        <v>427</v>
      </c>
      <c r="S885" t="s">
        <v>1127</v>
      </c>
      <c r="T885" t="s">
        <v>1822</v>
      </c>
      <c r="U885" t="s">
        <v>206</v>
      </c>
      <c r="W885" t="s">
        <v>1876</v>
      </c>
      <c r="X885" t="s">
        <v>2717</v>
      </c>
      <c r="Y885" t="s">
        <v>2782</v>
      </c>
      <c r="Z885" t="s">
        <v>3109</v>
      </c>
      <c r="AA885" t="s">
        <v>3135</v>
      </c>
      <c r="AB885">
        <v>11433</v>
      </c>
      <c r="AC885" t="s">
        <v>3139</v>
      </c>
      <c r="AD885" t="s">
        <v>3959</v>
      </c>
      <c r="AE885">
        <v>1</v>
      </c>
      <c r="AG885" t="s">
        <v>4035</v>
      </c>
      <c r="AH885" t="s">
        <v>291</v>
      </c>
      <c r="AI885" t="s">
        <v>291</v>
      </c>
      <c r="AK885" t="s">
        <v>4040</v>
      </c>
      <c r="AM885">
        <v>0</v>
      </c>
      <c r="AN885">
        <v>1950</v>
      </c>
      <c r="AO885">
        <v>0.9</v>
      </c>
      <c r="AQ885" t="s">
        <v>4904</v>
      </c>
      <c r="AR885" t="s">
        <v>5765</v>
      </c>
      <c r="AS885">
        <v>4</v>
      </c>
      <c r="AT885" t="s">
        <v>5835</v>
      </c>
      <c r="AU885">
        <v>2</v>
      </c>
      <c r="AV885">
        <v>4</v>
      </c>
      <c r="AW885">
        <v>52.73</v>
      </c>
      <c r="BB885" t="s">
        <v>1322</v>
      </c>
      <c r="BC885">
        <v>18240</v>
      </c>
      <c r="BG885" t="s">
        <v>5923</v>
      </c>
      <c r="BJ885" t="s">
        <v>5949</v>
      </c>
      <c r="BK885" t="s">
        <v>206</v>
      </c>
      <c r="BL885" t="s">
        <v>6056</v>
      </c>
    </row>
    <row r="886" spans="1:64">
      <c r="A886" s="1">
        <f>HYPERLINK("https://lsnyc.legalserver.org/matter/dynamic-profile/view/1909128","19-1909128")</f>
        <v>0</v>
      </c>
      <c r="B886" t="s">
        <v>67</v>
      </c>
      <c r="C886" t="s">
        <v>189</v>
      </c>
      <c r="D886" t="s">
        <v>200</v>
      </c>
      <c r="E886" t="s">
        <v>201</v>
      </c>
      <c r="G886" t="s">
        <v>202</v>
      </c>
      <c r="H886" t="s">
        <v>271</v>
      </c>
      <c r="I886" t="s">
        <v>288</v>
      </c>
      <c r="J886" t="s">
        <v>291</v>
      </c>
      <c r="K886" t="s">
        <v>292</v>
      </c>
      <c r="M886" t="s">
        <v>290</v>
      </c>
      <c r="N886" t="s">
        <v>202</v>
      </c>
      <c r="O886" t="s">
        <v>421</v>
      </c>
      <c r="P886" t="s">
        <v>427</v>
      </c>
      <c r="S886" t="s">
        <v>775</v>
      </c>
      <c r="T886" t="s">
        <v>1422</v>
      </c>
      <c r="U886" t="s">
        <v>228</v>
      </c>
      <c r="W886" t="s">
        <v>1876</v>
      </c>
      <c r="X886" t="s">
        <v>2718</v>
      </c>
      <c r="Y886" t="s">
        <v>3080</v>
      </c>
      <c r="Z886" t="s">
        <v>3109</v>
      </c>
      <c r="AA886" t="s">
        <v>3135</v>
      </c>
      <c r="AB886">
        <v>11434</v>
      </c>
      <c r="AD886" t="s">
        <v>3960</v>
      </c>
      <c r="AE886">
        <v>3</v>
      </c>
      <c r="AG886" t="s">
        <v>4035</v>
      </c>
      <c r="AH886" t="s">
        <v>291</v>
      </c>
      <c r="AI886" t="s">
        <v>291</v>
      </c>
      <c r="AK886" t="s">
        <v>4040</v>
      </c>
      <c r="AM886">
        <v>0</v>
      </c>
      <c r="AN886">
        <v>1800</v>
      </c>
      <c r="AO886">
        <v>0.7</v>
      </c>
      <c r="AQ886" t="s">
        <v>4905</v>
      </c>
      <c r="AR886" t="s">
        <v>5766</v>
      </c>
      <c r="AS886">
        <v>293</v>
      </c>
      <c r="AT886" t="s">
        <v>5834</v>
      </c>
      <c r="AU886">
        <v>3</v>
      </c>
      <c r="AV886">
        <v>1</v>
      </c>
      <c r="AW886">
        <v>155.34</v>
      </c>
      <c r="BA886" t="s">
        <v>329</v>
      </c>
      <c r="BB886" t="s">
        <v>1322</v>
      </c>
      <c r="BC886">
        <v>40000</v>
      </c>
      <c r="BG886" t="s">
        <v>5923</v>
      </c>
      <c r="BJ886" t="s">
        <v>5949</v>
      </c>
      <c r="BK886" t="s">
        <v>267</v>
      </c>
      <c r="BL886" t="s">
        <v>329</v>
      </c>
    </row>
    <row r="887" spans="1:64">
      <c r="A887" s="1">
        <f>HYPERLINK("https://lsnyc.legalserver.org/matter/dynamic-profile/view/1904051","19-1904051")</f>
        <v>0</v>
      </c>
      <c r="B887" t="s">
        <v>67</v>
      </c>
      <c r="C887" t="s">
        <v>188</v>
      </c>
      <c r="D887" t="s">
        <v>200</v>
      </c>
      <c r="E887" t="s">
        <v>202</v>
      </c>
      <c r="F887" t="s">
        <v>251</v>
      </c>
      <c r="G887" t="s">
        <v>202</v>
      </c>
      <c r="H887" t="s">
        <v>272</v>
      </c>
      <c r="I887" t="s">
        <v>202</v>
      </c>
      <c r="J887" t="s">
        <v>289</v>
      </c>
      <c r="K887" t="s">
        <v>292</v>
      </c>
      <c r="M887" t="s">
        <v>290</v>
      </c>
      <c r="N887" t="s">
        <v>202</v>
      </c>
      <c r="O887" t="s">
        <v>421</v>
      </c>
      <c r="P887" t="s">
        <v>202</v>
      </c>
      <c r="Q887" t="s">
        <v>430</v>
      </c>
      <c r="R887" t="s">
        <v>437</v>
      </c>
      <c r="S887" t="s">
        <v>514</v>
      </c>
      <c r="T887" t="s">
        <v>1233</v>
      </c>
      <c r="U887" t="s">
        <v>251</v>
      </c>
      <c r="V887" t="s">
        <v>262</v>
      </c>
      <c r="W887" t="s">
        <v>1877</v>
      </c>
      <c r="X887" t="s">
        <v>2719</v>
      </c>
      <c r="Y887" t="s">
        <v>2794</v>
      </c>
      <c r="Z887" t="s">
        <v>3100</v>
      </c>
      <c r="AA887" t="s">
        <v>3135</v>
      </c>
      <c r="AB887">
        <v>11368</v>
      </c>
      <c r="AC887" t="s">
        <v>3136</v>
      </c>
      <c r="AD887" t="s">
        <v>3961</v>
      </c>
      <c r="AE887">
        <v>11</v>
      </c>
      <c r="AF887" t="s">
        <v>4024</v>
      </c>
      <c r="AG887" t="s">
        <v>4034</v>
      </c>
      <c r="AH887" t="s">
        <v>291</v>
      </c>
      <c r="AI887" t="s">
        <v>291</v>
      </c>
      <c r="AK887" t="s">
        <v>4040</v>
      </c>
      <c r="AL887" t="s">
        <v>4047</v>
      </c>
      <c r="AM887">
        <v>0</v>
      </c>
      <c r="AN887">
        <v>1284</v>
      </c>
      <c r="AO887">
        <v>5.67</v>
      </c>
      <c r="AP887" t="s">
        <v>4054</v>
      </c>
      <c r="AQ887" t="s">
        <v>4906</v>
      </c>
      <c r="AR887" t="s">
        <v>5767</v>
      </c>
      <c r="AS887">
        <v>8</v>
      </c>
      <c r="AT887" t="s">
        <v>5834</v>
      </c>
      <c r="AU887">
        <v>1</v>
      </c>
      <c r="AV887">
        <v>0</v>
      </c>
      <c r="AW887">
        <v>160.13</v>
      </c>
      <c r="BA887" t="s">
        <v>329</v>
      </c>
      <c r="BB887" t="s">
        <v>1322</v>
      </c>
      <c r="BC887">
        <v>20000</v>
      </c>
      <c r="BG887" t="s">
        <v>5922</v>
      </c>
      <c r="BH887" t="s">
        <v>5929</v>
      </c>
      <c r="BI887" t="s">
        <v>5938</v>
      </c>
      <c r="BJ887" t="s">
        <v>3143</v>
      </c>
      <c r="BK887" t="s">
        <v>214</v>
      </c>
      <c r="BL887" t="s">
        <v>6056</v>
      </c>
    </row>
    <row r="888" spans="1:64">
      <c r="A888" s="1">
        <f>HYPERLINK("https://lsnyc.legalserver.org/matter/dynamic-profile/view/1910033","19-1910033")</f>
        <v>0</v>
      </c>
      <c r="B888" t="s">
        <v>67</v>
      </c>
      <c r="C888" t="s">
        <v>188</v>
      </c>
      <c r="D888" t="s">
        <v>200</v>
      </c>
      <c r="E888" t="s">
        <v>201</v>
      </c>
      <c r="G888" t="s">
        <v>202</v>
      </c>
      <c r="H888" t="s">
        <v>272</v>
      </c>
      <c r="I888" t="s">
        <v>202</v>
      </c>
      <c r="J888" t="s">
        <v>289</v>
      </c>
      <c r="K888" t="s">
        <v>292</v>
      </c>
      <c r="M888" t="s">
        <v>290</v>
      </c>
      <c r="N888" t="s">
        <v>419</v>
      </c>
      <c r="O888" t="s">
        <v>420</v>
      </c>
      <c r="P888" t="s">
        <v>427</v>
      </c>
      <c r="S888" t="s">
        <v>1128</v>
      </c>
      <c r="T888" t="s">
        <v>1823</v>
      </c>
      <c r="U888" t="s">
        <v>206</v>
      </c>
      <c r="W888" t="s">
        <v>1876</v>
      </c>
      <c r="X888" t="s">
        <v>2720</v>
      </c>
      <c r="Y888" t="s">
        <v>2800</v>
      </c>
      <c r="Z888" t="s">
        <v>3109</v>
      </c>
      <c r="AA888" t="s">
        <v>3135</v>
      </c>
      <c r="AB888">
        <v>11433</v>
      </c>
      <c r="AC888" t="s">
        <v>3139</v>
      </c>
      <c r="AD888" t="s">
        <v>3962</v>
      </c>
      <c r="AE888">
        <v>4</v>
      </c>
      <c r="AG888" t="s">
        <v>4035</v>
      </c>
      <c r="AH888" t="s">
        <v>291</v>
      </c>
      <c r="AI888" t="s">
        <v>291</v>
      </c>
      <c r="AK888" t="s">
        <v>4041</v>
      </c>
      <c r="AM888">
        <v>0</v>
      </c>
      <c r="AN888">
        <v>1001</v>
      </c>
      <c r="AO888">
        <v>0.8</v>
      </c>
      <c r="AQ888" t="s">
        <v>4907</v>
      </c>
      <c r="AR888" t="s">
        <v>5768</v>
      </c>
      <c r="AS888">
        <v>12</v>
      </c>
      <c r="AT888" t="s">
        <v>5841</v>
      </c>
      <c r="AU888">
        <v>1</v>
      </c>
      <c r="AV888">
        <v>2</v>
      </c>
      <c r="AW888">
        <v>38.87</v>
      </c>
      <c r="BB888" t="s">
        <v>1322</v>
      </c>
      <c r="BC888">
        <v>8292</v>
      </c>
      <c r="BG888" t="s">
        <v>5923</v>
      </c>
      <c r="BJ888" t="s">
        <v>5959</v>
      </c>
      <c r="BK888" t="s">
        <v>206</v>
      </c>
      <c r="BL888" t="s">
        <v>6056</v>
      </c>
    </row>
    <row r="889" spans="1:64">
      <c r="A889" s="1">
        <f>HYPERLINK("https://lsnyc.legalserver.org/matter/dynamic-profile/view/1908984","19-1908984")</f>
        <v>0</v>
      </c>
      <c r="B889" t="s">
        <v>67</v>
      </c>
      <c r="C889" t="s">
        <v>188</v>
      </c>
      <c r="D889" t="s">
        <v>200</v>
      </c>
      <c r="E889" t="s">
        <v>202</v>
      </c>
      <c r="F889" t="s">
        <v>238</v>
      </c>
      <c r="G889" t="s">
        <v>202</v>
      </c>
      <c r="H889" t="s">
        <v>272</v>
      </c>
      <c r="I889" t="s">
        <v>202</v>
      </c>
      <c r="J889" t="s">
        <v>289</v>
      </c>
      <c r="K889" t="s">
        <v>292</v>
      </c>
      <c r="M889" t="s">
        <v>290</v>
      </c>
      <c r="N889" t="s">
        <v>419</v>
      </c>
      <c r="O889" t="s">
        <v>420</v>
      </c>
      <c r="P889" t="s">
        <v>427</v>
      </c>
      <c r="S889" t="s">
        <v>1129</v>
      </c>
      <c r="T889" t="s">
        <v>1824</v>
      </c>
      <c r="U889" t="s">
        <v>238</v>
      </c>
      <c r="W889" t="s">
        <v>1876</v>
      </c>
      <c r="X889" t="s">
        <v>2604</v>
      </c>
      <c r="Y889" t="s">
        <v>2784</v>
      </c>
      <c r="Z889" t="s">
        <v>3109</v>
      </c>
      <c r="AA889" t="s">
        <v>3135</v>
      </c>
      <c r="AB889">
        <v>11434</v>
      </c>
      <c r="AC889" t="s">
        <v>3136</v>
      </c>
      <c r="AD889" t="s">
        <v>3963</v>
      </c>
      <c r="AE889">
        <v>14</v>
      </c>
      <c r="AG889" t="s">
        <v>4035</v>
      </c>
      <c r="AH889" t="s">
        <v>291</v>
      </c>
      <c r="AI889" t="s">
        <v>291</v>
      </c>
      <c r="AK889" t="s">
        <v>4041</v>
      </c>
      <c r="AM889">
        <v>0</v>
      </c>
      <c r="AN889">
        <v>253</v>
      </c>
      <c r="AO889">
        <v>2.4</v>
      </c>
      <c r="AQ889" t="s">
        <v>4908</v>
      </c>
      <c r="AR889" t="s">
        <v>5769</v>
      </c>
      <c r="AS889">
        <v>49</v>
      </c>
      <c r="AT889" t="s">
        <v>5837</v>
      </c>
      <c r="AU889">
        <v>1</v>
      </c>
      <c r="AV889">
        <v>2</v>
      </c>
      <c r="AW889">
        <v>0</v>
      </c>
      <c r="BA889" t="s">
        <v>329</v>
      </c>
      <c r="BB889" t="s">
        <v>1322</v>
      </c>
      <c r="BC889">
        <v>0</v>
      </c>
      <c r="BG889" t="s">
        <v>5922</v>
      </c>
      <c r="BJ889" t="s">
        <v>5945</v>
      </c>
      <c r="BK889" t="s">
        <v>206</v>
      </c>
      <c r="BL889" t="s">
        <v>6056</v>
      </c>
    </row>
    <row r="890" spans="1:64">
      <c r="A890" s="1">
        <f>HYPERLINK("https://lsnyc.legalserver.org/matter/dynamic-profile/view/1907604","19-1907604")</f>
        <v>0</v>
      </c>
      <c r="B890" t="s">
        <v>67</v>
      </c>
      <c r="C890" t="s">
        <v>188</v>
      </c>
      <c r="D890" t="s">
        <v>200</v>
      </c>
      <c r="E890" t="s">
        <v>201</v>
      </c>
      <c r="G890" t="s">
        <v>202</v>
      </c>
      <c r="H890" t="s">
        <v>272</v>
      </c>
      <c r="I890" t="s">
        <v>202</v>
      </c>
      <c r="J890" t="s">
        <v>289</v>
      </c>
      <c r="K890" t="s">
        <v>292</v>
      </c>
      <c r="M890" t="s">
        <v>290</v>
      </c>
      <c r="N890" t="s">
        <v>419</v>
      </c>
      <c r="O890" t="s">
        <v>420</v>
      </c>
      <c r="P890" t="s">
        <v>427</v>
      </c>
      <c r="S890" t="s">
        <v>1130</v>
      </c>
      <c r="T890" t="s">
        <v>1825</v>
      </c>
      <c r="U890" t="s">
        <v>254</v>
      </c>
      <c r="W890" t="s">
        <v>1876</v>
      </c>
      <c r="X890" t="s">
        <v>2721</v>
      </c>
      <c r="Y890" t="s">
        <v>2895</v>
      </c>
      <c r="Z890" t="s">
        <v>3133</v>
      </c>
      <c r="AA890" t="s">
        <v>3135</v>
      </c>
      <c r="AB890">
        <v>11375</v>
      </c>
      <c r="AC890" t="s">
        <v>3136</v>
      </c>
      <c r="AD890" t="s">
        <v>3964</v>
      </c>
      <c r="AE890">
        <v>56</v>
      </c>
      <c r="AG890" t="s">
        <v>4034</v>
      </c>
      <c r="AH890" t="s">
        <v>291</v>
      </c>
      <c r="AK890" t="s">
        <v>4040</v>
      </c>
      <c r="AM890">
        <v>0</v>
      </c>
      <c r="AN890">
        <v>1500</v>
      </c>
      <c r="AO890">
        <v>1.3</v>
      </c>
      <c r="AQ890" t="s">
        <v>4909</v>
      </c>
      <c r="AR890" t="s">
        <v>5770</v>
      </c>
      <c r="AS890">
        <v>72</v>
      </c>
      <c r="AT890" t="s">
        <v>5836</v>
      </c>
      <c r="AU890">
        <v>1</v>
      </c>
      <c r="AV890">
        <v>0</v>
      </c>
      <c r="AW890">
        <v>124.9</v>
      </c>
      <c r="BA890" t="s">
        <v>329</v>
      </c>
      <c r="BB890" t="s">
        <v>1322</v>
      </c>
      <c r="BC890">
        <v>15600</v>
      </c>
      <c r="BG890" t="s">
        <v>5923</v>
      </c>
      <c r="BJ890" t="s">
        <v>5944</v>
      </c>
      <c r="BK890" t="s">
        <v>206</v>
      </c>
      <c r="BL890" t="s">
        <v>6056</v>
      </c>
    </row>
    <row r="891" spans="1:64">
      <c r="A891" s="1">
        <f>HYPERLINK("https://lsnyc.legalserver.org/matter/dynamic-profile/view/1907619","19-1907619")</f>
        <v>0</v>
      </c>
      <c r="B891" t="s">
        <v>67</v>
      </c>
      <c r="C891" t="s">
        <v>188</v>
      </c>
      <c r="D891" t="s">
        <v>200</v>
      </c>
      <c r="E891" t="s">
        <v>201</v>
      </c>
      <c r="G891" t="s">
        <v>202</v>
      </c>
      <c r="H891" t="s">
        <v>272</v>
      </c>
      <c r="I891" t="s">
        <v>202</v>
      </c>
      <c r="J891" t="s">
        <v>289</v>
      </c>
      <c r="K891" t="s">
        <v>292</v>
      </c>
      <c r="M891" t="s">
        <v>290</v>
      </c>
      <c r="N891" t="s">
        <v>419</v>
      </c>
      <c r="O891" t="s">
        <v>420</v>
      </c>
      <c r="P891" t="s">
        <v>427</v>
      </c>
      <c r="S891" t="s">
        <v>1131</v>
      </c>
      <c r="T891" t="s">
        <v>1366</v>
      </c>
      <c r="U891" t="s">
        <v>254</v>
      </c>
      <c r="W891" t="s">
        <v>1876</v>
      </c>
      <c r="X891" t="s">
        <v>2722</v>
      </c>
      <c r="Y891" t="s">
        <v>2926</v>
      </c>
      <c r="Z891" t="s">
        <v>3105</v>
      </c>
      <c r="AA891" t="s">
        <v>3135</v>
      </c>
      <c r="AB891">
        <v>11106</v>
      </c>
      <c r="AC891" t="s">
        <v>3136</v>
      </c>
      <c r="AD891" t="s">
        <v>3965</v>
      </c>
      <c r="AE891">
        <v>5</v>
      </c>
      <c r="AG891" t="s">
        <v>4034</v>
      </c>
      <c r="AH891" t="s">
        <v>291</v>
      </c>
      <c r="AI891" t="s">
        <v>291</v>
      </c>
      <c r="AK891" t="s">
        <v>4041</v>
      </c>
      <c r="AM891">
        <v>0</v>
      </c>
      <c r="AN891">
        <v>331</v>
      </c>
      <c r="AO891">
        <v>0.83</v>
      </c>
      <c r="AQ891" t="s">
        <v>4910</v>
      </c>
      <c r="AR891" t="s">
        <v>5771</v>
      </c>
      <c r="AS891">
        <v>6</v>
      </c>
      <c r="AT891" t="s">
        <v>5841</v>
      </c>
      <c r="AU891">
        <v>1</v>
      </c>
      <c r="AV891">
        <v>3</v>
      </c>
      <c r="AW891">
        <v>79.04000000000001</v>
      </c>
      <c r="BA891" t="s">
        <v>329</v>
      </c>
      <c r="BB891" t="s">
        <v>1322</v>
      </c>
      <c r="BC891">
        <v>20354</v>
      </c>
      <c r="BG891" t="s">
        <v>5923</v>
      </c>
      <c r="BJ891" t="s">
        <v>6000</v>
      </c>
      <c r="BK891" t="s">
        <v>234</v>
      </c>
      <c r="BL891" t="s">
        <v>6056</v>
      </c>
    </row>
    <row r="892" spans="1:64">
      <c r="A892" s="1">
        <f>HYPERLINK("https://lsnyc.legalserver.org/matter/dynamic-profile/view/1905802","19-1905802")</f>
        <v>0</v>
      </c>
      <c r="B892" t="s">
        <v>68</v>
      </c>
      <c r="C892" t="s">
        <v>190</v>
      </c>
      <c r="D892" t="s">
        <v>200</v>
      </c>
      <c r="E892" t="s">
        <v>202</v>
      </c>
      <c r="F892" t="s">
        <v>262</v>
      </c>
      <c r="G892" t="s">
        <v>202</v>
      </c>
      <c r="H892" t="s">
        <v>271</v>
      </c>
      <c r="I892" t="s">
        <v>202</v>
      </c>
      <c r="J892" t="s">
        <v>289</v>
      </c>
      <c r="K892" t="s">
        <v>292</v>
      </c>
      <c r="M892" t="s">
        <v>290</v>
      </c>
      <c r="N892" t="s">
        <v>202</v>
      </c>
      <c r="O892" t="s">
        <v>421</v>
      </c>
      <c r="P892" t="s">
        <v>202</v>
      </c>
      <c r="Q892" t="s">
        <v>430</v>
      </c>
      <c r="R892" t="s">
        <v>454</v>
      </c>
      <c r="S892" t="s">
        <v>1132</v>
      </c>
      <c r="T892" t="s">
        <v>1826</v>
      </c>
      <c r="U892" t="s">
        <v>262</v>
      </c>
      <c r="W892" t="s">
        <v>1876</v>
      </c>
      <c r="X892" t="s">
        <v>2723</v>
      </c>
      <c r="Z892" t="s">
        <v>3134</v>
      </c>
      <c r="AA892" t="s">
        <v>3135</v>
      </c>
      <c r="AB892">
        <v>10303</v>
      </c>
      <c r="AC892" t="s">
        <v>3139</v>
      </c>
      <c r="AD892" t="s">
        <v>3966</v>
      </c>
      <c r="AE892">
        <v>-1</v>
      </c>
      <c r="AG892" t="s">
        <v>4036</v>
      </c>
      <c r="AH892" t="s">
        <v>291</v>
      </c>
      <c r="AI892" t="s">
        <v>291</v>
      </c>
      <c r="AK892" t="s">
        <v>4040</v>
      </c>
      <c r="AL892" t="s">
        <v>4046</v>
      </c>
      <c r="AM892">
        <v>0</v>
      </c>
      <c r="AN892">
        <v>2500</v>
      </c>
      <c r="AO892">
        <v>8.300000000000001</v>
      </c>
      <c r="AQ892" t="s">
        <v>4911</v>
      </c>
      <c r="AR892" t="s">
        <v>5772</v>
      </c>
      <c r="AS892">
        <v>1</v>
      </c>
      <c r="AT892" t="s">
        <v>5835</v>
      </c>
      <c r="AU892">
        <v>3</v>
      </c>
      <c r="AV892">
        <v>0</v>
      </c>
      <c r="AW892">
        <v>91.42</v>
      </c>
      <c r="BA892" t="s">
        <v>329</v>
      </c>
      <c r="BB892" t="s">
        <v>1322</v>
      </c>
      <c r="BC892">
        <v>19500</v>
      </c>
      <c r="BG892" t="s">
        <v>192</v>
      </c>
      <c r="BH892" t="s">
        <v>5930</v>
      </c>
      <c r="BI892" t="s">
        <v>5939</v>
      </c>
      <c r="BJ892" t="s">
        <v>5951</v>
      </c>
      <c r="BK892" t="s">
        <v>254</v>
      </c>
      <c r="BL892" t="s">
        <v>6056</v>
      </c>
    </row>
    <row r="893" spans="1:64">
      <c r="A893" s="1">
        <f>HYPERLINK("https://lsnyc.legalserver.org/matter/dynamic-profile/view/1909905","19-1909905")</f>
        <v>0</v>
      </c>
      <c r="B893" t="s">
        <v>68</v>
      </c>
      <c r="C893" t="s">
        <v>191</v>
      </c>
      <c r="D893" t="s">
        <v>200</v>
      </c>
      <c r="E893" t="s">
        <v>202</v>
      </c>
      <c r="F893" t="s">
        <v>243</v>
      </c>
      <c r="G893" t="s">
        <v>202</v>
      </c>
      <c r="H893" t="s">
        <v>272</v>
      </c>
      <c r="I893" t="s">
        <v>202</v>
      </c>
      <c r="J893" t="s">
        <v>289</v>
      </c>
      <c r="K893" t="s">
        <v>292</v>
      </c>
      <c r="M893" t="s">
        <v>290</v>
      </c>
      <c r="N893" t="s">
        <v>202</v>
      </c>
      <c r="O893" t="s">
        <v>421</v>
      </c>
      <c r="P893" t="s">
        <v>427</v>
      </c>
      <c r="S893" t="s">
        <v>598</v>
      </c>
      <c r="T893" t="s">
        <v>1827</v>
      </c>
      <c r="U893" t="s">
        <v>243</v>
      </c>
      <c r="W893" t="s">
        <v>1876</v>
      </c>
      <c r="X893" t="s">
        <v>2724</v>
      </c>
      <c r="Y893" t="s">
        <v>3014</v>
      </c>
      <c r="Z893" t="s">
        <v>3134</v>
      </c>
      <c r="AA893" t="s">
        <v>3135</v>
      </c>
      <c r="AB893">
        <v>10303</v>
      </c>
      <c r="AC893" t="s">
        <v>3139</v>
      </c>
      <c r="AD893" t="s">
        <v>3967</v>
      </c>
      <c r="AE893">
        <v>9</v>
      </c>
      <c r="AG893" t="s">
        <v>4036</v>
      </c>
      <c r="AH893" t="s">
        <v>291</v>
      </c>
      <c r="AI893" t="s">
        <v>291</v>
      </c>
      <c r="AK893" t="s">
        <v>4045</v>
      </c>
      <c r="AL893" t="s">
        <v>4046</v>
      </c>
      <c r="AM893">
        <v>0</v>
      </c>
      <c r="AN893">
        <v>732</v>
      </c>
      <c r="AO893">
        <v>0.5</v>
      </c>
      <c r="AQ893" t="s">
        <v>4912</v>
      </c>
      <c r="AR893" t="s">
        <v>5773</v>
      </c>
      <c r="AS893">
        <v>0</v>
      </c>
      <c r="AT893" t="s">
        <v>5840</v>
      </c>
      <c r="AU893">
        <v>1</v>
      </c>
      <c r="AV893">
        <v>2</v>
      </c>
      <c r="AW893">
        <v>91.42</v>
      </c>
      <c r="BA893" t="s">
        <v>5850</v>
      </c>
      <c r="BB893" t="s">
        <v>1322</v>
      </c>
      <c r="BC893">
        <v>19500</v>
      </c>
      <c r="BG893" t="s">
        <v>5925</v>
      </c>
      <c r="BJ893" t="s">
        <v>5949</v>
      </c>
      <c r="BK893" t="s">
        <v>259</v>
      </c>
      <c r="BL893" t="s">
        <v>6056</v>
      </c>
    </row>
    <row r="894" spans="1:64">
      <c r="A894" s="1">
        <f>HYPERLINK("https://lsnyc.legalserver.org/matter/dynamic-profile/view/1904287","19-1904287")</f>
        <v>0</v>
      </c>
      <c r="B894" t="s">
        <v>68</v>
      </c>
      <c r="C894" t="s">
        <v>191</v>
      </c>
      <c r="D894" t="s">
        <v>200</v>
      </c>
      <c r="E894" t="s">
        <v>202</v>
      </c>
      <c r="F894" t="s">
        <v>233</v>
      </c>
      <c r="G894" t="s">
        <v>202</v>
      </c>
      <c r="H894" t="s">
        <v>272</v>
      </c>
      <c r="I894" t="s">
        <v>202</v>
      </c>
      <c r="J894" t="s">
        <v>289</v>
      </c>
      <c r="K894" t="s">
        <v>292</v>
      </c>
      <c r="M894" t="s">
        <v>290</v>
      </c>
      <c r="N894" t="s">
        <v>202</v>
      </c>
      <c r="O894" t="s">
        <v>421</v>
      </c>
      <c r="P894" t="s">
        <v>427</v>
      </c>
      <c r="S894" t="s">
        <v>667</v>
      </c>
      <c r="T894" t="s">
        <v>1311</v>
      </c>
      <c r="U894" t="s">
        <v>233</v>
      </c>
      <c r="W894" t="s">
        <v>1876</v>
      </c>
      <c r="X894" t="s">
        <v>2725</v>
      </c>
      <c r="Y894" t="s">
        <v>2828</v>
      </c>
      <c r="Z894" t="s">
        <v>3134</v>
      </c>
      <c r="AA894" t="s">
        <v>3135</v>
      </c>
      <c r="AB894">
        <v>10303</v>
      </c>
      <c r="AC894" t="s">
        <v>3139</v>
      </c>
      <c r="AD894" t="s">
        <v>3968</v>
      </c>
      <c r="AE894">
        <v>13</v>
      </c>
      <c r="AG894" t="s">
        <v>4036</v>
      </c>
      <c r="AH894" t="s">
        <v>291</v>
      </c>
      <c r="AI894" t="s">
        <v>291</v>
      </c>
      <c r="AK894" t="s">
        <v>4041</v>
      </c>
      <c r="AL894" t="s">
        <v>4046</v>
      </c>
      <c r="AM894">
        <v>0</v>
      </c>
      <c r="AN894">
        <v>1038</v>
      </c>
      <c r="AO894">
        <v>4.5</v>
      </c>
      <c r="AQ894" t="s">
        <v>4913</v>
      </c>
      <c r="AR894" t="s">
        <v>5774</v>
      </c>
      <c r="AS894">
        <v>265</v>
      </c>
      <c r="AT894" t="s">
        <v>5837</v>
      </c>
      <c r="AU894">
        <v>2</v>
      </c>
      <c r="AV894">
        <v>1</v>
      </c>
      <c r="AW894">
        <v>75.56999999999999</v>
      </c>
      <c r="BA894" t="s">
        <v>5850</v>
      </c>
      <c r="BB894" t="s">
        <v>1322</v>
      </c>
      <c r="BC894">
        <v>16119.96</v>
      </c>
      <c r="BG894" t="s">
        <v>5925</v>
      </c>
      <c r="BJ894" t="s">
        <v>5949</v>
      </c>
      <c r="BK894" t="s">
        <v>264</v>
      </c>
      <c r="BL894" t="s">
        <v>6056</v>
      </c>
    </row>
    <row r="895" spans="1:64">
      <c r="A895" s="1">
        <f>HYPERLINK("https://lsnyc.legalserver.org/matter/dynamic-profile/view/1906149","19-1906149")</f>
        <v>0</v>
      </c>
      <c r="B895" t="s">
        <v>68</v>
      </c>
      <c r="C895" t="s">
        <v>191</v>
      </c>
      <c r="D895" t="s">
        <v>200</v>
      </c>
      <c r="E895" t="s">
        <v>202</v>
      </c>
      <c r="F895" t="s">
        <v>261</v>
      </c>
      <c r="G895" t="s">
        <v>202</v>
      </c>
      <c r="H895" t="s">
        <v>271</v>
      </c>
      <c r="I895" t="s">
        <v>202</v>
      </c>
      <c r="J895" t="s">
        <v>289</v>
      </c>
      <c r="K895" t="s">
        <v>292</v>
      </c>
      <c r="M895" t="s">
        <v>290</v>
      </c>
      <c r="N895" t="s">
        <v>202</v>
      </c>
      <c r="O895" t="s">
        <v>421</v>
      </c>
      <c r="P895" t="s">
        <v>427</v>
      </c>
      <c r="S895" t="s">
        <v>890</v>
      </c>
      <c r="T895" t="s">
        <v>1828</v>
      </c>
      <c r="U895" t="s">
        <v>261</v>
      </c>
      <c r="W895" t="s">
        <v>1876</v>
      </c>
      <c r="X895" t="s">
        <v>2726</v>
      </c>
      <c r="Y895">
        <v>2</v>
      </c>
      <c r="Z895" t="s">
        <v>3134</v>
      </c>
      <c r="AA895" t="s">
        <v>3135</v>
      </c>
      <c r="AB895">
        <v>10302</v>
      </c>
      <c r="AC895" t="s">
        <v>3139</v>
      </c>
      <c r="AD895" t="s">
        <v>3969</v>
      </c>
      <c r="AE895">
        <v>11</v>
      </c>
      <c r="AG895" t="s">
        <v>4036</v>
      </c>
      <c r="AH895" t="s">
        <v>291</v>
      </c>
      <c r="AI895" t="s">
        <v>291</v>
      </c>
      <c r="AK895" t="s">
        <v>4040</v>
      </c>
      <c r="AL895" t="s">
        <v>4046</v>
      </c>
      <c r="AM895">
        <v>0</v>
      </c>
      <c r="AN895">
        <v>1450</v>
      </c>
      <c r="AO895">
        <v>8.550000000000001</v>
      </c>
      <c r="AQ895" t="s">
        <v>4914</v>
      </c>
      <c r="AR895" t="s">
        <v>5775</v>
      </c>
      <c r="AS895">
        <v>3</v>
      </c>
      <c r="AT895" t="s">
        <v>5835</v>
      </c>
      <c r="AU895">
        <v>3</v>
      </c>
      <c r="AV895">
        <v>2</v>
      </c>
      <c r="AW895">
        <v>59.66</v>
      </c>
      <c r="BA895" t="s">
        <v>329</v>
      </c>
      <c r="BB895" t="s">
        <v>1322</v>
      </c>
      <c r="BC895">
        <v>18000</v>
      </c>
      <c r="BG895" t="s">
        <v>194</v>
      </c>
      <c r="BJ895" t="s">
        <v>5950</v>
      </c>
      <c r="BK895" t="s">
        <v>223</v>
      </c>
      <c r="BL895" t="s">
        <v>6056</v>
      </c>
    </row>
    <row r="896" spans="1:64">
      <c r="A896" s="1">
        <f>HYPERLINK("https://lsnyc.legalserver.org/matter/dynamic-profile/view/1909899","19-1909899")</f>
        <v>0</v>
      </c>
      <c r="B896" t="s">
        <v>68</v>
      </c>
      <c r="C896" t="s">
        <v>192</v>
      </c>
      <c r="D896" t="s">
        <v>200</v>
      </c>
      <c r="E896" t="s">
        <v>202</v>
      </c>
      <c r="F896" t="s">
        <v>243</v>
      </c>
      <c r="G896" t="s">
        <v>202</v>
      </c>
      <c r="H896" t="s">
        <v>272</v>
      </c>
      <c r="I896" t="s">
        <v>202</v>
      </c>
      <c r="J896" t="s">
        <v>289</v>
      </c>
      <c r="K896" t="s">
        <v>292</v>
      </c>
      <c r="M896" t="s">
        <v>290</v>
      </c>
      <c r="N896" t="s">
        <v>202</v>
      </c>
      <c r="O896" t="s">
        <v>422</v>
      </c>
      <c r="P896" t="s">
        <v>427</v>
      </c>
      <c r="R896" t="s">
        <v>455</v>
      </c>
      <c r="S896" t="s">
        <v>1133</v>
      </c>
      <c r="T896" t="s">
        <v>1829</v>
      </c>
      <c r="U896" t="s">
        <v>243</v>
      </c>
      <c r="W896" t="s">
        <v>1876</v>
      </c>
      <c r="X896" t="s">
        <v>2727</v>
      </c>
      <c r="Y896" t="s">
        <v>3081</v>
      </c>
      <c r="Z896" t="s">
        <v>3134</v>
      </c>
      <c r="AA896" t="s">
        <v>3135</v>
      </c>
      <c r="AB896">
        <v>10303</v>
      </c>
      <c r="AC896" t="s">
        <v>3139</v>
      </c>
      <c r="AD896" t="s">
        <v>3970</v>
      </c>
      <c r="AE896">
        <v>5</v>
      </c>
      <c r="AG896" t="s">
        <v>4036</v>
      </c>
      <c r="AH896" t="s">
        <v>291</v>
      </c>
      <c r="AI896" t="s">
        <v>291</v>
      </c>
      <c r="AK896" t="s">
        <v>4040</v>
      </c>
      <c r="AL896" t="s">
        <v>4046</v>
      </c>
      <c r="AM896">
        <v>0</v>
      </c>
      <c r="AN896">
        <v>0</v>
      </c>
      <c r="AO896">
        <v>0.8</v>
      </c>
      <c r="AQ896" t="s">
        <v>4915</v>
      </c>
      <c r="AR896" t="s">
        <v>5776</v>
      </c>
      <c r="AS896">
        <v>130</v>
      </c>
      <c r="AT896" t="s">
        <v>5840</v>
      </c>
      <c r="AU896">
        <v>1</v>
      </c>
      <c r="AV896">
        <v>0</v>
      </c>
      <c r="AW896">
        <v>307.01</v>
      </c>
      <c r="BA896" t="s">
        <v>329</v>
      </c>
      <c r="BB896" t="s">
        <v>1322</v>
      </c>
      <c r="BC896">
        <v>38345.28</v>
      </c>
      <c r="BG896" t="s">
        <v>5925</v>
      </c>
      <c r="BJ896" t="s">
        <v>5949</v>
      </c>
      <c r="BK896" t="s">
        <v>266</v>
      </c>
      <c r="BL896" t="s">
        <v>6056</v>
      </c>
    </row>
    <row r="897" spans="1:64">
      <c r="A897" s="1">
        <f>HYPERLINK("https://lsnyc.legalserver.org/matter/dynamic-profile/view/1907442","19-1907442")</f>
        <v>0</v>
      </c>
      <c r="B897" t="s">
        <v>68</v>
      </c>
      <c r="C897" t="s">
        <v>190</v>
      </c>
      <c r="D897" t="s">
        <v>200</v>
      </c>
      <c r="E897" t="s">
        <v>202</v>
      </c>
      <c r="F897" t="s">
        <v>220</v>
      </c>
      <c r="G897" t="s">
        <v>202</v>
      </c>
      <c r="H897" t="s">
        <v>271</v>
      </c>
      <c r="I897" t="s">
        <v>202</v>
      </c>
      <c r="J897" t="s">
        <v>289</v>
      </c>
      <c r="K897" t="s">
        <v>292</v>
      </c>
      <c r="M897" t="s">
        <v>290</v>
      </c>
      <c r="N897" t="s">
        <v>202</v>
      </c>
      <c r="O897" t="s">
        <v>421</v>
      </c>
      <c r="P897" t="s">
        <v>427</v>
      </c>
      <c r="S897" t="s">
        <v>739</v>
      </c>
      <c r="T897" t="s">
        <v>1830</v>
      </c>
      <c r="U897" t="s">
        <v>220</v>
      </c>
      <c r="W897" t="s">
        <v>1876</v>
      </c>
      <c r="X897" t="s">
        <v>2728</v>
      </c>
      <c r="Y897" t="s">
        <v>3082</v>
      </c>
      <c r="Z897" t="s">
        <v>3134</v>
      </c>
      <c r="AA897" t="s">
        <v>3135</v>
      </c>
      <c r="AB897">
        <v>10303</v>
      </c>
      <c r="AC897" t="s">
        <v>3139</v>
      </c>
      <c r="AD897" t="s">
        <v>3971</v>
      </c>
      <c r="AE897">
        <v>-1</v>
      </c>
      <c r="AG897" t="s">
        <v>4036</v>
      </c>
      <c r="AH897" t="s">
        <v>291</v>
      </c>
      <c r="AI897" t="s">
        <v>291</v>
      </c>
      <c r="AK897" t="s">
        <v>4040</v>
      </c>
      <c r="AL897" t="s">
        <v>4046</v>
      </c>
      <c r="AM897">
        <v>0</v>
      </c>
      <c r="AN897">
        <v>800</v>
      </c>
      <c r="AO897">
        <v>15.05</v>
      </c>
      <c r="AQ897" t="s">
        <v>4916</v>
      </c>
      <c r="AR897" t="s">
        <v>5777</v>
      </c>
      <c r="AS897">
        <v>2</v>
      </c>
      <c r="AT897" t="s">
        <v>5835</v>
      </c>
      <c r="AU897">
        <v>1</v>
      </c>
      <c r="AV897">
        <v>2</v>
      </c>
      <c r="AW897">
        <v>146.27</v>
      </c>
      <c r="BA897" t="s">
        <v>329</v>
      </c>
      <c r="BB897" t="s">
        <v>5865</v>
      </c>
      <c r="BC897">
        <v>31200</v>
      </c>
      <c r="BG897" t="s">
        <v>192</v>
      </c>
      <c r="BJ897" t="s">
        <v>5949</v>
      </c>
      <c r="BK897" t="s">
        <v>259</v>
      </c>
      <c r="BL897" t="s">
        <v>6056</v>
      </c>
    </row>
    <row r="898" spans="1:64">
      <c r="A898" s="1">
        <f>HYPERLINK("https://lsnyc.legalserver.org/matter/dynamic-profile/view/1904148","19-1904148")</f>
        <v>0</v>
      </c>
      <c r="B898" t="s">
        <v>68</v>
      </c>
      <c r="C898" t="s">
        <v>191</v>
      </c>
      <c r="D898" t="s">
        <v>200</v>
      </c>
      <c r="E898" t="s">
        <v>202</v>
      </c>
      <c r="F898" t="s">
        <v>204</v>
      </c>
      <c r="G898" t="s">
        <v>202</v>
      </c>
      <c r="H898" t="s">
        <v>284</v>
      </c>
      <c r="I898" t="s">
        <v>202</v>
      </c>
      <c r="J898" t="s">
        <v>289</v>
      </c>
      <c r="K898" t="s">
        <v>292</v>
      </c>
      <c r="M898" t="s">
        <v>290</v>
      </c>
      <c r="N898" t="s">
        <v>419</v>
      </c>
      <c r="P898" t="s">
        <v>427</v>
      </c>
      <c r="S898" t="s">
        <v>1134</v>
      </c>
      <c r="T898" t="s">
        <v>1704</v>
      </c>
      <c r="U898" t="s">
        <v>242</v>
      </c>
      <c r="W898" t="s">
        <v>1876</v>
      </c>
      <c r="X898" t="s">
        <v>2729</v>
      </c>
      <c r="Y898" t="s">
        <v>2960</v>
      </c>
      <c r="Z898" t="s">
        <v>3134</v>
      </c>
      <c r="AA898" t="s">
        <v>3135</v>
      </c>
      <c r="AB898">
        <v>10310</v>
      </c>
      <c r="AC898" t="s">
        <v>3144</v>
      </c>
      <c r="AE898">
        <v>2</v>
      </c>
      <c r="AG898" t="s">
        <v>4037</v>
      </c>
      <c r="AH898" t="s">
        <v>291</v>
      </c>
      <c r="AI898" t="s">
        <v>291</v>
      </c>
      <c r="AK898" t="s">
        <v>4041</v>
      </c>
      <c r="AM898">
        <v>0</v>
      </c>
      <c r="AN898">
        <v>224</v>
      </c>
      <c r="AO898">
        <v>3.35</v>
      </c>
      <c r="AQ898" t="s">
        <v>4917</v>
      </c>
      <c r="AR898" t="s">
        <v>5778</v>
      </c>
      <c r="AS898">
        <v>634</v>
      </c>
      <c r="AT898" t="s">
        <v>5840</v>
      </c>
      <c r="AU898">
        <v>1</v>
      </c>
      <c r="AV898">
        <v>0</v>
      </c>
      <c r="AW898">
        <v>74.08</v>
      </c>
      <c r="BA898" t="s">
        <v>329</v>
      </c>
      <c r="BB898" t="s">
        <v>1322</v>
      </c>
      <c r="BC898">
        <v>9252</v>
      </c>
      <c r="BG898" t="s">
        <v>192</v>
      </c>
      <c r="BJ898" t="s">
        <v>5942</v>
      </c>
      <c r="BK898" t="s">
        <v>230</v>
      </c>
      <c r="BL898" t="s">
        <v>6056</v>
      </c>
    </row>
    <row r="899" spans="1:64">
      <c r="A899" s="1">
        <f>HYPERLINK("https://lsnyc.legalserver.org/matter/dynamic-profile/view/1908369","19-1908369")</f>
        <v>0</v>
      </c>
      <c r="B899" t="s">
        <v>68</v>
      </c>
      <c r="C899" t="s">
        <v>191</v>
      </c>
      <c r="D899" t="s">
        <v>200</v>
      </c>
      <c r="E899" t="s">
        <v>202</v>
      </c>
      <c r="F899" t="s">
        <v>218</v>
      </c>
      <c r="G899" t="s">
        <v>202</v>
      </c>
      <c r="H899" t="s">
        <v>271</v>
      </c>
      <c r="I899" t="s">
        <v>202</v>
      </c>
      <c r="J899" t="s">
        <v>289</v>
      </c>
      <c r="K899" t="s">
        <v>292</v>
      </c>
      <c r="M899" t="s">
        <v>290</v>
      </c>
      <c r="N899" t="s">
        <v>202</v>
      </c>
      <c r="O899" t="s">
        <v>421</v>
      </c>
      <c r="P899" t="s">
        <v>427</v>
      </c>
      <c r="S899" t="s">
        <v>1135</v>
      </c>
      <c r="T899" t="s">
        <v>1831</v>
      </c>
      <c r="U899" t="s">
        <v>218</v>
      </c>
      <c r="W899" t="s">
        <v>1876</v>
      </c>
      <c r="X899" t="s">
        <v>2730</v>
      </c>
      <c r="Y899" t="s">
        <v>3043</v>
      </c>
      <c r="Z899" t="s">
        <v>3134</v>
      </c>
      <c r="AA899" t="s">
        <v>3135</v>
      </c>
      <c r="AB899">
        <v>10310</v>
      </c>
      <c r="AC899" t="s">
        <v>3139</v>
      </c>
      <c r="AD899" t="s">
        <v>3972</v>
      </c>
      <c r="AE899">
        <v>-1</v>
      </c>
      <c r="AG899" t="s">
        <v>4036</v>
      </c>
      <c r="AH899" t="s">
        <v>291</v>
      </c>
      <c r="AI899" t="s">
        <v>291</v>
      </c>
      <c r="AK899" t="s">
        <v>4040</v>
      </c>
      <c r="AL899" t="s">
        <v>4046</v>
      </c>
      <c r="AM899">
        <v>0</v>
      </c>
      <c r="AN899">
        <v>1400</v>
      </c>
      <c r="AO899">
        <v>1.15</v>
      </c>
      <c r="AQ899" t="s">
        <v>4918</v>
      </c>
      <c r="AR899" t="s">
        <v>5779</v>
      </c>
      <c r="AS899">
        <v>3</v>
      </c>
      <c r="AT899" t="s">
        <v>5835</v>
      </c>
      <c r="AU899">
        <v>1</v>
      </c>
      <c r="AV899">
        <v>2</v>
      </c>
      <c r="AW899">
        <v>19.69</v>
      </c>
      <c r="BA899" t="s">
        <v>5850</v>
      </c>
      <c r="BB899" t="s">
        <v>1322</v>
      </c>
      <c r="BC899">
        <v>4200</v>
      </c>
      <c r="BG899" t="s">
        <v>192</v>
      </c>
      <c r="BJ899" t="s">
        <v>6031</v>
      </c>
      <c r="BK899" t="s">
        <v>243</v>
      </c>
      <c r="BL899" t="s">
        <v>6056</v>
      </c>
    </row>
    <row r="900" spans="1:64">
      <c r="A900" s="1">
        <f>HYPERLINK("https://lsnyc.legalserver.org/matter/dynamic-profile/view/1905484","19-1905484")</f>
        <v>0</v>
      </c>
      <c r="B900" t="s">
        <v>68</v>
      </c>
      <c r="C900" t="s">
        <v>191</v>
      </c>
      <c r="D900" t="s">
        <v>200</v>
      </c>
      <c r="E900" t="s">
        <v>201</v>
      </c>
      <c r="G900" t="s">
        <v>202</v>
      </c>
      <c r="H900" t="s">
        <v>272</v>
      </c>
      <c r="I900" t="s">
        <v>288</v>
      </c>
      <c r="J900" t="s">
        <v>290</v>
      </c>
      <c r="K900" t="s">
        <v>292</v>
      </c>
      <c r="M900" t="s">
        <v>290</v>
      </c>
      <c r="N900" t="s">
        <v>419</v>
      </c>
      <c r="P900" t="s">
        <v>427</v>
      </c>
      <c r="S900" t="s">
        <v>1136</v>
      </c>
      <c r="T900" t="s">
        <v>1832</v>
      </c>
      <c r="U900" t="s">
        <v>262</v>
      </c>
      <c r="W900" t="s">
        <v>1876</v>
      </c>
      <c r="X900" t="s">
        <v>2731</v>
      </c>
      <c r="Y900" t="s">
        <v>2899</v>
      </c>
      <c r="Z900" t="s">
        <v>3134</v>
      </c>
      <c r="AA900" t="s">
        <v>3135</v>
      </c>
      <c r="AB900">
        <v>10314</v>
      </c>
      <c r="AC900" t="s">
        <v>3140</v>
      </c>
      <c r="AD900" t="s">
        <v>3973</v>
      </c>
      <c r="AE900">
        <v>7</v>
      </c>
      <c r="AG900" t="s">
        <v>4036</v>
      </c>
      <c r="AH900" t="s">
        <v>291</v>
      </c>
      <c r="AI900" t="s">
        <v>291</v>
      </c>
      <c r="AK900" t="s">
        <v>4040</v>
      </c>
      <c r="AL900" t="s">
        <v>4047</v>
      </c>
      <c r="AM900">
        <v>0</v>
      </c>
      <c r="AN900">
        <v>953</v>
      </c>
      <c r="AO900">
        <v>5.6</v>
      </c>
      <c r="AQ900" t="s">
        <v>4919</v>
      </c>
      <c r="AR900" t="s">
        <v>5780</v>
      </c>
      <c r="AS900">
        <v>8</v>
      </c>
      <c r="AT900" t="s">
        <v>5835</v>
      </c>
      <c r="AU900">
        <v>2</v>
      </c>
      <c r="AV900">
        <v>2</v>
      </c>
      <c r="AW900">
        <v>97.09</v>
      </c>
      <c r="BA900" t="s">
        <v>329</v>
      </c>
      <c r="BB900" t="s">
        <v>1322</v>
      </c>
      <c r="BC900">
        <v>25000</v>
      </c>
      <c r="BG900" t="s">
        <v>192</v>
      </c>
      <c r="BJ900" t="s">
        <v>5951</v>
      </c>
      <c r="BK900" t="s">
        <v>234</v>
      </c>
    </row>
    <row r="901" spans="1:64">
      <c r="A901" s="1">
        <f>HYPERLINK("https://lsnyc.legalserver.org/matter/dynamic-profile/view/1905839","19-1905839")</f>
        <v>0</v>
      </c>
      <c r="B901" t="s">
        <v>68</v>
      </c>
      <c r="C901" t="s">
        <v>193</v>
      </c>
      <c r="D901" t="s">
        <v>200</v>
      </c>
      <c r="E901" t="s">
        <v>202</v>
      </c>
      <c r="F901" t="s">
        <v>262</v>
      </c>
      <c r="G901" t="s">
        <v>202</v>
      </c>
      <c r="H901" t="s">
        <v>271</v>
      </c>
      <c r="I901" t="s">
        <v>202</v>
      </c>
      <c r="J901" t="s">
        <v>289</v>
      </c>
      <c r="K901" t="s">
        <v>292</v>
      </c>
      <c r="M901" t="s">
        <v>290</v>
      </c>
      <c r="N901" t="s">
        <v>202</v>
      </c>
      <c r="O901" t="s">
        <v>421</v>
      </c>
      <c r="P901" t="s">
        <v>427</v>
      </c>
      <c r="S901" t="s">
        <v>1137</v>
      </c>
      <c r="T901" t="s">
        <v>1833</v>
      </c>
      <c r="U901" t="s">
        <v>262</v>
      </c>
      <c r="W901" t="s">
        <v>1876</v>
      </c>
      <c r="X901" t="s">
        <v>2732</v>
      </c>
      <c r="Y901" t="s">
        <v>3083</v>
      </c>
      <c r="Z901" t="s">
        <v>3134</v>
      </c>
      <c r="AA901" t="s">
        <v>3135</v>
      </c>
      <c r="AB901">
        <v>10312</v>
      </c>
      <c r="AC901" t="s">
        <v>3139</v>
      </c>
      <c r="AD901" t="s">
        <v>3974</v>
      </c>
      <c r="AE901">
        <v>2</v>
      </c>
      <c r="AG901" t="s">
        <v>4037</v>
      </c>
      <c r="AH901" t="s">
        <v>291</v>
      </c>
      <c r="AI901" t="s">
        <v>291</v>
      </c>
      <c r="AK901" t="s">
        <v>4040</v>
      </c>
      <c r="AL901" t="s">
        <v>4046</v>
      </c>
      <c r="AM901">
        <v>0</v>
      </c>
      <c r="AN901">
        <v>1260</v>
      </c>
      <c r="AO901">
        <v>0</v>
      </c>
      <c r="AQ901" t="s">
        <v>4920</v>
      </c>
      <c r="AR901" t="s">
        <v>5781</v>
      </c>
      <c r="AS901">
        <v>2</v>
      </c>
      <c r="AT901" t="s">
        <v>5835</v>
      </c>
      <c r="AU901">
        <v>1</v>
      </c>
      <c r="AV901">
        <v>0</v>
      </c>
      <c r="AW901">
        <v>14.41</v>
      </c>
      <c r="BA901" t="s">
        <v>5858</v>
      </c>
      <c r="BB901" t="s">
        <v>1322</v>
      </c>
      <c r="BC901">
        <v>1800</v>
      </c>
      <c r="BG901" t="s">
        <v>192</v>
      </c>
      <c r="BJ901" t="s">
        <v>5948</v>
      </c>
      <c r="BL901" t="s">
        <v>6056</v>
      </c>
    </row>
    <row r="902" spans="1:64">
      <c r="A902" s="1">
        <f>HYPERLINK("https://lsnyc.legalserver.org/matter/dynamic-profile/view/1899102","19-1899102")</f>
        <v>0</v>
      </c>
      <c r="B902" t="s">
        <v>68</v>
      </c>
      <c r="C902" t="s">
        <v>193</v>
      </c>
      <c r="D902" t="s">
        <v>200</v>
      </c>
      <c r="E902" t="s">
        <v>203</v>
      </c>
      <c r="F902" t="s">
        <v>268</v>
      </c>
      <c r="G902" t="s">
        <v>202</v>
      </c>
      <c r="H902" t="s">
        <v>272</v>
      </c>
      <c r="I902" t="s">
        <v>202</v>
      </c>
      <c r="J902" t="s">
        <v>289</v>
      </c>
      <c r="K902" t="s">
        <v>292</v>
      </c>
      <c r="M902" t="s">
        <v>290</v>
      </c>
      <c r="N902" t="s">
        <v>202</v>
      </c>
      <c r="O902" t="s">
        <v>423</v>
      </c>
      <c r="P902" t="s">
        <v>427</v>
      </c>
      <c r="S902" t="s">
        <v>503</v>
      </c>
      <c r="T902" t="s">
        <v>1834</v>
      </c>
      <c r="U902" t="s">
        <v>242</v>
      </c>
      <c r="W902" t="s">
        <v>1876</v>
      </c>
      <c r="X902" t="s">
        <v>2733</v>
      </c>
      <c r="Y902" t="s">
        <v>2917</v>
      </c>
      <c r="Z902" t="s">
        <v>3134</v>
      </c>
      <c r="AA902" t="s">
        <v>3135</v>
      </c>
      <c r="AB902">
        <v>10310</v>
      </c>
      <c r="AC902" t="s">
        <v>3139</v>
      </c>
      <c r="AD902" t="s">
        <v>3975</v>
      </c>
      <c r="AE902">
        <v>6</v>
      </c>
      <c r="AG902" t="s">
        <v>4036</v>
      </c>
      <c r="AH902" t="s">
        <v>291</v>
      </c>
      <c r="AI902" t="s">
        <v>291</v>
      </c>
      <c r="AK902" t="s">
        <v>4041</v>
      </c>
      <c r="AM902">
        <v>0</v>
      </c>
      <c r="AN902">
        <v>1169</v>
      </c>
      <c r="AO902">
        <v>3</v>
      </c>
      <c r="AQ902" t="s">
        <v>4921</v>
      </c>
      <c r="AR902" t="s">
        <v>5782</v>
      </c>
      <c r="AS902">
        <v>0</v>
      </c>
      <c r="AT902" t="s">
        <v>5837</v>
      </c>
      <c r="AU902">
        <v>1</v>
      </c>
      <c r="AV902">
        <v>0</v>
      </c>
      <c r="AW902">
        <v>395.93</v>
      </c>
      <c r="AX902" t="s">
        <v>5848</v>
      </c>
      <c r="AY902" t="s">
        <v>5849</v>
      </c>
      <c r="BA902" t="s">
        <v>5850</v>
      </c>
      <c r="BB902" t="s">
        <v>1322</v>
      </c>
      <c r="BC902">
        <v>49452</v>
      </c>
      <c r="BG902" t="s">
        <v>5925</v>
      </c>
      <c r="BJ902" t="s">
        <v>6051</v>
      </c>
      <c r="BK902" t="s">
        <v>213</v>
      </c>
      <c r="BL902" t="s">
        <v>6056</v>
      </c>
    </row>
    <row r="903" spans="1:64">
      <c r="A903" s="1">
        <f>HYPERLINK("https://lsnyc.legalserver.org/matter/dynamic-profile/view/1903726","19-1903726")</f>
        <v>0</v>
      </c>
      <c r="B903" t="s">
        <v>68</v>
      </c>
      <c r="C903" t="s">
        <v>193</v>
      </c>
      <c r="D903" t="s">
        <v>200</v>
      </c>
      <c r="E903" t="s">
        <v>202</v>
      </c>
      <c r="F903" t="s">
        <v>208</v>
      </c>
      <c r="G903" t="s">
        <v>202</v>
      </c>
      <c r="H903" t="s">
        <v>271</v>
      </c>
      <c r="I903" t="s">
        <v>202</v>
      </c>
      <c r="J903" t="s">
        <v>289</v>
      </c>
      <c r="K903" t="s">
        <v>292</v>
      </c>
      <c r="M903" t="s">
        <v>290</v>
      </c>
      <c r="N903" t="s">
        <v>202</v>
      </c>
      <c r="O903" t="s">
        <v>421</v>
      </c>
      <c r="P903" t="s">
        <v>427</v>
      </c>
      <c r="S903" t="s">
        <v>1138</v>
      </c>
      <c r="T903" t="s">
        <v>1017</v>
      </c>
      <c r="U903" t="s">
        <v>208</v>
      </c>
      <c r="W903" t="s">
        <v>1876</v>
      </c>
      <c r="X903" t="s">
        <v>2734</v>
      </c>
      <c r="Z903" t="s">
        <v>3134</v>
      </c>
      <c r="AA903" t="s">
        <v>3135</v>
      </c>
      <c r="AB903">
        <v>10303</v>
      </c>
      <c r="AC903" t="s">
        <v>3139</v>
      </c>
      <c r="AD903" t="s">
        <v>3976</v>
      </c>
      <c r="AE903">
        <v>4</v>
      </c>
      <c r="AG903" t="s">
        <v>4036</v>
      </c>
      <c r="AH903" t="s">
        <v>291</v>
      </c>
      <c r="AI903" t="s">
        <v>291</v>
      </c>
      <c r="AK903" t="s">
        <v>4040</v>
      </c>
      <c r="AL903" t="s">
        <v>4046</v>
      </c>
      <c r="AM903">
        <v>0</v>
      </c>
      <c r="AN903">
        <v>1500</v>
      </c>
      <c r="AO903">
        <v>2.3</v>
      </c>
      <c r="AQ903" t="s">
        <v>4922</v>
      </c>
      <c r="AR903" t="s">
        <v>5783</v>
      </c>
      <c r="AS903">
        <v>1</v>
      </c>
      <c r="AT903" t="s">
        <v>5835</v>
      </c>
      <c r="AU903">
        <v>2</v>
      </c>
      <c r="AV903">
        <v>0</v>
      </c>
      <c r="AW903">
        <v>69.19</v>
      </c>
      <c r="BA903" t="s">
        <v>5850</v>
      </c>
      <c r="BB903" t="s">
        <v>1322</v>
      </c>
      <c r="BC903">
        <v>11700</v>
      </c>
      <c r="BG903" t="s">
        <v>192</v>
      </c>
      <c r="BJ903" t="s">
        <v>5949</v>
      </c>
      <c r="BK903" t="s">
        <v>226</v>
      </c>
      <c r="BL903" t="s">
        <v>6056</v>
      </c>
    </row>
    <row r="904" spans="1:64">
      <c r="A904" s="1">
        <f>HYPERLINK("https://lsnyc.legalserver.org/matter/dynamic-profile/view/1907984","19-1907984")</f>
        <v>0</v>
      </c>
      <c r="B904" t="s">
        <v>68</v>
      </c>
      <c r="C904" t="s">
        <v>193</v>
      </c>
      <c r="D904" t="s">
        <v>200</v>
      </c>
      <c r="E904" t="s">
        <v>201</v>
      </c>
      <c r="G904" t="s">
        <v>202</v>
      </c>
      <c r="H904" t="s">
        <v>272</v>
      </c>
      <c r="I904" t="s">
        <v>288</v>
      </c>
      <c r="J904" t="s">
        <v>290</v>
      </c>
      <c r="K904" t="s">
        <v>292</v>
      </c>
      <c r="M904" t="s">
        <v>290</v>
      </c>
      <c r="N904" t="s">
        <v>419</v>
      </c>
      <c r="P904" t="s">
        <v>427</v>
      </c>
      <c r="S904" t="s">
        <v>1084</v>
      </c>
      <c r="T904" t="s">
        <v>1835</v>
      </c>
      <c r="U904" t="s">
        <v>259</v>
      </c>
      <c r="W904" t="s">
        <v>1876</v>
      </c>
      <c r="X904" t="s">
        <v>2735</v>
      </c>
      <c r="Z904" t="s">
        <v>3134</v>
      </c>
      <c r="AA904" t="s">
        <v>3135</v>
      </c>
      <c r="AB904">
        <v>10306</v>
      </c>
      <c r="AC904" t="s">
        <v>3146</v>
      </c>
      <c r="AD904" t="s">
        <v>3977</v>
      </c>
      <c r="AE904">
        <v>2</v>
      </c>
      <c r="AG904" t="s">
        <v>4037</v>
      </c>
      <c r="AH904" t="s">
        <v>291</v>
      </c>
      <c r="AI904" t="s">
        <v>291</v>
      </c>
      <c r="AK904" t="s">
        <v>4040</v>
      </c>
      <c r="AL904" t="s">
        <v>4046</v>
      </c>
      <c r="AM904">
        <v>0</v>
      </c>
      <c r="AN904">
        <v>2000</v>
      </c>
      <c r="AO904">
        <v>4</v>
      </c>
      <c r="AQ904" t="s">
        <v>4923</v>
      </c>
      <c r="AR904" t="s">
        <v>5784</v>
      </c>
      <c r="AS904">
        <v>2</v>
      </c>
      <c r="AT904" t="s">
        <v>5835</v>
      </c>
      <c r="AU904">
        <v>2</v>
      </c>
      <c r="AV904">
        <v>4</v>
      </c>
      <c r="AW904">
        <v>10.41</v>
      </c>
      <c r="BA904" t="s">
        <v>329</v>
      </c>
      <c r="BB904" t="s">
        <v>1322</v>
      </c>
      <c r="BC904">
        <v>3600</v>
      </c>
      <c r="BG904" t="s">
        <v>192</v>
      </c>
      <c r="BJ904" t="s">
        <v>5951</v>
      </c>
      <c r="BK904" t="s">
        <v>234</v>
      </c>
    </row>
    <row r="905" spans="1:64">
      <c r="A905" s="1">
        <f>HYPERLINK("https://lsnyc.legalserver.org/matter/dynamic-profile/view/1908672","19-1908672")</f>
        <v>0</v>
      </c>
      <c r="B905" t="s">
        <v>68</v>
      </c>
      <c r="C905" t="s">
        <v>193</v>
      </c>
      <c r="D905" t="s">
        <v>200</v>
      </c>
      <c r="E905" t="s">
        <v>201</v>
      </c>
      <c r="G905" t="s">
        <v>202</v>
      </c>
      <c r="H905" t="s">
        <v>272</v>
      </c>
      <c r="I905" t="s">
        <v>288</v>
      </c>
      <c r="J905" t="s">
        <v>290</v>
      </c>
      <c r="K905" t="s">
        <v>292</v>
      </c>
      <c r="M905" t="s">
        <v>290</v>
      </c>
      <c r="N905" t="s">
        <v>419</v>
      </c>
      <c r="P905" t="s">
        <v>427</v>
      </c>
      <c r="S905" t="s">
        <v>1013</v>
      </c>
      <c r="T905" t="s">
        <v>1836</v>
      </c>
      <c r="U905" t="s">
        <v>259</v>
      </c>
      <c r="W905" t="s">
        <v>1876</v>
      </c>
      <c r="X905" t="s">
        <v>2736</v>
      </c>
      <c r="Y905" t="s">
        <v>2781</v>
      </c>
      <c r="Z905" t="s">
        <v>3134</v>
      </c>
      <c r="AA905" t="s">
        <v>3135</v>
      </c>
      <c r="AB905">
        <v>10308</v>
      </c>
      <c r="AC905" t="s">
        <v>3139</v>
      </c>
      <c r="AD905" t="s">
        <v>3978</v>
      </c>
      <c r="AE905">
        <v>6</v>
      </c>
      <c r="AG905" t="s">
        <v>4037</v>
      </c>
      <c r="AH905" t="s">
        <v>291</v>
      </c>
      <c r="AI905" t="s">
        <v>291</v>
      </c>
      <c r="AK905" t="s">
        <v>4040</v>
      </c>
      <c r="AL905" t="s">
        <v>4046</v>
      </c>
      <c r="AM905">
        <v>0</v>
      </c>
      <c r="AN905">
        <v>800</v>
      </c>
      <c r="AO905">
        <v>2</v>
      </c>
      <c r="AQ905" t="s">
        <v>4924</v>
      </c>
      <c r="AR905" t="s">
        <v>5785</v>
      </c>
      <c r="AS905">
        <v>2</v>
      </c>
      <c r="AT905" t="s">
        <v>5835</v>
      </c>
      <c r="AU905">
        <v>2</v>
      </c>
      <c r="AV905">
        <v>0</v>
      </c>
      <c r="AW905">
        <v>56.77</v>
      </c>
      <c r="BA905" t="s">
        <v>329</v>
      </c>
      <c r="BB905" t="s">
        <v>1322</v>
      </c>
      <c r="BC905">
        <v>9600</v>
      </c>
      <c r="BG905" t="s">
        <v>192</v>
      </c>
      <c r="BJ905" t="s">
        <v>5943</v>
      </c>
      <c r="BK905" t="s">
        <v>234</v>
      </c>
    </row>
    <row r="906" spans="1:64">
      <c r="A906" s="1">
        <f>HYPERLINK("https://lsnyc.legalserver.org/matter/dynamic-profile/view/1904656","19-1904656")</f>
        <v>0</v>
      </c>
      <c r="B906" t="s">
        <v>68</v>
      </c>
      <c r="C906" t="s">
        <v>190</v>
      </c>
      <c r="D906" t="s">
        <v>200</v>
      </c>
      <c r="E906" t="s">
        <v>202</v>
      </c>
      <c r="F906" t="s">
        <v>246</v>
      </c>
      <c r="G906" t="s">
        <v>202</v>
      </c>
      <c r="H906" t="s">
        <v>271</v>
      </c>
      <c r="I906" t="s">
        <v>202</v>
      </c>
      <c r="J906" t="s">
        <v>289</v>
      </c>
      <c r="K906" t="s">
        <v>292</v>
      </c>
      <c r="M906" t="s">
        <v>290</v>
      </c>
      <c r="N906" t="s">
        <v>202</v>
      </c>
      <c r="O906" t="s">
        <v>421</v>
      </c>
      <c r="P906" t="s">
        <v>202</v>
      </c>
      <c r="Q906" t="s">
        <v>430</v>
      </c>
      <c r="R906" t="s">
        <v>456</v>
      </c>
      <c r="S906" t="s">
        <v>1139</v>
      </c>
      <c r="T906" t="s">
        <v>1837</v>
      </c>
      <c r="U906" t="s">
        <v>246</v>
      </c>
      <c r="W906" t="s">
        <v>1876</v>
      </c>
      <c r="X906" t="s">
        <v>2737</v>
      </c>
      <c r="Y906" t="s">
        <v>3082</v>
      </c>
      <c r="Z906" t="s">
        <v>3134</v>
      </c>
      <c r="AA906" t="s">
        <v>3135</v>
      </c>
      <c r="AB906">
        <v>10303</v>
      </c>
      <c r="AC906" t="s">
        <v>3139</v>
      </c>
      <c r="AD906" t="s">
        <v>3979</v>
      </c>
      <c r="AE906">
        <v>1</v>
      </c>
      <c r="AG906" t="s">
        <v>4036</v>
      </c>
      <c r="AH906" t="s">
        <v>291</v>
      </c>
      <c r="AI906" t="s">
        <v>291</v>
      </c>
      <c r="AK906" t="s">
        <v>4040</v>
      </c>
      <c r="AL906" t="s">
        <v>4046</v>
      </c>
      <c r="AM906">
        <v>0</v>
      </c>
      <c r="AN906">
        <v>2359</v>
      </c>
      <c r="AO906">
        <v>20.55</v>
      </c>
      <c r="AQ906" t="s">
        <v>4925</v>
      </c>
      <c r="AR906" t="s">
        <v>5786</v>
      </c>
      <c r="AS906">
        <v>2</v>
      </c>
      <c r="AT906" t="s">
        <v>5835</v>
      </c>
      <c r="AU906">
        <v>2</v>
      </c>
      <c r="AV906">
        <v>2</v>
      </c>
      <c r="AW906">
        <v>68.23999999999999</v>
      </c>
      <c r="BA906" t="s">
        <v>5850</v>
      </c>
      <c r="BB906" t="s">
        <v>1322</v>
      </c>
      <c r="BC906">
        <v>17571.6</v>
      </c>
      <c r="BG906" t="s">
        <v>192</v>
      </c>
      <c r="BH906" t="s">
        <v>5930</v>
      </c>
      <c r="BI906" t="s">
        <v>5940</v>
      </c>
      <c r="BJ906" t="s">
        <v>6052</v>
      </c>
      <c r="BK906" t="s">
        <v>236</v>
      </c>
      <c r="BL906" t="s">
        <v>6056</v>
      </c>
    </row>
    <row r="907" spans="1:64">
      <c r="A907" s="1">
        <f>HYPERLINK("https://lsnyc.legalserver.org/matter/dynamic-profile/view/1905025","19-1905025")</f>
        <v>0</v>
      </c>
      <c r="B907" t="s">
        <v>68</v>
      </c>
      <c r="C907" t="s">
        <v>194</v>
      </c>
      <c r="D907" t="s">
        <v>200</v>
      </c>
      <c r="E907" t="s">
        <v>202</v>
      </c>
      <c r="F907" t="s">
        <v>262</v>
      </c>
      <c r="G907" t="s">
        <v>202</v>
      </c>
      <c r="H907" t="s">
        <v>285</v>
      </c>
      <c r="I907" t="s">
        <v>202</v>
      </c>
      <c r="J907" t="s">
        <v>289</v>
      </c>
      <c r="K907" t="s">
        <v>292</v>
      </c>
      <c r="M907" t="s">
        <v>290</v>
      </c>
      <c r="N907" t="s">
        <v>202</v>
      </c>
      <c r="O907" t="s">
        <v>424</v>
      </c>
      <c r="P907" t="s">
        <v>202</v>
      </c>
      <c r="Q907" t="s">
        <v>430</v>
      </c>
      <c r="R907" t="s">
        <v>457</v>
      </c>
      <c r="S907" t="s">
        <v>1140</v>
      </c>
      <c r="T907" t="s">
        <v>1838</v>
      </c>
      <c r="U907" t="s">
        <v>262</v>
      </c>
      <c r="W907" t="s">
        <v>1876</v>
      </c>
      <c r="X907" t="s">
        <v>2738</v>
      </c>
      <c r="Y907" t="s">
        <v>2903</v>
      </c>
      <c r="Z907" t="s">
        <v>3134</v>
      </c>
      <c r="AA907" t="s">
        <v>3135</v>
      </c>
      <c r="AB907">
        <v>10314</v>
      </c>
      <c r="AC907" t="s">
        <v>3145</v>
      </c>
      <c r="AE907">
        <v>18</v>
      </c>
      <c r="AG907" t="s">
        <v>4037</v>
      </c>
      <c r="AH907" t="s">
        <v>291</v>
      </c>
      <c r="AI907" t="s">
        <v>291</v>
      </c>
      <c r="AK907" t="s">
        <v>4041</v>
      </c>
      <c r="AM907">
        <v>0</v>
      </c>
      <c r="AN907">
        <v>1149.6</v>
      </c>
      <c r="AO907">
        <v>2.8</v>
      </c>
      <c r="AQ907" t="s">
        <v>4426</v>
      </c>
      <c r="AR907" t="s">
        <v>5787</v>
      </c>
      <c r="AS907">
        <v>504</v>
      </c>
      <c r="AT907" t="s">
        <v>5841</v>
      </c>
      <c r="AU907">
        <v>3</v>
      </c>
      <c r="AV907">
        <v>1</v>
      </c>
      <c r="AW907">
        <v>181.75</v>
      </c>
      <c r="BA907" t="s">
        <v>329</v>
      </c>
      <c r="BB907" t="s">
        <v>1322</v>
      </c>
      <c r="BC907">
        <v>46800</v>
      </c>
      <c r="BG907" t="s">
        <v>194</v>
      </c>
      <c r="BI907" t="s">
        <v>3143</v>
      </c>
      <c r="BJ907" t="s">
        <v>5949</v>
      </c>
      <c r="BK907" t="s">
        <v>266</v>
      </c>
      <c r="BL907" t="s">
        <v>6056</v>
      </c>
    </row>
    <row r="908" spans="1:64">
      <c r="A908" s="1">
        <f>HYPERLINK("https://lsnyc.legalserver.org/matter/dynamic-profile/view/1909933","19-1909933")</f>
        <v>0</v>
      </c>
      <c r="B908" t="s">
        <v>68</v>
      </c>
      <c r="C908" t="s">
        <v>191</v>
      </c>
      <c r="D908" t="s">
        <v>200</v>
      </c>
      <c r="E908" t="s">
        <v>202</v>
      </c>
      <c r="F908" t="s">
        <v>243</v>
      </c>
      <c r="G908" t="s">
        <v>202</v>
      </c>
      <c r="H908" t="s">
        <v>272</v>
      </c>
      <c r="I908" t="s">
        <v>202</v>
      </c>
      <c r="J908" t="s">
        <v>289</v>
      </c>
      <c r="K908" t="s">
        <v>292</v>
      </c>
      <c r="M908" t="s">
        <v>290</v>
      </c>
      <c r="N908" t="s">
        <v>202</v>
      </c>
      <c r="O908" t="s">
        <v>421</v>
      </c>
      <c r="P908" t="s">
        <v>427</v>
      </c>
      <c r="S908" t="s">
        <v>1141</v>
      </c>
      <c r="T908" t="s">
        <v>1496</v>
      </c>
      <c r="U908" t="s">
        <v>243</v>
      </c>
      <c r="W908" t="s">
        <v>1876</v>
      </c>
      <c r="X908" t="s">
        <v>2739</v>
      </c>
      <c r="Y908" t="s">
        <v>3084</v>
      </c>
      <c r="Z908" t="s">
        <v>3134</v>
      </c>
      <c r="AA908" t="s">
        <v>3135</v>
      </c>
      <c r="AB908">
        <v>10303</v>
      </c>
      <c r="AC908" t="s">
        <v>3139</v>
      </c>
      <c r="AD908" t="s">
        <v>3980</v>
      </c>
      <c r="AE908">
        <v>8</v>
      </c>
      <c r="AG908" t="s">
        <v>4036</v>
      </c>
      <c r="AH908" t="s">
        <v>291</v>
      </c>
      <c r="AI908" t="s">
        <v>291</v>
      </c>
      <c r="AK908" t="s">
        <v>4045</v>
      </c>
      <c r="AL908" t="s">
        <v>4046</v>
      </c>
      <c r="AM908">
        <v>0</v>
      </c>
      <c r="AN908">
        <v>275</v>
      </c>
      <c r="AO908">
        <v>0.35</v>
      </c>
      <c r="AQ908" t="s">
        <v>4926</v>
      </c>
      <c r="AR908" t="s">
        <v>5788</v>
      </c>
      <c r="AS908">
        <v>0</v>
      </c>
      <c r="AT908" t="s">
        <v>5840</v>
      </c>
      <c r="AU908">
        <v>1</v>
      </c>
      <c r="AV908">
        <v>0</v>
      </c>
      <c r="AW908">
        <v>91.18000000000001</v>
      </c>
      <c r="BA908" t="s">
        <v>5850</v>
      </c>
      <c r="BB908" t="s">
        <v>1322</v>
      </c>
      <c r="BC908">
        <v>11388</v>
      </c>
      <c r="BG908" t="s">
        <v>5925</v>
      </c>
      <c r="BJ908" t="s">
        <v>5943</v>
      </c>
      <c r="BK908" t="s">
        <v>206</v>
      </c>
      <c r="BL908" t="s">
        <v>6056</v>
      </c>
    </row>
    <row r="909" spans="1:64">
      <c r="A909" s="1">
        <f>HYPERLINK("https://lsnyc.legalserver.org/matter/dynamic-profile/view/1907435","19-1907435")</f>
        <v>0</v>
      </c>
      <c r="B909" t="s">
        <v>68</v>
      </c>
      <c r="C909" t="s">
        <v>191</v>
      </c>
      <c r="D909" t="s">
        <v>200</v>
      </c>
      <c r="E909" t="s">
        <v>202</v>
      </c>
      <c r="F909" t="s">
        <v>220</v>
      </c>
      <c r="G909" t="s">
        <v>202</v>
      </c>
      <c r="H909" t="s">
        <v>271</v>
      </c>
      <c r="I909" t="s">
        <v>202</v>
      </c>
      <c r="J909" t="s">
        <v>289</v>
      </c>
      <c r="K909" t="s">
        <v>292</v>
      </c>
      <c r="M909" t="s">
        <v>290</v>
      </c>
      <c r="N909" t="s">
        <v>419</v>
      </c>
      <c r="P909" t="s">
        <v>427</v>
      </c>
      <c r="S909" t="s">
        <v>1142</v>
      </c>
      <c r="T909" t="s">
        <v>1839</v>
      </c>
      <c r="U909" t="s">
        <v>220</v>
      </c>
      <c r="W909" t="s">
        <v>1876</v>
      </c>
      <c r="X909" t="s">
        <v>2740</v>
      </c>
      <c r="Y909" t="s">
        <v>2782</v>
      </c>
      <c r="Z909" t="s">
        <v>3134</v>
      </c>
      <c r="AA909" t="s">
        <v>3135</v>
      </c>
      <c r="AB909">
        <v>10314</v>
      </c>
      <c r="AC909" t="s">
        <v>3139</v>
      </c>
      <c r="AD909" t="s">
        <v>3981</v>
      </c>
      <c r="AE909">
        <v>1</v>
      </c>
      <c r="AG909" t="s">
        <v>4036</v>
      </c>
      <c r="AH909" t="s">
        <v>291</v>
      </c>
      <c r="AI909" t="s">
        <v>291</v>
      </c>
      <c r="AK909" t="s">
        <v>4040</v>
      </c>
      <c r="AL909" t="s">
        <v>4046</v>
      </c>
      <c r="AM909">
        <v>0</v>
      </c>
      <c r="AN909">
        <v>1350</v>
      </c>
      <c r="AO909">
        <v>3.95</v>
      </c>
      <c r="AQ909" t="s">
        <v>4927</v>
      </c>
      <c r="AR909" t="s">
        <v>5789</v>
      </c>
      <c r="AS909">
        <v>2</v>
      </c>
      <c r="AT909" t="s">
        <v>5835</v>
      </c>
      <c r="AU909">
        <v>2</v>
      </c>
      <c r="AV909">
        <v>0</v>
      </c>
      <c r="AW909">
        <v>92.25</v>
      </c>
      <c r="BA909" t="s">
        <v>329</v>
      </c>
      <c r="BB909" t="s">
        <v>1322</v>
      </c>
      <c r="BC909">
        <v>15600</v>
      </c>
      <c r="BG909" t="s">
        <v>192</v>
      </c>
      <c r="BJ909" t="s">
        <v>5951</v>
      </c>
      <c r="BK909" t="s">
        <v>236</v>
      </c>
      <c r="BL909" t="s">
        <v>6056</v>
      </c>
    </row>
    <row r="910" spans="1:64">
      <c r="A910" s="1">
        <f>HYPERLINK("https://lsnyc.legalserver.org/matter/dynamic-profile/view/1909895","19-1909895")</f>
        <v>0</v>
      </c>
      <c r="B910" t="s">
        <v>68</v>
      </c>
      <c r="C910" t="s">
        <v>190</v>
      </c>
      <c r="D910" t="s">
        <v>200</v>
      </c>
      <c r="E910" t="s">
        <v>202</v>
      </c>
      <c r="F910" t="s">
        <v>243</v>
      </c>
      <c r="G910" t="s">
        <v>202</v>
      </c>
      <c r="H910" t="s">
        <v>272</v>
      </c>
      <c r="I910" t="s">
        <v>202</v>
      </c>
      <c r="J910" t="s">
        <v>289</v>
      </c>
      <c r="K910" t="s">
        <v>292</v>
      </c>
      <c r="M910" t="s">
        <v>290</v>
      </c>
      <c r="N910" t="s">
        <v>202</v>
      </c>
      <c r="O910" t="s">
        <v>421</v>
      </c>
      <c r="P910" t="s">
        <v>427</v>
      </c>
      <c r="S910" t="s">
        <v>1143</v>
      </c>
      <c r="T910" t="s">
        <v>1233</v>
      </c>
      <c r="U910" t="s">
        <v>243</v>
      </c>
      <c r="W910" t="s">
        <v>1876</v>
      </c>
      <c r="X910" t="s">
        <v>2739</v>
      </c>
      <c r="Y910" t="s">
        <v>3085</v>
      </c>
      <c r="Z910" t="s">
        <v>3134</v>
      </c>
      <c r="AA910" t="s">
        <v>3135</v>
      </c>
      <c r="AB910">
        <v>10303</v>
      </c>
      <c r="AC910" t="s">
        <v>3139</v>
      </c>
      <c r="AD910" t="s">
        <v>3982</v>
      </c>
      <c r="AE910">
        <v>18</v>
      </c>
      <c r="AG910" t="s">
        <v>4036</v>
      </c>
      <c r="AH910" t="s">
        <v>291</v>
      </c>
      <c r="AI910" t="s">
        <v>291</v>
      </c>
      <c r="AK910" t="s">
        <v>4040</v>
      </c>
      <c r="AL910" t="s">
        <v>4046</v>
      </c>
      <c r="AM910">
        <v>0</v>
      </c>
      <c r="AN910">
        <v>980</v>
      </c>
      <c r="AO910">
        <v>0.5</v>
      </c>
      <c r="AQ910" t="s">
        <v>4928</v>
      </c>
      <c r="AR910" t="s">
        <v>5790</v>
      </c>
      <c r="AS910">
        <v>0</v>
      </c>
      <c r="AT910" t="s">
        <v>5838</v>
      </c>
      <c r="AU910">
        <v>1</v>
      </c>
      <c r="AV910">
        <v>1</v>
      </c>
      <c r="AW910">
        <v>227.56</v>
      </c>
      <c r="AY910" t="s">
        <v>5849</v>
      </c>
      <c r="BA910" t="s">
        <v>5850</v>
      </c>
      <c r="BB910" t="s">
        <v>1322</v>
      </c>
      <c r="BC910">
        <v>38480.04</v>
      </c>
      <c r="BG910" t="s">
        <v>192</v>
      </c>
      <c r="BJ910" t="s">
        <v>5949</v>
      </c>
      <c r="BK910" t="s">
        <v>259</v>
      </c>
      <c r="BL910" t="s">
        <v>6056</v>
      </c>
    </row>
    <row r="911" spans="1:64">
      <c r="A911" s="1">
        <f>HYPERLINK("https://lsnyc.legalserver.org/matter/dynamic-profile/view/1904284","19-1904284")</f>
        <v>0</v>
      </c>
      <c r="B911" t="s">
        <v>68</v>
      </c>
      <c r="C911" t="s">
        <v>195</v>
      </c>
      <c r="D911" t="s">
        <v>200</v>
      </c>
      <c r="E911" t="s">
        <v>202</v>
      </c>
      <c r="F911" t="s">
        <v>233</v>
      </c>
      <c r="G911" t="s">
        <v>202</v>
      </c>
      <c r="H911" t="s">
        <v>272</v>
      </c>
      <c r="I911" t="s">
        <v>202</v>
      </c>
      <c r="J911" t="s">
        <v>289</v>
      </c>
      <c r="K911" t="s">
        <v>292</v>
      </c>
      <c r="M911" t="s">
        <v>290</v>
      </c>
      <c r="N911" t="s">
        <v>202</v>
      </c>
      <c r="O911" t="s">
        <v>421</v>
      </c>
      <c r="P911" t="s">
        <v>427</v>
      </c>
      <c r="S911" t="s">
        <v>686</v>
      </c>
      <c r="T911" t="s">
        <v>1264</v>
      </c>
      <c r="U911" t="s">
        <v>233</v>
      </c>
      <c r="W911" t="s">
        <v>1876</v>
      </c>
      <c r="X911" t="s">
        <v>2741</v>
      </c>
      <c r="Y911" t="s">
        <v>2815</v>
      </c>
      <c r="Z911" t="s">
        <v>3134</v>
      </c>
      <c r="AA911" t="s">
        <v>3135</v>
      </c>
      <c r="AB911">
        <v>10314</v>
      </c>
      <c r="AC911" t="s">
        <v>3139</v>
      </c>
      <c r="AD911" t="s">
        <v>3983</v>
      </c>
      <c r="AE911">
        <v>5</v>
      </c>
      <c r="AG911" t="s">
        <v>4036</v>
      </c>
      <c r="AH911" t="s">
        <v>291</v>
      </c>
      <c r="AI911" t="s">
        <v>291</v>
      </c>
      <c r="AK911" t="s">
        <v>4041</v>
      </c>
      <c r="AL911" t="s">
        <v>4046</v>
      </c>
      <c r="AM911">
        <v>0</v>
      </c>
      <c r="AN911">
        <v>897</v>
      </c>
      <c r="AO911">
        <v>4.2</v>
      </c>
      <c r="AQ911" t="s">
        <v>4929</v>
      </c>
      <c r="AR911" t="s">
        <v>5791</v>
      </c>
      <c r="AS911">
        <v>504</v>
      </c>
      <c r="AT911" t="s">
        <v>5837</v>
      </c>
      <c r="AU911">
        <v>1</v>
      </c>
      <c r="AV911">
        <v>1</v>
      </c>
      <c r="AW911">
        <v>158.95</v>
      </c>
      <c r="BA911" t="s">
        <v>5850</v>
      </c>
      <c r="BB911" t="s">
        <v>1322</v>
      </c>
      <c r="BC911">
        <v>26878.8</v>
      </c>
      <c r="BG911" t="s">
        <v>5925</v>
      </c>
      <c r="BJ911" t="s">
        <v>5949</v>
      </c>
      <c r="BK911" t="s">
        <v>222</v>
      </c>
      <c r="BL911" t="s">
        <v>6056</v>
      </c>
    </row>
    <row r="912" spans="1:64">
      <c r="A912" s="1">
        <f>HYPERLINK("https://lsnyc.legalserver.org/matter/dynamic-profile/view/1908757","19-1908757")</f>
        <v>0</v>
      </c>
      <c r="B912" t="s">
        <v>68</v>
      </c>
      <c r="C912" t="s">
        <v>196</v>
      </c>
      <c r="D912" t="s">
        <v>200</v>
      </c>
      <c r="E912" t="s">
        <v>202</v>
      </c>
      <c r="F912" t="s">
        <v>219</v>
      </c>
      <c r="G912" t="s">
        <v>202</v>
      </c>
      <c r="H912" t="s">
        <v>272</v>
      </c>
      <c r="I912" t="s">
        <v>202</v>
      </c>
      <c r="J912" t="s">
        <v>289</v>
      </c>
      <c r="K912" t="s">
        <v>292</v>
      </c>
      <c r="M912" t="s">
        <v>290</v>
      </c>
      <c r="N912" t="s">
        <v>202</v>
      </c>
      <c r="O912" t="s">
        <v>421</v>
      </c>
      <c r="P912" t="s">
        <v>427</v>
      </c>
      <c r="S912" t="s">
        <v>676</v>
      </c>
      <c r="T912" t="s">
        <v>1840</v>
      </c>
      <c r="U912" t="s">
        <v>219</v>
      </c>
      <c r="W912" t="s">
        <v>1876</v>
      </c>
      <c r="X912" t="s">
        <v>2742</v>
      </c>
      <c r="Y912">
        <v>411</v>
      </c>
      <c r="Z912" t="s">
        <v>3134</v>
      </c>
      <c r="AA912" t="s">
        <v>3135</v>
      </c>
      <c r="AB912">
        <v>10314</v>
      </c>
      <c r="AC912" t="s">
        <v>3139</v>
      </c>
      <c r="AD912" t="s">
        <v>3984</v>
      </c>
      <c r="AE912">
        <v>-1</v>
      </c>
      <c r="AG912" t="s">
        <v>4036</v>
      </c>
      <c r="AH912" t="s">
        <v>291</v>
      </c>
      <c r="AI912" t="s">
        <v>291</v>
      </c>
      <c r="AK912" t="s">
        <v>4040</v>
      </c>
      <c r="AL912" t="s">
        <v>4046</v>
      </c>
      <c r="AM912">
        <v>0</v>
      </c>
      <c r="AN912">
        <v>1490</v>
      </c>
      <c r="AO912">
        <v>0.3</v>
      </c>
      <c r="AQ912" t="s">
        <v>4930</v>
      </c>
      <c r="AR912" t="s">
        <v>5792</v>
      </c>
      <c r="AS912">
        <v>0</v>
      </c>
      <c r="AT912" t="s">
        <v>5838</v>
      </c>
      <c r="AU912">
        <v>1</v>
      </c>
      <c r="AV912">
        <v>0</v>
      </c>
      <c r="AW912">
        <v>17.58</v>
      </c>
      <c r="BA912" t="s">
        <v>5850</v>
      </c>
      <c r="BB912" t="s">
        <v>1322</v>
      </c>
      <c r="BC912">
        <v>2196</v>
      </c>
      <c r="BG912" t="s">
        <v>192</v>
      </c>
      <c r="BJ912" t="s">
        <v>5948</v>
      </c>
      <c r="BK912" t="s">
        <v>259</v>
      </c>
      <c r="BL912" t="s">
        <v>6056</v>
      </c>
    </row>
    <row r="913" spans="1:64">
      <c r="A913" s="1">
        <f>HYPERLINK("https://lsnyc.legalserver.org/matter/dynamic-profile/view/1905535","19-1905535")</f>
        <v>0</v>
      </c>
      <c r="B913" t="s">
        <v>68</v>
      </c>
      <c r="C913" t="s">
        <v>197</v>
      </c>
      <c r="D913" t="s">
        <v>200</v>
      </c>
      <c r="E913" t="s">
        <v>202</v>
      </c>
      <c r="F913" t="s">
        <v>248</v>
      </c>
      <c r="G913" t="s">
        <v>202</v>
      </c>
      <c r="H913" t="s">
        <v>274</v>
      </c>
      <c r="I913" t="s">
        <v>202</v>
      </c>
      <c r="J913" t="s">
        <v>289</v>
      </c>
      <c r="K913" t="s">
        <v>292</v>
      </c>
      <c r="M913" t="s">
        <v>290</v>
      </c>
      <c r="N913" t="s">
        <v>202</v>
      </c>
      <c r="O913" t="s">
        <v>425</v>
      </c>
      <c r="P913" t="s">
        <v>427</v>
      </c>
      <c r="S913" t="s">
        <v>1144</v>
      </c>
      <c r="T913" t="s">
        <v>1204</v>
      </c>
      <c r="U913" t="s">
        <v>254</v>
      </c>
      <c r="W913" t="s">
        <v>1876</v>
      </c>
      <c r="X913" t="s">
        <v>2743</v>
      </c>
      <c r="Y913" t="s">
        <v>3037</v>
      </c>
      <c r="Z913" t="s">
        <v>3134</v>
      </c>
      <c r="AA913" t="s">
        <v>3135</v>
      </c>
      <c r="AB913">
        <v>10304</v>
      </c>
      <c r="AC913" t="s">
        <v>3148</v>
      </c>
      <c r="AD913" t="s">
        <v>3985</v>
      </c>
      <c r="AE913">
        <v>19</v>
      </c>
      <c r="AG913" t="s">
        <v>4037</v>
      </c>
      <c r="AH913" t="s">
        <v>291</v>
      </c>
      <c r="AI913" t="s">
        <v>291</v>
      </c>
      <c r="AK913" t="s">
        <v>4041</v>
      </c>
      <c r="AL913" t="s">
        <v>4046</v>
      </c>
      <c r="AM913">
        <v>0</v>
      </c>
      <c r="AN913">
        <v>697</v>
      </c>
      <c r="AO913">
        <v>6.45</v>
      </c>
      <c r="AQ913" t="s">
        <v>4931</v>
      </c>
      <c r="AR913" t="s">
        <v>5793</v>
      </c>
      <c r="AS913">
        <v>696</v>
      </c>
      <c r="AT913" t="s">
        <v>5837</v>
      </c>
      <c r="AU913">
        <v>1</v>
      </c>
      <c r="AV913">
        <v>0</v>
      </c>
      <c r="AW913">
        <v>212.1</v>
      </c>
      <c r="AX913" t="s">
        <v>228</v>
      </c>
      <c r="AY913" t="s">
        <v>5849</v>
      </c>
      <c r="BA913" t="s">
        <v>329</v>
      </c>
      <c r="BB913" t="s">
        <v>1322</v>
      </c>
      <c r="BC913">
        <v>26491.88</v>
      </c>
      <c r="BG913" t="s">
        <v>192</v>
      </c>
      <c r="BJ913" t="s">
        <v>6033</v>
      </c>
      <c r="BK913" t="s">
        <v>263</v>
      </c>
      <c r="BL913" t="s">
        <v>6056</v>
      </c>
    </row>
    <row r="914" spans="1:64">
      <c r="A914" s="1">
        <f>HYPERLINK("https://lsnyc.legalserver.org/matter/dynamic-profile/view/1909903","19-1909903")</f>
        <v>0</v>
      </c>
      <c r="B914" t="s">
        <v>68</v>
      </c>
      <c r="C914" t="s">
        <v>197</v>
      </c>
      <c r="D914" t="s">
        <v>200</v>
      </c>
      <c r="E914" t="s">
        <v>202</v>
      </c>
      <c r="F914" t="s">
        <v>243</v>
      </c>
      <c r="G914" t="s">
        <v>202</v>
      </c>
      <c r="H914" t="s">
        <v>272</v>
      </c>
      <c r="I914" t="s">
        <v>202</v>
      </c>
      <c r="J914" t="s">
        <v>289</v>
      </c>
      <c r="K914" t="s">
        <v>292</v>
      </c>
      <c r="M914" t="s">
        <v>290</v>
      </c>
      <c r="N914" t="s">
        <v>202</v>
      </c>
      <c r="O914" t="s">
        <v>421</v>
      </c>
      <c r="P914" t="s">
        <v>427</v>
      </c>
      <c r="S914" t="s">
        <v>1145</v>
      </c>
      <c r="T914" t="s">
        <v>1496</v>
      </c>
      <c r="U914" t="s">
        <v>243</v>
      </c>
      <c r="W914" t="s">
        <v>1876</v>
      </c>
      <c r="X914" t="s">
        <v>2727</v>
      </c>
      <c r="Y914" t="s">
        <v>3086</v>
      </c>
      <c r="Z914" t="s">
        <v>3134</v>
      </c>
      <c r="AA914" t="s">
        <v>3135</v>
      </c>
      <c r="AB914">
        <v>10303</v>
      </c>
      <c r="AC914" t="s">
        <v>3139</v>
      </c>
      <c r="AD914" t="s">
        <v>3986</v>
      </c>
      <c r="AE914">
        <v>1</v>
      </c>
      <c r="AG914" t="s">
        <v>4036</v>
      </c>
      <c r="AH914" t="s">
        <v>291</v>
      </c>
      <c r="AI914" t="s">
        <v>291</v>
      </c>
      <c r="AK914" t="s">
        <v>4040</v>
      </c>
      <c r="AL914" t="s">
        <v>4046</v>
      </c>
      <c r="AM914">
        <v>0</v>
      </c>
      <c r="AN914">
        <v>336</v>
      </c>
      <c r="AO914">
        <v>0.35</v>
      </c>
      <c r="AQ914" t="s">
        <v>4932</v>
      </c>
      <c r="AR914" t="s">
        <v>5794</v>
      </c>
      <c r="AS914">
        <v>0</v>
      </c>
      <c r="AT914" t="s">
        <v>5840</v>
      </c>
      <c r="AU914">
        <v>2</v>
      </c>
      <c r="AV914">
        <v>3</v>
      </c>
      <c r="AW914">
        <v>72.22</v>
      </c>
      <c r="BA914" t="s">
        <v>5850</v>
      </c>
      <c r="BB914" t="s">
        <v>1322</v>
      </c>
      <c r="BC914">
        <v>21788.04</v>
      </c>
      <c r="BG914" t="s">
        <v>192</v>
      </c>
      <c r="BJ914" t="s">
        <v>5951</v>
      </c>
      <c r="BK914" t="s">
        <v>259</v>
      </c>
      <c r="BL914" t="s">
        <v>6056</v>
      </c>
    </row>
    <row r="915" spans="1:64">
      <c r="A915" s="1">
        <f>HYPERLINK("https://lsnyc.legalserver.org/matter/dynamic-profile/view/1907739","19-1907739")</f>
        <v>0</v>
      </c>
      <c r="B915" t="s">
        <v>68</v>
      </c>
      <c r="C915" t="s">
        <v>197</v>
      </c>
      <c r="D915" t="s">
        <v>200</v>
      </c>
      <c r="E915" t="s">
        <v>202</v>
      </c>
      <c r="F915" t="s">
        <v>213</v>
      </c>
      <c r="G915" t="s">
        <v>202</v>
      </c>
      <c r="H915" t="s">
        <v>271</v>
      </c>
      <c r="I915" t="s">
        <v>202</v>
      </c>
      <c r="J915" t="s">
        <v>289</v>
      </c>
      <c r="K915" t="s">
        <v>292</v>
      </c>
      <c r="M915" t="s">
        <v>290</v>
      </c>
      <c r="N915" t="s">
        <v>202</v>
      </c>
      <c r="O915" t="s">
        <v>421</v>
      </c>
      <c r="P915" t="s">
        <v>427</v>
      </c>
      <c r="S915" t="s">
        <v>1146</v>
      </c>
      <c r="T915" t="s">
        <v>1841</v>
      </c>
      <c r="U915" t="s">
        <v>213</v>
      </c>
      <c r="W915" t="s">
        <v>1876</v>
      </c>
      <c r="X915" t="s">
        <v>2744</v>
      </c>
      <c r="Y915" t="s">
        <v>3087</v>
      </c>
      <c r="Z915" t="s">
        <v>3134</v>
      </c>
      <c r="AA915" t="s">
        <v>3135</v>
      </c>
      <c r="AB915">
        <v>10303</v>
      </c>
      <c r="AC915" t="s">
        <v>3139</v>
      </c>
      <c r="AD915" t="s">
        <v>3987</v>
      </c>
      <c r="AE915">
        <v>23</v>
      </c>
      <c r="AG915" t="s">
        <v>4036</v>
      </c>
      <c r="AH915" t="s">
        <v>291</v>
      </c>
      <c r="AI915" t="s">
        <v>289</v>
      </c>
      <c r="AK915" t="s">
        <v>4040</v>
      </c>
      <c r="AL915" t="s">
        <v>4046</v>
      </c>
      <c r="AM915">
        <v>0</v>
      </c>
      <c r="AN915">
        <v>0</v>
      </c>
      <c r="AO915">
        <v>2.35</v>
      </c>
      <c r="AQ915" t="s">
        <v>4933</v>
      </c>
      <c r="AR915" t="s">
        <v>5795</v>
      </c>
      <c r="AS915">
        <v>1</v>
      </c>
      <c r="AT915" t="s">
        <v>5835</v>
      </c>
      <c r="AU915">
        <v>3</v>
      </c>
      <c r="AV915">
        <v>0</v>
      </c>
      <c r="AW915">
        <v>264.45</v>
      </c>
      <c r="AY915" t="s">
        <v>5849</v>
      </c>
      <c r="BA915" t="s">
        <v>329</v>
      </c>
      <c r="BB915" t="s">
        <v>1322</v>
      </c>
      <c r="BC915">
        <v>56406.96</v>
      </c>
      <c r="BG915" t="s">
        <v>192</v>
      </c>
      <c r="BJ915" t="s">
        <v>5949</v>
      </c>
      <c r="BK915" t="s">
        <v>243</v>
      </c>
      <c r="BL915" t="s">
        <v>6056</v>
      </c>
    </row>
    <row r="916" spans="1:64">
      <c r="A916" s="1">
        <f>HYPERLINK("https://lsnyc.legalserver.org/matter/dynamic-profile/view/1904241","19-1904241")</f>
        <v>0</v>
      </c>
      <c r="B916" t="s">
        <v>68</v>
      </c>
      <c r="C916" t="s">
        <v>197</v>
      </c>
      <c r="D916" t="s">
        <v>200</v>
      </c>
      <c r="E916" t="s">
        <v>202</v>
      </c>
      <c r="F916" t="s">
        <v>233</v>
      </c>
      <c r="G916" t="s">
        <v>202</v>
      </c>
      <c r="H916" t="s">
        <v>283</v>
      </c>
      <c r="I916" t="s">
        <v>202</v>
      </c>
      <c r="J916" t="s">
        <v>289</v>
      </c>
      <c r="K916" t="s">
        <v>292</v>
      </c>
      <c r="M916" t="s">
        <v>290</v>
      </c>
      <c r="N916" t="s">
        <v>202</v>
      </c>
      <c r="O916" t="s">
        <v>425</v>
      </c>
      <c r="P916" t="s">
        <v>202</v>
      </c>
      <c r="Q916" t="s">
        <v>430</v>
      </c>
      <c r="R916" t="s">
        <v>458</v>
      </c>
      <c r="S916" t="s">
        <v>1147</v>
      </c>
      <c r="T916" t="s">
        <v>1842</v>
      </c>
      <c r="U916" t="s">
        <v>227</v>
      </c>
      <c r="V916" t="s">
        <v>254</v>
      </c>
      <c r="W916" t="s">
        <v>1877</v>
      </c>
      <c r="X916" t="s">
        <v>2724</v>
      </c>
      <c r="Y916" t="s">
        <v>3088</v>
      </c>
      <c r="Z916" t="s">
        <v>3134</v>
      </c>
      <c r="AA916" t="s">
        <v>3135</v>
      </c>
      <c r="AB916">
        <v>10303</v>
      </c>
      <c r="AC916" t="s">
        <v>3140</v>
      </c>
      <c r="AD916" t="s">
        <v>3918</v>
      </c>
      <c r="AE916">
        <v>5</v>
      </c>
      <c r="AF916" t="s">
        <v>4026</v>
      </c>
      <c r="AG916" t="s">
        <v>4037</v>
      </c>
      <c r="AH916" t="s">
        <v>291</v>
      </c>
      <c r="AI916" t="s">
        <v>291</v>
      </c>
      <c r="AK916" t="s">
        <v>4045</v>
      </c>
      <c r="AL916" t="s">
        <v>4046</v>
      </c>
      <c r="AM916">
        <v>0</v>
      </c>
      <c r="AN916">
        <v>1400</v>
      </c>
      <c r="AO916">
        <v>2.3</v>
      </c>
      <c r="AP916" t="s">
        <v>4055</v>
      </c>
      <c r="AQ916" t="s">
        <v>4934</v>
      </c>
      <c r="AR916" t="s">
        <v>5796</v>
      </c>
      <c r="AS916">
        <v>130</v>
      </c>
      <c r="AT916" t="s">
        <v>5840</v>
      </c>
      <c r="AU916">
        <v>1</v>
      </c>
      <c r="AV916">
        <v>2</v>
      </c>
      <c r="AW916">
        <v>149.99</v>
      </c>
      <c r="BA916" t="s">
        <v>5850</v>
      </c>
      <c r="BB916" t="s">
        <v>1322</v>
      </c>
      <c r="BC916">
        <v>31992</v>
      </c>
      <c r="BG916" t="s">
        <v>197</v>
      </c>
      <c r="BH916" t="s">
        <v>5931</v>
      </c>
      <c r="BI916" t="s">
        <v>5938</v>
      </c>
      <c r="BJ916" t="s">
        <v>5949</v>
      </c>
      <c r="BK916" t="s">
        <v>210</v>
      </c>
      <c r="BL916" t="s">
        <v>6056</v>
      </c>
    </row>
    <row r="917" spans="1:64">
      <c r="A917" s="1">
        <f>HYPERLINK("https://lsnyc.legalserver.org/matter/dynamic-profile/view/1904631","19-1904631")</f>
        <v>0</v>
      </c>
      <c r="B917" t="s">
        <v>68</v>
      </c>
      <c r="C917" t="s">
        <v>197</v>
      </c>
      <c r="D917" t="s">
        <v>200</v>
      </c>
      <c r="E917" t="s">
        <v>202</v>
      </c>
      <c r="F917" t="s">
        <v>246</v>
      </c>
      <c r="G917" t="s">
        <v>202</v>
      </c>
      <c r="H917" t="s">
        <v>277</v>
      </c>
      <c r="I917" t="s">
        <v>202</v>
      </c>
      <c r="J917" t="s">
        <v>289</v>
      </c>
      <c r="K917" t="s">
        <v>292</v>
      </c>
      <c r="M917" t="s">
        <v>290</v>
      </c>
      <c r="N917" t="s">
        <v>202</v>
      </c>
      <c r="O917" t="s">
        <v>421</v>
      </c>
      <c r="P917" t="s">
        <v>202</v>
      </c>
      <c r="Q917" t="s">
        <v>431</v>
      </c>
      <c r="R917" t="s">
        <v>459</v>
      </c>
      <c r="S917" t="s">
        <v>1148</v>
      </c>
      <c r="T917" t="s">
        <v>1592</v>
      </c>
      <c r="U917" t="s">
        <v>246</v>
      </c>
      <c r="W917" t="s">
        <v>1876</v>
      </c>
      <c r="X917" t="s">
        <v>2745</v>
      </c>
      <c r="Y917">
        <v>2</v>
      </c>
      <c r="Z917" t="s">
        <v>3134</v>
      </c>
      <c r="AA917" t="s">
        <v>3135</v>
      </c>
      <c r="AB917">
        <v>10303</v>
      </c>
      <c r="AC917" t="s">
        <v>3139</v>
      </c>
      <c r="AD917" t="s">
        <v>3988</v>
      </c>
      <c r="AE917">
        <v>-1</v>
      </c>
      <c r="AG917" t="s">
        <v>4036</v>
      </c>
      <c r="AH917" t="s">
        <v>291</v>
      </c>
      <c r="AI917" t="s">
        <v>291</v>
      </c>
      <c r="AK917" t="s">
        <v>4040</v>
      </c>
      <c r="AL917" t="s">
        <v>4046</v>
      </c>
      <c r="AM917">
        <v>0</v>
      </c>
      <c r="AN917">
        <v>1950</v>
      </c>
      <c r="AO917">
        <v>14.2</v>
      </c>
      <c r="AQ917" t="s">
        <v>4935</v>
      </c>
      <c r="AR917" t="s">
        <v>5797</v>
      </c>
      <c r="AS917">
        <v>2</v>
      </c>
      <c r="AT917" t="s">
        <v>5835</v>
      </c>
      <c r="AU917">
        <v>2</v>
      </c>
      <c r="AV917">
        <v>2</v>
      </c>
      <c r="AW917">
        <v>139.81</v>
      </c>
      <c r="BA917" t="s">
        <v>329</v>
      </c>
      <c r="BB917" t="s">
        <v>1322</v>
      </c>
      <c r="BC917">
        <v>36000</v>
      </c>
      <c r="BG917" t="s">
        <v>192</v>
      </c>
      <c r="BH917" t="s">
        <v>5928</v>
      </c>
      <c r="BI917" t="s">
        <v>5941</v>
      </c>
      <c r="BJ917" t="s">
        <v>5985</v>
      </c>
      <c r="BK917" t="s">
        <v>248</v>
      </c>
      <c r="BL917" t="s">
        <v>6056</v>
      </c>
    </row>
    <row r="918" spans="1:64">
      <c r="A918" s="1">
        <f>HYPERLINK("https://lsnyc.legalserver.org/matter/dynamic-profile/view/1906167","19-1906167")</f>
        <v>0</v>
      </c>
      <c r="B918" t="s">
        <v>68</v>
      </c>
      <c r="C918" t="s">
        <v>197</v>
      </c>
      <c r="D918" t="s">
        <v>200</v>
      </c>
      <c r="E918" t="s">
        <v>201</v>
      </c>
      <c r="G918" t="s">
        <v>202</v>
      </c>
      <c r="H918" t="s">
        <v>271</v>
      </c>
      <c r="I918" t="s">
        <v>202</v>
      </c>
      <c r="J918" t="s">
        <v>289</v>
      </c>
      <c r="K918" t="s">
        <v>292</v>
      </c>
      <c r="M918" t="s">
        <v>290</v>
      </c>
      <c r="N918" t="s">
        <v>202</v>
      </c>
      <c r="O918" t="s">
        <v>421</v>
      </c>
      <c r="P918" t="s">
        <v>427</v>
      </c>
      <c r="S918" t="s">
        <v>1149</v>
      </c>
      <c r="T918" t="s">
        <v>1843</v>
      </c>
      <c r="U918" t="s">
        <v>261</v>
      </c>
      <c r="W918" t="s">
        <v>1876</v>
      </c>
      <c r="X918" t="s">
        <v>2746</v>
      </c>
      <c r="Y918" t="s">
        <v>3089</v>
      </c>
      <c r="Z918" t="s">
        <v>3134</v>
      </c>
      <c r="AA918" t="s">
        <v>3135</v>
      </c>
      <c r="AB918">
        <v>10310</v>
      </c>
      <c r="AC918" t="s">
        <v>3139</v>
      </c>
      <c r="AD918" t="s">
        <v>3989</v>
      </c>
      <c r="AE918">
        <v>5</v>
      </c>
      <c r="AG918" t="s">
        <v>4036</v>
      </c>
      <c r="AH918" t="s">
        <v>291</v>
      </c>
      <c r="AI918" t="s">
        <v>291</v>
      </c>
      <c r="AK918" t="s">
        <v>4040</v>
      </c>
      <c r="AL918" t="s">
        <v>4046</v>
      </c>
      <c r="AM918">
        <v>0</v>
      </c>
      <c r="AN918">
        <v>1210</v>
      </c>
      <c r="AO918">
        <v>4.95</v>
      </c>
      <c r="AQ918" t="s">
        <v>4936</v>
      </c>
      <c r="AR918" t="s">
        <v>5798</v>
      </c>
      <c r="AS918">
        <v>2</v>
      </c>
      <c r="AT918" t="s">
        <v>5843</v>
      </c>
      <c r="AU918">
        <v>1</v>
      </c>
      <c r="AV918">
        <v>3</v>
      </c>
      <c r="AW918">
        <v>142.51</v>
      </c>
      <c r="BA918" t="s">
        <v>329</v>
      </c>
      <c r="BB918" t="s">
        <v>1322</v>
      </c>
      <c r="BC918">
        <v>36696</v>
      </c>
      <c r="BG918" t="s">
        <v>194</v>
      </c>
      <c r="BJ918" t="s">
        <v>5969</v>
      </c>
      <c r="BK918" t="s">
        <v>267</v>
      </c>
      <c r="BL918" t="s">
        <v>6056</v>
      </c>
    </row>
    <row r="919" spans="1:64">
      <c r="A919" s="1">
        <f>HYPERLINK("https://lsnyc.legalserver.org/matter/dynamic-profile/view/1909936","19-1909936")</f>
        <v>0</v>
      </c>
      <c r="B919" t="s">
        <v>68</v>
      </c>
      <c r="C919" t="s">
        <v>197</v>
      </c>
      <c r="D919" t="s">
        <v>200</v>
      </c>
      <c r="E919" t="s">
        <v>202</v>
      </c>
      <c r="F919" t="s">
        <v>243</v>
      </c>
      <c r="G919" t="s">
        <v>202</v>
      </c>
      <c r="H919" t="s">
        <v>272</v>
      </c>
      <c r="I919" t="s">
        <v>202</v>
      </c>
      <c r="J919" t="s">
        <v>289</v>
      </c>
      <c r="K919" t="s">
        <v>292</v>
      </c>
      <c r="M919" t="s">
        <v>290</v>
      </c>
      <c r="N919" t="s">
        <v>202</v>
      </c>
      <c r="O919" t="s">
        <v>421</v>
      </c>
      <c r="P919" t="s">
        <v>427</v>
      </c>
      <c r="S919" t="s">
        <v>763</v>
      </c>
      <c r="T919" t="s">
        <v>1217</v>
      </c>
      <c r="U919" t="s">
        <v>243</v>
      </c>
      <c r="W919" t="s">
        <v>1876</v>
      </c>
      <c r="X919" t="s">
        <v>2747</v>
      </c>
      <c r="Y919" t="s">
        <v>3090</v>
      </c>
      <c r="Z919" t="s">
        <v>3134</v>
      </c>
      <c r="AA919" t="s">
        <v>3135</v>
      </c>
      <c r="AB919">
        <v>10306</v>
      </c>
      <c r="AC919" t="s">
        <v>3139</v>
      </c>
      <c r="AD919" t="s">
        <v>3990</v>
      </c>
      <c r="AE919">
        <v>4</v>
      </c>
      <c r="AG919" t="s">
        <v>4037</v>
      </c>
      <c r="AH919" t="s">
        <v>291</v>
      </c>
      <c r="AI919" t="s">
        <v>291</v>
      </c>
      <c r="AK919" t="s">
        <v>4040</v>
      </c>
      <c r="AL919" t="s">
        <v>4046</v>
      </c>
      <c r="AM919">
        <v>0</v>
      </c>
      <c r="AN919">
        <v>1500</v>
      </c>
      <c r="AO919">
        <v>0.65</v>
      </c>
      <c r="AQ919" t="s">
        <v>4937</v>
      </c>
      <c r="AR919" t="s">
        <v>5799</v>
      </c>
      <c r="AS919">
        <v>100</v>
      </c>
      <c r="AT919" t="s">
        <v>5835</v>
      </c>
      <c r="AU919">
        <v>1</v>
      </c>
      <c r="AV919">
        <v>1</v>
      </c>
      <c r="AW919">
        <v>18.45</v>
      </c>
      <c r="BA919" t="s">
        <v>329</v>
      </c>
      <c r="BB919" t="s">
        <v>1322</v>
      </c>
      <c r="BC919">
        <v>3120</v>
      </c>
      <c r="BG919" t="s">
        <v>192</v>
      </c>
      <c r="BJ919" t="s">
        <v>5948</v>
      </c>
      <c r="BK919" t="s">
        <v>259</v>
      </c>
      <c r="BL919" t="s">
        <v>6056</v>
      </c>
    </row>
    <row r="920" spans="1:64">
      <c r="A920" s="1">
        <f>HYPERLINK("https://lsnyc.legalserver.org/matter/dynamic-profile/view/1904471","19-1904471")</f>
        <v>0</v>
      </c>
      <c r="B920" t="s">
        <v>68</v>
      </c>
      <c r="C920" t="s">
        <v>197</v>
      </c>
      <c r="D920" t="s">
        <v>200</v>
      </c>
      <c r="E920" t="s">
        <v>202</v>
      </c>
      <c r="F920" t="s">
        <v>246</v>
      </c>
      <c r="G920" t="s">
        <v>202</v>
      </c>
      <c r="H920" t="s">
        <v>271</v>
      </c>
      <c r="I920" t="s">
        <v>202</v>
      </c>
      <c r="J920" t="s">
        <v>289</v>
      </c>
      <c r="K920" t="s">
        <v>292</v>
      </c>
      <c r="M920" t="s">
        <v>290</v>
      </c>
      <c r="N920" t="s">
        <v>202</v>
      </c>
      <c r="O920" t="s">
        <v>422</v>
      </c>
      <c r="P920" t="s">
        <v>428</v>
      </c>
      <c r="S920" t="s">
        <v>1150</v>
      </c>
      <c r="T920" t="s">
        <v>1844</v>
      </c>
      <c r="U920" t="s">
        <v>246</v>
      </c>
      <c r="V920" t="s">
        <v>258</v>
      </c>
      <c r="W920" t="s">
        <v>1877</v>
      </c>
      <c r="X920" t="s">
        <v>2748</v>
      </c>
      <c r="Y920" t="s">
        <v>2926</v>
      </c>
      <c r="Z920" t="s">
        <v>3134</v>
      </c>
      <c r="AA920" t="s">
        <v>3135</v>
      </c>
      <c r="AB920">
        <v>10306</v>
      </c>
      <c r="AC920" t="s">
        <v>3139</v>
      </c>
      <c r="AD920" t="s">
        <v>3991</v>
      </c>
      <c r="AE920">
        <v>-1</v>
      </c>
      <c r="AF920" t="s">
        <v>4023</v>
      </c>
      <c r="AG920" t="s">
        <v>4037</v>
      </c>
      <c r="AH920" t="s">
        <v>291</v>
      </c>
      <c r="AI920" t="s">
        <v>291</v>
      </c>
      <c r="AK920" t="s">
        <v>4040</v>
      </c>
      <c r="AL920" t="s">
        <v>4046</v>
      </c>
      <c r="AM920">
        <v>0</v>
      </c>
      <c r="AN920">
        <v>600</v>
      </c>
      <c r="AO920">
        <v>1.6</v>
      </c>
      <c r="AP920" t="s">
        <v>4052</v>
      </c>
      <c r="AQ920" t="s">
        <v>4938</v>
      </c>
      <c r="AR920" t="s">
        <v>5800</v>
      </c>
      <c r="AS920">
        <v>70</v>
      </c>
      <c r="AT920" t="s">
        <v>5837</v>
      </c>
      <c r="AU920">
        <v>1</v>
      </c>
      <c r="AV920">
        <v>1</v>
      </c>
      <c r="AW920">
        <v>114.43</v>
      </c>
      <c r="BA920" t="s">
        <v>329</v>
      </c>
      <c r="BB920" t="s">
        <v>1322</v>
      </c>
      <c r="BC920">
        <v>19350</v>
      </c>
      <c r="BG920" t="s">
        <v>192</v>
      </c>
      <c r="BJ920" t="s">
        <v>5949</v>
      </c>
      <c r="BK920" t="s">
        <v>258</v>
      </c>
      <c r="BL920" t="s">
        <v>6056</v>
      </c>
    </row>
    <row r="921" spans="1:64">
      <c r="A921" s="1">
        <f>HYPERLINK("https://lsnyc.legalserver.org/matter/dynamic-profile/view/1907241","19-1907241")</f>
        <v>0</v>
      </c>
      <c r="B921" t="s">
        <v>68</v>
      </c>
      <c r="C921" t="s">
        <v>197</v>
      </c>
      <c r="D921" t="s">
        <v>200</v>
      </c>
      <c r="E921" t="s">
        <v>202</v>
      </c>
      <c r="F921" t="s">
        <v>217</v>
      </c>
      <c r="G921" t="s">
        <v>202</v>
      </c>
      <c r="H921" t="s">
        <v>272</v>
      </c>
      <c r="I921" t="s">
        <v>202</v>
      </c>
      <c r="J921" t="s">
        <v>289</v>
      </c>
      <c r="K921" t="s">
        <v>292</v>
      </c>
      <c r="M921" t="s">
        <v>290</v>
      </c>
      <c r="N921" t="s">
        <v>202</v>
      </c>
      <c r="O921" t="s">
        <v>421</v>
      </c>
      <c r="P921" t="s">
        <v>427</v>
      </c>
      <c r="S921" t="s">
        <v>1151</v>
      </c>
      <c r="T921" t="s">
        <v>1845</v>
      </c>
      <c r="U921" t="s">
        <v>217</v>
      </c>
      <c r="W921" t="s">
        <v>1876</v>
      </c>
      <c r="X921" t="s">
        <v>2749</v>
      </c>
      <c r="Y921" t="s">
        <v>2843</v>
      </c>
      <c r="Z921" t="s">
        <v>3134</v>
      </c>
      <c r="AA921" t="s">
        <v>3135</v>
      </c>
      <c r="AB921">
        <v>10301</v>
      </c>
      <c r="AC921" t="s">
        <v>3138</v>
      </c>
      <c r="AD921" t="s">
        <v>3992</v>
      </c>
      <c r="AE921">
        <v>2</v>
      </c>
      <c r="AG921" t="s">
        <v>4037</v>
      </c>
      <c r="AH921" t="s">
        <v>291</v>
      </c>
      <c r="AI921" t="s">
        <v>291</v>
      </c>
      <c r="AK921" t="s">
        <v>4041</v>
      </c>
      <c r="AL921" t="s">
        <v>4047</v>
      </c>
      <c r="AM921">
        <v>0</v>
      </c>
      <c r="AN921">
        <v>559</v>
      </c>
      <c r="AO921">
        <v>4.35</v>
      </c>
      <c r="AQ921" t="s">
        <v>4939</v>
      </c>
      <c r="AR921" t="s">
        <v>5801</v>
      </c>
      <c r="AS921">
        <v>164</v>
      </c>
      <c r="AT921" t="s">
        <v>5837</v>
      </c>
      <c r="AU921">
        <v>2</v>
      </c>
      <c r="AV921">
        <v>4</v>
      </c>
      <c r="AW921">
        <v>63.83</v>
      </c>
      <c r="BA921" t="s">
        <v>329</v>
      </c>
      <c r="BB921" t="s">
        <v>1322</v>
      </c>
      <c r="BC921">
        <v>22080</v>
      </c>
      <c r="BG921" t="s">
        <v>194</v>
      </c>
      <c r="BJ921" t="s">
        <v>6053</v>
      </c>
      <c r="BK921" t="s">
        <v>266</v>
      </c>
      <c r="BL921" t="s">
        <v>6056</v>
      </c>
    </row>
    <row r="922" spans="1:64">
      <c r="A922" s="1">
        <f>HYPERLINK("https://lsnyc.legalserver.org/matter/dynamic-profile/view/1904258","19-1904258")</f>
        <v>0</v>
      </c>
      <c r="B922" t="s">
        <v>68</v>
      </c>
      <c r="C922" t="s">
        <v>197</v>
      </c>
      <c r="D922" t="s">
        <v>200</v>
      </c>
      <c r="E922" t="s">
        <v>202</v>
      </c>
      <c r="F922" t="s">
        <v>233</v>
      </c>
      <c r="G922" t="s">
        <v>202</v>
      </c>
      <c r="H922" t="s">
        <v>272</v>
      </c>
      <c r="I922" t="s">
        <v>202</v>
      </c>
      <c r="J922" t="s">
        <v>289</v>
      </c>
      <c r="K922" t="s">
        <v>292</v>
      </c>
      <c r="M922" t="s">
        <v>290</v>
      </c>
      <c r="N922" t="s">
        <v>202</v>
      </c>
      <c r="O922" t="s">
        <v>421</v>
      </c>
      <c r="P922" t="s">
        <v>427</v>
      </c>
      <c r="S922" t="s">
        <v>1152</v>
      </c>
      <c r="T922" t="s">
        <v>1611</v>
      </c>
      <c r="U922" t="s">
        <v>233</v>
      </c>
      <c r="W922" t="s">
        <v>1876</v>
      </c>
      <c r="X922" t="s">
        <v>2750</v>
      </c>
      <c r="Y922" t="s">
        <v>2812</v>
      </c>
      <c r="Z922" t="s">
        <v>3134</v>
      </c>
      <c r="AA922" t="s">
        <v>3135</v>
      </c>
      <c r="AB922">
        <v>10303</v>
      </c>
      <c r="AC922" t="s">
        <v>3139</v>
      </c>
      <c r="AD922" t="s">
        <v>3993</v>
      </c>
      <c r="AE922">
        <v>12</v>
      </c>
      <c r="AG922" t="s">
        <v>4036</v>
      </c>
      <c r="AH922" t="s">
        <v>291</v>
      </c>
      <c r="AI922" t="s">
        <v>291</v>
      </c>
      <c r="AK922" t="s">
        <v>4041</v>
      </c>
      <c r="AL922" t="s">
        <v>4049</v>
      </c>
      <c r="AM922">
        <v>0</v>
      </c>
      <c r="AN922">
        <v>400</v>
      </c>
      <c r="AO922">
        <v>3.7</v>
      </c>
      <c r="AQ922" t="s">
        <v>4940</v>
      </c>
      <c r="AR922" t="s">
        <v>5802</v>
      </c>
      <c r="AS922">
        <v>35</v>
      </c>
      <c r="AT922" t="s">
        <v>5837</v>
      </c>
      <c r="AU922">
        <v>1</v>
      </c>
      <c r="AV922">
        <v>2</v>
      </c>
      <c r="AW922">
        <v>146.27</v>
      </c>
      <c r="BA922" t="s">
        <v>5850</v>
      </c>
      <c r="BB922" t="s">
        <v>1322</v>
      </c>
      <c r="BC922">
        <v>31200</v>
      </c>
      <c r="BG922" t="s">
        <v>5925</v>
      </c>
      <c r="BJ922" t="s">
        <v>5949</v>
      </c>
      <c r="BK922" t="s">
        <v>263</v>
      </c>
      <c r="BL922" t="s">
        <v>6056</v>
      </c>
    </row>
    <row r="923" spans="1:64">
      <c r="A923" s="1">
        <f>HYPERLINK("https://lsnyc.legalserver.org/matter/dynamic-profile/view/1906151","19-1906151")</f>
        <v>0</v>
      </c>
      <c r="B923" t="s">
        <v>68</v>
      </c>
      <c r="C923" t="s">
        <v>195</v>
      </c>
      <c r="D923" t="s">
        <v>200</v>
      </c>
      <c r="E923" t="s">
        <v>202</v>
      </c>
      <c r="F923" t="s">
        <v>261</v>
      </c>
      <c r="G923" t="s">
        <v>202</v>
      </c>
      <c r="H923" t="s">
        <v>271</v>
      </c>
      <c r="I923" t="s">
        <v>202</v>
      </c>
      <c r="J923" t="s">
        <v>289</v>
      </c>
      <c r="K923" t="s">
        <v>292</v>
      </c>
      <c r="M923" t="s">
        <v>290</v>
      </c>
      <c r="N923" t="s">
        <v>202</v>
      </c>
      <c r="O923" t="s">
        <v>421</v>
      </c>
      <c r="P923" t="s">
        <v>427</v>
      </c>
      <c r="S923" t="s">
        <v>468</v>
      </c>
      <c r="T923" t="s">
        <v>1846</v>
      </c>
      <c r="U923" t="s">
        <v>261</v>
      </c>
      <c r="W923" t="s">
        <v>1876</v>
      </c>
      <c r="X923" t="s">
        <v>2751</v>
      </c>
      <c r="Y923" t="s">
        <v>3091</v>
      </c>
      <c r="Z923" t="s">
        <v>3134</v>
      </c>
      <c r="AA923" t="s">
        <v>3135</v>
      </c>
      <c r="AB923">
        <v>10303</v>
      </c>
      <c r="AC923" t="s">
        <v>3139</v>
      </c>
      <c r="AD923" t="s">
        <v>3994</v>
      </c>
      <c r="AE923">
        <v>5</v>
      </c>
      <c r="AG923" t="s">
        <v>4036</v>
      </c>
      <c r="AH923" t="s">
        <v>291</v>
      </c>
      <c r="AI923" t="s">
        <v>291</v>
      </c>
      <c r="AK923" t="s">
        <v>4040</v>
      </c>
      <c r="AL923" t="s">
        <v>4046</v>
      </c>
      <c r="AM923">
        <v>0</v>
      </c>
      <c r="AN923">
        <v>1192</v>
      </c>
      <c r="AO923">
        <v>4.8</v>
      </c>
      <c r="AQ923" t="s">
        <v>4941</v>
      </c>
      <c r="AR923" t="s">
        <v>5803</v>
      </c>
      <c r="AS923">
        <v>2</v>
      </c>
      <c r="AT923" t="s">
        <v>5835</v>
      </c>
      <c r="AU923">
        <v>1</v>
      </c>
      <c r="AV923">
        <v>0</v>
      </c>
      <c r="AW923">
        <v>76.08</v>
      </c>
      <c r="BA923" t="s">
        <v>5850</v>
      </c>
      <c r="BB923" t="s">
        <v>1322</v>
      </c>
      <c r="BC923">
        <v>9502.799999999999</v>
      </c>
      <c r="BG923" t="s">
        <v>192</v>
      </c>
      <c r="BJ923" t="s">
        <v>6052</v>
      </c>
      <c r="BK923" t="s">
        <v>222</v>
      </c>
      <c r="BL923" t="s">
        <v>6056</v>
      </c>
    </row>
    <row r="924" spans="1:64">
      <c r="A924" s="1">
        <f>HYPERLINK("https://lsnyc.legalserver.org/matter/dynamic-profile/view/1903291","19-1903291")</f>
        <v>0</v>
      </c>
      <c r="B924" t="s">
        <v>68</v>
      </c>
      <c r="C924" t="s">
        <v>195</v>
      </c>
      <c r="D924" t="s">
        <v>200</v>
      </c>
      <c r="E924" t="s">
        <v>202</v>
      </c>
      <c r="F924" t="s">
        <v>251</v>
      </c>
      <c r="G924" t="s">
        <v>202</v>
      </c>
      <c r="H924" t="s">
        <v>271</v>
      </c>
      <c r="I924" t="s">
        <v>202</v>
      </c>
      <c r="J924" t="s">
        <v>289</v>
      </c>
      <c r="K924" t="s">
        <v>292</v>
      </c>
      <c r="M924" t="s">
        <v>290</v>
      </c>
      <c r="N924" t="s">
        <v>202</v>
      </c>
      <c r="O924" t="s">
        <v>421</v>
      </c>
      <c r="P924" t="s">
        <v>202</v>
      </c>
      <c r="Q924" t="s">
        <v>431</v>
      </c>
      <c r="R924" t="s">
        <v>460</v>
      </c>
      <c r="S924" t="s">
        <v>1153</v>
      </c>
      <c r="T924" t="s">
        <v>1255</v>
      </c>
      <c r="U924" t="s">
        <v>251</v>
      </c>
      <c r="V924" t="s">
        <v>220</v>
      </c>
      <c r="W924" t="s">
        <v>1877</v>
      </c>
      <c r="X924" t="s">
        <v>2752</v>
      </c>
      <c r="Y924" t="s">
        <v>2781</v>
      </c>
      <c r="Z924" t="s">
        <v>3134</v>
      </c>
      <c r="AA924" t="s">
        <v>3135</v>
      </c>
      <c r="AB924">
        <v>10307</v>
      </c>
      <c r="AC924" t="s">
        <v>3140</v>
      </c>
      <c r="AD924" t="s">
        <v>3995</v>
      </c>
      <c r="AE924">
        <v>6</v>
      </c>
      <c r="AF924" t="s">
        <v>4024</v>
      </c>
      <c r="AG924" t="s">
        <v>4037</v>
      </c>
      <c r="AH924" t="s">
        <v>291</v>
      </c>
      <c r="AI924" t="s">
        <v>291</v>
      </c>
      <c r="AK924" t="s">
        <v>4040</v>
      </c>
      <c r="AL924" t="s">
        <v>4046</v>
      </c>
      <c r="AM924">
        <v>0</v>
      </c>
      <c r="AN924">
        <v>750</v>
      </c>
      <c r="AO924">
        <v>4.7</v>
      </c>
      <c r="AP924" t="s">
        <v>4056</v>
      </c>
      <c r="AQ924" t="s">
        <v>4942</v>
      </c>
      <c r="AR924" t="s">
        <v>5804</v>
      </c>
      <c r="AS924">
        <v>2</v>
      </c>
      <c r="AT924" t="s">
        <v>5835</v>
      </c>
      <c r="AU924">
        <v>1</v>
      </c>
      <c r="AV924">
        <v>0</v>
      </c>
      <c r="AW924">
        <v>99.34</v>
      </c>
      <c r="BA924" t="s">
        <v>329</v>
      </c>
      <c r="BB924" t="s">
        <v>1322</v>
      </c>
      <c r="BC924">
        <v>12408</v>
      </c>
      <c r="BG924" t="s">
        <v>192</v>
      </c>
      <c r="BH924" t="s">
        <v>5930</v>
      </c>
      <c r="BJ924" t="s">
        <v>5942</v>
      </c>
      <c r="BK924" t="s">
        <v>235</v>
      </c>
      <c r="BL924" t="s">
        <v>6056</v>
      </c>
    </row>
    <row r="925" spans="1:64">
      <c r="A925" s="1">
        <f>HYPERLINK("https://lsnyc.legalserver.org/matter/dynamic-profile/view/1903641","19-1903641")</f>
        <v>0</v>
      </c>
      <c r="B925" t="s">
        <v>68</v>
      </c>
      <c r="C925" t="s">
        <v>195</v>
      </c>
      <c r="D925" t="s">
        <v>200</v>
      </c>
      <c r="E925" t="s">
        <v>202</v>
      </c>
      <c r="F925" t="s">
        <v>204</v>
      </c>
      <c r="G925" t="s">
        <v>202</v>
      </c>
      <c r="H925" t="s">
        <v>272</v>
      </c>
      <c r="I925" t="s">
        <v>288</v>
      </c>
      <c r="J925" t="s">
        <v>290</v>
      </c>
      <c r="K925" t="s">
        <v>292</v>
      </c>
      <c r="M925" t="s">
        <v>290</v>
      </c>
      <c r="N925" t="s">
        <v>202</v>
      </c>
      <c r="O925" t="s">
        <v>421</v>
      </c>
      <c r="P925" t="s">
        <v>427</v>
      </c>
      <c r="S925" t="s">
        <v>1154</v>
      </c>
      <c r="T925" t="s">
        <v>1847</v>
      </c>
      <c r="U925" t="s">
        <v>214</v>
      </c>
      <c r="W925" t="s">
        <v>1876</v>
      </c>
      <c r="X925" t="s">
        <v>2753</v>
      </c>
      <c r="Y925">
        <v>2</v>
      </c>
      <c r="Z925" t="s">
        <v>3134</v>
      </c>
      <c r="AA925" t="s">
        <v>3135</v>
      </c>
      <c r="AB925">
        <v>10309</v>
      </c>
      <c r="AC925" t="s">
        <v>3140</v>
      </c>
      <c r="AD925" t="s">
        <v>3996</v>
      </c>
      <c r="AE925">
        <v>2</v>
      </c>
      <c r="AG925" t="s">
        <v>4037</v>
      </c>
      <c r="AH925" t="s">
        <v>291</v>
      </c>
      <c r="AI925" t="s">
        <v>291</v>
      </c>
      <c r="AK925" t="s">
        <v>4040</v>
      </c>
      <c r="AL925" t="s">
        <v>4046</v>
      </c>
      <c r="AM925">
        <v>0</v>
      </c>
      <c r="AN925">
        <v>1450</v>
      </c>
      <c r="AO925">
        <v>4.3</v>
      </c>
      <c r="AQ925" t="s">
        <v>4943</v>
      </c>
      <c r="AR925" t="s">
        <v>5805</v>
      </c>
      <c r="AS925">
        <v>2</v>
      </c>
      <c r="AT925" t="s">
        <v>5835</v>
      </c>
      <c r="AU925">
        <v>2</v>
      </c>
      <c r="AV925">
        <v>2</v>
      </c>
      <c r="AW925">
        <v>152.3</v>
      </c>
      <c r="BA925" t="s">
        <v>329</v>
      </c>
      <c r="BB925" t="s">
        <v>1322</v>
      </c>
      <c r="BC925">
        <v>39217</v>
      </c>
      <c r="BG925" t="s">
        <v>192</v>
      </c>
      <c r="BJ925" t="s">
        <v>6054</v>
      </c>
      <c r="BK925" t="s">
        <v>235</v>
      </c>
      <c r="BL925" t="s">
        <v>6056</v>
      </c>
    </row>
    <row r="926" spans="1:64">
      <c r="A926" s="1">
        <f>HYPERLINK("https://lsnyc.legalserver.org/matter/dynamic-profile/view/1908018","19-1908018")</f>
        <v>0</v>
      </c>
      <c r="B926" t="s">
        <v>68</v>
      </c>
      <c r="C926" t="s">
        <v>195</v>
      </c>
      <c r="D926" t="s">
        <v>200</v>
      </c>
      <c r="E926" t="s">
        <v>202</v>
      </c>
      <c r="F926" t="s">
        <v>221</v>
      </c>
      <c r="G926" t="s">
        <v>202</v>
      </c>
      <c r="H926" t="s">
        <v>272</v>
      </c>
      <c r="I926" t="s">
        <v>202</v>
      </c>
      <c r="J926" t="s">
        <v>289</v>
      </c>
      <c r="K926" t="s">
        <v>292</v>
      </c>
      <c r="M926" t="s">
        <v>290</v>
      </c>
      <c r="N926" t="s">
        <v>202</v>
      </c>
      <c r="O926" t="s">
        <v>421</v>
      </c>
      <c r="P926" t="s">
        <v>427</v>
      </c>
      <c r="S926" t="s">
        <v>541</v>
      </c>
      <c r="T926" t="s">
        <v>1848</v>
      </c>
      <c r="U926" t="s">
        <v>221</v>
      </c>
      <c r="W926" t="s">
        <v>1876</v>
      </c>
      <c r="X926" t="s">
        <v>2754</v>
      </c>
      <c r="Y926" t="s">
        <v>2782</v>
      </c>
      <c r="Z926" t="s">
        <v>3134</v>
      </c>
      <c r="AA926" t="s">
        <v>3135</v>
      </c>
      <c r="AB926">
        <v>10314</v>
      </c>
      <c r="AC926" t="s">
        <v>3140</v>
      </c>
      <c r="AD926" t="s">
        <v>3997</v>
      </c>
      <c r="AE926">
        <v>1</v>
      </c>
      <c r="AG926" t="s">
        <v>4036</v>
      </c>
      <c r="AH926" t="s">
        <v>291</v>
      </c>
      <c r="AI926" t="s">
        <v>291</v>
      </c>
      <c r="AK926" t="s">
        <v>4040</v>
      </c>
      <c r="AL926" t="s">
        <v>4046</v>
      </c>
      <c r="AM926">
        <v>0</v>
      </c>
      <c r="AN926">
        <v>1700</v>
      </c>
      <c r="AO926">
        <v>2.7</v>
      </c>
      <c r="AQ926" t="s">
        <v>4944</v>
      </c>
      <c r="AR926" t="s">
        <v>5806</v>
      </c>
      <c r="AS926">
        <v>2</v>
      </c>
      <c r="AT926" t="s">
        <v>5835</v>
      </c>
      <c r="AU926">
        <v>2</v>
      </c>
      <c r="AV926">
        <v>2</v>
      </c>
      <c r="AW926">
        <v>128.74</v>
      </c>
      <c r="BA926" t="s">
        <v>329</v>
      </c>
      <c r="BB926" t="s">
        <v>1322</v>
      </c>
      <c r="BC926">
        <v>33150</v>
      </c>
      <c r="BG926" t="s">
        <v>192</v>
      </c>
      <c r="BJ926" t="s">
        <v>5949</v>
      </c>
      <c r="BK926" t="s">
        <v>267</v>
      </c>
      <c r="BL926" t="s">
        <v>6056</v>
      </c>
    </row>
    <row r="927" spans="1:64">
      <c r="A927" s="1">
        <f>HYPERLINK("https://lsnyc.legalserver.org/matter/dynamic-profile/view/1906164","19-1906164")</f>
        <v>0</v>
      </c>
      <c r="B927" t="s">
        <v>68</v>
      </c>
      <c r="C927" t="s">
        <v>195</v>
      </c>
      <c r="D927" t="s">
        <v>200</v>
      </c>
      <c r="E927" t="s">
        <v>202</v>
      </c>
      <c r="F927" t="s">
        <v>261</v>
      </c>
      <c r="G927" t="s">
        <v>202</v>
      </c>
      <c r="H927" t="s">
        <v>272</v>
      </c>
      <c r="I927" t="s">
        <v>202</v>
      </c>
      <c r="J927" t="s">
        <v>289</v>
      </c>
      <c r="K927" t="s">
        <v>292</v>
      </c>
      <c r="M927" t="s">
        <v>290</v>
      </c>
      <c r="N927" t="s">
        <v>202</v>
      </c>
      <c r="O927" t="s">
        <v>421</v>
      </c>
      <c r="P927" t="s">
        <v>202</v>
      </c>
      <c r="Q927" t="s">
        <v>430</v>
      </c>
      <c r="R927" t="s">
        <v>461</v>
      </c>
      <c r="S927" t="s">
        <v>697</v>
      </c>
      <c r="T927" t="s">
        <v>1849</v>
      </c>
      <c r="U927" t="s">
        <v>261</v>
      </c>
      <c r="V927" t="s">
        <v>213</v>
      </c>
      <c r="W927" t="s">
        <v>1877</v>
      </c>
      <c r="X927" t="s">
        <v>2755</v>
      </c>
      <c r="Y927" t="s">
        <v>2806</v>
      </c>
      <c r="Z927" t="s">
        <v>3134</v>
      </c>
      <c r="AA927" t="s">
        <v>3135</v>
      </c>
      <c r="AB927">
        <v>10314</v>
      </c>
      <c r="AC927" t="s">
        <v>3139</v>
      </c>
      <c r="AD927" t="s">
        <v>3998</v>
      </c>
      <c r="AE927">
        <v>7</v>
      </c>
      <c r="AF927" t="s">
        <v>4024</v>
      </c>
      <c r="AG927" t="s">
        <v>4036</v>
      </c>
      <c r="AH927" t="s">
        <v>291</v>
      </c>
      <c r="AI927" t="s">
        <v>291</v>
      </c>
      <c r="AK927" t="s">
        <v>4041</v>
      </c>
      <c r="AL927" t="s">
        <v>4046</v>
      </c>
      <c r="AM927">
        <v>0</v>
      </c>
      <c r="AN927">
        <v>650</v>
      </c>
      <c r="AO927">
        <v>1.8</v>
      </c>
      <c r="AP927" t="s">
        <v>4053</v>
      </c>
      <c r="AQ927" t="s">
        <v>4945</v>
      </c>
      <c r="AR927" t="s">
        <v>5807</v>
      </c>
      <c r="AS927">
        <v>72</v>
      </c>
      <c r="AT927" t="s">
        <v>5840</v>
      </c>
      <c r="AU927">
        <v>1</v>
      </c>
      <c r="AV927">
        <v>1</v>
      </c>
      <c r="AW927">
        <v>182.97</v>
      </c>
      <c r="BA927" t="s">
        <v>329</v>
      </c>
      <c r="BB927" t="s">
        <v>1322</v>
      </c>
      <c r="BC927">
        <v>30939.96</v>
      </c>
      <c r="BG927" t="s">
        <v>192</v>
      </c>
      <c r="BI927" t="s">
        <v>5932</v>
      </c>
      <c r="BJ927" t="s">
        <v>5949</v>
      </c>
      <c r="BK927" t="s">
        <v>213</v>
      </c>
      <c r="BL927" t="s">
        <v>6056</v>
      </c>
    </row>
    <row r="928" spans="1:64">
      <c r="A928" s="1">
        <f>HYPERLINK("https://lsnyc.legalserver.org/matter/dynamic-profile/view/1907970","19-1907970")</f>
        <v>0</v>
      </c>
      <c r="B928" t="s">
        <v>68</v>
      </c>
      <c r="C928" t="s">
        <v>195</v>
      </c>
      <c r="D928" t="s">
        <v>200</v>
      </c>
      <c r="E928" t="s">
        <v>202</v>
      </c>
      <c r="F928" t="s">
        <v>218</v>
      </c>
      <c r="G928" t="s">
        <v>202</v>
      </c>
      <c r="H928" t="s">
        <v>272</v>
      </c>
      <c r="I928" t="s">
        <v>202</v>
      </c>
      <c r="J928" t="s">
        <v>289</v>
      </c>
      <c r="K928" t="s">
        <v>292</v>
      </c>
      <c r="M928" t="s">
        <v>290</v>
      </c>
      <c r="N928" t="s">
        <v>419</v>
      </c>
      <c r="P928" t="s">
        <v>427</v>
      </c>
      <c r="S928" t="s">
        <v>1155</v>
      </c>
      <c r="T928" t="s">
        <v>1850</v>
      </c>
      <c r="U928" t="s">
        <v>252</v>
      </c>
      <c r="W928" t="s">
        <v>1876</v>
      </c>
      <c r="X928" t="s">
        <v>2756</v>
      </c>
      <c r="Z928" t="s">
        <v>3134</v>
      </c>
      <c r="AA928" t="s">
        <v>3135</v>
      </c>
      <c r="AB928">
        <v>10314</v>
      </c>
      <c r="AC928" t="s">
        <v>3141</v>
      </c>
      <c r="AD928" t="s">
        <v>3999</v>
      </c>
      <c r="AE928">
        <v>2</v>
      </c>
      <c r="AG928" t="s">
        <v>4036</v>
      </c>
      <c r="AH928" t="s">
        <v>291</v>
      </c>
      <c r="AI928" t="s">
        <v>291</v>
      </c>
      <c r="AK928" t="s">
        <v>4040</v>
      </c>
      <c r="AL928" t="s">
        <v>4046</v>
      </c>
      <c r="AM928">
        <v>0</v>
      </c>
      <c r="AN928">
        <v>2350</v>
      </c>
      <c r="AO928">
        <v>0.5</v>
      </c>
      <c r="AQ928" t="s">
        <v>4946</v>
      </c>
      <c r="AR928" t="s">
        <v>5808</v>
      </c>
      <c r="AS928">
        <v>1</v>
      </c>
      <c r="AT928" t="s">
        <v>5835</v>
      </c>
      <c r="AU928">
        <v>1</v>
      </c>
      <c r="AV928">
        <v>1</v>
      </c>
      <c r="AW928">
        <v>106.09</v>
      </c>
      <c r="BA928" t="s">
        <v>329</v>
      </c>
      <c r="BB928" t="s">
        <v>1322</v>
      </c>
      <c r="BC928">
        <v>17940</v>
      </c>
      <c r="BG928" t="s">
        <v>192</v>
      </c>
      <c r="BJ928" t="s">
        <v>5946</v>
      </c>
      <c r="BK928" t="s">
        <v>259</v>
      </c>
      <c r="BL928" t="s">
        <v>6056</v>
      </c>
    </row>
    <row r="929" spans="1:64">
      <c r="A929" s="1">
        <f>HYPERLINK("https://lsnyc.legalserver.org/matter/dynamic-profile/view/1909918","19-1909918")</f>
        <v>0</v>
      </c>
      <c r="B929" t="s">
        <v>68</v>
      </c>
      <c r="C929" t="s">
        <v>195</v>
      </c>
      <c r="D929" t="s">
        <v>200</v>
      </c>
      <c r="E929" t="s">
        <v>202</v>
      </c>
      <c r="F929" t="s">
        <v>243</v>
      </c>
      <c r="G929" t="s">
        <v>202</v>
      </c>
      <c r="H929" t="s">
        <v>272</v>
      </c>
      <c r="I929" t="s">
        <v>202</v>
      </c>
      <c r="J929" t="s">
        <v>289</v>
      </c>
      <c r="K929" t="s">
        <v>292</v>
      </c>
      <c r="M929" t="s">
        <v>290</v>
      </c>
      <c r="N929" t="s">
        <v>202</v>
      </c>
      <c r="O929" t="s">
        <v>421</v>
      </c>
      <c r="P929" t="s">
        <v>427</v>
      </c>
      <c r="S929" t="s">
        <v>1156</v>
      </c>
      <c r="T929" t="s">
        <v>1851</v>
      </c>
      <c r="U929" t="s">
        <v>243</v>
      </c>
      <c r="W929" t="s">
        <v>1876</v>
      </c>
      <c r="X929" t="s">
        <v>2757</v>
      </c>
      <c r="Y929" t="s">
        <v>3092</v>
      </c>
      <c r="Z929" t="s">
        <v>3134</v>
      </c>
      <c r="AA929" t="s">
        <v>3135</v>
      </c>
      <c r="AB929">
        <v>10303</v>
      </c>
      <c r="AC929" t="s">
        <v>3139</v>
      </c>
      <c r="AD929" t="s">
        <v>4000</v>
      </c>
      <c r="AE929">
        <v>15</v>
      </c>
      <c r="AG929" t="s">
        <v>4036</v>
      </c>
      <c r="AH929" t="s">
        <v>291</v>
      </c>
      <c r="AI929" t="s">
        <v>291</v>
      </c>
      <c r="AK929" t="s">
        <v>4040</v>
      </c>
      <c r="AL929" t="s">
        <v>4046</v>
      </c>
      <c r="AM929">
        <v>0</v>
      </c>
      <c r="AN929">
        <v>867</v>
      </c>
      <c r="AO929">
        <v>0.35</v>
      </c>
      <c r="AQ929" t="s">
        <v>4947</v>
      </c>
      <c r="AR929" t="s">
        <v>5809</v>
      </c>
      <c r="AS929">
        <v>0</v>
      </c>
      <c r="AT929" t="s">
        <v>5840</v>
      </c>
      <c r="AU929">
        <v>2</v>
      </c>
      <c r="AV929">
        <v>1</v>
      </c>
      <c r="AW929">
        <v>187.53</v>
      </c>
      <c r="BA929" t="s">
        <v>5850</v>
      </c>
      <c r="BB929" t="s">
        <v>1322</v>
      </c>
      <c r="BC929">
        <v>39999.96</v>
      </c>
      <c r="BG929" t="s">
        <v>192</v>
      </c>
      <c r="BJ929" t="s">
        <v>5979</v>
      </c>
      <c r="BK929" t="s">
        <v>259</v>
      </c>
      <c r="BL929" t="s">
        <v>6056</v>
      </c>
    </row>
    <row r="930" spans="1:64">
      <c r="A930" s="1">
        <f>HYPERLINK("https://lsnyc.legalserver.org/matter/dynamic-profile/view/1904279","19-1904279")</f>
        <v>0</v>
      </c>
      <c r="B930" t="s">
        <v>68</v>
      </c>
      <c r="C930" t="s">
        <v>195</v>
      </c>
      <c r="D930" t="s">
        <v>200</v>
      </c>
      <c r="E930" t="s">
        <v>202</v>
      </c>
      <c r="F930" t="s">
        <v>233</v>
      </c>
      <c r="G930" t="s">
        <v>202</v>
      </c>
      <c r="H930" t="s">
        <v>272</v>
      </c>
      <c r="I930" t="s">
        <v>202</v>
      </c>
      <c r="J930" t="s">
        <v>289</v>
      </c>
      <c r="K930" t="s">
        <v>292</v>
      </c>
      <c r="M930" t="s">
        <v>290</v>
      </c>
      <c r="N930" t="s">
        <v>202</v>
      </c>
      <c r="O930" t="s">
        <v>421</v>
      </c>
      <c r="P930" t="s">
        <v>202</v>
      </c>
      <c r="Q930" t="s">
        <v>430</v>
      </c>
      <c r="R930" t="s">
        <v>439</v>
      </c>
      <c r="S930" t="s">
        <v>1157</v>
      </c>
      <c r="T930" t="s">
        <v>1852</v>
      </c>
      <c r="U930" t="s">
        <v>233</v>
      </c>
      <c r="W930" t="s">
        <v>1876</v>
      </c>
      <c r="X930" t="s">
        <v>2758</v>
      </c>
      <c r="Y930" t="s">
        <v>2972</v>
      </c>
      <c r="Z930" t="s">
        <v>3134</v>
      </c>
      <c r="AA930" t="s">
        <v>3135</v>
      </c>
      <c r="AB930">
        <v>10310</v>
      </c>
      <c r="AC930" t="s">
        <v>3139</v>
      </c>
      <c r="AD930" t="s">
        <v>4001</v>
      </c>
      <c r="AE930">
        <v>1</v>
      </c>
      <c r="AG930" t="s">
        <v>4036</v>
      </c>
      <c r="AH930" t="s">
        <v>291</v>
      </c>
      <c r="AI930" t="s">
        <v>291</v>
      </c>
      <c r="AK930" t="s">
        <v>4041</v>
      </c>
      <c r="AL930" t="s">
        <v>4046</v>
      </c>
      <c r="AM930">
        <v>0</v>
      </c>
      <c r="AN930">
        <v>283</v>
      </c>
      <c r="AO930">
        <v>2.3</v>
      </c>
      <c r="AQ930" t="s">
        <v>4948</v>
      </c>
      <c r="AR930" t="s">
        <v>5810</v>
      </c>
      <c r="AS930">
        <v>516</v>
      </c>
      <c r="AT930" t="s">
        <v>5837</v>
      </c>
      <c r="AU930">
        <v>1</v>
      </c>
      <c r="AV930">
        <v>2</v>
      </c>
      <c r="AW930">
        <v>0</v>
      </c>
      <c r="BA930" t="s">
        <v>5850</v>
      </c>
      <c r="BB930" t="s">
        <v>1322</v>
      </c>
      <c r="BC930">
        <v>0</v>
      </c>
      <c r="BG930" t="s">
        <v>5925</v>
      </c>
      <c r="BI930" t="s">
        <v>5932</v>
      </c>
      <c r="BJ930" t="s">
        <v>5945</v>
      </c>
      <c r="BK930" t="s">
        <v>239</v>
      </c>
      <c r="BL930" t="s">
        <v>6056</v>
      </c>
    </row>
    <row r="931" spans="1:64">
      <c r="A931" s="1">
        <f>HYPERLINK("https://lsnyc.legalserver.org/matter/dynamic-profile/view/1905398","19-1905398")</f>
        <v>0</v>
      </c>
      <c r="B931" t="s">
        <v>68</v>
      </c>
      <c r="C931" t="s">
        <v>195</v>
      </c>
      <c r="D931" t="s">
        <v>200</v>
      </c>
      <c r="E931" t="s">
        <v>202</v>
      </c>
      <c r="F931" t="s">
        <v>242</v>
      </c>
      <c r="G931" t="s">
        <v>202</v>
      </c>
      <c r="H931" t="s">
        <v>271</v>
      </c>
      <c r="I931" t="s">
        <v>202</v>
      </c>
      <c r="J931" t="s">
        <v>289</v>
      </c>
      <c r="K931" t="s">
        <v>292</v>
      </c>
      <c r="M931" t="s">
        <v>290</v>
      </c>
      <c r="N931" t="s">
        <v>202</v>
      </c>
      <c r="O931" t="s">
        <v>422</v>
      </c>
      <c r="P931" t="s">
        <v>428</v>
      </c>
      <c r="S931" t="s">
        <v>1158</v>
      </c>
      <c r="T931" t="s">
        <v>1853</v>
      </c>
      <c r="U931" t="s">
        <v>232</v>
      </c>
      <c r="V931" t="s">
        <v>239</v>
      </c>
      <c r="W931" t="s">
        <v>1877</v>
      </c>
      <c r="X931" t="s">
        <v>2759</v>
      </c>
      <c r="Z931" t="s">
        <v>3134</v>
      </c>
      <c r="AA931" t="s">
        <v>3135</v>
      </c>
      <c r="AB931">
        <v>10310</v>
      </c>
      <c r="AC931" t="s">
        <v>3140</v>
      </c>
      <c r="AD931" t="s">
        <v>4002</v>
      </c>
      <c r="AE931">
        <v>21</v>
      </c>
      <c r="AF931" t="s">
        <v>4023</v>
      </c>
      <c r="AG931" t="s">
        <v>4036</v>
      </c>
      <c r="AH931" t="s">
        <v>291</v>
      </c>
      <c r="AI931" t="s">
        <v>291</v>
      </c>
      <c r="AK931" t="s">
        <v>4040</v>
      </c>
      <c r="AL931" t="s">
        <v>4046</v>
      </c>
      <c r="AM931">
        <v>0</v>
      </c>
      <c r="AN931">
        <v>1790</v>
      </c>
      <c r="AO931">
        <v>0.1</v>
      </c>
      <c r="AP931" t="s">
        <v>4052</v>
      </c>
      <c r="AQ931" t="s">
        <v>4949</v>
      </c>
      <c r="AR931" t="s">
        <v>5811</v>
      </c>
      <c r="AS931">
        <v>1</v>
      </c>
      <c r="AT931" t="s">
        <v>5835</v>
      </c>
      <c r="AU931">
        <v>3</v>
      </c>
      <c r="AV931">
        <v>0</v>
      </c>
      <c r="AW931">
        <v>408.81</v>
      </c>
      <c r="BA931" t="s">
        <v>5850</v>
      </c>
      <c r="BB931" t="s">
        <v>1322</v>
      </c>
      <c r="BC931">
        <v>87200</v>
      </c>
      <c r="BG931" t="s">
        <v>192</v>
      </c>
      <c r="BJ931" t="s">
        <v>5949</v>
      </c>
      <c r="BK931" t="s">
        <v>239</v>
      </c>
      <c r="BL931" t="s">
        <v>6056</v>
      </c>
    </row>
    <row r="932" spans="1:64">
      <c r="A932" s="1">
        <f>HYPERLINK("https://lsnyc.legalserver.org/matter/dynamic-profile/view/1909916","19-1909916")</f>
        <v>0</v>
      </c>
      <c r="B932" t="s">
        <v>68</v>
      </c>
      <c r="C932" t="s">
        <v>196</v>
      </c>
      <c r="D932" t="s">
        <v>200</v>
      </c>
      <c r="E932" t="s">
        <v>202</v>
      </c>
      <c r="F932" t="s">
        <v>243</v>
      </c>
      <c r="G932" t="s">
        <v>202</v>
      </c>
      <c r="H932" t="s">
        <v>272</v>
      </c>
      <c r="I932" t="s">
        <v>202</v>
      </c>
      <c r="J932" t="s">
        <v>289</v>
      </c>
      <c r="K932" t="s">
        <v>292</v>
      </c>
      <c r="M932" t="s">
        <v>290</v>
      </c>
      <c r="N932" t="s">
        <v>202</v>
      </c>
      <c r="O932" t="s">
        <v>421</v>
      </c>
      <c r="P932" t="s">
        <v>427</v>
      </c>
      <c r="S932" t="s">
        <v>1159</v>
      </c>
      <c r="T932" t="s">
        <v>1854</v>
      </c>
      <c r="U932" t="s">
        <v>243</v>
      </c>
      <c r="W932" t="s">
        <v>1876</v>
      </c>
      <c r="X932" t="s">
        <v>2727</v>
      </c>
      <c r="Y932" t="s">
        <v>2890</v>
      </c>
      <c r="Z932" t="s">
        <v>3134</v>
      </c>
      <c r="AA932" t="s">
        <v>3135</v>
      </c>
      <c r="AB932">
        <v>10303</v>
      </c>
      <c r="AC932" t="s">
        <v>3139</v>
      </c>
      <c r="AD932" t="s">
        <v>4003</v>
      </c>
      <c r="AE932">
        <v>1</v>
      </c>
      <c r="AG932" t="s">
        <v>4036</v>
      </c>
      <c r="AH932" t="s">
        <v>291</v>
      </c>
      <c r="AI932" t="s">
        <v>291</v>
      </c>
      <c r="AK932" t="s">
        <v>4045</v>
      </c>
      <c r="AL932" t="s">
        <v>4046</v>
      </c>
      <c r="AM932">
        <v>0</v>
      </c>
      <c r="AN932">
        <v>289</v>
      </c>
      <c r="AO932">
        <v>0.5</v>
      </c>
      <c r="AQ932" t="s">
        <v>4950</v>
      </c>
      <c r="AR932" t="s">
        <v>5812</v>
      </c>
      <c r="AS932">
        <v>0</v>
      </c>
      <c r="AT932" t="s">
        <v>5840</v>
      </c>
      <c r="AU932">
        <v>1</v>
      </c>
      <c r="AV932">
        <v>1</v>
      </c>
      <c r="AW932">
        <v>99.94</v>
      </c>
      <c r="BA932" t="s">
        <v>5850</v>
      </c>
      <c r="BB932" t="s">
        <v>1322</v>
      </c>
      <c r="BC932">
        <v>16900</v>
      </c>
      <c r="BG932" t="s">
        <v>5925</v>
      </c>
      <c r="BJ932" t="s">
        <v>5951</v>
      </c>
      <c r="BK932" t="s">
        <v>259</v>
      </c>
      <c r="BL932" t="s">
        <v>6056</v>
      </c>
    </row>
    <row r="933" spans="1:64">
      <c r="A933" s="1">
        <f>HYPERLINK("https://lsnyc.legalserver.org/matter/dynamic-profile/view/1903503","19-1903503")</f>
        <v>0</v>
      </c>
      <c r="B933" t="s">
        <v>68</v>
      </c>
      <c r="C933" t="s">
        <v>197</v>
      </c>
      <c r="D933" t="s">
        <v>200</v>
      </c>
      <c r="E933" t="s">
        <v>202</v>
      </c>
      <c r="F933" t="s">
        <v>229</v>
      </c>
      <c r="G933" t="s">
        <v>202</v>
      </c>
      <c r="H933" t="s">
        <v>271</v>
      </c>
      <c r="I933" t="s">
        <v>202</v>
      </c>
      <c r="J933" t="s">
        <v>289</v>
      </c>
      <c r="K933" t="s">
        <v>292</v>
      </c>
      <c r="M933" t="s">
        <v>290</v>
      </c>
      <c r="N933" t="s">
        <v>202</v>
      </c>
      <c r="O933" t="s">
        <v>421</v>
      </c>
      <c r="P933" t="s">
        <v>427</v>
      </c>
      <c r="S933" t="s">
        <v>883</v>
      </c>
      <c r="T933" t="s">
        <v>1855</v>
      </c>
      <c r="U933" t="s">
        <v>229</v>
      </c>
      <c r="W933" t="s">
        <v>1876</v>
      </c>
      <c r="X933" t="s">
        <v>2760</v>
      </c>
      <c r="Y933" t="s">
        <v>2781</v>
      </c>
      <c r="Z933" t="s">
        <v>3134</v>
      </c>
      <c r="AA933" t="s">
        <v>3135</v>
      </c>
      <c r="AB933">
        <v>10314</v>
      </c>
      <c r="AC933" t="s">
        <v>3141</v>
      </c>
      <c r="AD933" t="s">
        <v>4004</v>
      </c>
      <c r="AE933">
        <v>2</v>
      </c>
      <c r="AG933" t="s">
        <v>4036</v>
      </c>
      <c r="AH933" t="s">
        <v>291</v>
      </c>
      <c r="AI933" t="s">
        <v>291</v>
      </c>
      <c r="AK933" t="s">
        <v>4040</v>
      </c>
      <c r="AL933" t="s">
        <v>4046</v>
      </c>
      <c r="AM933">
        <v>0</v>
      </c>
      <c r="AN933">
        <v>1375</v>
      </c>
      <c r="AO933">
        <v>5.15</v>
      </c>
      <c r="AQ933" t="s">
        <v>4951</v>
      </c>
      <c r="AR933" t="s">
        <v>5813</v>
      </c>
      <c r="AS933">
        <v>2</v>
      </c>
      <c r="AT933" t="s">
        <v>5835</v>
      </c>
      <c r="AU933">
        <v>2</v>
      </c>
      <c r="AV933">
        <v>1</v>
      </c>
      <c r="AW933">
        <v>189.57</v>
      </c>
      <c r="BA933" t="s">
        <v>329</v>
      </c>
      <c r="BB933" t="s">
        <v>1322</v>
      </c>
      <c r="BC933">
        <v>40435.2</v>
      </c>
      <c r="BG933" t="s">
        <v>192</v>
      </c>
      <c r="BJ933" t="s">
        <v>5949</v>
      </c>
      <c r="BK933" t="s">
        <v>216</v>
      </c>
      <c r="BL933" t="s">
        <v>6056</v>
      </c>
    </row>
    <row r="934" spans="1:64">
      <c r="A934" s="1">
        <f>HYPERLINK("https://lsnyc.legalserver.org/matter/dynamic-profile/view/1905824","19-1905824")</f>
        <v>0</v>
      </c>
      <c r="B934" t="s">
        <v>68</v>
      </c>
      <c r="C934" t="s">
        <v>197</v>
      </c>
      <c r="D934" t="s">
        <v>200</v>
      </c>
      <c r="E934" t="s">
        <v>202</v>
      </c>
      <c r="F934" t="s">
        <v>262</v>
      </c>
      <c r="G934" t="s">
        <v>202</v>
      </c>
      <c r="H934" t="s">
        <v>271</v>
      </c>
      <c r="I934" t="s">
        <v>202</v>
      </c>
      <c r="J934" t="s">
        <v>289</v>
      </c>
      <c r="K934" t="s">
        <v>292</v>
      </c>
      <c r="M934" t="s">
        <v>290</v>
      </c>
      <c r="N934" t="s">
        <v>202</v>
      </c>
      <c r="O934" t="s">
        <v>421</v>
      </c>
      <c r="P934" t="s">
        <v>427</v>
      </c>
      <c r="S934" t="s">
        <v>1160</v>
      </c>
      <c r="T934" t="s">
        <v>1856</v>
      </c>
      <c r="U934" t="s">
        <v>262</v>
      </c>
      <c r="W934" t="s">
        <v>1876</v>
      </c>
      <c r="X934" t="s">
        <v>2761</v>
      </c>
      <c r="Y934" t="s">
        <v>2824</v>
      </c>
      <c r="Z934" t="s">
        <v>3134</v>
      </c>
      <c r="AA934" t="s">
        <v>3135</v>
      </c>
      <c r="AB934">
        <v>10302</v>
      </c>
      <c r="AC934" t="s">
        <v>3139</v>
      </c>
      <c r="AD934" t="s">
        <v>4005</v>
      </c>
      <c r="AE934">
        <v>15</v>
      </c>
      <c r="AG934" t="s">
        <v>4036</v>
      </c>
      <c r="AH934" t="s">
        <v>291</v>
      </c>
      <c r="AI934" t="s">
        <v>291</v>
      </c>
      <c r="AK934" t="s">
        <v>4040</v>
      </c>
      <c r="AL934" t="s">
        <v>4046</v>
      </c>
      <c r="AM934">
        <v>0</v>
      </c>
      <c r="AN934">
        <v>1105</v>
      </c>
      <c r="AO934">
        <v>5.8</v>
      </c>
      <c r="AQ934" t="s">
        <v>4952</v>
      </c>
      <c r="AR934" t="s">
        <v>5814</v>
      </c>
      <c r="AS934">
        <v>12</v>
      </c>
      <c r="AT934" t="s">
        <v>5838</v>
      </c>
      <c r="AU934">
        <v>2</v>
      </c>
      <c r="AV934">
        <v>2</v>
      </c>
      <c r="AW934">
        <v>189.83</v>
      </c>
      <c r="BA934" t="s">
        <v>329</v>
      </c>
      <c r="BB934" t="s">
        <v>1322</v>
      </c>
      <c r="BC934">
        <v>48880</v>
      </c>
      <c r="BG934" t="s">
        <v>192</v>
      </c>
      <c r="BJ934" t="s">
        <v>5949</v>
      </c>
      <c r="BK934" t="s">
        <v>247</v>
      </c>
      <c r="BL934" t="s">
        <v>6056</v>
      </c>
    </row>
    <row r="935" spans="1:64">
      <c r="A935" s="1">
        <f>HYPERLINK("https://lsnyc.legalserver.org/matter/dynamic-profile/view/1908727","19-1908727")</f>
        <v>0</v>
      </c>
      <c r="B935" t="s">
        <v>68</v>
      </c>
      <c r="C935" t="s">
        <v>196</v>
      </c>
      <c r="D935" t="s">
        <v>200</v>
      </c>
      <c r="E935" t="s">
        <v>202</v>
      </c>
      <c r="F935" t="s">
        <v>238</v>
      </c>
      <c r="G935" t="s">
        <v>202</v>
      </c>
      <c r="H935" t="s">
        <v>272</v>
      </c>
      <c r="I935" t="s">
        <v>288</v>
      </c>
      <c r="J935" t="s">
        <v>291</v>
      </c>
      <c r="K935" t="s">
        <v>292</v>
      </c>
      <c r="M935" t="s">
        <v>290</v>
      </c>
      <c r="N935" t="s">
        <v>419</v>
      </c>
      <c r="P935" t="s">
        <v>427</v>
      </c>
      <c r="S935" t="s">
        <v>1082</v>
      </c>
      <c r="T935" t="s">
        <v>1857</v>
      </c>
      <c r="U935" t="s">
        <v>238</v>
      </c>
      <c r="W935" t="s">
        <v>1876</v>
      </c>
      <c r="X935" t="s">
        <v>2762</v>
      </c>
      <c r="Z935" t="s">
        <v>3134</v>
      </c>
      <c r="AA935" t="s">
        <v>3135</v>
      </c>
      <c r="AB935">
        <v>10308</v>
      </c>
      <c r="AC935" t="s">
        <v>3144</v>
      </c>
      <c r="AD935" t="s">
        <v>4006</v>
      </c>
      <c r="AE935">
        <v>-1</v>
      </c>
      <c r="AG935" t="s">
        <v>4037</v>
      </c>
      <c r="AH935" t="s">
        <v>291</v>
      </c>
      <c r="AI935" t="s">
        <v>291</v>
      </c>
      <c r="AK935" t="s">
        <v>4040</v>
      </c>
      <c r="AL935" t="s">
        <v>4046</v>
      </c>
      <c r="AM935">
        <v>0</v>
      </c>
      <c r="AN935">
        <v>2200</v>
      </c>
      <c r="AO935">
        <v>10.1</v>
      </c>
      <c r="AQ935" t="s">
        <v>4953</v>
      </c>
      <c r="AR935" t="s">
        <v>5815</v>
      </c>
      <c r="AS935">
        <v>2</v>
      </c>
      <c r="AT935" t="s">
        <v>5835</v>
      </c>
      <c r="AU935">
        <v>3</v>
      </c>
      <c r="AV935">
        <v>3</v>
      </c>
      <c r="AW935">
        <v>124.31</v>
      </c>
      <c r="BA935" t="s">
        <v>5853</v>
      </c>
      <c r="BB935" t="s">
        <v>1322</v>
      </c>
      <c r="BC935">
        <v>43000</v>
      </c>
      <c r="BG935" t="s">
        <v>192</v>
      </c>
      <c r="BJ935" t="s">
        <v>5949</v>
      </c>
      <c r="BK935" t="s">
        <v>267</v>
      </c>
    </row>
    <row r="936" spans="1:64">
      <c r="A936" s="1">
        <f>HYPERLINK("https://lsnyc.legalserver.org/matter/dynamic-profile/view/1908031","19-1908031")</f>
        <v>0</v>
      </c>
      <c r="B936" t="s">
        <v>68</v>
      </c>
      <c r="C936" t="s">
        <v>196</v>
      </c>
      <c r="D936" t="s">
        <v>200</v>
      </c>
      <c r="E936" t="s">
        <v>202</v>
      </c>
      <c r="F936" t="s">
        <v>221</v>
      </c>
      <c r="G936" t="s">
        <v>202</v>
      </c>
      <c r="H936" t="s">
        <v>271</v>
      </c>
      <c r="I936" t="s">
        <v>202</v>
      </c>
      <c r="J936" t="s">
        <v>289</v>
      </c>
      <c r="K936" t="s">
        <v>292</v>
      </c>
      <c r="M936" t="s">
        <v>290</v>
      </c>
      <c r="N936" t="s">
        <v>202</v>
      </c>
      <c r="O936" t="s">
        <v>421</v>
      </c>
      <c r="P936" t="s">
        <v>427</v>
      </c>
      <c r="S936" t="s">
        <v>1161</v>
      </c>
      <c r="T936" t="s">
        <v>1858</v>
      </c>
      <c r="U936" t="s">
        <v>221</v>
      </c>
      <c r="W936" t="s">
        <v>1876</v>
      </c>
      <c r="X936" t="s">
        <v>2763</v>
      </c>
      <c r="Z936" t="s">
        <v>3134</v>
      </c>
      <c r="AA936" t="s">
        <v>3135</v>
      </c>
      <c r="AB936">
        <v>10306</v>
      </c>
      <c r="AC936" t="s">
        <v>3140</v>
      </c>
      <c r="AD936" t="s">
        <v>4007</v>
      </c>
      <c r="AE936">
        <v>2</v>
      </c>
      <c r="AG936" t="s">
        <v>4037</v>
      </c>
      <c r="AH936" t="s">
        <v>291</v>
      </c>
      <c r="AI936" t="s">
        <v>291</v>
      </c>
      <c r="AK936" t="s">
        <v>4040</v>
      </c>
      <c r="AL936" t="s">
        <v>4046</v>
      </c>
      <c r="AM936">
        <v>0</v>
      </c>
      <c r="AN936">
        <v>1350</v>
      </c>
      <c r="AO936">
        <v>2.65</v>
      </c>
      <c r="AQ936" t="s">
        <v>4954</v>
      </c>
      <c r="AR936" t="s">
        <v>5816</v>
      </c>
      <c r="AS936">
        <v>2</v>
      </c>
      <c r="AT936" t="s">
        <v>5835</v>
      </c>
      <c r="AU936">
        <v>2</v>
      </c>
      <c r="AV936">
        <v>1</v>
      </c>
      <c r="AW936">
        <v>248.48</v>
      </c>
      <c r="AX936" t="s">
        <v>228</v>
      </c>
      <c r="AY936" t="s">
        <v>5849</v>
      </c>
      <c r="BA936" t="s">
        <v>329</v>
      </c>
      <c r="BB936" t="s">
        <v>1322</v>
      </c>
      <c r="BC936">
        <v>53000</v>
      </c>
      <c r="BG936" t="s">
        <v>192</v>
      </c>
      <c r="BJ936" t="s">
        <v>5949</v>
      </c>
      <c r="BK936" t="s">
        <v>234</v>
      </c>
      <c r="BL936" t="s">
        <v>6056</v>
      </c>
    </row>
    <row r="937" spans="1:64">
      <c r="A937" s="1">
        <f>HYPERLINK("https://lsnyc.legalserver.org/matter/dynamic-profile/view/1906853","19-1906853")</f>
        <v>0</v>
      </c>
      <c r="B937" t="s">
        <v>68</v>
      </c>
      <c r="C937" t="s">
        <v>198</v>
      </c>
      <c r="D937" t="s">
        <v>200</v>
      </c>
      <c r="E937" t="s">
        <v>202</v>
      </c>
      <c r="F937" t="s">
        <v>240</v>
      </c>
      <c r="G937" t="s">
        <v>202</v>
      </c>
      <c r="H937" t="s">
        <v>272</v>
      </c>
      <c r="I937" t="s">
        <v>288</v>
      </c>
      <c r="J937" t="s">
        <v>290</v>
      </c>
      <c r="K937" t="s">
        <v>292</v>
      </c>
      <c r="M937" t="s">
        <v>290</v>
      </c>
      <c r="N937" t="s">
        <v>419</v>
      </c>
      <c r="P937" t="s">
        <v>427</v>
      </c>
      <c r="S937" t="s">
        <v>1162</v>
      </c>
      <c r="T937" t="s">
        <v>1859</v>
      </c>
      <c r="U937" t="s">
        <v>240</v>
      </c>
      <c r="W937" t="s">
        <v>1876</v>
      </c>
      <c r="X937" t="s">
        <v>2764</v>
      </c>
      <c r="Y937" t="s">
        <v>3093</v>
      </c>
      <c r="Z937" t="s">
        <v>3134</v>
      </c>
      <c r="AA937" t="s">
        <v>3135</v>
      </c>
      <c r="AB937">
        <v>10302</v>
      </c>
      <c r="AC937" t="s">
        <v>3140</v>
      </c>
      <c r="AD937" t="s">
        <v>4008</v>
      </c>
      <c r="AE937">
        <v>9</v>
      </c>
      <c r="AG937" t="s">
        <v>4036</v>
      </c>
      <c r="AH937" t="s">
        <v>291</v>
      </c>
      <c r="AI937" t="s">
        <v>291</v>
      </c>
      <c r="AK937" t="s">
        <v>4040</v>
      </c>
      <c r="AL937" t="s">
        <v>4046</v>
      </c>
      <c r="AM937">
        <v>0</v>
      </c>
      <c r="AN937">
        <v>847.7</v>
      </c>
      <c r="AO937">
        <v>3.7</v>
      </c>
      <c r="AQ937" t="s">
        <v>4955</v>
      </c>
      <c r="AR937" t="s">
        <v>5817</v>
      </c>
      <c r="AS937">
        <v>0</v>
      </c>
      <c r="AT937" t="s">
        <v>5838</v>
      </c>
      <c r="AU937">
        <v>1</v>
      </c>
      <c r="AV937">
        <v>0</v>
      </c>
      <c r="AW937">
        <v>174.28</v>
      </c>
      <c r="BA937" t="s">
        <v>329</v>
      </c>
      <c r="BB937" t="s">
        <v>1322</v>
      </c>
      <c r="BC937">
        <v>21768</v>
      </c>
      <c r="BG937" t="s">
        <v>192</v>
      </c>
      <c r="BJ937" t="s">
        <v>5950</v>
      </c>
      <c r="BK937" t="s">
        <v>222</v>
      </c>
    </row>
    <row r="938" spans="1:64">
      <c r="A938" s="1">
        <f>HYPERLINK("https://lsnyc.legalserver.org/matter/dynamic-profile/view/1906810","19-1906810")</f>
        <v>0</v>
      </c>
      <c r="B938" t="s">
        <v>68</v>
      </c>
      <c r="C938" t="s">
        <v>195</v>
      </c>
      <c r="D938" t="s">
        <v>200</v>
      </c>
      <c r="E938" t="s">
        <v>202</v>
      </c>
      <c r="F938" t="s">
        <v>240</v>
      </c>
      <c r="G938" t="s">
        <v>202</v>
      </c>
      <c r="H938" t="s">
        <v>272</v>
      </c>
      <c r="I938" t="s">
        <v>202</v>
      </c>
      <c r="J938" t="s">
        <v>289</v>
      </c>
      <c r="K938" t="s">
        <v>292</v>
      </c>
      <c r="M938" t="s">
        <v>290</v>
      </c>
      <c r="N938" t="s">
        <v>202</v>
      </c>
      <c r="O938" t="s">
        <v>421</v>
      </c>
      <c r="P938" t="s">
        <v>427</v>
      </c>
      <c r="S938" t="s">
        <v>1163</v>
      </c>
      <c r="T938" t="s">
        <v>1860</v>
      </c>
      <c r="U938" t="s">
        <v>240</v>
      </c>
      <c r="W938" t="s">
        <v>1876</v>
      </c>
      <c r="X938" t="s">
        <v>2765</v>
      </c>
      <c r="Y938">
        <v>2</v>
      </c>
      <c r="Z938" t="s">
        <v>3134</v>
      </c>
      <c r="AA938" t="s">
        <v>3135</v>
      </c>
      <c r="AB938">
        <v>10310</v>
      </c>
      <c r="AC938" t="s">
        <v>3139</v>
      </c>
      <c r="AD938" t="s">
        <v>4009</v>
      </c>
      <c r="AE938">
        <v>5</v>
      </c>
      <c r="AG938" t="s">
        <v>4036</v>
      </c>
      <c r="AH938" t="s">
        <v>291</v>
      </c>
      <c r="AI938" t="s">
        <v>291</v>
      </c>
      <c r="AK938" t="s">
        <v>4040</v>
      </c>
      <c r="AL938" t="s">
        <v>4046</v>
      </c>
      <c r="AM938">
        <v>0</v>
      </c>
      <c r="AN938">
        <v>1750</v>
      </c>
      <c r="AO938">
        <v>3.75</v>
      </c>
      <c r="AQ938" t="s">
        <v>4956</v>
      </c>
      <c r="AR938" t="s">
        <v>5818</v>
      </c>
      <c r="AS938">
        <v>2</v>
      </c>
      <c r="AT938" t="s">
        <v>5835</v>
      </c>
      <c r="AU938">
        <v>1</v>
      </c>
      <c r="AV938">
        <v>4</v>
      </c>
      <c r="AW938">
        <v>160.13</v>
      </c>
      <c r="BA938" t="s">
        <v>329</v>
      </c>
      <c r="BB938" t="s">
        <v>1322</v>
      </c>
      <c r="BC938">
        <v>48310.8</v>
      </c>
      <c r="BG938" t="s">
        <v>192</v>
      </c>
      <c r="BJ938" t="s">
        <v>5962</v>
      </c>
      <c r="BK938" t="s">
        <v>230</v>
      </c>
      <c r="BL938" t="s">
        <v>6056</v>
      </c>
    </row>
    <row r="939" spans="1:64">
      <c r="A939" s="1">
        <f>HYPERLINK("https://lsnyc.legalserver.org/matter/dynamic-profile/view/1903556","19-1903556")</f>
        <v>0</v>
      </c>
      <c r="B939" t="s">
        <v>68</v>
      </c>
      <c r="C939" t="s">
        <v>198</v>
      </c>
      <c r="D939" t="s">
        <v>200</v>
      </c>
      <c r="E939" t="s">
        <v>202</v>
      </c>
      <c r="F939" t="s">
        <v>261</v>
      </c>
      <c r="G939" t="s">
        <v>202</v>
      </c>
      <c r="H939" t="s">
        <v>286</v>
      </c>
      <c r="I939" t="s">
        <v>288</v>
      </c>
      <c r="J939" t="s">
        <v>290</v>
      </c>
      <c r="K939" t="s">
        <v>292</v>
      </c>
      <c r="M939" t="s">
        <v>290</v>
      </c>
      <c r="N939" t="s">
        <v>202</v>
      </c>
      <c r="O939" t="s">
        <v>425</v>
      </c>
      <c r="P939" t="s">
        <v>427</v>
      </c>
      <c r="S939" t="s">
        <v>694</v>
      </c>
      <c r="T939" t="s">
        <v>1406</v>
      </c>
      <c r="U939" t="s">
        <v>1875</v>
      </c>
      <c r="W939" t="s">
        <v>1876</v>
      </c>
      <c r="X939" t="s">
        <v>2739</v>
      </c>
      <c r="Y939" t="s">
        <v>3094</v>
      </c>
      <c r="Z939" t="s">
        <v>3134</v>
      </c>
      <c r="AA939" t="s">
        <v>3135</v>
      </c>
      <c r="AB939">
        <v>10303</v>
      </c>
      <c r="AC939" t="s">
        <v>3140</v>
      </c>
      <c r="AD939" t="s">
        <v>4010</v>
      </c>
      <c r="AE939">
        <v>17</v>
      </c>
      <c r="AG939" t="s">
        <v>4037</v>
      </c>
      <c r="AH939" t="s">
        <v>291</v>
      </c>
      <c r="AI939" t="s">
        <v>291</v>
      </c>
      <c r="AK939" t="s">
        <v>4045</v>
      </c>
      <c r="AL939" t="s">
        <v>4046</v>
      </c>
      <c r="AM939">
        <v>0</v>
      </c>
      <c r="AN939">
        <v>710</v>
      </c>
      <c r="AO939">
        <v>1.95</v>
      </c>
      <c r="AQ939" t="s">
        <v>4957</v>
      </c>
      <c r="AR939" t="s">
        <v>5819</v>
      </c>
      <c r="AS939">
        <v>568</v>
      </c>
      <c r="AT939" t="s">
        <v>5840</v>
      </c>
      <c r="AU939">
        <v>1</v>
      </c>
      <c r="AV939">
        <v>2</v>
      </c>
      <c r="AW939">
        <v>127.99</v>
      </c>
      <c r="BA939" t="s">
        <v>5850</v>
      </c>
      <c r="BB939" t="s">
        <v>1322</v>
      </c>
      <c r="BC939">
        <v>27300</v>
      </c>
      <c r="BG939" t="s">
        <v>192</v>
      </c>
      <c r="BJ939" t="s">
        <v>5951</v>
      </c>
      <c r="BK939" t="s">
        <v>243</v>
      </c>
    </row>
    <row r="940" spans="1:64">
      <c r="A940" s="1">
        <f>HYPERLINK("https://lsnyc.legalserver.org/matter/dynamic-profile/view/1905039","19-1905039")</f>
        <v>0</v>
      </c>
      <c r="B940" t="s">
        <v>68</v>
      </c>
      <c r="C940" t="s">
        <v>198</v>
      </c>
      <c r="D940" t="s">
        <v>200</v>
      </c>
      <c r="E940" t="s">
        <v>202</v>
      </c>
      <c r="F940" t="s">
        <v>258</v>
      </c>
      <c r="G940" t="s">
        <v>202</v>
      </c>
      <c r="H940" t="s">
        <v>272</v>
      </c>
      <c r="I940" t="s">
        <v>202</v>
      </c>
      <c r="J940" t="s">
        <v>289</v>
      </c>
      <c r="K940" t="s">
        <v>292</v>
      </c>
      <c r="M940" t="s">
        <v>290</v>
      </c>
      <c r="N940" t="s">
        <v>202</v>
      </c>
      <c r="O940" t="s">
        <v>422</v>
      </c>
      <c r="P940" t="s">
        <v>202</v>
      </c>
      <c r="Q940" t="s">
        <v>430</v>
      </c>
      <c r="R940" t="s">
        <v>450</v>
      </c>
      <c r="S940" t="s">
        <v>1164</v>
      </c>
      <c r="T940" t="s">
        <v>1861</v>
      </c>
      <c r="U940" t="s">
        <v>258</v>
      </c>
      <c r="V940" t="s">
        <v>249</v>
      </c>
      <c r="W940" t="s">
        <v>1877</v>
      </c>
      <c r="X940" t="s">
        <v>2766</v>
      </c>
      <c r="Y940" t="s">
        <v>2973</v>
      </c>
      <c r="Z940" t="s">
        <v>3134</v>
      </c>
      <c r="AA940" t="s">
        <v>3135</v>
      </c>
      <c r="AB940">
        <v>10303</v>
      </c>
      <c r="AC940" t="s">
        <v>3139</v>
      </c>
      <c r="AD940" t="s">
        <v>4011</v>
      </c>
      <c r="AE940">
        <v>12</v>
      </c>
      <c r="AF940" t="s">
        <v>4023</v>
      </c>
      <c r="AG940" t="s">
        <v>4036</v>
      </c>
      <c r="AH940" t="s">
        <v>291</v>
      </c>
      <c r="AI940" t="s">
        <v>291</v>
      </c>
      <c r="AK940" t="s">
        <v>4040</v>
      </c>
      <c r="AL940" t="s">
        <v>4046</v>
      </c>
      <c r="AM940">
        <v>0</v>
      </c>
      <c r="AN940">
        <v>1270</v>
      </c>
      <c r="AO940">
        <v>0.5</v>
      </c>
      <c r="AP940" t="s">
        <v>4052</v>
      </c>
      <c r="AQ940" t="s">
        <v>4958</v>
      </c>
      <c r="AR940" t="s">
        <v>5820</v>
      </c>
      <c r="AS940">
        <v>568</v>
      </c>
      <c r="AT940" t="s">
        <v>5840</v>
      </c>
      <c r="AU940">
        <v>1</v>
      </c>
      <c r="AV940">
        <v>2</v>
      </c>
      <c r="AW940">
        <v>243.79</v>
      </c>
      <c r="BA940" t="s">
        <v>329</v>
      </c>
      <c r="BB940" t="s">
        <v>1322</v>
      </c>
      <c r="BC940">
        <v>51999.96</v>
      </c>
      <c r="BG940" t="s">
        <v>192</v>
      </c>
      <c r="BH940" t="s">
        <v>5931</v>
      </c>
      <c r="BI940" t="s">
        <v>3143</v>
      </c>
      <c r="BJ940" t="s">
        <v>5949</v>
      </c>
      <c r="BK940" t="s">
        <v>232</v>
      </c>
      <c r="BL940" t="s">
        <v>6056</v>
      </c>
    </row>
    <row r="941" spans="1:64">
      <c r="A941" s="1">
        <f>HYPERLINK("https://lsnyc.legalserver.org/matter/dynamic-profile/view/1898980","19-1898980")</f>
        <v>0</v>
      </c>
      <c r="B941" t="s">
        <v>68</v>
      </c>
      <c r="C941" t="s">
        <v>198</v>
      </c>
      <c r="D941" t="s">
        <v>200</v>
      </c>
      <c r="E941" t="s">
        <v>203</v>
      </c>
      <c r="F941" t="s">
        <v>269</v>
      </c>
      <c r="G941" t="s">
        <v>202</v>
      </c>
      <c r="H941" t="s">
        <v>272</v>
      </c>
      <c r="I941" t="s">
        <v>202</v>
      </c>
      <c r="J941" t="s">
        <v>289</v>
      </c>
      <c r="K941" t="s">
        <v>292</v>
      </c>
      <c r="M941" t="s">
        <v>290</v>
      </c>
      <c r="N941" t="s">
        <v>202</v>
      </c>
      <c r="O941" t="s">
        <v>421</v>
      </c>
      <c r="P941" t="s">
        <v>427</v>
      </c>
      <c r="S941" t="s">
        <v>995</v>
      </c>
      <c r="T941" t="s">
        <v>1862</v>
      </c>
      <c r="U941" t="s">
        <v>246</v>
      </c>
      <c r="W941" t="s">
        <v>1876</v>
      </c>
      <c r="X941" t="s">
        <v>2767</v>
      </c>
      <c r="Y941">
        <v>302</v>
      </c>
      <c r="Z941" t="s">
        <v>3134</v>
      </c>
      <c r="AA941" t="s">
        <v>3135</v>
      </c>
      <c r="AB941">
        <v>10305</v>
      </c>
      <c r="AC941" t="s">
        <v>3139</v>
      </c>
      <c r="AD941" t="s">
        <v>4012</v>
      </c>
      <c r="AE941">
        <v>1</v>
      </c>
      <c r="AG941" t="s">
        <v>4037</v>
      </c>
      <c r="AH941" t="s">
        <v>291</v>
      </c>
      <c r="AI941" t="s">
        <v>291</v>
      </c>
      <c r="AK941" t="s">
        <v>4040</v>
      </c>
      <c r="AL941" t="s">
        <v>4046</v>
      </c>
      <c r="AM941">
        <v>0</v>
      </c>
      <c r="AN941">
        <v>1068.98</v>
      </c>
      <c r="AO941">
        <v>9.550000000000001</v>
      </c>
      <c r="AQ941" t="s">
        <v>4959</v>
      </c>
      <c r="AR941" t="s">
        <v>5821</v>
      </c>
      <c r="AS941">
        <v>85</v>
      </c>
      <c r="AT941" t="s">
        <v>5838</v>
      </c>
      <c r="AU941">
        <v>1</v>
      </c>
      <c r="AV941">
        <v>0</v>
      </c>
      <c r="AW941">
        <v>144.12</v>
      </c>
      <c r="BA941" t="s">
        <v>5858</v>
      </c>
      <c r="BB941" t="s">
        <v>1322</v>
      </c>
      <c r="BC941">
        <v>18000</v>
      </c>
      <c r="BG941" t="s">
        <v>192</v>
      </c>
      <c r="BJ941" t="s">
        <v>5959</v>
      </c>
      <c r="BK941" t="s">
        <v>252</v>
      </c>
      <c r="BL941" t="s">
        <v>6056</v>
      </c>
    </row>
    <row r="942" spans="1:64">
      <c r="A942" s="1">
        <f>HYPERLINK("https://lsnyc.legalserver.org/matter/dynamic-profile/view/1908117","19-1908117")</f>
        <v>0</v>
      </c>
      <c r="B942" t="s">
        <v>68</v>
      </c>
      <c r="C942" t="s">
        <v>198</v>
      </c>
      <c r="D942" t="s">
        <v>200</v>
      </c>
      <c r="E942" t="s">
        <v>201</v>
      </c>
      <c r="G942" t="s">
        <v>202</v>
      </c>
      <c r="H942" t="s">
        <v>287</v>
      </c>
      <c r="I942" t="s">
        <v>288</v>
      </c>
      <c r="J942" t="s">
        <v>290</v>
      </c>
      <c r="K942" t="s">
        <v>292</v>
      </c>
      <c r="M942" t="s">
        <v>290</v>
      </c>
      <c r="N942" t="s">
        <v>419</v>
      </c>
      <c r="P942" t="s">
        <v>427</v>
      </c>
      <c r="S942" t="s">
        <v>1165</v>
      </c>
      <c r="T942" t="s">
        <v>1863</v>
      </c>
      <c r="U942" t="s">
        <v>228</v>
      </c>
      <c r="W942" t="s">
        <v>1876</v>
      </c>
      <c r="X942" t="s">
        <v>2768</v>
      </c>
      <c r="Y942" t="s">
        <v>3070</v>
      </c>
      <c r="Z942" t="s">
        <v>3134</v>
      </c>
      <c r="AA942" t="s">
        <v>3135</v>
      </c>
      <c r="AB942">
        <v>10304</v>
      </c>
      <c r="AC942" t="s">
        <v>3140</v>
      </c>
      <c r="AD942" t="s">
        <v>4013</v>
      </c>
      <c r="AE942">
        <v>8</v>
      </c>
      <c r="AG942" t="s">
        <v>4037</v>
      </c>
      <c r="AH942" t="s">
        <v>291</v>
      </c>
      <c r="AI942" t="s">
        <v>291</v>
      </c>
      <c r="AK942" t="s">
        <v>4041</v>
      </c>
      <c r="AL942" t="s">
        <v>4046</v>
      </c>
      <c r="AM942">
        <v>0</v>
      </c>
      <c r="AN942">
        <v>430</v>
      </c>
      <c r="AO942">
        <v>1.1</v>
      </c>
      <c r="AQ942" t="s">
        <v>4960</v>
      </c>
      <c r="AR942" t="s">
        <v>5822</v>
      </c>
      <c r="AS942">
        <v>693</v>
      </c>
      <c r="AT942" t="s">
        <v>5840</v>
      </c>
      <c r="AU942">
        <v>1</v>
      </c>
      <c r="AV942">
        <v>0</v>
      </c>
      <c r="AW942">
        <v>138.16</v>
      </c>
      <c r="BA942" t="s">
        <v>5850</v>
      </c>
      <c r="BB942" t="s">
        <v>1322</v>
      </c>
      <c r="BC942">
        <v>17256</v>
      </c>
      <c r="BG942" t="s">
        <v>192</v>
      </c>
      <c r="BJ942" t="s">
        <v>5950</v>
      </c>
      <c r="BK942" t="s">
        <v>222</v>
      </c>
    </row>
    <row r="943" spans="1:64">
      <c r="A943" s="1">
        <f>HYPERLINK("https://lsnyc.legalserver.org/matter/dynamic-profile/view/1907104","19-1907104")</f>
        <v>0</v>
      </c>
      <c r="B943" t="s">
        <v>68</v>
      </c>
      <c r="C943" t="s">
        <v>197</v>
      </c>
      <c r="D943" t="s">
        <v>200</v>
      </c>
      <c r="E943" t="s">
        <v>202</v>
      </c>
      <c r="F943" t="s">
        <v>235</v>
      </c>
      <c r="G943" t="s">
        <v>202</v>
      </c>
      <c r="H943" t="s">
        <v>274</v>
      </c>
      <c r="I943" t="s">
        <v>202</v>
      </c>
      <c r="J943" t="s">
        <v>289</v>
      </c>
      <c r="K943" t="s">
        <v>292</v>
      </c>
      <c r="M943" t="s">
        <v>290</v>
      </c>
      <c r="N943" t="s">
        <v>202</v>
      </c>
      <c r="O943" t="s">
        <v>423</v>
      </c>
      <c r="P943" t="s">
        <v>428</v>
      </c>
      <c r="S943" t="s">
        <v>1166</v>
      </c>
      <c r="T943" t="s">
        <v>1864</v>
      </c>
      <c r="U943" t="s">
        <v>235</v>
      </c>
      <c r="V943" t="s">
        <v>219</v>
      </c>
      <c r="W943" t="s">
        <v>1877</v>
      </c>
      <c r="X943" t="s">
        <v>2769</v>
      </c>
      <c r="Y943" t="s">
        <v>2865</v>
      </c>
      <c r="Z943" t="s">
        <v>3134</v>
      </c>
      <c r="AA943" t="s">
        <v>3135</v>
      </c>
      <c r="AB943">
        <v>10310</v>
      </c>
      <c r="AC943" t="s">
        <v>3140</v>
      </c>
      <c r="AD943" t="s">
        <v>3918</v>
      </c>
      <c r="AE943">
        <v>11</v>
      </c>
      <c r="AF943" t="s">
        <v>4026</v>
      </c>
      <c r="AG943" t="s">
        <v>4037</v>
      </c>
      <c r="AH943" t="s">
        <v>291</v>
      </c>
      <c r="AI943" t="s">
        <v>291</v>
      </c>
      <c r="AK943" t="s">
        <v>4041</v>
      </c>
      <c r="AL943" t="s">
        <v>4046</v>
      </c>
      <c r="AM943">
        <v>0</v>
      </c>
      <c r="AN943">
        <v>214</v>
      </c>
      <c r="AO943">
        <v>2.3</v>
      </c>
      <c r="AP943" t="s">
        <v>4052</v>
      </c>
      <c r="AQ943" t="s">
        <v>4961</v>
      </c>
      <c r="AR943" t="s">
        <v>5823</v>
      </c>
      <c r="AS943">
        <v>564</v>
      </c>
      <c r="AT943" t="s">
        <v>5837</v>
      </c>
      <c r="AU943">
        <v>1</v>
      </c>
      <c r="AV943">
        <v>0</v>
      </c>
      <c r="AW943">
        <v>18.94</v>
      </c>
      <c r="BA943" t="s">
        <v>329</v>
      </c>
      <c r="BB943" t="s">
        <v>1322</v>
      </c>
      <c r="BC943">
        <v>2366</v>
      </c>
      <c r="BG943" t="s">
        <v>192</v>
      </c>
      <c r="BJ943" t="s">
        <v>5948</v>
      </c>
      <c r="BK943" t="s">
        <v>238</v>
      </c>
      <c r="BL943" t="s">
        <v>6056</v>
      </c>
    </row>
    <row r="944" spans="1:64">
      <c r="A944" s="1">
        <f>HYPERLINK("https://lsnyc.legalserver.org/matter/dynamic-profile/view/1905406","19-1905406")</f>
        <v>0</v>
      </c>
      <c r="B944" t="s">
        <v>68</v>
      </c>
      <c r="C944" t="s">
        <v>198</v>
      </c>
      <c r="D944" t="s">
        <v>200</v>
      </c>
      <c r="E944" t="s">
        <v>202</v>
      </c>
      <c r="F944" t="s">
        <v>242</v>
      </c>
      <c r="G944" t="s">
        <v>202</v>
      </c>
      <c r="H944" t="s">
        <v>271</v>
      </c>
      <c r="I944" t="s">
        <v>202</v>
      </c>
      <c r="J944" t="s">
        <v>289</v>
      </c>
      <c r="K944" t="s">
        <v>292</v>
      </c>
      <c r="M944" t="s">
        <v>290</v>
      </c>
      <c r="N944" t="s">
        <v>202</v>
      </c>
      <c r="O944" t="s">
        <v>421</v>
      </c>
      <c r="P944" t="s">
        <v>427</v>
      </c>
      <c r="S944" t="s">
        <v>789</v>
      </c>
      <c r="T944" t="s">
        <v>1865</v>
      </c>
      <c r="U944" t="s">
        <v>242</v>
      </c>
      <c r="W944" t="s">
        <v>1876</v>
      </c>
      <c r="X944" t="s">
        <v>2770</v>
      </c>
      <c r="Y944" t="s">
        <v>3095</v>
      </c>
      <c r="Z944" t="s">
        <v>3134</v>
      </c>
      <c r="AA944" t="s">
        <v>3135</v>
      </c>
      <c r="AB944">
        <v>10314</v>
      </c>
      <c r="AC944" t="s">
        <v>3139</v>
      </c>
      <c r="AD944" t="s">
        <v>4014</v>
      </c>
      <c r="AE944">
        <v>6</v>
      </c>
      <c r="AG944" t="s">
        <v>4036</v>
      </c>
      <c r="AH944" t="s">
        <v>291</v>
      </c>
      <c r="AI944" t="s">
        <v>291</v>
      </c>
      <c r="AK944" t="s">
        <v>4040</v>
      </c>
      <c r="AL944" t="s">
        <v>4046</v>
      </c>
      <c r="AM944">
        <v>0</v>
      </c>
      <c r="AN944">
        <v>700</v>
      </c>
      <c r="AO944">
        <v>2.6</v>
      </c>
      <c r="AQ944" t="s">
        <v>4962</v>
      </c>
      <c r="AR944" t="s">
        <v>5824</v>
      </c>
      <c r="AS944">
        <v>3</v>
      </c>
      <c r="AT944" t="s">
        <v>5835</v>
      </c>
      <c r="AU944">
        <v>2</v>
      </c>
      <c r="AV944">
        <v>1</v>
      </c>
      <c r="AW944">
        <v>17.67</v>
      </c>
      <c r="BA944" t="s">
        <v>329</v>
      </c>
      <c r="BB944" t="s">
        <v>1322</v>
      </c>
      <c r="BC944">
        <v>3770</v>
      </c>
      <c r="BG944" t="s">
        <v>192</v>
      </c>
      <c r="BJ944" t="s">
        <v>6031</v>
      </c>
      <c r="BK944" t="s">
        <v>267</v>
      </c>
      <c r="BL944" t="s">
        <v>6056</v>
      </c>
    </row>
    <row r="945" spans="1:64">
      <c r="A945" s="1">
        <f>HYPERLINK("https://lsnyc.legalserver.org/matter/dynamic-profile/view/1903717","19-1903717")</f>
        <v>0</v>
      </c>
      <c r="B945" t="s">
        <v>68</v>
      </c>
      <c r="C945" t="s">
        <v>198</v>
      </c>
      <c r="D945" t="s">
        <v>200</v>
      </c>
      <c r="E945" t="s">
        <v>202</v>
      </c>
      <c r="F945" t="s">
        <v>208</v>
      </c>
      <c r="G945" t="s">
        <v>202</v>
      </c>
      <c r="H945" t="s">
        <v>271</v>
      </c>
      <c r="I945" t="s">
        <v>202</v>
      </c>
      <c r="J945" t="s">
        <v>289</v>
      </c>
      <c r="K945" t="s">
        <v>292</v>
      </c>
      <c r="M945" t="s">
        <v>290</v>
      </c>
      <c r="N945" t="s">
        <v>202</v>
      </c>
      <c r="O945" t="s">
        <v>421</v>
      </c>
      <c r="P945" t="s">
        <v>427</v>
      </c>
      <c r="S945" t="s">
        <v>769</v>
      </c>
      <c r="T945" t="s">
        <v>1866</v>
      </c>
      <c r="U945" t="s">
        <v>208</v>
      </c>
      <c r="W945" t="s">
        <v>1876</v>
      </c>
      <c r="X945" t="s">
        <v>2771</v>
      </c>
      <c r="Z945" t="s">
        <v>3134</v>
      </c>
      <c r="AA945" t="s">
        <v>3135</v>
      </c>
      <c r="AB945">
        <v>10303</v>
      </c>
      <c r="AC945" t="s">
        <v>3139</v>
      </c>
      <c r="AD945" t="s">
        <v>4015</v>
      </c>
      <c r="AE945">
        <v>2</v>
      </c>
      <c r="AG945" t="s">
        <v>4036</v>
      </c>
      <c r="AH945" t="s">
        <v>291</v>
      </c>
      <c r="AI945" t="s">
        <v>291</v>
      </c>
      <c r="AK945" t="s">
        <v>4040</v>
      </c>
      <c r="AL945" t="s">
        <v>4046</v>
      </c>
      <c r="AM945">
        <v>0</v>
      </c>
      <c r="AN945">
        <v>2700</v>
      </c>
      <c r="AO945">
        <v>3.4</v>
      </c>
      <c r="AQ945" t="s">
        <v>4963</v>
      </c>
      <c r="AR945" t="s">
        <v>5825</v>
      </c>
      <c r="AS945">
        <v>1</v>
      </c>
      <c r="AT945" t="s">
        <v>5835</v>
      </c>
      <c r="AU945">
        <v>2</v>
      </c>
      <c r="AV945">
        <v>1</v>
      </c>
      <c r="AW945">
        <v>142.52</v>
      </c>
      <c r="BA945" t="s">
        <v>329</v>
      </c>
      <c r="BB945" t="s">
        <v>1322</v>
      </c>
      <c r="BC945">
        <v>30400</v>
      </c>
      <c r="BG945" t="s">
        <v>192</v>
      </c>
      <c r="BJ945" t="s">
        <v>5956</v>
      </c>
      <c r="BK945" t="s">
        <v>243</v>
      </c>
      <c r="BL945" t="s">
        <v>6056</v>
      </c>
    </row>
    <row r="946" spans="1:64">
      <c r="A946" s="1">
        <f>HYPERLINK("https://lsnyc.legalserver.org/matter/dynamic-profile/view/1908376","19-1908376")</f>
        <v>0</v>
      </c>
      <c r="B946" t="s">
        <v>68</v>
      </c>
      <c r="C946" t="s">
        <v>198</v>
      </c>
      <c r="D946" t="s">
        <v>200</v>
      </c>
      <c r="E946" t="s">
        <v>202</v>
      </c>
      <c r="F946" t="s">
        <v>218</v>
      </c>
      <c r="G946" t="s">
        <v>202</v>
      </c>
      <c r="H946" t="s">
        <v>272</v>
      </c>
      <c r="I946" t="s">
        <v>202</v>
      </c>
      <c r="J946" t="s">
        <v>289</v>
      </c>
      <c r="K946" t="s">
        <v>292</v>
      </c>
      <c r="M946" t="s">
        <v>290</v>
      </c>
      <c r="N946" t="s">
        <v>202</v>
      </c>
      <c r="O946" t="s">
        <v>422</v>
      </c>
      <c r="P946" t="s">
        <v>428</v>
      </c>
      <c r="S946" t="s">
        <v>497</v>
      </c>
      <c r="T946" t="s">
        <v>1867</v>
      </c>
      <c r="U946" t="s">
        <v>218</v>
      </c>
      <c r="V946" t="s">
        <v>218</v>
      </c>
      <c r="W946" t="s">
        <v>1877</v>
      </c>
      <c r="X946" t="s">
        <v>2772</v>
      </c>
      <c r="Y946" t="s">
        <v>2783</v>
      </c>
      <c r="Z946" t="s">
        <v>3134</v>
      </c>
      <c r="AA946" t="s">
        <v>3135</v>
      </c>
      <c r="AB946">
        <v>10314</v>
      </c>
      <c r="AC946" t="s">
        <v>3139</v>
      </c>
      <c r="AD946" t="s">
        <v>4016</v>
      </c>
      <c r="AE946">
        <v>-1</v>
      </c>
      <c r="AF946" t="s">
        <v>4023</v>
      </c>
      <c r="AG946" t="s">
        <v>4036</v>
      </c>
      <c r="AH946" t="s">
        <v>291</v>
      </c>
      <c r="AI946" t="s">
        <v>291</v>
      </c>
      <c r="AK946" t="s">
        <v>4040</v>
      </c>
      <c r="AL946" t="s">
        <v>4046</v>
      </c>
      <c r="AM946">
        <v>0</v>
      </c>
      <c r="AN946">
        <v>2600</v>
      </c>
      <c r="AO946">
        <v>0.15</v>
      </c>
      <c r="AP946" t="s">
        <v>4052</v>
      </c>
      <c r="AQ946" t="s">
        <v>4964</v>
      </c>
      <c r="AR946" t="s">
        <v>5826</v>
      </c>
      <c r="AS946">
        <v>2</v>
      </c>
      <c r="AT946" t="s">
        <v>5835</v>
      </c>
      <c r="AU946">
        <v>2</v>
      </c>
      <c r="AV946">
        <v>1</v>
      </c>
      <c r="AW946">
        <v>309.42</v>
      </c>
      <c r="BA946" t="s">
        <v>329</v>
      </c>
      <c r="BB946" t="s">
        <v>1322</v>
      </c>
      <c r="BC946">
        <v>66000</v>
      </c>
      <c r="BG946" t="s">
        <v>192</v>
      </c>
      <c r="BJ946" t="s">
        <v>5949</v>
      </c>
      <c r="BK946" t="s">
        <v>252</v>
      </c>
      <c r="BL946" t="s">
        <v>6056</v>
      </c>
    </row>
    <row r="947" spans="1:64">
      <c r="A947" s="1">
        <f>HYPERLINK("https://lsnyc.legalserver.org/matter/dynamic-profile/view/1899123","19-1899123")</f>
        <v>0</v>
      </c>
      <c r="B947" t="s">
        <v>68</v>
      </c>
      <c r="C947" t="s">
        <v>198</v>
      </c>
      <c r="D947" t="s">
        <v>200</v>
      </c>
      <c r="E947" t="s">
        <v>202</v>
      </c>
      <c r="F947" t="s">
        <v>205</v>
      </c>
      <c r="G947" t="s">
        <v>202</v>
      </c>
      <c r="H947" t="s">
        <v>271</v>
      </c>
      <c r="I947" t="s">
        <v>202</v>
      </c>
      <c r="J947" t="s">
        <v>289</v>
      </c>
      <c r="K947" t="s">
        <v>292</v>
      </c>
      <c r="M947" t="s">
        <v>290</v>
      </c>
      <c r="N947" t="s">
        <v>202</v>
      </c>
      <c r="O947" t="s">
        <v>421</v>
      </c>
      <c r="P947" t="s">
        <v>427</v>
      </c>
      <c r="S947" t="s">
        <v>914</v>
      </c>
      <c r="T947" t="s">
        <v>1868</v>
      </c>
      <c r="U947" t="s">
        <v>205</v>
      </c>
      <c r="W947" t="s">
        <v>1876</v>
      </c>
      <c r="X947" t="s">
        <v>2773</v>
      </c>
      <c r="Y947" t="s">
        <v>2781</v>
      </c>
      <c r="Z947" t="s">
        <v>3134</v>
      </c>
      <c r="AA947" t="s">
        <v>3135</v>
      </c>
      <c r="AB947">
        <v>10306</v>
      </c>
      <c r="AC947" t="s">
        <v>3136</v>
      </c>
      <c r="AD947" t="s">
        <v>4017</v>
      </c>
      <c r="AE947">
        <v>4</v>
      </c>
      <c r="AG947" t="s">
        <v>4037</v>
      </c>
      <c r="AH947" t="s">
        <v>291</v>
      </c>
      <c r="AI947" t="s">
        <v>291</v>
      </c>
      <c r="AK947" t="s">
        <v>4040</v>
      </c>
      <c r="AL947" t="s">
        <v>4046</v>
      </c>
      <c r="AM947">
        <v>0</v>
      </c>
      <c r="AN947">
        <v>1500</v>
      </c>
      <c r="AO947">
        <v>11.65</v>
      </c>
      <c r="AQ947" t="s">
        <v>4965</v>
      </c>
      <c r="AR947" t="s">
        <v>5827</v>
      </c>
      <c r="AS947">
        <v>2</v>
      </c>
      <c r="AT947" t="s">
        <v>5835</v>
      </c>
      <c r="AU947">
        <v>3</v>
      </c>
      <c r="AV947">
        <v>0</v>
      </c>
      <c r="AW947">
        <v>121.89</v>
      </c>
      <c r="BA947" t="s">
        <v>329</v>
      </c>
      <c r="BB947" t="s">
        <v>1322</v>
      </c>
      <c r="BC947">
        <v>26000</v>
      </c>
      <c r="BG947" t="s">
        <v>5926</v>
      </c>
      <c r="BJ947" t="s">
        <v>5949</v>
      </c>
      <c r="BK947" t="s">
        <v>267</v>
      </c>
      <c r="BL947" t="s">
        <v>6056</v>
      </c>
    </row>
    <row r="948" spans="1:64">
      <c r="A948" s="1">
        <f>HYPERLINK("https://lsnyc.legalserver.org/matter/dynamic-profile/view/1909489","19-1909489")</f>
        <v>0</v>
      </c>
      <c r="B948" t="s">
        <v>68</v>
      </c>
      <c r="C948" t="s">
        <v>198</v>
      </c>
      <c r="D948" t="s">
        <v>200</v>
      </c>
      <c r="E948" t="s">
        <v>202</v>
      </c>
      <c r="F948" t="s">
        <v>264</v>
      </c>
      <c r="G948" t="s">
        <v>202</v>
      </c>
      <c r="H948" t="s">
        <v>271</v>
      </c>
      <c r="I948" t="s">
        <v>202</v>
      </c>
      <c r="J948" t="s">
        <v>289</v>
      </c>
      <c r="K948" t="s">
        <v>292</v>
      </c>
      <c r="M948" t="s">
        <v>290</v>
      </c>
      <c r="N948" t="s">
        <v>419</v>
      </c>
      <c r="P948" t="s">
        <v>427</v>
      </c>
      <c r="S948" t="s">
        <v>1167</v>
      </c>
      <c r="T948" t="s">
        <v>1250</v>
      </c>
      <c r="U948" t="s">
        <v>264</v>
      </c>
      <c r="W948" t="s">
        <v>1876</v>
      </c>
      <c r="X948" t="s">
        <v>2774</v>
      </c>
      <c r="Y948" t="s">
        <v>2831</v>
      </c>
      <c r="Z948" t="s">
        <v>3134</v>
      </c>
      <c r="AA948" t="s">
        <v>3135</v>
      </c>
      <c r="AB948">
        <v>10305</v>
      </c>
      <c r="AC948" t="s">
        <v>3146</v>
      </c>
      <c r="AD948" t="s">
        <v>4018</v>
      </c>
      <c r="AE948">
        <v>-1</v>
      </c>
      <c r="AG948" t="s">
        <v>4037</v>
      </c>
      <c r="AH948" t="s">
        <v>291</v>
      </c>
      <c r="AI948" t="s">
        <v>291</v>
      </c>
      <c r="AK948" t="s">
        <v>4040</v>
      </c>
      <c r="AL948" t="s">
        <v>4046</v>
      </c>
      <c r="AM948">
        <v>0</v>
      </c>
      <c r="AN948">
        <v>1900</v>
      </c>
      <c r="AO948">
        <v>1.3</v>
      </c>
      <c r="AQ948" t="s">
        <v>4966</v>
      </c>
      <c r="AR948" t="s">
        <v>5828</v>
      </c>
      <c r="AS948">
        <v>4</v>
      </c>
      <c r="AT948" t="s">
        <v>5835</v>
      </c>
      <c r="AU948">
        <v>1</v>
      </c>
      <c r="AV948">
        <v>2</v>
      </c>
      <c r="AW948">
        <v>14.06</v>
      </c>
      <c r="BA948" t="s">
        <v>329</v>
      </c>
      <c r="BB948" t="s">
        <v>1322</v>
      </c>
      <c r="BC948">
        <v>3000</v>
      </c>
      <c r="BG948" t="s">
        <v>192</v>
      </c>
      <c r="BJ948" t="s">
        <v>5948</v>
      </c>
      <c r="BK948" t="s">
        <v>264</v>
      </c>
      <c r="BL948" t="s">
        <v>6056</v>
      </c>
    </row>
    <row r="949" spans="1:64">
      <c r="A949" s="1">
        <f>HYPERLINK("https://lsnyc.legalserver.org/matter/dynamic-profile/view/1904270","19-1904270")</f>
        <v>0</v>
      </c>
      <c r="B949" t="s">
        <v>68</v>
      </c>
      <c r="C949" t="s">
        <v>198</v>
      </c>
      <c r="D949" t="s">
        <v>200</v>
      </c>
      <c r="E949" t="s">
        <v>202</v>
      </c>
      <c r="F949" t="s">
        <v>233</v>
      </c>
      <c r="G949" t="s">
        <v>202</v>
      </c>
      <c r="H949" t="s">
        <v>272</v>
      </c>
      <c r="I949" t="s">
        <v>202</v>
      </c>
      <c r="J949" t="s">
        <v>289</v>
      </c>
      <c r="K949" t="s">
        <v>292</v>
      </c>
      <c r="M949" t="s">
        <v>290</v>
      </c>
      <c r="N949" t="s">
        <v>202</v>
      </c>
      <c r="O949" t="s">
        <v>421</v>
      </c>
      <c r="P949" t="s">
        <v>427</v>
      </c>
      <c r="S949" t="s">
        <v>1168</v>
      </c>
      <c r="T949" t="s">
        <v>1869</v>
      </c>
      <c r="U949" t="s">
        <v>233</v>
      </c>
      <c r="W949" t="s">
        <v>1876</v>
      </c>
      <c r="X949" t="s">
        <v>2775</v>
      </c>
      <c r="Y949" t="s">
        <v>2800</v>
      </c>
      <c r="Z949" t="s">
        <v>3134</v>
      </c>
      <c r="AA949" t="s">
        <v>3135</v>
      </c>
      <c r="AB949">
        <v>10303</v>
      </c>
      <c r="AC949" t="s">
        <v>3139</v>
      </c>
      <c r="AD949" t="s">
        <v>4019</v>
      </c>
      <c r="AE949">
        <v>21</v>
      </c>
      <c r="AG949" t="s">
        <v>4036</v>
      </c>
      <c r="AH949" t="s">
        <v>291</v>
      </c>
      <c r="AI949" t="s">
        <v>291</v>
      </c>
      <c r="AK949" t="s">
        <v>4041</v>
      </c>
      <c r="AL949" t="s">
        <v>4046</v>
      </c>
      <c r="AM949">
        <v>0</v>
      </c>
      <c r="AN949">
        <v>250</v>
      </c>
      <c r="AO949">
        <v>6.1</v>
      </c>
      <c r="AQ949" t="s">
        <v>4967</v>
      </c>
      <c r="AR949" t="s">
        <v>5829</v>
      </c>
      <c r="AS949">
        <v>265</v>
      </c>
      <c r="AT949" t="s">
        <v>5837</v>
      </c>
      <c r="AU949">
        <v>1</v>
      </c>
      <c r="AV949">
        <v>1</v>
      </c>
      <c r="AW949">
        <v>20.58</v>
      </c>
      <c r="BA949" t="s">
        <v>5850</v>
      </c>
      <c r="BB949" t="s">
        <v>1322</v>
      </c>
      <c r="BC949">
        <v>3480</v>
      </c>
      <c r="BG949" t="s">
        <v>5925</v>
      </c>
      <c r="BJ949" t="s">
        <v>5990</v>
      </c>
      <c r="BK949" t="s">
        <v>259</v>
      </c>
      <c r="BL949" t="s">
        <v>6056</v>
      </c>
    </row>
    <row r="950" spans="1:64">
      <c r="A950" s="1">
        <f>HYPERLINK("https://lsnyc.legalserver.org/matter/dynamic-profile/view/1908359","19-1908359")</f>
        <v>0</v>
      </c>
      <c r="B950" t="s">
        <v>68</v>
      </c>
      <c r="C950" t="s">
        <v>190</v>
      </c>
      <c r="D950" t="s">
        <v>200</v>
      </c>
      <c r="E950" t="s">
        <v>202</v>
      </c>
      <c r="F950" t="s">
        <v>218</v>
      </c>
      <c r="G950" t="s">
        <v>202</v>
      </c>
      <c r="H950" t="s">
        <v>272</v>
      </c>
      <c r="I950" t="s">
        <v>202</v>
      </c>
      <c r="J950" t="s">
        <v>289</v>
      </c>
      <c r="K950" t="s">
        <v>292</v>
      </c>
      <c r="M950" t="s">
        <v>290</v>
      </c>
      <c r="N950" t="s">
        <v>202</v>
      </c>
      <c r="O950" t="s">
        <v>421</v>
      </c>
      <c r="P950" t="s">
        <v>427</v>
      </c>
      <c r="S950" t="s">
        <v>1169</v>
      </c>
      <c r="T950" t="s">
        <v>1870</v>
      </c>
      <c r="U950" t="s">
        <v>218</v>
      </c>
      <c r="W950" t="s">
        <v>1876</v>
      </c>
      <c r="X950" t="s">
        <v>2776</v>
      </c>
      <c r="Y950" t="s">
        <v>2797</v>
      </c>
      <c r="Z950" t="s">
        <v>3134</v>
      </c>
      <c r="AA950" t="s">
        <v>3135</v>
      </c>
      <c r="AB950">
        <v>10314</v>
      </c>
      <c r="AC950" t="s">
        <v>3139</v>
      </c>
      <c r="AD950" t="s">
        <v>4020</v>
      </c>
      <c r="AE950">
        <v>1</v>
      </c>
      <c r="AG950" t="s">
        <v>4036</v>
      </c>
      <c r="AH950" t="s">
        <v>291</v>
      </c>
      <c r="AI950" t="s">
        <v>291</v>
      </c>
      <c r="AK950" t="s">
        <v>4040</v>
      </c>
      <c r="AL950" t="s">
        <v>4046</v>
      </c>
      <c r="AM950">
        <v>0</v>
      </c>
      <c r="AN950">
        <v>1789</v>
      </c>
      <c r="AO950">
        <v>1.9</v>
      </c>
      <c r="AQ950" t="s">
        <v>4968</v>
      </c>
      <c r="AR950" t="s">
        <v>5286</v>
      </c>
      <c r="AS950">
        <v>3</v>
      </c>
      <c r="AT950" t="s">
        <v>5835</v>
      </c>
      <c r="AU950">
        <v>1</v>
      </c>
      <c r="AV950">
        <v>2</v>
      </c>
      <c r="AW950">
        <v>17.74</v>
      </c>
      <c r="BA950" t="s">
        <v>329</v>
      </c>
      <c r="BB950" t="s">
        <v>1322</v>
      </c>
      <c r="BC950">
        <v>3783</v>
      </c>
      <c r="BG950" t="s">
        <v>192</v>
      </c>
      <c r="BJ950" t="s">
        <v>6031</v>
      </c>
      <c r="BK950" t="s">
        <v>259</v>
      </c>
      <c r="BL950" t="s">
        <v>6056</v>
      </c>
    </row>
    <row r="951" spans="1:64">
      <c r="A951" s="1">
        <f>HYPERLINK("https://lsnyc.legalserver.org/matter/dynamic-profile/view/1903732","19-1903732")</f>
        <v>0</v>
      </c>
      <c r="B951" t="s">
        <v>68</v>
      </c>
      <c r="C951" t="s">
        <v>199</v>
      </c>
      <c r="D951" t="s">
        <v>200</v>
      </c>
      <c r="E951" t="s">
        <v>202</v>
      </c>
      <c r="F951" t="s">
        <v>208</v>
      </c>
      <c r="G951" t="s">
        <v>202</v>
      </c>
      <c r="H951" t="s">
        <v>272</v>
      </c>
      <c r="I951" t="s">
        <v>202</v>
      </c>
      <c r="J951" t="s">
        <v>289</v>
      </c>
      <c r="K951" t="s">
        <v>292</v>
      </c>
      <c r="M951" t="s">
        <v>290</v>
      </c>
      <c r="N951" t="s">
        <v>202</v>
      </c>
      <c r="O951" t="s">
        <v>421</v>
      </c>
      <c r="P951" t="s">
        <v>202</v>
      </c>
      <c r="Q951" t="s">
        <v>430</v>
      </c>
      <c r="R951" t="s">
        <v>462</v>
      </c>
      <c r="S951" t="s">
        <v>1112</v>
      </c>
      <c r="T951" t="s">
        <v>1871</v>
      </c>
      <c r="U951" t="s">
        <v>208</v>
      </c>
      <c r="W951" t="s">
        <v>1876</v>
      </c>
      <c r="X951" t="s">
        <v>2761</v>
      </c>
      <c r="Y951" t="s">
        <v>2812</v>
      </c>
      <c r="Z951" t="s">
        <v>3134</v>
      </c>
      <c r="AA951" t="s">
        <v>3135</v>
      </c>
      <c r="AB951">
        <v>10302</v>
      </c>
      <c r="AC951" t="s">
        <v>3136</v>
      </c>
      <c r="AD951" t="s">
        <v>4021</v>
      </c>
      <c r="AE951">
        <v>20</v>
      </c>
      <c r="AG951" t="s">
        <v>4036</v>
      </c>
      <c r="AH951" t="s">
        <v>291</v>
      </c>
      <c r="AI951" t="s">
        <v>291</v>
      </c>
      <c r="AK951" t="s">
        <v>4040</v>
      </c>
      <c r="AL951" t="s">
        <v>4046</v>
      </c>
      <c r="AM951">
        <v>0</v>
      </c>
      <c r="AN951">
        <v>830.6799999999999</v>
      </c>
      <c r="AO951">
        <v>0.3</v>
      </c>
      <c r="AQ951" t="s">
        <v>4969</v>
      </c>
      <c r="AR951" t="s">
        <v>5830</v>
      </c>
      <c r="AS951">
        <v>94</v>
      </c>
      <c r="AT951" t="s">
        <v>5838</v>
      </c>
      <c r="AU951">
        <v>2</v>
      </c>
      <c r="AV951">
        <v>0</v>
      </c>
      <c r="AW951">
        <v>141.93</v>
      </c>
      <c r="BA951" t="s">
        <v>329</v>
      </c>
      <c r="BB951" t="s">
        <v>1322</v>
      </c>
      <c r="BC951">
        <v>24000</v>
      </c>
      <c r="BG951" t="s">
        <v>194</v>
      </c>
      <c r="BH951" t="s">
        <v>5929</v>
      </c>
      <c r="BI951" t="s">
        <v>3143</v>
      </c>
      <c r="BJ951" t="s">
        <v>5949</v>
      </c>
      <c r="BK951" t="s">
        <v>239</v>
      </c>
      <c r="BL951" t="s">
        <v>6056</v>
      </c>
    </row>
    <row r="952" spans="1:64">
      <c r="A952" s="1">
        <f>HYPERLINK("https://lsnyc.legalserver.org/matter/dynamic-profile/view/1907422","19-1907422")</f>
        <v>0</v>
      </c>
      <c r="B952" t="s">
        <v>68</v>
      </c>
      <c r="C952" t="s">
        <v>195</v>
      </c>
      <c r="D952" t="s">
        <v>200</v>
      </c>
      <c r="E952" t="s">
        <v>202</v>
      </c>
      <c r="F952" t="s">
        <v>220</v>
      </c>
      <c r="G952" t="s">
        <v>202</v>
      </c>
      <c r="H952" t="s">
        <v>271</v>
      </c>
      <c r="I952" t="s">
        <v>202</v>
      </c>
      <c r="J952" t="s">
        <v>289</v>
      </c>
      <c r="K952" t="s">
        <v>292</v>
      </c>
      <c r="M952" t="s">
        <v>290</v>
      </c>
      <c r="N952" t="s">
        <v>202</v>
      </c>
      <c r="O952" t="s">
        <v>421</v>
      </c>
      <c r="P952" t="s">
        <v>427</v>
      </c>
      <c r="S952" t="s">
        <v>532</v>
      </c>
      <c r="T952" t="s">
        <v>1872</v>
      </c>
      <c r="U952" t="s">
        <v>220</v>
      </c>
      <c r="W952" t="s">
        <v>1876</v>
      </c>
      <c r="X952" t="s">
        <v>2777</v>
      </c>
      <c r="Z952" t="s">
        <v>3134</v>
      </c>
      <c r="AA952" t="s">
        <v>3135</v>
      </c>
      <c r="AB952">
        <v>10314</v>
      </c>
      <c r="AC952" t="s">
        <v>3139</v>
      </c>
      <c r="AD952" t="s">
        <v>4022</v>
      </c>
      <c r="AE952">
        <v>5</v>
      </c>
      <c r="AG952" t="s">
        <v>4036</v>
      </c>
      <c r="AH952" t="s">
        <v>291</v>
      </c>
      <c r="AI952" t="s">
        <v>291</v>
      </c>
      <c r="AK952" t="s">
        <v>4040</v>
      </c>
      <c r="AL952" t="s">
        <v>4046</v>
      </c>
      <c r="AM952">
        <v>0</v>
      </c>
      <c r="AN952">
        <v>1350</v>
      </c>
      <c r="AO952">
        <v>6.8</v>
      </c>
      <c r="AQ952" t="s">
        <v>4970</v>
      </c>
      <c r="AR952" t="s">
        <v>5831</v>
      </c>
      <c r="AS952">
        <v>1</v>
      </c>
      <c r="AU952">
        <v>2</v>
      </c>
      <c r="AV952">
        <v>1</v>
      </c>
      <c r="AW952">
        <v>188.47</v>
      </c>
      <c r="BA952" t="s">
        <v>329</v>
      </c>
      <c r="BB952" t="s">
        <v>1322</v>
      </c>
      <c r="BC952">
        <v>40200</v>
      </c>
      <c r="BG952" t="s">
        <v>194</v>
      </c>
      <c r="BJ952" t="s">
        <v>5982</v>
      </c>
      <c r="BK952" t="s">
        <v>230</v>
      </c>
      <c r="BL952" t="s">
        <v>6056</v>
      </c>
    </row>
    <row r="953" spans="1:64">
      <c r="A953" s="1">
        <f>HYPERLINK("https://lsnyc.legalserver.org/matter/dynamic-profile/view/1908037","19-1908037")</f>
        <v>0</v>
      </c>
      <c r="B953" t="s">
        <v>68</v>
      </c>
      <c r="C953" t="s">
        <v>198</v>
      </c>
      <c r="D953" t="s">
        <v>200</v>
      </c>
      <c r="E953" t="s">
        <v>202</v>
      </c>
      <c r="F953" t="s">
        <v>221</v>
      </c>
      <c r="G953" t="s">
        <v>202</v>
      </c>
      <c r="H953" t="s">
        <v>271</v>
      </c>
      <c r="I953" t="s">
        <v>202</v>
      </c>
      <c r="J953" t="s">
        <v>289</v>
      </c>
      <c r="K953" t="s">
        <v>292</v>
      </c>
      <c r="M953" t="s">
        <v>290</v>
      </c>
      <c r="N953" t="s">
        <v>202</v>
      </c>
      <c r="O953" t="s">
        <v>421</v>
      </c>
      <c r="P953" t="s">
        <v>427</v>
      </c>
      <c r="S953" t="s">
        <v>1170</v>
      </c>
      <c r="T953" t="s">
        <v>1260</v>
      </c>
      <c r="U953" t="s">
        <v>221</v>
      </c>
      <c r="W953" t="s">
        <v>1876</v>
      </c>
      <c r="X953" t="s">
        <v>2778</v>
      </c>
      <c r="Z953" t="s">
        <v>3134</v>
      </c>
      <c r="AA953" t="s">
        <v>3135</v>
      </c>
      <c r="AB953">
        <v>10314</v>
      </c>
      <c r="AC953" t="s">
        <v>3139</v>
      </c>
      <c r="AE953">
        <v>1</v>
      </c>
      <c r="AG953" t="s">
        <v>4036</v>
      </c>
      <c r="AH953" t="s">
        <v>291</v>
      </c>
      <c r="AI953" t="s">
        <v>291</v>
      </c>
      <c r="AK953" t="s">
        <v>4040</v>
      </c>
      <c r="AL953" t="s">
        <v>4046</v>
      </c>
      <c r="AM953">
        <v>0</v>
      </c>
      <c r="AN953">
        <v>1486</v>
      </c>
      <c r="AO953">
        <v>5.1</v>
      </c>
      <c r="AQ953" t="s">
        <v>4971</v>
      </c>
      <c r="AR953" t="s">
        <v>5832</v>
      </c>
      <c r="AS953">
        <v>1</v>
      </c>
      <c r="AT953" t="s">
        <v>5835</v>
      </c>
      <c r="AU953">
        <v>1</v>
      </c>
      <c r="AV953">
        <v>3</v>
      </c>
      <c r="AW953">
        <v>36.77</v>
      </c>
      <c r="BA953" t="s">
        <v>5853</v>
      </c>
      <c r="BB953" t="s">
        <v>1322</v>
      </c>
      <c r="BC953">
        <v>9468</v>
      </c>
      <c r="BG953" t="s">
        <v>192</v>
      </c>
      <c r="BJ953" t="s">
        <v>6055</v>
      </c>
      <c r="BK953" t="s">
        <v>266</v>
      </c>
      <c r="BL953" t="s">
        <v>6056</v>
      </c>
    </row>
    <row r="954" spans="1:64">
      <c r="A954" s="1">
        <f>HYPERLINK("https://lsnyc.legalserver.org/matter/dynamic-profile/view/1905209","19-1905209")</f>
        <v>0</v>
      </c>
      <c r="B954" t="s">
        <v>68</v>
      </c>
      <c r="C954" t="s">
        <v>198</v>
      </c>
      <c r="D954" t="s">
        <v>200</v>
      </c>
      <c r="E954" t="s">
        <v>202</v>
      </c>
      <c r="F954" t="s">
        <v>210</v>
      </c>
      <c r="G954" t="s">
        <v>202</v>
      </c>
      <c r="H954" t="s">
        <v>274</v>
      </c>
      <c r="I954" t="s">
        <v>202</v>
      </c>
      <c r="J954" t="s">
        <v>289</v>
      </c>
      <c r="K954" t="s">
        <v>292</v>
      </c>
      <c r="M954" t="s">
        <v>290</v>
      </c>
      <c r="N954" t="s">
        <v>202</v>
      </c>
      <c r="O954" t="s">
        <v>425</v>
      </c>
      <c r="P954" t="s">
        <v>427</v>
      </c>
      <c r="S954" t="s">
        <v>469</v>
      </c>
      <c r="T954" t="s">
        <v>1873</v>
      </c>
      <c r="U954" t="s">
        <v>210</v>
      </c>
      <c r="W954" t="s">
        <v>1876</v>
      </c>
      <c r="X954" t="s">
        <v>2779</v>
      </c>
      <c r="Y954" t="s">
        <v>3096</v>
      </c>
      <c r="Z954" t="s">
        <v>3134</v>
      </c>
      <c r="AA954" t="s">
        <v>3135</v>
      </c>
      <c r="AB954">
        <v>10301</v>
      </c>
      <c r="AC954" t="s">
        <v>3141</v>
      </c>
      <c r="AE954">
        <v>-1</v>
      </c>
      <c r="AG954" t="s">
        <v>4037</v>
      </c>
      <c r="AH954" t="s">
        <v>291</v>
      </c>
      <c r="AI954" t="s">
        <v>291</v>
      </c>
      <c r="AK954" t="s">
        <v>4041</v>
      </c>
      <c r="AL954" t="s">
        <v>4046</v>
      </c>
      <c r="AM954">
        <v>0</v>
      </c>
      <c r="AN954">
        <v>1878</v>
      </c>
      <c r="AO954">
        <v>5.8</v>
      </c>
      <c r="AQ954" t="s">
        <v>4972</v>
      </c>
      <c r="AR954" t="s">
        <v>5833</v>
      </c>
      <c r="AS954">
        <v>454</v>
      </c>
      <c r="AT954" t="s">
        <v>5837</v>
      </c>
      <c r="AU954">
        <v>1</v>
      </c>
      <c r="AV954">
        <v>2</v>
      </c>
      <c r="AW954">
        <v>54.46</v>
      </c>
      <c r="BA954" t="s">
        <v>5850</v>
      </c>
      <c r="BB954" t="s">
        <v>1322</v>
      </c>
      <c r="BC954">
        <v>11616</v>
      </c>
      <c r="BG954" t="s">
        <v>192</v>
      </c>
      <c r="BJ954" t="s">
        <v>6055</v>
      </c>
      <c r="BK954" t="s">
        <v>264</v>
      </c>
    </row>
  </sheetData>
  <conditionalFormatting sqref="E1:E100000">
    <cfRule type="cellIs" dxfId="0" priority="1" operator="equal">
      <formula>"Needs Eligibility Date"</formula>
    </cfRule>
    <cfRule type="cellIs" dxfId="0" priority="2" operator="equal">
      <formula>"Eligibility Date Out of Contract Year"</formula>
    </cfRule>
  </conditionalFormatting>
  <conditionalFormatting sqref="G1:G100000">
    <cfRule type="cellIs" dxfId="0" priority="3" operator="equal">
      <formula>"Needs Housing Case Type"</formula>
    </cfRule>
  </conditionalFormatting>
  <conditionalFormatting sqref="I1:I100000">
    <cfRule type="cellIs" dxfId="0" priority="4" operator="equal">
      <formula>"Needs HRA Release/Consent Form"</formula>
    </cfRule>
  </conditionalFormatting>
  <conditionalFormatting sqref="K1:K100000">
    <cfRule type="cellIs" dxfId="0" priority="5" operator="equal">
      <formula>"Needs DHCI"</formula>
    </cfRule>
  </conditionalFormatting>
  <conditionalFormatting sqref="N1:N100000">
    <cfRule type="cellIs" dxfId="0" priority="6" operator="equal">
      <formula>"Needs Level of Service"</formula>
    </cfRule>
  </conditionalFormatting>
  <conditionalFormatting sqref="P1:P100000">
    <cfRule type="cellIs" dxfId="0" priority="7" operator="equal">
      <formula>"Needs Outcome &amp; Outcome Date"</formula>
    </cfRule>
    <cfRule type="cellIs" dxfId="0" priority="8" operator="equal">
      <formula>"Needs Outcome"</formula>
    </cfRule>
    <cfRule type="cellIs" dxfId="0" priority="9" operator="equal">
      <formula>"Needs Outcome Date"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2019-10-07T20:16:49Z</dcterms:created>
  <dcterms:modified xsi:type="dcterms:W3CDTF">2019-10-07T20:16:49Z</dcterms:modified>
</cp:coreProperties>
</file>