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<sst xmlns="http://schemas.openxmlformats.org/spreadsheetml/2006/main" count="8953" uniqueCount="2081">
  <si>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</si>
  <si>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</si>
  <si>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</si>
  <si>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</si>
  <si>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</si>
  <si>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</si>
  <si>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</si>
  <si>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</si>
  <si>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</si>
  <si>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</si>
  <si>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</si>
  <si>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</si>
  <si>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</si>
  <si>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</si>
  <si>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</si>
  <si>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</si>
  <si>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</si>
  <si>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</si>
  <si>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</si>
  <si>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</si>
  <si>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</si>
  <si>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</si>
  <si>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</si>
  <si>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</si>
  <si>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</si>
  <si>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</si>
  <si>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</si>
  <si>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</si>
  <si>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</si>
  <si>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</si>
  <si>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</si>
  <si>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</si>
  <si>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</si>
  <si>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</si>
  <si>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</si>
  <si>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</si>
  <si>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</si>
  <si>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</si>
  <si>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</si>
  <si>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</si>
  <si>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</si>
  <si>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</si>
  <si>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</si>
  <si>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</si>
  <si>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</si>
  <si>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</si>
  <si>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</si>
  <si>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</si>
  <si>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</si>
  <si>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</si>
  <si>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Barreda, Catherine</t>
  </si>
  <si>
    <t>Hoque, Shatti</t>
  </si>
  <si>
    <t>Feliz, Oswald</t>
  </si>
  <si>
    <t>Lowery, Liam</t>
  </si>
  <si>
    <t>Schafler, Eliza</t>
  </si>
  <si>
    <t>Fischman, Jean</t>
  </si>
  <si>
    <t>Ocana, Johanna</t>
  </si>
  <si>
    <t>Pettit, Stephanie</t>
  </si>
  <si>
    <t>Taylor, Mark</t>
  </si>
  <si>
    <t>Rosen, David</t>
  </si>
  <si>
    <t>Puleo Jr, Michael</t>
  </si>
  <si>
    <t>Kelly, Kitanya</t>
  </si>
  <si>
    <t>James, Lelia</t>
  </si>
  <si>
    <t>Mottley, Darlene</t>
  </si>
  <si>
    <t>Honan, Thomas</t>
  </si>
  <si>
    <t>Cappellini, Bianca</t>
  </si>
  <si>
    <t>Ma, Chiansan</t>
  </si>
  <si>
    <t>Crisona, Kathryn</t>
  </si>
  <si>
    <t>Succop, Steven</t>
  </si>
  <si>
    <t>Wong, Humbert</t>
  </si>
  <si>
    <t>Lam, Kevin</t>
  </si>
  <si>
    <t>Chen, Eugene</t>
  </si>
  <si>
    <t>Alvarez, Adriana</t>
  </si>
  <si>
    <t>Jacobs, Alex</t>
  </si>
  <si>
    <t>Granfield, Rachel</t>
  </si>
  <si>
    <t>De Silva, Natasia</t>
  </si>
  <si>
    <t>Ukegbu, Ezi</t>
  </si>
  <si>
    <t>Ijaz, Kulsoom</t>
  </si>
  <si>
    <t>Pozo, Caridad</t>
  </si>
  <si>
    <t>Betances, Gabriella</t>
  </si>
  <si>
    <t>Rookwood, Shardae</t>
  </si>
  <si>
    <t>Frizell, Catherine</t>
  </si>
  <si>
    <t>Mendia-Yadaicela, Michelle</t>
  </si>
  <si>
    <t>Hecht-Felella, Laura</t>
  </si>
  <si>
    <t>DeVolld, Angela</t>
  </si>
  <si>
    <t>Golden, Tashanna</t>
  </si>
  <si>
    <t>Hammond, Robert</t>
  </si>
  <si>
    <t>Gonzalez, Atenedoro</t>
  </si>
  <si>
    <t>McCowen, Tamella</t>
  </si>
  <si>
    <t>Corsaro, Veronica</t>
  </si>
  <si>
    <t>Evers, Erin</t>
  </si>
  <si>
    <t>He, Ricky</t>
  </si>
  <si>
    <t>Ross, Jasmine</t>
  </si>
  <si>
    <t>Porcelli, Ronald</t>
  </si>
  <si>
    <t>Cowen, Lindsay</t>
  </si>
  <si>
    <t>McDonald, John</t>
  </si>
  <si>
    <t>Hong, Connie</t>
  </si>
  <si>
    <t>Heller, Steven</t>
  </si>
  <si>
    <t>Almanzar, Milagros</t>
  </si>
  <si>
    <t>Delgadillo, Omar</t>
  </si>
  <si>
    <t>Wilkes, Nicole</t>
  </si>
  <si>
    <t>Vega, Rita</t>
  </si>
  <si>
    <t>Latterner, Matt</t>
  </si>
  <si>
    <t>Burns, Erin</t>
  </si>
  <si>
    <t>Watson, Michael</t>
  </si>
  <si>
    <t>Almanzar, Yocari</t>
  </si>
  <si>
    <t>Smith, Sara</t>
  </si>
  <si>
    <t>DeLong, Sarah</t>
  </si>
  <si>
    <t>Sharma, Sagar</t>
  </si>
  <si>
    <t>Isaias, Bianca</t>
  </si>
  <si>
    <t>Bateman, Steven</t>
  </si>
  <si>
    <t>McCormick, James</t>
  </si>
  <si>
    <t>Castillo, Angel</t>
  </si>
  <si>
    <t>Black, Rosalind</t>
  </si>
  <si>
    <t>Schiff, Logan</t>
  </si>
  <si>
    <t>Farrell, Emily</t>
  </si>
  <si>
    <t>Pepe, Lailah</t>
  </si>
  <si>
    <t>Norton, Carolyn</t>
  </si>
  <si>
    <t>Open</t>
  </si>
  <si>
    <t>Closed</t>
  </si>
  <si>
    <t>06/19/2019</t>
  </si>
  <si>
    <t>06/25/2019</t>
  </si>
  <si>
    <t>06/07/2019</t>
  </si>
  <si>
    <t>06/26/2019</t>
  </si>
  <si>
    <t>05/23/2019</t>
  </si>
  <si>
    <t>05/30/2019</t>
  </si>
  <si>
    <t>10/03/2018</t>
  </si>
  <si>
    <t>05/20/2019</t>
  </si>
  <si>
    <t>04/26/2019</t>
  </si>
  <si>
    <t>06/03/2019</t>
  </si>
  <si>
    <t>04/18/2019</t>
  </si>
  <si>
    <t>06/13/2019</t>
  </si>
  <si>
    <t>06/10/2019</t>
  </si>
  <si>
    <t>01/16/2019</t>
  </si>
  <si>
    <t>05/24/2019</t>
  </si>
  <si>
    <t>04/12/2019</t>
  </si>
  <si>
    <t>05/06/2019</t>
  </si>
  <si>
    <t>05/29/2019</t>
  </si>
  <si>
    <t>05/16/2019</t>
  </si>
  <si>
    <t>05/31/2019</t>
  </si>
  <si>
    <t>05/07/2019</t>
  </si>
  <si>
    <t>02/06/2019</t>
  </si>
  <si>
    <t>06/06/2019</t>
  </si>
  <si>
    <t>05/15/2019</t>
  </si>
  <si>
    <t>02/05/2019</t>
  </si>
  <si>
    <t>06/18/2019</t>
  </si>
  <si>
    <t>12/04/2018</t>
  </si>
  <si>
    <t>05/13/2019</t>
  </si>
  <si>
    <t>06/04/2019</t>
  </si>
  <si>
    <t>01/27/2019</t>
  </si>
  <si>
    <t>01/17/2019</t>
  </si>
  <si>
    <t>04/10/2019</t>
  </si>
  <si>
    <t>07/01/2019</t>
  </si>
  <si>
    <t>04/09/2019</t>
  </si>
  <si>
    <t>06/28/2019</t>
  </si>
  <si>
    <t>03/13/2019</t>
  </si>
  <si>
    <t>06/15/2018</t>
  </si>
  <si>
    <t>06/27/2019</t>
  </si>
  <si>
    <t>04/11/2019</t>
  </si>
  <si>
    <t>12/17/2018</t>
  </si>
  <si>
    <t>06/20/2019</t>
  </si>
  <si>
    <t>03/01/2019</t>
  </si>
  <si>
    <t>03/18/2019</t>
  </si>
  <si>
    <t>07/02/2019</t>
  </si>
  <si>
    <t>06/14/2019</t>
  </si>
  <si>
    <t>04/25/2019</t>
  </si>
  <si>
    <t>04/19/2019</t>
  </si>
  <si>
    <t>05/14/2019</t>
  </si>
  <si>
    <t>01/02/2019</t>
  </si>
  <si>
    <t>04/04/2019</t>
  </si>
  <si>
    <t>10/16/2018</t>
  </si>
  <si>
    <t>03/25/2019</t>
  </si>
  <si>
    <t>05/21/2019</t>
  </si>
  <si>
    <t>05/17/2019</t>
  </si>
  <si>
    <t>02/21/2019</t>
  </si>
  <si>
    <t>03/28/2019</t>
  </si>
  <si>
    <t>10/15/2018</t>
  </si>
  <si>
    <t>01/14/2019</t>
  </si>
  <si>
    <t>07/10/2019</t>
  </si>
  <si>
    <t>11/03/2018</t>
  </si>
  <si>
    <t>10/19/2018</t>
  </si>
  <si>
    <t>01/30/2019</t>
  </si>
  <si>
    <t>01/18/2019</t>
  </si>
  <si>
    <t>12/14/2018</t>
  </si>
  <si>
    <t>06/12/2019</t>
  </si>
  <si>
    <t>06/21/2019</t>
  </si>
  <si>
    <t>02/19/2019</t>
  </si>
  <si>
    <t>04/08/2019</t>
  </si>
  <si>
    <t>06/05/2019</t>
  </si>
  <si>
    <t>04/22/2019</t>
  </si>
  <si>
    <t>10/09/2018</t>
  </si>
  <si>
    <t>11/30/2018</t>
  </si>
  <si>
    <t>05/28/2019</t>
  </si>
  <si>
    <t>04/01/2019</t>
  </si>
  <si>
    <t>04/15/2019</t>
  </si>
  <si>
    <t>02/11/2018</t>
  </si>
  <si>
    <t>11/27/2018</t>
  </si>
  <si>
    <t>02/04/2019</t>
  </si>
  <si>
    <t>10/10/2018</t>
  </si>
  <si>
    <t>05/08/2019</t>
  </si>
  <si>
    <t>02/11/2019</t>
  </si>
  <si>
    <t>12/18/2019</t>
  </si>
  <si>
    <t>11/29/2018</t>
  </si>
  <si>
    <t>03/04/2019</t>
  </si>
  <si>
    <t>08/14/2018</t>
  </si>
  <si>
    <t>12/27/2018</t>
  </si>
  <si>
    <t>06/17/2019</t>
  </si>
  <si>
    <t>03/07/2019</t>
  </si>
  <si>
    <t>03/06/2019</t>
  </si>
  <si>
    <t>03/15/2019</t>
  </si>
  <si>
    <t>08/15/2018</t>
  </si>
  <si>
    <t>03/08/2019</t>
  </si>
  <si>
    <t>03/21/2019</t>
  </si>
  <si>
    <t>03/29/2019</t>
  </si>
  <si>
    <t>12/31/2018</t>
  </si>
  <si>
    <t>06/24/2019</t>
  </si>
  <si>
    <t>07/03/2019</t>
  </si>
  <si>
    <t>06/15/2019</t>
  </si>
  <si>
    <t>04/29/2019</t>
  </si>
  <si>
    <t>03/20/2019</t>
  </si>
  <si>
    <t>02/15/2019</t>
  </si>
  <si>
    <t>07/05/2019</t>
  </si>
  <si>
    <t>07/09/2019</t>
  </si>
  <si>
    <t>07/08/2019</t>
  </si>
  <si>
    <t>Robeela</t>
  </si>
  <si>
    <t>Amoy</t>
  </si>
  <si>
    <t>Shu Ling</t>
  </si>
  <si>
    <t>Maria</t>
  </si>
  <si>
    <t>Courtney</t>
  </si>
  <si>
    <t>Adelina</t>
  </si>
  <si>
    <t>Mariangely</t>
  </si>
  <si>
    <t>Gerard</t>
  </si>
  <si>
    <t>Pedro</t>
  </si>
  <si>
    <t>Josue</t>
  </si>
  <si>
    <t>Nancy</t>
  </si>
  <si>
    <t>Ana</t>
  </si>
  <si>
    <t>Asia</t>
  </si>
  <si>
    <t>Blanca</t>
  </si>
  <si>
    <t>Yaribel</t>
  </si>
  <si>
    <t>Patrice</t>
  </si>
  <si>
    <t>Elizabeth</t>
  </si>
  <si>
    <t>Tavika</t>
  </si>
  <si>
    <t>Dean</t>
  </si>
  <si>
    <t>Tina</t>
  </si>
  <si>
    <t>Stephanie</t>
  </si>
  <si>
    <t>Valicia</t>
  </si>
  <si>
    <t>Christina</t>
  </si>
  <si>
    <t>Nadine</t>
  </si>
  <si>
    <t>Keshaun</t>
  </si>
  <si>
    <t>Mercedes</t>
  </si>
  <si>
    <t>Brunella</t>
  </si>
  <si>
    <t>Santa</t>
  </si>
  <si>
    <t>Heeadai</t>
  </si>
  <si>
    <t>June</t>
  </si>
  <si>
    <t>Loletta</t>
  </si>
  <si>
    <t>Crystal</t>
  </si>
  <si>
    <t>Izaida</t>
  </si>
  <si>
    <t>Shavon</t>
  </si>
  <si>
    <t>Jaime</t>
  </si>
  <si>
    <t>Syed</t>
  </si>
  <si>
    <t>Armida</t>
  </si>
  <si>
    <t>Luis</t>
  </si>
  <si>
    <t>Carmen</t>
  </si>
  <si>
    <t>Jesus</t>
  </si>
  <si>
    <t>Roberto</t>
  </si>
  <si>
    <t>Wayne</t>
  </si>
  <si>
    <t>Demarie</t>
  </si>
  <si>
    <t>Sharon</t>
  </si>
  <si>
    <t>Kimberly</t>
  </si>
  <si>
    <t>Dilcia</t>
  </si>
  <si>
    <t>Rosalida</t>
  </si>
  <si>
    <t>Sian</t>
  </si>
  <si>
    <t>Alejandro</t>
  </si>
  <si>
    <t>Mary Ann</t>
  </si>
  <si>
    <t>Erica</t>
  </si>
  <si>
    <t>Lydia</t>
  </si>
  <si>
    <t>Akhtar</t>
  </si>
  <si>
    <t>JENNIFER</t>
  </si>
  <si>
    <t>Anthony</t>
  </si>
  <si>
    <t>Seerat</t>
  </si>
  <si>
    <t>Dianna</t>
  </si>
  <si>
    <t>Deddeh</t>
  </si>
  <si>
    <t>Diana</t>
  </si>
  <si>
    <t>Monique</t>
  </si>
  <si>
    <t>Linda</t>
  </si>
  <si>
    <t>Carlena</t>
  </si>
  <si>
    <t>Dedra</t>
  </si>
  <si>
    <t>Maribel</t>
  </si>
  <si>
    <t>Natividad</t>
  </si>
  <si>
    <t>Chervon</t>
  </si>
  <si>
    <t>William</t>
  </si>
  <si>
    <t>Joyette</t>
  </si>
  <si>
    <t>Danny</t>
  </si>
  <si>
    <t>Emely</t>
  </si>
  <si>
    <t>Carolyn</t>
  </si>
  <si>
    <t>Ralph</t>
  </si>
  <si>
    <t>Aurelia</t>
  </si>
  <si>
    <t>Sandra</t>
  </si>
  <si>
    <t>Belinda</t>
  </si>
  <si>
    <t>Maruja</t>
  </si>
  <si>
    <t>Rafael</t>
  </si>
  <si>
    <t>Dante</t>
  </si>
  <si>
    <t>Deborah</t>
  </si>
  <si>
    <t>Larry</t>
  </si>
  <si>
    <t>Bienvenida</t>
  </si>
  <si>
    <t>Toby</t>
  </si>
  <si>
    <t>Iluminada</t>
  </si>
  <si>
    <t>Yolanda</t>
  </si>
  <si>
    <t>Brenda</t>
  </si>
  <si>
    <t>Sebastian</t>
  </si>
  <si>
    <t>Adalberto</t>
  </si>
  <si>
    <t>John</t>
  </si>
  <si>
    <t>Hope</t>
  </si>
  <si>
    <t>Sonia</t>
  </si>
  <si>
    <t>Jesusa</t>
  </si>
  <si>
    <t>Rosa</t>
  </si>
  <si>
    <t>Marilyn</t>
  </si>
  <si>
    <t>Edith</t>
  </si>
  <si>
    <t>Donna</t>
  </si>
  <si>
    <t>Patricia</t>
  </si>
  <si>
    <t>Betty</t>
  </si>
  <si>
    <t>Emma</t>
  </si>
  <si>
    <t>Migdalia</t>
  </si>
  <si>
    <t>Madeline</t>
  </si>
  <si>
    <t>Jose</t>
  </si>
  <si>
    <t>Everton</t>
  </si>
  <si>
    <t>Peter</t>
  </si>
  <si>
    <t>Walter</t>
  </si>
  <si>
    <t>Michelle</t>
  </si>
  <si>
    <t>Lenore</t>
  </si>
  <si>
    <t>Silvia</t>
  </si>
  <si>
    <t>Harvey</t>
  </si>
  <si>
    <t>Paul</t>
  </si>
  <si>
    <t>Cynthia</t>
  </si>
  <si>
    <t>Hamid</t>
  </si>
  <si>
    <t>Yanett</t>
  </si>
  <si>
    <t>Miriam</t>
  </si>
  <si>
    <t>Pierre</t>
  </si>
  <si>
    <t>Annette</t>
  </si>
  <si>
    <t>Mst. Farida</t>
  </si>
  <si>
    <t>Joel</t>
  </si>
  <si>
    <t>Cecila</t>
  </si>
  <si>
    <t>Robert</t>
  </si>
  <si>
    <t>Charles</t>
  </si>
  <si>
    <t>Suzanne</t>
  </si>
  <si>
    <t>Monte</t>
  </si>
  <si>
    <t>Cesar</t>
  </si>
  <si>
    <t>Mariana</t>
  </si>
  <si>
    <t>Dolores</t>
  </si>
  <si>
    <t>Michael</t>
  </si>
  <si>
    <t>Debra</t>
  </si>
  <si>
    <t>Amada</t>
  </si>
  <si>
    <t>Mirian</t>
  </si>
  <si>
    <t>Abdul</t>
  </si>
  <si>
    <t>Claudia</t>
  </si>
  <si>
    <t>Celeste</t>
  </si>
  <si>
    <t>Warren</t>
  </si>
  <si>
    <t>Nelly</t>
  </si>
  <si>
    <t>Norma</t>
  </si>
  <si>
    <t>Giovanni</t>
  </si>
  <si>
    <t>Tomas</t>
  </si>
  <si>
    <t>Temistocles</t>
  </si>
  <si>
    <t>Bashira</t>
  </si>
  <si>
    <t>George</t>
  </si>
  <si>
    <t>Pamela</t>
  </si>
  <si>
    <t>Patrick</t>
  </si>
  <si>
    <t>Darryl</t>
  </si>
  <si>
    <t>Victor</t>
  </si>
  <si>
    <t>Andres</t>
  </si>
  <si>
    <t>Dimas</t>
  </si>
  <si>
    <t>Georgina</t>
  </si>
  <si>
    <t>Marie</t>
  </si>
  <si>
    <t>Louise</t>
  </si>
  <si>
    <t>Karen</t>
  </si>
  <si>
    <t>Lilybeth</t>
  </si>
  <si>
    <t>Yanuaria</t>
  </si>
  <si>
    <t>Elonis</t>
  </si>
  <si>
    <t>Katherine</t>
  </si>
  <si>
    <t>Geraldine</t>
  </si>
  <si>
    <t>Samantha</t>
  </si>
  <si>
    <t>Danielle</t>
  </si>
  <si>
    <t>Johanna</t>
  </si>
  <si>
    <t>Oneida</t>
  </si>
  <si>
    <t>Marcela</t>
  </si>
  <si>
    <t>Virginia</t>
  </si>
  <si>
    <t>Melissa</t>
  </si>
  <si>
    <t>Mariatou</t>
  </si>
  <si>
    <t>Carlos</t>
  </si>
  <si>
    <t>Conchita</t>
  </si>
  <si>
    <t>Emmanuel</t>
  </si>
  <si>
    <t>Martha</t>
  </si>
  <si>
    <t>Jessica</t>
  </si>
  <si>
    <t>Dorothy</t>
  </si>
  <si>
    <t>Valerie</t>
  </si>
  <si>
    <t>Yvonne</t>
  </si>
  <si>
    <t>Margarita</t>
  </si>
  <si>
    <t>Afrikah</t>
  </si>
  <si>
    <t>Eufemia</t>
  </si>
  <si>
    <t>Tara</t>
  </si>
  <si>
    <t>Jacinta</t>
  </si>
  <si>
    <t>Daniel</t>
  </si>
  <si>
    <t>Yenny</t>
  </si>
  <si>
    <t>Josephine</t>
  </si>
  <si>
    <t>Angelia</t>
  </si>
  <si>
    <t>Marleny</t>
  </si>
  <si>
    <t>Nelia</t>
  </si>
  <si>
    <t>Barbara</t>
  </si>
  <si>
    <t>Madina</t>
  </si>
  <si>
    <t>Monica</t>
  </si>
  <si>
    <t>Evan</t>
  </si>
  <si>
    <t>Claritza</t>
  </si>
  <si>
    <t>Souher</t>
  </si>
  <si>
    <t>Marcia</t>
  </si>
  <si>
    <t>Nicholas</t>
  </si>
  <si>
    <t>Serrina</t>
  </si>
  <si>
    <t>Dionicio</t>
  </si>
  <si>
    <t>Miguel</t>
  </si>
  <si>
    <t>Willie</t>
  </si>
  <si>
    <t>Brunilda</t>
  </si>
  <si>
    <t>Manuel</t>
  </si>
  <si>
    <t>Julia</t>
  </si>
  <si>
    <t>Rochelle</t>
  </si>
  <si>
    <t>Francisco</t>
  </si>
  <si>
    <t>Lyudmila</t>
  </si>
  <si>
    <t>Terry</t>
  </si>
  <si>
    <t>Mary</t>
  </si>
  <si>
    <t>Elba</t>
  </si>
  <si>
    <t>Dawn</t>
  </si>
  <si>
    <t>Yanet</t>
  </si>
  <si>
    <t>Ligia</t>
  </si>
  <si>
    <t>Tiffany</t>
  </si>
  <si>
    <t>Ebony</t>
  </si>
  <si>
    <t>Howard</t>
  </si>
  <si>
    <t>Admir</t>
  </si>
  <si>
    <t>Nicole</t>
  </si>
  <si>
    <t>Jacquelin</t>
  </si>
  <si>
    <t>Adrienne</t>
  </si>
  <si>
    <t>Clarissa</t>
  </si>
  <si>
    <t>Roma</t>
  </si>
  <si>
    <t>Rosalind</t>
  </si>
  <si>
    <t>David</t>
  </si>
  <si>
    <t>Susana</t>
  </si>
  <si>
    <t>Octavia</t>
  </si>
  <si>
    <t>Vladimir</t>
  </si>
  <si>
    <t>Aracelis</t>
  </si>
  <si>
    <t>Tashawna</t>
  </si>
  <si>
    <t>Sedina</t>
  </si>
  <si>
    <t>Victoria</t>
  </si>
  <si>
    <t>Ytalina</t>
  </si>
  <si>
    <t>Alison</t>
  </si>
  <si>
    <t>Edward</t>
  </si>
  <si>
    <t>Winifred</t>
  </si>
  <si>
    <t>Lord</t>
  </si>
  <si>
    <t>Jackie</t>
  </si>
  <si>
    <t>Taisha</t>
  </si>
  <si>
    <t>Jean</t>
  </si>
  <si>
    <t>Chrysanthius</t>
  </si>
  <si>
    <t>Jacqueline</t>
  </si>
  <si>
    <t>Anita</t>
  </si>
  <si>
    <t>Fitzroy</t>
  </si>
  <si>
    <t>Josefina</t>
  </si>
  <si>
    <t>Ricardo</t>
  </si>
  <si>
    <t>Camella</t>
  </si>
  <si>
    <t>Jezena</t>
  </si>
  <si>
    <t>Lois</t>
  </si>
  <si>
    <t>Annie</t>
  </si>
  <si>
    <t>Graham</t>
  </si>
  <si>
    <t>Mikkia</t>
  </si>
  <si>
    <t>Pauline</t>
  </si>
  <si>
    <t>Manuela</t>
  </si>
  <si>
    <t>Kwabwo</t>
  </si>
  <si>
    <t>Adriana</t>
  </si>
  <si>
    <t>Ivette</t>
  </si>
  <si>
    <t>Linneth</t>
  </si>
  <si>
    <t>Frances</t>
  </si>
  <si>
    <t>Vanderlyn</t>
  </si>
  <si>
    <t>WHITNEY</t>
  </si>
  <si>
    <t>Phyllis</t>
  </si>
  <si>
    <t>Maritza</t>
  </si>
  <si>
    <t>Helen</t>
  </si>
  <si>
    <t>Aiden</t>
  </si>
  <si>
    <t>Fermin</t>
  </si>
  <si>
    <t>Malasia</t>
  </si>
  <si>
    <t>Marcos</t>
  </si>
  <si>
    <t>Nydia</t>
  </si>
  <si>
    <t>Joanna</t>
  </si>
  <si>
    <t>Laura</t>
  </si>
  <si>
    <t>Nucleo</t>
  </si>
  <si>
    <t>Renee</t>
  </si>
  <si>
    <t>Antiellia</t>
  </si>
  <si>
    <t>Bajwa</t>
  </si>
  <si>
    <t>Ruby</t>
  </si>
  <si>
    <t>Yang</t>
  </si>
  <si>
    <t>Portilla</t>
  </si>
  <si>
    <t>Paula de Garcia</t>
  </si>
  <si>
    <t>Scullark</t>
  </si>
  <si>
    <t>Trujilo</t>
  </si>
  <si>
    <t>Gonzalez</t>
  </si>
  <si>
    <t>Jefferson</t>
  </si>
  <si>
    <t>Buret</t>
  </si>
  <si>
    <t>Castillo</t>
  </si>
  <si>
    <t>Jimenez</t>
  </si>
  <si>
    <t>Dematos</t>
  </si>
  <si>
    <t>Ricks</t>
  </si>
  <si>
    <t>Alvarado</t>
  </si>
  <si>
    <t>Montes De Oca</t>
  </si>
  <si>
    <t>Diaz-Migoyo</t>
  </si>
  <si>
    <t>Burke</t>
  </si>
  <si>
    <t>Benjamin</t>
  </si>
  <si>
    <t>Warmack</t>
  </si>
  <si>
    <t>Berroa</t>
  </si>
  <si>
    <t>Torres</t>
  </si>
  <si>
    <t>Thompson</t>
  </si>
  <si>
    <t>Ginel</t>
  </si>
  <si>
    <t>Lovett</t>
  </si>
  <si>
    <t>Gore</t>
  </si>
  <si>
    <t>Adega</t>
  </si>
  <si>
    <t>Russo</t>
  </si>
  <si>
    <t>Crucey</t>
  </si>
  <si>
    <t>Rambudhan</t>
  </si>
  <si>
    <t>Saunders</t>
  </si>
  <si>
    <t>Estavez</t>
  </si>
  <si>
    <t>Encarnacion</t>
  </si>
  <si>
    <t>Castro</t>
  </si>
  <si>
    <t>Bradshaw</t>
  </si>
  <si>
    <t>Steinberg</t>
  </si>
  <si>
    <t>Abbas</t>
  </si>
  <si>
    <t>Romero</t>
  </si>
  <si>
    <t>Martinez</t>
  </si>
  <si>
    <t>Meracdo</t>
  </si>
  <si>
    <t>Perez</t>
  </si>
  <si>
    <t>Carrion</t>
  </si>
  <si>
    <t>Nesmith</t>
  </si>
  <si>
    <t>Hamer</t>
  </si>
  <si>
    <t>Suber</t>
  </si>
  <si>
    <t>Johnson</t>
  </si>
  <si>
    <t>Rodriguez</t>
  </si>
  <si>
    <t>Vargas</t>
  </si>
  <si>
    <t>Trotman</t>
  </si>
  <si>
    <t>Ferrari</t>
  </si>
  <si>
    <t>Nolan</t>
  </si>
  <si>
    <t>Roman</t>
  </si>
  <si>
    <t>Mohammad</t>
  </si>
  <si>
    <t>ULLOA</t>
  </si>
  <si>
    <t>Huarneck</t>
  </si>
  <si>
    <t>Seecharan</t>
  </si>
  <si>
    <t>Kolubo</t>
  </si>
  <si>
    <t>Sanchez</t>
  </si>
  <si>
    <t>Gray</t>
  </si>
  <si>
    <t>Chavez</t>
  </si>
  <si>
    <t>Marmolejos</t>
  </si>
  <si>
    <t>Eraham</t>
  </si>
  <si>
    <t>Soto</t>
  </si>
  <si>
    <t>Ramos</t>
  </si>
  <si>
    <t>Findley</t>
  </si>
  <si>
    <t>Santiago</t>
  </si>
  <si>
    <t>Bougouneau</t>
  </si>
  <si>
    <t>Reyes</t>
  </si>
  <si>
    <t>Vidal</t>
  </si>
  <si>
    <t>Nunez</t>
  </si>
  <si>
    <t>Robinison</t>
  </si>
  <si>
    <t>Zollo</t>
  </si>
  <si>
    <t>Varaques</t>
  </si>
  <si>
    <t>Ruiz</t>
  </si>
  <si>
    <t>Robles</t>
  </si>
  <si>
    <t>Estevez</t>
  </si>
  <si>
    <t>Gordon</t>
  </si>
  <si>
    <t>Bovian</t>
  </si>
  <si>
    <t>Nicholson</t>
  </si>
  <si>
    <t>House</t>
  </si>
  <si>
    <t>Paez</t>
  </si>
  <si>
    <t>Patterson</t>
  </si>
  <si>
    <t>Ocasio</t>
  </si>
  <si>
    <t>Campfield</t>
  </si>
  <si>
    <t>De La Cruz</t>
  </si>
  <si>
    <t>Spruce</t>
  </si>
  <si>
    <t>Arias</t>
  </si>
  <si>
    <t>White</t>
  </si>
  <si>
    <t>Jones</t>
  </si>
  <si>
    <t>Sotomayor</t>
  </si>
  <si>
    <t>Roldan</t>
  </si>
  <si>
    <t>Javier</t>
  </si>
  <si>
    <t>Mullins</t>
  </si>
  <si>
    <t>Cornielle</t>
  </si>
  <si>
    <t>Cervantes</t>
  </si>
  <si>
    <t>McCain</t>
  </si>
  <si>
    <t>Vasquez</t>
  </si>
  <si>
    <t>Roubert</t>
  </si>
  <si>
    <t>Mendez</t>
  </si>
  <si>
    <t>Rentas</t>
  </si>
  <si>
    <t>Webster</t>
  </si>
  <si>
    <t>Ofner</t>
  </si>
  <si>
    <t>Smith</t>
  </si>
  <si>
    <t>Olmo</t>
  </si>
  <si>
    <t>Tull</t>
  </si>
  <si>
    <t>Caceres</t>
  </si>
  <si>
    <t>Tillery</t>
  </si>
  <si>
    <t>Waters</t>
  </si>
  <si>
    <t>Kee</t>
  </si>
  <si>
    <t>Smalls</t>
  </si>
  <si>
    <t>Afzali</t>
  </si>
  <si>
    <t>Mejia</t>
  </si>
  <si>
    <t>Guadelupe</t>
  </si>
  <si>
    <t>Telusma</t>
  </si>
  <si>
    <t>Laureano</t>
  </si>
  <si>
    <t>Yeasmin</t>
  </si>
  <si>
    <t>Diaz Quiles</t>
  </si>
  <si>
    <t>Hernandez</t>
  </si>
  <si>
    <t>Genao-Antonio</t>
  </si>
  <si>
    <t>Bell</t>
  </si>
  <si>
    <t>Aurich</t>
  </si>
  <si>
    <t>Marrero</t>
  </si>
  <si>
    <t>Storms</t>
  </si>
  <si>
    <t>Guthridge</t>
  </si>
  <si>
    <t>Drayton</t>
  </si>
  <si>
    <t>Melendez</t>
  </si>
  <si>
    <t>Lawrence</t>
  </si>
  <si>
    <t>Nelson</t>
  </si>
  <si>
    <t>Simmons</t>
  </si>
  <si>
    <t>Mirambeaux</t>
  </si>
  <si>
    <t>Ashmid</t>
  </si>
  <si>
    <t>Maccow</t>
  </si>
  <si>
    <t>Justiniano</t>
  </si>
  <si>
    <t>Diaz</t>
  </si>
  <si>
    <t>Russell</t>
  </si>
  <si>
    <t>Serrano</t>
  </si>
  <si>
    <t>Morales</t>
  </si>
  <si>
    <t>Miner</t>
  </si>
  <si>
    <t>Alvarez</t>
  </si>
  <si>
    <t>Gibson</t>
  </si>
  <si>
    <t>Wanko</t>
  </si>
  <si>
    <t>Gil Abreu</t>
  </si>
  <si>
    <t>Horsham</t>
  </si>
  <si>
    <t>Satous</t>
  </si>
  <si>
    <t>Ashwood</t>
  </si>
  <si>
    <t>Mo</t>
  </si>
  <si>
    <t>Delaney</t>
  </si>
  <si>
    <t>Arroyo</t>
  </si>
  <si>
    <t>Medina</t>
  </si>
  <si>
    <t>Reyes Fernandez</t>
  </si>
  <si>
    <t>Di Giorno</t>
  </si>
  <si>
    <t>Moya</t>
  </si>
  <si>
    <t>Bonneau</t>
  </si>
  <si>
    <t>Carroll</t>
  </si>
  <si>
    <t>Arce</t>
  </si>
  <si>
    <t>Ramirez</t>
  </si>
  <si>
    <t>Morris</t>
  </si>
  <si>
    <t>Modesta</t>
  </si>
  <si>
    <t>Scippio</t>
  </si>
  <si>
    <t>Scalia</t>
  </si>
  <si>
    <t>Cordero</t>
  </si>
  <si>
    <t>Ruddock</t>
  </si>
  <si>
    <t>Dunn</t>
  </si>
  <si>
    <t>Mack</t>
  </si>
  <si>
    <t>Lopez</t>
  </si>
  <si>
    <t>Salazar</t>
  </si>
  <si>
    <t>Vicenty</t>
  </si>
  <si>
    <t>Velez</t>
  </si>
  <si>
    <t>Acevedo</t>
  </si>
  <si>
    <t>Diallo</t>
  </si>
  <si>
    <t>Cabral</t>
  </si>
  <si>
    <t>Holliday</t>
  </si>
  <si>
    <t>Teye-Okofo</t>
  </si>
  <si>
    <t>Velasquez</t>
  </si>
  <si>
    <t>Muller-Cowan</t>
  </si>
  <si>
    <t>Ashe-Gorbea</t>
  </si>
  <si>
    <t>Lockett</t>
  </si>
  <si>
    <t>Harmon</t>
  </si>
  <si>
    <t>Covert</t>
  </si>
  <si>
    <t>Roth</t>
  </si>
  <si>
    <t>Vazquez</t>
  </si>
  <si>
    <t>Rojas</t>
  </si>
  <si>
    <t>Irizzary</t>
  </si>
  <si>
    <t>Guzman</t>
  </si>
  <si>
    <t>Addison</t>
  </si>
  <si>
    <t>Alonzo Reyes</t>
  </si>
  <si>
    <t>Quezada</t>
  </si>
  <si>
    <t>Serpa</t>
  </si>
  <si>
    <t>de Estevez</t>
  </si>
  <si>
    <t>Webber</t>
  </si>
  <si>
    <t>Simon</t>
  </si>
  <si>
    <t>Canciello</t>
  </si>
  <si>
    <t>Prater</t>
  </si>
  <si>
    <t>Nagaki</t>
  </si>
  <si>
    <t>Corporan</t>
  </si>
  <si>
    <t>Hayes</t>
  </si>
  <si>
    <t>Soliman</t>
  </si>
  <si>
    <t>Laboy</t>
  </si>
  <si>
    <t>Thomas</t>
  </si>
  <si>
    <t>Moran</t>
  </si>
  <si>
    <t>Garcia</t>
  </si>
  <si>
    <t>Coleman</t>
  </si>
  <si>
    <t>Dabu</t>
  </si>
  <si>
    <t>Sumpter</t>
  </si>
  <si>
    <t>Pakiakis</t>
  </si>
  <si>
    <t>James</t>
  </si>
  <si>
    <t>Solano</t>
  </si>
  <si>
    <t>Akilov</t>
  </si>
  <si>
    <t>Jenkins</t>
  </si>
  <si>
    <t>Rivera</t>
  </si>
  <si>
    <t>Nilsen</t>
  </si>
  <si>
    <t>Moore</t>
  </si>
  <si>
    <t>Berreta</t>
  </si>
  <si>
    <t>Marquez</t>
  </si>
  <si>
    <t>Villalba</t>
  </si>
  <si>
    <t>Schwing</t>
  </si>
  <si>
    <t>Ortega</t>
  </si>
  <si>
    <t>Pastrana</t>
  </si>
  <si>
    <t>Montalvo</t>
  </si>
  <si>
    <t>Guillem</t>
  </si>
  <si>
    <t>Rasic</t>
  </si>
  <si>
    <t>Richter</t>
  </si>
  <si>
    <t>Escobar</t>
  </si>
  <si>
    <t>Collins</t>
  </si>
  <si>
    <t>Curry</t>
  </si>
  <si>
    <t>Andino</t>
  </si>
  <si>
    <t>Irizarry</t>
  </si>
  <si>
    <t>Lugo</t>
  </si>
  <si>
    <t>Whyte</t>
  </si>
  <si>
    <t>Addico</t>
  </si>
  <si>
    <t>Moultrie</t>
  </si>
  <si>
    <t>Thacher</t>
  </si>
  <si>
    <t>De Aza</t>
  </si>
  <si>
    <t>Gutierrez</t>
  </si>
  <si>
    <t>Walters</t>
  </si>
  <si>
    <t>Rosas</t>
  </si>
  <si>
    <t>Roberts</t>
  </si>
  <si>
    <t>Manon</t>
  </si>
  <si>
    <t>Belgrave</t>
  </si>
  <si>
    <t>Grier</t>
  </si>
  <si>
    <t>McClarin</t>
  </si>
  <si>
    <t>Adrakor</t>
  </si>
  <si>
    <t>Lewis</t>
  </si>
  <si>
    <t>Colbert</t>
  </si>
  <si>
    <t>Williams</t>
  </si>
  <si>
    <t>Denehan</t>
  </si>
  <si>
    <t>Colon</t>
  </si>
  <si>
    <t>Hill</t>
  </si>
  <si>
    <t>Christian</t>
  </si>
  <si>
    <t>Najera</t>
  </si>
  <si>
    <t>Jackson</t>
  </si>
  <si>
    <t>Austin</t>
  </si>
  <si>
    <t>Cundiff</t>
  </si>
  <si>
    <t>Figueroa</t>
  </si>
  <si>
    <t>Gomez</t>
  </si>
  <si>
    <t>Katt</t>
  </si>
  <si>
    <t>Okomeng</t>
  </si>
  <si>
    <t>Perdomo</t>
  </si>
  <si>
    <t>Davila-Richards</t>
  </si>
  <si>
    <t>Robinson</t>
  </si>
  <si>
    <t>Rookwood</t>
  </si>
  <si>
    <t>Lam</t>
  </si>
  <si>
    <t>Wiscovitch</t>
  </si>
  <si>
    <t>DAVIDSON- RHODES</t>
  </si>
  <si>
    <t>Mials</t>
  </si>
  <si>
    <t>Richmond</t>
  </si>
  <si>
    <t>Ferreria</t>
  </si>
  <si>
    <t>Blumenthal</t>
  </si>
  <si>
    <t>Cattaneo</t>
  </si>
  <si>
    <t>Brazoban</t>
  </si>
  <si>
    <t>Simpson</t>
  </si>
  <si>
    <t>Apparicio</t>
  </si>
  <si>
    <t>Mueses</t>
  </si>
  <si>
    <t>Rivera Mendez</t>
  </si>
  <si>
    <t>Rouse</t>
  </si>
  <si>
    <t>Midgette</t>
  </si>
  <si>
    <t>Corona Rios</t>
  </si>
  <si>
    <t>Vega</t>
  </si>
  <si>
    <t>Santos</t>
  </si>
  <si>
    <t>Sterling</t>
  </si>
  <si>
    <t>8806 191st St</t>
  </si>
  <si>
    <t>13514 Hook Creek Blvd</t>
  </si>
  <si>
    <t>6140 146th St</t>
  </si>
  <si>
    <t>13906 34th Rd</t>
  </si>
  <si>
    <t>2111 Southern Blvd</t>
  </si>
  <si>
    <t>1829 Anthony Ave</t>
  </si>
  <si>
    <t>2120 Grand Ave</t>
  </si>
  <si>
    <t>1600 Sedgwick Ave</t>
  </si>
  <si>
    <t>1416 Walton Ave</t>
  </si>
  <si>
    <t>1544 Walton Ave</t>
  </si>
  <si>
    <t>1155 Grand Concourse</t>
  </si>
  <si>
    <t>790 Grand Concourse</t>
  </si>
  <si>
    <t>262 Pulaski Ave</t>
  </si>
  <si>
    <t>110 Post Ave</t>
  </si>
  <si>
    <t>5009 Broadway</t>
  </si>
  <si>
    <t>523 W 162nd St</t>
  </si>
  <si>
    <t>Po Box 230455</t>
  </si>
  <si>
    <t>2095 Mohegan Ave</t>
  </si>
  <si>
    <t>2123 Boston Rd</t>
  </si>
  <si>
    <t>860 Belmont Ave</t>
  </si>
  <si>
    <t>47 Featherbed Ln</t>
  </si>
  <si>
    <t>1004 Hegeman Ave</t>
  </si>
  <si>
    <t>538 Beach 68th st</t>
  </si>
  <si>
    <t>1027 E 216th St</t>
  </si>
  <si>
    <t>825 Gerard Ave</t>
  </si>
  <si>
    <t>1738 Univ Ave</t>
  </si>
  <si>
    <t>1920 Walton Ave</t>
  </si>
  <si>
    <t>11536 125th St</t>
  </si>
  <si>
    <t>237 Clove Rd</t>
  </si>
  <si>
    <t>685e E 243rd St</t>
  </si>
  <si>
    <t>1505 Walton Ave</t>
  </si>
  <si>
    <t>304 E 156th St</t>
  </si>
  <si>
    <t>2454 Tiebout Ave</t>
  </si>
  <si>
    <t>11907 101st Ave</t>
  </si>
  <si>
    <t>1540 Walton Ave</t>
  </si>
  <si>
    <t>546 E 145th St</t>
  </si>
  <si>
    <t>8 Rutland Rd</t>
  </si>
  <si>
    <t>1777 Grand Concourse</t>
  </si>
  <si>
    <t>20 Richman Plz</t>
  </si>
  <si>
    <t>1072 Woodycrest Ave</t>
  </si>
  <si>
    <t>14623 220th St</t>
  </si>
  <si>
    <t>124 E 117th St</t>
  </si>
  <si>
    <t>2260 Strauss St</t>
  </si>
  <si>
    <t>1221 Sheridan Ave</t>
  </si>
  <si>
    <t>130 Vandalia Ave</t>
  </si>
  <si>
    <t>1233 White Plains Rd</t>
  </si>
  <si>
    <t>13912 34th Rd</t>
  </si>
  <si>
    <t>1953 Sedgwick Ave</t>
  </si>
  <si>
    <t>1051 Anderson Ave</t>
  </si>
  <si>
    <t>1461 Commonwealth Ave</t>
  </si>
  <si>
    <t>8757 124th St</t>
  </si>
  <si>
    <t>180 Park Hill Ave</t>
  </si>
  <si>
    <t>6536 99th St</t>
  </si>
  <si>
    <t>13020 Inwood St</t>
  </si>
  <si>
    <t>269 E Burnside Ave</t>
  </si>
  <si>
    <t>226 E 203rd St</t>
  </si>
  <si>
    <t>99 Marble Hill Ave</t>
  </si>
  <si>
    <t>1752 Walton Ave</t>
  </si>
  <si>
    <t>1245 Grandview Pl</t>
  </si>
  <si>
    <t>10929 Sutphin Blvd</t>
  </si>
  <si>
    <t>2 Elton St</t>
  </si>
  <si>
    <t>921 E 180th St</t>
  </si>
  <si>
    <t>436 49th St</t>
  </si>
  <si>
    <t>19619 Jamaica Ave</t>
  </si>
  <si>
    <t>3530 94th St</t>
  </si>
  <si>
    <t>605 W 42nd St</t>
  </si>
  <si>
    <t>1129 Vyse Ave</t>
  </si>
  <si>
    <t>1875 Univ Ave</t>
  </si>
  <si>
    <t>2256 Walton Ave</t>
  </si>
  <si>
    <t>737 Southern Blvd</t>
  </si>
  <si>
    <t>125 Marcy Pl</t>
  </si>
  <si>
    <t>480 Saint Nicholas Ave</t>
  </si>
  <si>
    <t>4382 Furman Ave</t>
  </si>
  <si>
    <t>3534 Bronx Blvd</t>
  </si>
  <si>
    <t>115 Marcy Pl</t>
  </si>
  <si>
    <t>1212 Grand Concourse</t>
  </si>
  <si>
    <t>736 Willoughby Ave</t>
  </si>
  <si>
    <t>521 W 185th St</t>
  </si>
  <si>
    <t>471 Hicks St</t>
  </si>
  <si>
    <t>788 E 182nd ST</t>
  </si>
  <si>
    <t>48 Post Ave</t>
  </si>
  <si>
    <t>1170 Gerard Ave</t>
  </si>
  <si>
    <t>899 Westchester Ave</t>
  </si>
  <si>
    <t>1325 Lafayette Ave</t>
  </si>
  <si>
    <t>36 Sherman Ave</t>
  </si>
  <si>
    <t>1185 Grand Concourse</t>
  </si>
  <si>
    <t>737 E 219th St</t>
  </si>
  <si>
    <t>31 Park Ter W</t>
  </si>
  <si>
    <t>3757 Barnes Ave</t>
  </si>
  <si>
    <t>759 46th St</t>
  </si>
  <si>
    <t>9319 205th St</t>
  </si>
  <si>
    <t>750 grand concourse</t>
  </si>
  <si>
    <t>1737 Davidson Ave</t>
  </si>
  <si>
    <t>1005 Jerome Ave</t>
  </si>
  <si>
    <t>14330 Roosevelt Ave</t>
  </si>
  <si>
    <t>355 E 187th St</t>
  </si>
  <si>
    <t>4170 Carpenter Ave</t>
  </si>
  <si>
    <t>3339 Park Ave</t>
  </si>
  <si>
    <t>505 Mcdonald Ave</t>
  </si>
  <si>
    <t>501 E 161st St</t>
  </si>
  <si>
    <t>1054 Walton Ave</t>
  </si>
  <si>
    <t>2176 Grand Ave</t>
  </si>
  <si>
    <t>501 W 184th St</t>
  </si>
  <si>
    <t>1555 Grand Concourse</t>
  </si>
  <si>
    <t>2976 Marion Ave</t>
  </si>
  <si>
    <t>200 Nagle Ave</t>
  </si>
  <si>
    <t>825 Boynton Ave</t>
  </si>
  <si>
    <t>260 Audubon Ave</t>
  </si>
  <si>
    <t>104 W 83rd St</t>
  </si>
  <si>
    <t>560 W 160th St</t>
  </si>
  <si>
    <t>1414 Walton Ave</t>
  </si>
  <si>
    <t>2952 Marion Ave</t>
  </si>
  <si>
    <t>127 E 107th St</t>
  </si>
  <si>
    <t>1244 Grand Concourse</t>
  </si>
  <si>
    <t>881 Cauldwell Ave</t>
  </si>
  <si>
    <t>11245 Sea View Ave</t>
  </si>
  <si>
    <t>119 Vermilyea Ave</t>
  </si>
  <si>
    <t>2742 Mcintosh St</t>
  </si>
  <si>
    <t>1001 Woodycrest Ave</t>
  </si>
  <si>
    <t>100 W 83rd St</t>
  </si>
  <si>
    <t>1944 Mcgraw Ave</t>
  </si>
  <si>
    <t>2440 Walton Ave</t>
  </si>
  <si>
    <t>711 W 180th St</t>
  </si>
  <si>
    <t>655 W 160th St</t>
  </si>
  <si>
    <t>3366 Decatur Ave</t>
  </si>
  <si>
    <t>955 Cauldwell Ave</t>
  </si>
  <si>
    <t>1777 grand concourse</t>
  </si>
  <si>
    <t>1521 Sheridan Ave</t>
  </si>
  <si>
    <t>1327 Southern Blvd</t>
  </si>
  <si>
    <t>51 E Houston St</t>
  </si>
  <si>
    <t>513 E 13th St</t>
  </si>
  <si>
    <t>14 Macfarland Ave</t>
  </si>
  <si>
    <t>1035 Grand Concourse</t>
  </si>
  <si>
    <t>2313 Loring Pl N</t>
  </si>
  <si>
    <t>285 Schenectady Ave</t>
  </si>
  <si>
    <t>702 44th St</t>
  </si>
  <si>
    <t>2400 Webb Ave</t>
  </si>
  <si>
    <t>100 W 163rd St</t>
  </si>
  <si>
    <t>1060 Sheridan Ave</t>
  </si>
  <si>
    <t>252 Sherman ave</t>
  </si>
  <si>
    <t>1220 Shakespeare Ave</t>
  </si>
  <si>
    <t>13918 34th Rd</t>
  </si>
  <si>
    <t>132 Ralph Ave</t>
  </si>
  <si>
    <t>1320 Chisholm St</t>
  </si>
  <si>
    <t>1715 Longfellow Ave</t>
  </si>
  <si>
    <t>454 E 179th St</t>
  </si>
  <si>
    <t>4209 47th Ave</t>
  </si>
  <si>
    <t>2001 Morris Ave</t>
  </si>
  <si>
    <t>830 Elton Ave</t>
  </si>
  <si>
    <t>1652 Park Ave</t>
  </si>
  <si>
    <t>121 Sherman Ave</t>
  </si>
  <si>
    <t>212 W Kingsbridge Rd</t>
  </si>
  <si>
    <t>1425 Univ Ave</t>
  </si>
  <si>
    <t>1235 Grand Concourse</t>
  </si>
  <si>
    <t>10717 Van Wyck Expy</t>
  </si>
  <si>
    <t>675 Linden Blvd</t>
  </si>
  <si>
    <t>1201 Ogden Ave</t>
  </si>
  <si>
    <t>516 Main St</t>
  </si>
  <si>
    <t>25 Cooper St</t>
  </si>
  <si>
    <t>1560 Grand Concourse</t>
  </si>
  <si>
    <t>1700 Crotona Park E</t>
  </si>
  <si>
    <t>607 Flatbush Ave</t>
  </si>
  <si>
    <t>8 W 169th St</t>
  </si>
  <si>
    <t>14074 34th Ave</t>
  </si>
  <si>
    <t>210 Sherman Ave</t>
  </si>
  <si>
    <t>3035 Wallace Ave</t>
  </si>
  <si>
    <t>246 E 199th St</t>
  </si>
  <si>
    <t>497 W 182nd St</t>
  </si>
  <si>
    <t>1711 Davidson Ave</t>
  </si>
  <si>
    <t>675 Lincoln Ave</t>
  </si>
  <si>
    <t>5008 Broadway</t>
  </si>
  <si>
    <t>2141 Holland Ave</t>
  </si>
  <si>
    <t>316 E 49th St</t>
  </si>
  <si>
    <t>20812 39th Ave</t>
  </si>
  <si>
    <t>1417 Stanley Ave</t>
  </si>
  <si>
    <t>275 E Gun Hill Rd</t>
  </si>
  <si>
    <t>100 Cooper St</t>
  </si>
  <si>
    <t>395 Fort Washington Ave</t>
  </si>
  <si>
    <t>1750 Grand Concourse</t>
  </si>
  <si>
    <t>455 Fort Washington Ave</t>
  </si>
  <si>
    <t>75 Thayer St</t>
  </si>
  <si>
    <t>1485 Macombs Rd</t>
  </si>
  <si>
    <t>10825 Jamaica Ave</t>
  </si>
  <si>
    <t>174 E 85th St</t>
  </si>
  <si>
    <t>6820 Burns St</t>
  </si>
  <si>
    <t>57 Wadsworth Ter</t>
  </si>
  <si>
    <t>130 E 104th St</t>
  </si>
  <si>
    <t>917 Ogden Ave</t>
  </si>
  <si>
    <t>1275 Edward L Grant Hwy</t>
  </si>
  <si>
    <t>656 Stanley Ave</t>
  </si>
  <si>
    <t>220 W 149th St</t>
  </si>
  <si>
    <t>1924 Univ Ave</t>
  </si>
  <si>
    <t>1516 Beach Ave</t>
  </si>
  <si>
    <t>105 Pinehurst Ave</t>
  </si>
  <si>
    <t>2860 Decatur Ave</t>
  </si>
  <si>
    <t>54 Linden Blvd</t>
  </si>
  <si>
    <t>34 Bogardus Pl</t>
  </si>
  <si>
    <t>735 Lincoln Ave</t>
  </si>
  <si>
    <t>252 Sherman Ave</t>
  </si>
  <si>
    <t>3318 Steuben Ave</t>
  </si>
  <si>
    <t>165 E 179th St</t>
  </si>
  <si>
    <t>117 Sherman Ave</t>
  </si>
  <si>
    <t>15 Featherbed Ln</t>
  </si>
  <si>
    <t>5002 3rd Ave</t>
  </si>
  <si>
    <t>2875 Sedgwick Ave</t>
  </si>
  <si>
    <t>3030 Valentine Ave</t>
  </si>
  <si>
    <t>804 Macon St</t>
  </si>
  <si>
    <t>454 E 148th St</t>
  </si>
  <si>
    <t>914 Simpson St</t>
  </si>
  <si>
    <t>812 W 181st St</t>
  </si>
  <si>
    <t>1195 Anderson Ave</t>
  </si>
  <si>
    <t>358 Saint Johns Pl</t>
  </si>
  <si>
    <t>1098 Gerard Ave</t>
  </si>
  <si>
    <t>830 Magenta St</t>
  </si>
  <si>
    <t>5000 Broadway</t>
  </si>
  <si>
    <t>570 Fort Washington Ave</t>
  </si>
  <si>
    <t>3736 10th Ave</t>
  </si>
  <si>
    <t>1646 Union St</t>
  </si>
  <si>
    <t>930 Ogden Ave</t>
  </si>
  <si>
    <t>615 W 183rd St</t>
  </si>
  <si>
    <t>5025 Broadway</t>
  </si>
  <si>
    <t>1 Seaman Ave</t>
  </si>
  <si>
    <t>903 Belmont Ave</t>
  </si>
  <si>
    <t>1st Floor</t>
  </si>
  <si>
    <t>D1</t>
  </si>
  <si>
    <t>2F</t>
  </si>
  <si>
    <t>4C</t>
  </si>
  <si>
    <t>14B</t>
  </si>
  <si>
    <t>1-WN</t>
  </si>
  <si>
    <t>GB</t>
  </si>
  <si>
    <t>5h</t>
  </si>
  <si>
    <t>5N</t>
  </si>
  <si>
    <t>2nd floor</t>
  </si>
  <si>
    <t>3A</t>
  </si>
  <si>
    <t>24A</t>
  </si>
  <si>
    <t>6L</t>
  </si>
  <si>
    <t>2nd Floor</t>
  </si>
  <si>
    <t>C3</t>
  </si>
  <si>
    <t>2nd Fl</t>
  </si>
  <si>
    <t>1A</t>
  </si>
  <si>
    <t>1F</t>
  </si>
  <si>
    <t>2M</t>
  </si>
  <si>
    <t>1st fl</t>
  </si>
  <si>
    <t>16 H</t>
  </si>
  <si>
    <t>4H</t>
  </si>
  <si>
    <t>9F</t>
  </si>
  <si>
    <t>12G</t>
  </si>
  <si>
    <t>6B</t>
  </si>
  <si>
    <t>2L</t>
  </si>
  <si>
    <t>GC</t>
  </si>
  <si>
    <t>BSMT</t>
  </si>
  <si>
    <t>2C</t>
  </si>
  <si>
    <t>10F</t>
  </si>
  <si>
    <t>3C</t>
  </si>
  <si>
    <t>25 A</t>
  </si>
  <si>
    <t>17K</t>
  </si>
  <si>
    <t>4B</t>
  </si>
  <si>
    <t>8H</t>
  </si>
  <si>
    <t>5H</t>
  </si>
  <si>
    <t>2 floor</t>
  </si>
  <si>
    <t>10H</t>
  </si>
  <si>
    <t>A1</t>
  </si>
  <si>
    <t>G31</t>
  </si>
  <si>
    <t>2B</t>
  </si>
  <si>
    <t>3E</t>
  </si>
  <si>
    <t>5R</t>
  </si>
  <si>
    <t>3D</t>
  </si>
  <si>
    <t>Unit 1</t>
  </si>
  <si>
    <t>30F</t>
  </si>
  <si>
    <t>5B</t>
  </si>
  <si>
    <t>4E</t>
  </si>
  <si>
    <t>10A</t>
  </si>
  <si>
    <t>3G</t>
  </si>
  <si>
    <t>6E</t>
  </si>
  <si>
    <t>1b</t>
  </si>
  <si>
    <t>18 B</t>
  </si>
  <si>
    <t>A4</t>
  </si>
  <si>
    <t>15G</t>
  </si>
  <si>
    <t>3B</t>
  </si>
  <si>
    <t>1G</t>
  </si>
  <si>
    <t>21A</t>
  </si>
  <si>
    <t>3F</t>
  </si>
  <si>
    <t>Apt 3K</t>
  </si>
  <si>
    <t>6K</t>
  </si>
  <si>
    <t>2E</t>
  </si>
  <si>
    <t>2A</t>
  </si>
  <si>
    <t>5A</t>
  </si>
  <si>
    <t>4D</t>
  </si>
  <si>
    <t>1H</t>
  </si>
  <si>
    <t>2D</t>
  </si>
  <si>
    <t>4A</t>
  </si>
  <si>
    <t>21 E</t>
  </si>
  <si>
    <t>2G</t>
  </si>
  <si>
    <t>N54</t>
  </si>
  <si>
    <t>17A</t>
  </si>
  <si>
    <t>Basement</t>
  </si>
  <si>
    <t>5G</t>
  </si>
  <si>
    <t>d4</t>
  </si>
  <si>
    <t>18 C</t>
  </si>
  <si>
    <t>E9</t>
  </si>
  <si>
    <t>3H</t>
  </si>
  <si>
    <t>B82</t>
  </si>
  <si>
    <t>17 H</t>
  </si>
  <si>
    <t>28G</t>
  </si>
  <si>
    <t>1B</t>
  </si>
  <si>
    <t>I2</t>
  </si>
  <si>
    <t>17 GI</t>
  </si>
  <si>
    <t>28E</t>
  </si>
  <si>
    <t>J41</t>
  </si>
  <si>
    <t>5D</t>
  </si>
  <si>
    <t>6C</t>
  </si>
  <si>
    <t>9K</t>
  </si>
  <si>
    <t>7E</t>
  </si>
  <si>
    <t>4k</t>
  </si>
  <si>
    <t>4F</t>
  </si>
  <si>
    <t>12B</t>
  </si>
  <si>
    <t>12H</t>
  </si>
  <si>
    <t>52B</t>
  </si>
  <si>
    <t>WCD</t>
  </si>
  <si>
    <t>12 A</t>
  </si>
  <si>
    <t>1D</t>
  </si>
  <si>
    <t>3L</t>
  </si>
  <si>
    <t>7C</t>
  </si>
  <si>
    <t>29F</t>
  </si>
  <si>
    <t>Apt 6A</t>
  </si>
  <si>
    <t>6F</t>
  </si>
  <si>
    <t>12 C</t>
  </si>
  <si>
    <t>1M</t>
  </si>
  <si>
    <t>2K</t>
  </si>
  <si>
    <t>E2</t>
  </si>
  <si>
    <t>3N</t>
  </si>
  <si>
    <t>C22</t>
  </si>
  <si>
    <t>3k</t>
  </si>
  <si>
    <t>Apt. 5F</t>
  </si>
  <si>
    <t>2J</t>
  </si>
  <si>
    <t>5BN</t>
  </si>
  <si>
    <t>23 A</t>
  </si>
  <si>
    <t>6EN</t>
  </si>
  <si>
    <t>2nd Flr</t>
  </si>
  <si>
    <t>28F</t>
  </si>
  <si>
    <t>4M</t>
  </si>
  <si>
    <t>Apt 3A</t>
  </si>
  <si>
    <t>25E</t>
  </si>
  <si>
    <t>6D</t>
  </si>
  <si>
    <t>A2</t>
  </si>
  <si>
    <t>5I</t>
  </si>
  <si>
    <t>Apt. 511</t>
  </si>
  <si>
    <t>17 F</t>
  </si>
  <si>
    <t>6H</t>
  </si>
  <si>
    <t>6A</t>
  </si>
  <si>
    <t>5b</t>
  </si>
  <si>
    <t>B</t>
  </si>
  <si>
    <t>18T</t>
  </si>
  <si>
    <t>18 H</t>
  </si>
  <si>
    <t>5C</t>
  </si>
  <si>
    <t>2nd fl</t>
  </si>
  <si>
    <t>Apt 2</t>
  </si>
  <si>
    <t>31 D</t>
  </si>
  <si>
    <t>B5</t>
  </si>
  <si>
    <t>3 D</t>
  </si>
  <si>
    <t>B3</t>
  </si>
  <si>
    <t>B1</t>
  </si>
  <si>
    <t>A32</t>
  </si>
  <si>
    <t>19 D</t>
  </si>
  <si>
    <t>20 H</t>
  </si>
  <si>
    <t>3J</t>
  </si>
  <si>
    <t>5F</t>
  </si>
  <si>
    <t>B24</t>
  </si>
  <si>
    <t>21 G</t>
  </si>
  <si>
    <t>13 E</t>
  </si>
  <si>
    <t>1A South</t>
  </si>
  <si>
    <t>8E</t>
  </si>
  <si>
    <t>4L</t>
  </si>
  <si>
    <t>A-10</t>
  </si>
  <si>
    <t>F21</t>
  </si>
  <si>
    <t>12 F</t>
  </si>
  <si>
    <t>1L</t>
  </si>
  <si>
    <t>C5</t>
  </si>
  <si>
    <t>24E</t>
  </si>
  <si>
    <t>11S</t>
  </si>
  <si>
    <t>4G</t>
  </si>
  <si>
    <t>Apt. 6L</t>
  </si>
  <si>
    <t>74B</t>
  </si>
  <si>
    <t>6M</t>
  </si>
  <si>
    <t>6G</t>
  </si>
  <si>
    <t>A</t>
  </si>
  <si>
    <t>Hollis</t>
  </si>
  <si>
    <t>Rosedale</t>
  </si>
  <si>
    <t>Flushing</t>
  </si>
  <si>
    <t>Bronx</t>
  </si>
  <si>
    <t>Staten Island</t>
  </si>
  <si>
    <t>New York</t>
  </si>
  <si>
    <t>Brooklyn</t>
  </si>
  <si>
    <t>Arverne</t>
  </si>
  <si>
    <t>South Ozone Park</t>
  </si>
  <si>
    <t>S Richmond Hl</t>
  </si>
  <si>
    <t>Springfield Gardens</t>
  </si>
  <si>
    <t>Richmond Hill</t>
  </si>
  <si>
    <t>Rego Park</t>
  </si>
  <si>
    <t>Jamaica</t>
  </si>
  <si>
    <t>Jackson Hts</t>
  </si>
  <si>
    <t>East Elmhurst</t>
  </si>
  <si>
    <t>Sunnyside</t>
  </si>
  <si>
    <t>Bayside</t>
  </si>
  <si>
    <t>Forest Hills</t>
  </si>
  <si>
    <t>Yes</t>
  </si>
  <si>
    <t>No</t>
  </si>
  <si>
    <t xml:space="preserve"> </t>
  </si>
  <si>
    <t>LT-073792-18/QU</t>
  </si>
  <si>
    <t>HM 130106 OM</t>
  </si>
  <si>
    <t>none</t>
  </si>
  <si>
    <t>LT-022999-19/BX</t>
  </si>
  <si>
    <t>LT-032397-18/BX</t>
  </si>
  <si>
    <t>LT-051482-29/RI</t>
  </si>
  <si>
    <t>L&amp;T 52167/17</t>
  </si>
  <si>
    <t>LT-002718-19/BX</t>
  </si>
  <si>
    <t>LT-019432-19/BX</t>
  </si>
  <si>
    <t>LT-050348-18/BX</t>
  </si>
  <si>
    <t>LT-055204-19/KI</t>
  </si>
  <si>
    <t>LT-096763-18/KI</t>
  </si>
  <si>
    <t>LT-073327-18/QU</t>
  </si>
  <si>
    <t>LT-061712-18/BX</t>
  </si>
  <si>
    <t>LT-007945-19/BX</t>
  </si>
  <si>
    <t>LT-063206-19/QU</t>
  </si>
  <si>
    <t>no case</t>
  </si>
  <si>
    <t>LT-022187-19/BX</t>
  </si>
  <si>
    <t>LT-001885-19/BX</t>
  </si>
  <si>
    <t>LT-802945-19/BX</t>
  </si>
  <si>
    <t>LT-006130-19/QU</t>
  </si>
  <si>
    <t>LT-056118-18/BX</t>
  </si>
  <si>
    <t>LT-061748-19/QU</t>
  </si>
  <si>
    <t>LT-055861-18/BX</t>
  </si>
  <si>
    <t>LT-061707-19/KI</t>
  </si>
  <si>
    <t>LT-081566-18/KI</t>
  </si>
  <si>
    <t>No case yet</t>
  </si>
  <si>
    <t>LT-009301-19/BX</t>
  </si>
  <si>
    <t>LT-51446-18/RI</t>
  </si>
  <si>
    <t>LT-062831-19/QU</t>
  </si>
  <si>
    <t>LT-62408-19/QU</t>
  </si>
  <si>
    <t>004595-19/BX</t>
  </si>
  <si>
    <t>LT-020497-19/BX</t>
  </si>
  <si>
    <t>LT-062292-19/QU</t>
  </si>
  <si>
    <t>LT-073346-18/KI</t>
  </si>
  <si>
    <t>LT-058350-18/BX</t>
  </si>
  <si>
    <t>LT-00322-19/QU</t>
  </si>
  <si>
    <t>HP-00578-19/QU</t>
  </si>
  <si>
    <t>LT-062489-19/NY</t>
  </si>
  <si>
    <t>LT-007084-19/BX</t>
  </si>
  <si>
    <t>LT-061061-19/NY</t>
  </si>
  <si>
    <t>LT-019435-19/BX</t>
  </si>
  <si>
    <t>LT-063326-18/BX</t>
  </si>
  <si>
    <t>LT-003326-19/BX</t>
  </si>
  <si>
    <t>LT-006663-19/BX</t>
  </si>
  <si>
    <t>GT-630025-RT</t>
  </si>
  <si>
    <t>LT-56459/18-NY</t>
  </si>
  <si>
    <t>LT-000257-18/BX</t>
  </si>
  <si>
    <t>LT-027121-19/BX</t>
  </si>
  <si>
    <t>LT-023744-19/BX</t>
  </si>
  <si>
    <t>no case as of June 13, 2019</t>
  </si>
  <si>
    <t>No case</t>
  </si>
  <si>
    <t>LT-063442-18/BX</t>
  </si>
  <si>
    <t>LT-0622017-19/QU</t>
  </si>
  <si>
    <t>LT-016685-19/BX</t>
  </si>
  <si>
    <t>LT-012452-19/BX</t>
  </si>
  <si>
    <t>LT-034187-18/BX</t>
  </si>
  <si>
    <t>18-10159</t>
  </si>
  <si>
    <t>LT-062392-18/BX</t>
  </si>
  <si>
    <t>LT-3326-19/BX</t>
  </si>
  <si>
    <t>LT-061106-19/NY</t>
  </si>
  <si>
    <t>LT-019064-19/BX</t>
  </si>
  <si>
    <t>LT-060353-19/QU</t>
  </si>
  <si>
    <t>LT-027298-19/BX</t>
  </si>
  <si>
    <t>LT-003594-19/BX</t>
  </si>
  <si>
    <t>LT-027413-19/BX</t>
  </si>
  <si>
    <t>LT-057519-19/NY</t>
  </si>
  <si>
    <t>LT-062485-19/NY</t>
  </si>
  <si>
    <t>LT-51296-19/RI</t>
  </si>
  <si>
    <t>CV-007622-19/BX</t>
  </si>
  <si>
    <t>LT-019186-19/BX</t>
  </si>
  <si>
    <t>LT-057233-18/BX</t>
  </si>
  <si>
    <t>LT-062485-19/KI</t>
  </si>
  <si>
    <t>LT-018431-19/BX</t>
  </si>
  <si>
    <t>M-H-G-17-27485</t>
  </si>
  <si>
    <t>LT-062028-19/QU</t>
  </si>
  <si>
    <t>LT-058565-19/NY</t>
  </si>
  <si>
    <t>None</t>
  </si>
  <si>
    <t>LT-060984-18/BX</t>
  </si>
  <si>
    <t>LT-068180-19/KI</t>
  </si>
  <si>
    <t>LT-59885-19/NY</t>
  </si>
  <si>
    <t>LT-061611-19/QU</t>
  </si>
  <si>
    <t>LT-065879-19/KI</t>
  </si>
  <si>
    <t>006844-19</t>
  </si>
  <si>
    <t>LT-009298-19/BX</t>
  </si>
  <si>
    <t>LT-061006-19/QU</t>
  </si>
  <si>
    <t>LT-060157-19/NY</t>
  </si>
  <si>
    <t>LT-053039-19/QU</t>
  </si>
  <si>
    <t>57887/2019</t>
  </si>
  <si>
    <t>LT-009775-19/BX</t>
  </si>
  <si>
    <t>LT-061985-18/NY</t>
  </si>
  <si>
    <t>LT-060394-19/NY</t>
  </si>
  <si>
    <t>CV-450609-19/NY</t>
  </si>
  <si>
    <t>LT-019589-19/BX</t>
  </si>
  <si>
    <t>LT-18723-19/BX</t>
  </si>
  <si>
    <t>LT-034589-18/BX</t>
  </si>
  <si>
    <t>3982-18</t>
  </si>
  <si>
    <t>LT-065115-19/KI</t>
  </si>
  <si>
    <t>LT-021068-19/BX</t>
  </si>
  <si>
    <t>LT-005504-19/BX</t>
  </si>
  <si>
    <t>LT-068976-18/BX</t>
  </si>
  <si>
    <t>LT-033482-18/BX</t>
  </si>
  <si>
    <t>LT-060416-18/KI</t>
  </si>
  <si>
    <t>Non-payment</t>
  </si>
  <si>
    <t>No Case</t>
  </si>
  <si>
    <t>DHCR Administrative Action</t>
  </si>
  <si>
    <t>Holdover</t>
  </si>
  <si>
    <t>HP Action</t>
  </si>
  <si>
    <t>Section 8 other</t>
  </si>
  <si>
    <t>PA Issue: FEPS</t>
  </si>
  <si>
    <t>Appeal-Appellate Term</t>
  </si>
  <si>
    <t>PA Issue: Other</t>
  </si>
  <si>
    <t>Human Rights Complaint</t>
  </si>
  <si>
    <t>Tenant Rights</t>
  </si>
  <si>
    <t>Illegal Lockout</t>
  </si>
  <si>
    <t>PA Issue: City FEPS/SEPS</t>
  </si>
  <si>
    <t>SCRIE/DRIE</t>
  </si>
  <si>
    <t>Other Civil Court</t>
  </si>
  <si>
    <t>PA Issue: RAU</t>
  </si>
  <si>
    <t>Affirmative Litigation Supreme</t>
  </si>
  <si>
    <t>Representation - State Court</t>
  </si>
  <si>
    <t>Advice</t>
  </si>
  <si>
    <t>Representation - Admin. Agency</t>
  </si>
  <si>
    <t>Out-of-Court Advocacy</t>
  </si>
  <si>
    <t>Brief Service</t>
  </si>
  <si>
    <t>Hold For Review</t>
  </si>
  <si>
    <t>Representation - Federal Court</t>
  </si>
  <si>
    <t>A - Counsel and Advice</t>
  </si>
  <si>
    <t>B - Limited Action (Brief Service)</t>
  </si>
  <si>
    <t>IB - Contested Court Decision</t>
  </si>
  <si>
    <t>G - Negotiated Settlement with Litigation</t>
  </si>
  <si>
    <t>H - Administrative Agency Decision</t>
  </si>
  <si>
    <t>F - Negotiated Settlement w/out Litigation</t>
  </si>
  <si>
    <t>3018 Tenant Rights Coalition (TRC)</t>
  </si>
  <si>
    <t>3011 TRC FJC Initiative</t>
  </si>
  <si>
    <t>63 Private Landlord/Tenant</t>
  </si>
  <si>
    <t>61 Federally Subsidized Housing</t>
  </si>
  <si>
    <t>71 TANF</t>
  </si>
  <si>
    <t>64 Public Housing</t>
  </si>
  <si>
    <t>79 Other Income Maintenence</t>
  </si>
  <si>
    <t>66 Housing Discrimination</t>
  </si>
  <si>
    <t>69 Other Housing</t>
  </si>
  <si>
    <t>Post-Judgment, Tenant in Possession-Judgment Due to Other</t>
  </si>
  <si>
    <t>No Stipulation; No Judgment</t>
  </si>
  <si>
    <t>Post-Stipulation, No Judgment</t>
  </si>
  <si>
    <t>Post-Judgment, Tenant in Possession-Judgment Due to Default</t>
  </si>
  <si>
    <t>No Stipulation; No Judgment, On for Trial</t>
  </si>
  <si>
    <t>06/30/2019</t>
  </si>
  <si>
    <t>06/01/2019</t>
  </si>
  <si>
    <t>Queens Legal Services</t>
  </si>
  <si>
    <t>Bronx Legal Services</t>
  </si>
  <si>
    <t>Staten Island Legal Services</t>
  </si>
  <si>
    <t>Manhattan Legal Services</t>
  </si>
  <si>
    <t>Brooklyn Legal Services</t>
  </si>
  <si>
    <t>HRA</t>
  </si>
  <si>
    <t>FJC Housing Intake</t>
  </si>
  <si>
    <t>Friends/Family</t>
  </si>
  <si>
    <t>Returning Client</t>
  </si>
  <si>
    <t>Community Organization</t>
  </si>
  <si>
    <t>Other City Agency</t>
  </si>
  <si>
    <t>Self-referred</t>
  </si>
  <si>
    <t>Court Referral-NON HRA</t>
  </si>
  <si>
    <t>Outreach</t>
  </si>
  <si>
    <t>Other</t>
  </si>
  <si>
    <t>ADP Hotline</t>
  </si>
  <si>
    <t>In-House</t>
  </si>
  <si>
    <t>Elected Official</t>
  </si>
  <si>
    <t>Tenant Support Unit</t>
  </si>
  <si>
    <t>6014-Obtained advice and counsel on a Housing matter</t>
  </si>
  <si>
    <t>7001-Obtained, preserved or increased public assistance, TANF or other welfare benefit/right</t>
  </si>
  <si>
    <t>6002-Prevented eviction from private housing</t>
  </si>
  <si>
    <t>6003-Delayed eviction providing time to seek alternative housing</t>
  </si>
  <si>
    <t>6010-Preserved or restored access to personal property</t>
  </si>
  <si>
    <t>6017-Obtained other benefit on a Housing matter</t>
  </si>
  <si>
    <t>6007-Avoided, or obtained redress for charges by landlord</t>
  </si>
  <si>
    <t>6015-Obtained non-litgation advocacy services on a Housing  matter</t>
  </si>
  <si>
    <t>6001-Prevented eviction from public housing</t>
  </si>
  <si>
    <t>07/19/1982</t>
  </si>
  <si>
    <t>09/24/1974</t>
  </si>
  <si>
    <t>01/19/1985</t>
  </si>
  <si>
    <t>02/28/1961</t>
  </si>
  <si>
    <t>01/21/1967</t>
  </si>
  <si>
    <t>06/20/1984</t>
  </si>
  <si>
    <t>08/28/1965</t>
  </si>
  <si>
    <t>03/27/1969</t>
  </si>
  <si>
    <t>05/06/1971</t>
  </si>
  <si>
    <t>02/02/1982</t>
  </si>
  <si>
    <t>05/28/1975</t>
  </si>
  <si>
    <t>10/29/1970</t>
  </si>
  <si>
    <t>08/08/1989</t>
  </si>
  <si>
    <t>05/02/1952</t>
  </si>
  <si>
    <t>12/19/2011</t>
  </si>
  <si>
    <t>11/26/1966</t>
  </si>
  <si>
    <t>11/19/1960</t>
  </si>
  <si>
    <t>12/07/1976</t>
  </si>
  <si>
    <t>03/11/1964</t>
  </si>
  <si>
    <t>01/10/1972</t>
  </si>
  <si>
    <t>03/17/1982</t>
  </si>
  <si>
    <t>06/15/1967</t>
  </si>
  <si>
    <t>12/17/1991</t>
  </si>
  <si>
    <t>11/13/1984</t>
  </si>
  <si>
    <t>05/14/1980</t>
  </si>
  <si>
    <t>09/24/1959</t>
  </si>
  <si>
    <t>04/24/1965</t>
  </si>
  <si>
    <t>08/30/2018</t>
  </si>
  <si>
    <t>01/22/1979</t>
  </si>
  <si>
    <t>06/19/1983</t>
  </si>
  <si>
    <t>08/07/1950</t>
  </si>
  <si>
    <t>03/02/1982</t>
  </si>
  <si>
    <t>10/21/1959</t>
  </si>
  <si>
    <t>03/08/1979</t>
  </si>
  <si>
    <t>02/25/1979</t>
  </si>
  <si>
    <t>06/24/1938</t>
  </si>
  <si>
    <t>01/30/1996</t>
  </si>
  <si>
    <t>05/28/1946</t>
  </si>
  <si>
    <t>09/12/1965</t>
  </si>
  <si>
    <t>12/21/1967</t>
  </si>
  <si>
    <t>01/01/1983</t>
  </si>
  <si>
    <t>09/03/1977</t>
  </si>
  <si>
    <t>09/09/1968</t>
  </si>
  <si>
    <t>07/27/1995</t>
  </si>
  <si>
    <t>11/28/1954</t>
  </si>
  <si>
    <t>04/04/1986</t>
  </si>
  <si>
    <t>05/31/1970</t>
  </si>
  <si>
    <t>02/15/1964</t>
  </si>
  <si>
    <t>12/28/1982</t>
  </si>
  <si>
    <t>12/16/1968</t>
  </si>
  <si>
    <t>05/17/1951</t>
  </si>
  <si>
    <t>06/19/1987</t>
  </si>
  <si>
    <t>06/21/1942</t>
  </si>
  <si>
    <t>12/20/1952</t>
  </si>
  <si>
    <t>12/02/1986</t>
  </si>
  <si>
    <t>06/15/1955</t>
  </si>
  <si>
    <t>08/21/1975</t>
  </si>
  <si>
    <t>12/22/1964</t>
  </si>
  <si>
    <t>02/15/1981</t>
  </si>
  <si>
    <t>07/06/1984</t>
  </si>
  <si>
    <t>08/16/1987</t>
  </si>
  <si>
    <t>04/14/1962</t>
  </si>
  <si>
    <t>02/27/1961</t>
  </si>
  <si>
    <t>07/15/1981</t>
  </si>
  <si>
    <t>06/12/1960</t>
  </si>
  <si>
    <t>07/05/1968</t>
  </si>
  <si>
    <t>12/24/1948</t>
  </si>
  <si>
    <t>01/31/1980</t>
  </si>
  <si>
    <t>07/01/1962</t>
  </si>
  <si>
    <t>02/02/1963</t>
  </si>
  <si>
    <t>06/27/1969</t>
  </si>
  <si>
    <t>08/20/1964</t>
  </si>
  <si>
    <t>12/07/1974</t>
  </si>
  <si>
    <t>04/07/1963</t>
  </si>
  <si>
    <t>09/14/1956</t>
  </si>
  <si>
    <t>12/02/1962</t>
  </si>
  <si>
    <t>04/02/1981</t>
  </si>
  <si>
    <t>03/01/1964</t>
  </si>
  <si>
    <t>11/29/2006</t>
  </si>
  <si>
    <t>08/25/1959</t>
  </si>
  <si>
    <t>11/08/1976</t>
  </si>
  <si>
    <t>06/09/1956</t>
  </si>
  <si>
    <t>10/31/1969</t>
  </si>
  <si>
    <t>04/04/1957</t>
  </si>
  <si>
    <t>07/08/1958</t>
  </si>
  <si>
    <t>04/23/1968</t>
  </si>
  <si>
    <t>11/29/1941</t>
  </si>
  <si>
    <t>07/01/1958</t>
  </si>
  <si>
    <t>09/03/1968</t>
  </si>
  <si>
    <t>01/20/1982</t>
  </si>
  <si>
    <t>12/25/1942</t>
  </si>
  <si>
    <t>08/28/1941</t>
  </si>
  <si>
    <t>07/04/1966</t>
  </si>
  <si>
    <t>11/21/1966</t>
  </si>
  <si>
    <t>10/03/1962</t>
  </si>
  <si>
    <t>06/30/1948</t>
  </si>
  <si>
    <t>05/26/1946</t>
  </si>
  <si>
    <t>07/09/1957</t>
  </si>
  <si>
    <t>06/22/1964</t>
  </si>
  <si>
    <t>03/04/1977</t>
  </si>
  <si>
    <t>12/26/1966</t>
  </si>
  <si>
    <t>03/08/1938</t>
  </si>
  <si>
    <t>07/16/1968</t>
  </si>
  <si>
    <t>09/21/1967</t>
  </si>
  <si>
    <t>05/19/1966</t>
  </si>
  <si>
    <t>02/19/1966</t>
  </si>
  <si>
    <t>12/21/1956</t>
  </si>
  <si>
    <t>11/09/1953</t>
  </si>
  <si>
    <t>12/23/1950</t>
  </si>
  <si>
    <t>06/11/1986</t>
  </si>
  <si>
    <t>12/22/1977</t>
  </si>
  <si>
    <t>01/01/1956</t>
  </si>
  <si>
    <t>06/01/1954</t>
  </si>
  <si>
    <t>12/21/1949</t>
  </si>
  <si>
    <t>05/23/1944</t>
  </si>
  <si>
    <t>01/15/1953</t>
  </si>
  <si>
    <t>03/25/1954</t>
  </si>
  <si>
    <t>03/01/1965</t>
  </si>
  <si>
    <t>09/07/1947</t>
  </si>
  <si>
    <t>10/15/1974</t>
  </si>
  <si>
    <t>12/03/1964</t>
  </si>
  <si>
    <t>09/25/1951</t>
  </si>
  <si>
    <t>12/16/1962</t>
  </si>
  <si>
    <t>01/01/1975</t>
  </si>
  <si>
    <t>04/24/1970</t>
  </si>
  <si>
    <t>11/22/1947</t>
  </si>
  <si>
    <t>12/08/1977</t>
  </si>
  <si>
    <t>05/12/1959</t>
  </si>
  <si>
    <t>06/07/1946</t>
  </si>
  <si>
    <t>06/17/1972</t>
  </si>
  <si>
    <t>12/17/1975</t>
  </si>
  <si>
    <t>01/17/1956</t>
  </si>
  <si>
    <t>10/24/1962</t>
  </si>
  <si>
    <t>12/17/1963</t>
  </si>
  <si>
    <t>05/09/1958</t>
  </si>
  <si>
    <t>07/27/1940</t>
  </si>
  <si>
    <t>06/16/1952</t>
  </si>
  <si>
    <t>12/17/1956</t>
  </si>
  <si>
    <t>02/25/1946</t>
  </si>
  <si>
    <t>01/14/1954</t>
  </si>
  <si>
    <t>12/31/1961</t>
  </si>
  <si>
    <t>05/12/1962</t>
  </si>
  <si>
    <t>10/08/1962</t>
  </si>
  <si>
    <t>05/21/1935</t>
  </si>
  <si>
    <t>07/15/1957</t>
  </si>
  <si>
    <t>10/03/1988</t>
  </si>
  <si>
    <t>04/28/1939</t>
  </si>
  <si>
    <t>09/24/1972</t>
  </si>
  <si>
    <t>06/05/1952</t>
  </si>
  <si>
    <t>08/10/1994</t>
  </si>
  <si>
    <t>03/01/1951</t>
  </si>
  <si>
    <t>08/10/1957</t>
  </si>
  <si>
    <t>08/03/1976</t>
  </si>
  <si>
    <t>07/31/1932</t>
  </si>
  <si>
    <t>01/14/1963</t>
  </si>
  <si>
    <t>08/27/1976</t>
  </si>
  <si>
    <t>08/03/1958</t>
  </si>
  <si>
    <t>10/13/1952</t>
  </si>
  <si>
    <t>10/02/1941</t>
  </si>
  <si>
    <t>03/25/1947</t>
  </si>
  <si>
    <t>10/19/1965</t>
  </si>
  <si>
    <t>12/09/1960</t>
  </si>
  <si>
    <t>03/01/1948</t>
  </si>
  <si>
    <t>09/24/1964</t>
  </si>
  <si>
    <t>07/04/1943</t>
  </si>
  <si>
    <t>06/22/1954</t>
  </si>
  <si>
    <t>03/06/1989</t>
  </si>
  <si>
    <t>03/15/1982</t>
  </si>
  <si>
    <t>07/04/1945</t>
  </si>
  <si>
    <t>06/18/1961</t>
  </si>
  <si>
    <t>07/10/1972</t>
  </si>
  <si>
    <t>12/09/1937</t>
  </si>
  <si>
    <t>12/11/1951</t>
  </si>
  <si>
    <t>10/06/1957</t>
  </si>
  <si>
    <t>11/18/1977</t>
  </si>
  <si>
    <t>08/01/1980</t>
  </si>
  <si>
    <t>05/05/1948</t>
  </si>
  <si>
    <t>10/21/1965</t>
  </si>
  <si>
    <t>02/03/1955</t>
  </si>
  <si>
    <t>06/27/1948</t>
  </si>
  <si>
    <t>06/09/1983</t>
  </si>
  <si>
    <t>11/06/1980</t>
  </si>
  <si>
    <t>01/17/1963</t>
  </si>
  <si>
    <t>04/29/1961</t>
  </si>
  <si>
    <t>07/15/1975</t>
  </si>
  <si>
    <t>03/10/1969</t>
  </si>
  <si>
    <t>02/25/1977</t>
  </si>
  <si>
    <t>07/03/1949</t>
  </si>
  <si>
    <t>10/27/1971</t>
  </si>
  <si>
    <t>02/22/1949</t>
  </si>
  <si>
    <t>12/01/1965</t>
  </si>
  <si>
    <t>05/09/1981</t>
  </si>
  <si>
    <t>03/27/1952</t>
  </si>
  <si>
    <t>11/24/1997</t>
  </si>
  <si>
    <t>06/28/1940</t>
  </si>
  <si>
    <t>05/10/1938</t>
  </si>
  <si>
    <t>06/28/1994</t>
  </si>
  <si>
    <t>08/07/1975</t>
  </si>
  <si>
    <t>07/03/1935</t>
  </si>
  <si>
    <t>06/02/1964</t>
  </si>
  <si>
    <t>11/08/1965</t>
  </si>
  <si>
    <t>06/07/1983</t>
  </si>
  <si>
    <t>01/21/1969</t>
  </si>
  <si>
    <t>01/01/1943</t>
  </si>
  <si>
    <t>03/22/1948</t>
  </si>
  <si>
    <t>08/05/1965</t>
  </si>
  <si>
    <t>02/25/1964</t>
  </si>
  <si>
    <t>11/23/1992</t>
  </si>
  <si>
    <t>04/18/1950</t>
  </si>
  <si>
    <t>02/27/1949</t>
  </si>
  <si>
    <t>09/22/1968</t>
  </si>
  <si>
    <t>05/14/1971</t>
  </si>
  <si>
    <t>10/11/1951</t>
  </si>
  <si>
    <t>01/12/1965</t>
  </si>
  <si>
    <t>05/05/1988</t>
  </si>
  <si>
    <t>04/04/1954</t>
  </si>
  <si>
    <t>07/26/1966</t>
  </si>
  <si>
    <t>01/20/1967</t>
  </si>
  <si>
    <t>06/05/1966</t>
  </si>
  <si>
    <t>12/20/1948</t>
  </si>
  <si>
    <t>03/31/1979</t>
  </si>
  <si>
    <t>06/24/1956</t>
  </si>
  <si>
    <t>05/04/1990</t>
  </si>
  <si>
    <t>11/15/1955</t>
  </si>
  <si>
    <t>08/20/1950</t>
  </si>
  <si>
    <t>09/28/1965</t>
  </si>
  <si>
    <t>11/25/1940</t>
  </si>
  <si>
    <t>09/13/1941</t>
  </si>
  <si>
    <t>05/30/1993</t>
  </si>
  <si>
    <t>08/30/1967</t>
  </si>
  <si>
    <t>06/22/1978</t>
  </si>
  <si>
    <t>04/11/1967</t>
  </si>
  <si>
    <t>03/26/1974</t>
  </si>
  <si>
    <t>11/19/1945</t>
  </si>
  <si>
    <t>01/09/1955</t>
  </si>
  <si>
    <t>12/12/1966</t>
  </si>
  <si>
    <t>04/06/1984</t>
  </si>
  <si>
    <t>02/14/1955</t>
  </si>
  <si>
    <t>06/03/1965</t>
  </si>
  <si>
    <t>03/31/1964</t>
  </si>
  <si>
    <t>04/19/1991</t>
  </si>
  <si>
    <t>04/04/1988</t>
  </si>
  <si>
    <t>09/20/1988</t>
  </si>
  <si>
    <t>01/10/1985</t>
  </si>
  <si>
    <t>06/30/1945</t>
  </si>
  <si>
    <t>07/11/1982</t>
  </si>
  <si>
    <t>03/21/1955</t>
  </si>
  <si>
    <t>06/02/1962</t>
  </si>
  <si>
    <t>08/02/1953</t>
  </si>
  <si>
    <t>08/04/1982</t>
  </si>
  <si>
    <t>12/01/1995</t>
  </si>
  <si>
    <t>07/10/1960</t>
  </si>
  <si>
    <t>03/10/1962</t>
  </si>
  <si>
    <t>03/20/1963</t>
  </si>
  <si>
    <t>02/20/1967</t>
  </si>
  <si>
    <t>02/20/1971</t>
  </si>
  <si>
    <t>09/21/1966</t>
  </si>
  <si>
    <t>07/01/1965</t>
  </si>
  <si>
    <t>02/24/1982</t>
  </si>
  <si>
    <t>05/06/1976</t>
  </si>
  <si>
    <t>05/11/1976</t>
  </si>
  <si>
    <t>06/27/1957</t>
  </si>
  <si>
    <t>01/28/1985</t>
  </si>
  <si>
    <t>03/06/1964</t>
  </si>
  <si>
    <t>04/14/1960</t>
  </si>
  <si>
    <t>01/16/1951</t>
  </si>
  <si>
    <t>01/25/1978</t>
  </si>
  <si>
    <t>02/18/1971</t>
  </si>
  <si>
    <t>05/13/1975</t>
  </si>
  <si>
    <t>09/30/1940</t>
  </si>
  <si>
    <t>05/23/1946</t>
  </si>
  <si>
    <t>08/04/1947</t>
  </si>
  <si>
    <t>10/22/1974</t>
  </si>
  <si>
    <t>09/17/1979</t>
  </si>
  <si>
    <t>03/14/1964</t>
  </si>
  <si>
    <t>12/16/1947</t>
  </si>
  <si>
    <t>12/24/1930</t>
  </si>
  <si>
    <t>10/13/1974</t>
  </si>
  <si>
    <t>08/14/1963</t>
  </si>
  <si>
    <t>09/21/1962</t>
  </si>
  <si>
    <t>05/10/1946</t>
  </si>
  <si>
    <t>04/06/1942</t>
  </si>
  <si>
    <t>03/19/1953</t>
  </si>
  <si>
    <t>06/05/1979</t>
  </si>
  <si>
    <t>12/30/1984</t>
  </si>
  <si>
    <t>12/17/1947</t>
  </si>
  <si>
    <t>10/01/1952</t>
  </si>
  <si>
    <t>12/18/1981</t>
  </si>
  <si>
    <t>09/01/1982</t>
  </si>
  <si>
    <t>07/16/1958</t>
  </si>
  <si>
    <t>03/27/1967</t>
  </si>
  <si>
    <t>08/09/1987</t>
  </si>
  <si>
    <t>01/08/1987</t>
  </si>
  <si>
    <t>12/12/1954</t>
  </si>
  <si>
    <t>07/11/1966</t>
  </si>
  <si>
    <t>03/22/1970</t>
  </si>
  <si>
    <t>07/05/1964</t>
  </si>
  <si>
    <t>12/30/1923</t>
  </si>
  <si>
    <t>07/28/1963</t>
  </si>
  <si>
    <t>06/29/1968</t>
  </si>
  <si>
    <t>01/04/1967</t>
  </si>
  <si>
    <t>12/08/1986</t>
  </si>
  <si>
    <t>11/11/1961</t>
  </si>
  <si>
    <t>07/04/1971</t>
  </si>
  <si>
    <t>06/05/1954</t>
  </si>
  <si>
    <t>05/02/1941</t>
  </si>
  <si>
    <t>07/30/1994</t>
  </si>
  <si>
    <t>07/23/1958</t>
  </si>
  <si>
    <t>09/09/1970</t>
  </si>
  <si>
    <t>04/02/1962</t>
  </si>
  <si>
    <t>05/23/1994</t>
  </si>
  <si>
    <t>07/24/1971</t>
  </si>
  <si>
    <t>09/01/1953</t>
  </si>
  <si>
    <t>01/13/1987</t>
  </si>
  <si>
    <t>08/10/1978</t>
  </si>
  <si>
    <t>03/30/1984</t>
  </si>
  <si>
    <t>09/11/1977</t>
  </si>
  <si>
    <t>01/01/1985</t>
  </si>
  <si>
    <t>04/05/1984</t>
  </si>
  <si>
    <t>KR92433N</t>
  </si>
  <si>
    <t>001402768E</t>
  </si>
  <si>
    <t>037644146F</t>
  </si>
  <si>
    <t>000438475G</t>
  </si>
  <si>
    <t>037223127E</t>
  </si>
  <si>
    <t>30062588G</t>
  </si>
  <si>
    <t>018137653E</t>
  </si>
  <si>
    <t>018429550J</t>
  </si>
  <si>
    <t>006360214I</t>
  </si>
  <si>
    <t>Unknown</t>
  </si>
  <si>
    <t>011505951B</t>
  </si>
  <si>
    <t>00030081131C</t>
  </si>
  <si>
    <t>018228943J</t>
  </si>
  <si>
    <t>004324947D</t>
  </si>
  <si>
    <t>009798803E</t>
  </si>
  <si>
    <t>008840239B</t>
  </si>
  <si>
    <t>03737457D</t>
  </si>
  <si>
    <t>004472039J</t>
  </si>
  <si>
    <t>013659646H</t>
  </si>
  <si>
    <t>VD24204N</t>
  </si>
  <si>
    <t>037412397E</t>
  </si>
  <si>
    <t>006734597F</t>
  </si>
  <si>
    <t>00037619875A</t>
  </si>
  <si>
    <t>5187747A</t>
  </si>
  <si>
    <t>XC02229</t>
  </si>
  <si>
    <t>QY28295V</t>
  </si>
  <si>
    <t>ZS30068P</t>
  </si>
  <si>
    <t>037482686F</t>
  </si>
  <si>
    <t>012603547G</t>
  </si>
  <si>
    <t>03156294F</t>
  </si>
  <si>
    <t>003115744J</t>
  </si>
  <si>
    <t>000374567G</t>
  </si>
  <si>
    <t>UC08287E</t>
  </si>
  <si>
    <t>017280585F</t>
  </si>
  <si>
    <t>34209028J</t>
  </si>
  <si>
    <t>005859892B</t>
  </si>
  <si>
    <t>Not available</t>
  </si>
  <si>
    <t>011375986E</t>
  </si>
  <si>
    <t>037513812A</t>
  </si>
  <si>
    <t>596-59-2973</t>
  </si>
  <si>
    <t>109-68-9988</t>
  </si>
  <si>
    <t>583-43-1376</t>
  </si>
  <si>
    <t>102-58-5219</t>
  </si>
  <si>
    <t>058-70-4952</t>
  </si>
  <si>
    <t>085-58-1036</t>
  </si>
  <si>
    <t>055-82-2415</t>
  </si>
  <si>
    <t>365-08-9731</t>
  </si>
  <si>
    <t>108-48-7632</t>
  </si>
  <si>
    <t>204-25-2738</t>
  </si>
  <si>
    <t>023-64-5826</t>
  </si>
  <si>
    <t>065-54-1338</t>
  </si>
  <si>
    <t>087-68-1354</t>
  </si>
  <si>
    <t>071-58-8743</t>
  </si>
  <si>
    <t>076-58-3105</t>
  </si>
  <si>
    <t>125-66-9555</t>
  </si>
  <si>
    <t>068-80-3486</t>
  </si>
  <si>
    <t>132-68-8334</t>
  </si>
  <si>
    <t>356-55-9023</t>
  </si>
  <si>
    <t>132-66-3874</t>
  </si>
  <si>
    <t>061-82-2291</t>
  </si>
  <si>
    <t>060-94-7521</t>
  </si>
  <si>
    <t>065-70-5865</t>
  </si>
  <si>
    <t>075-44-5338</t>
  </si>
  <si>
    <t>053-70-3855</t>
  </si>
  <si>
    <t>770-62-3816</t>
  </si>
  <si>
    <t>116-62-0301</t>
  </si>
  <si>
    <t>138-48-5750</t>
  </si>
  <si>
    <t>129-84-1261</t>
  </si>
  <si>
    <t>071-94-6569</t>
  </si>
  <si>
    <t>127-58-0075</t>
  </si>
  <si>
    <t>124-56-7070</t>
  </si>
  <si>
    <t>000-00-2332</t>
  </si>
  <si>
    <t>098-66-6693</t>
  </si>
  <si>
    <t>098-84-2564</t>
  </si>
  <si>
    <t>111-46-5044</t>
  </si>
  <si>
    <t>067-82-5544</t>
  </si>
  <si>
    <t>101-92-7867</t>
  </si>
  <si>
    <t>584-43-2161</t>
  </si>
  <si>
    <t>852-76-1521</t>
  </si>
  <si>
    <t>127-90-4104</t>
  </si>
  <si>
    <t>000-00-0000</t>
  </si>
  <si>
    <t>084-74-5506</t>
  </si>
  <si>
    <t>123-72-3696</t>
  </si>
  <si>
    <t>074-44-6252</t>
  </si>
  <si>
    <t>057-94-9866</t>
  </si>
  <si>
    <t>130-90-5496</t>
  </si>
  <si>
    <t>093-72-4292</t>
  </si>
  <si>
    <t>101-54-8225</t>
  </si>
  <si>
    <t>082-94-7748</t>
  </si>
  <si>
    <t>480-95-1126</t>
  </si>
  <si>
    <t>076-56-9392</t>
  </si>
  <si>
    <t>112-64-2523</t>
  </si>
  <si>
    <t>085-54-7429</t>
  </si>
  <si>
    <t>580-31-0661</t>
  </si>
  <si>
    <t>102-58-1093</t>
  </si>
  <si>
    <t>093-74-2374</t>
  </si>
  <si>
    <t>109-54-6991</t>
  </si>
  <si>
    <t>057-50-8883</t>
  </si>
  <si>
    <t>125-64-6163</t>
  </si>
  <si>
    <t>565-65-4436</t>
  </si>
  <si>
    <t>091-58-6170</t>
  </si>
  <si>
    <t>116-74-3728</t>
  </si>
  <si>
    <t>117-62-0932</t>
  </si>
  <si>
    <t>059-88-6969</t>
  </si>
  <si>
    <t>098-46-8928</t>
  </si>
  <si>
    <t>131-48-0705</t>
  </si>
  <si>
    <t>146-60-3145</t>
  </si>
  <si>
    <t>069-58-3444</t>
  </si>
  <si>
    <t>581-86-2284</t>
  </si>
  <si>
    <t>103-62-8929</t>
  </si>
  <si>
    <t>532-77-6365</t>
  </si>
  <si>
    <t>095-62-0441</t>
  </si>
  <si>
    <t>050-76-2424</t>
  </si>
  <si>
    <t>075-66-2078</t>
  </si>
  <si>
    <t>143-58-8362</t>
  </si>
  <si>
    <t>584-15-2778</t>
  </si>
  <si>
    <t>584-18-0228</t>
  </si>
  <si>
    <t>076-62-1536</t>
  </si>
  <si>
    <t>246-96-4175</t>
  </si>
  <si>
    <t>101-02-7535</t>
  </si>
  <si>
    <t>499-60-6266</t>
  </si>
  <si>
    <t>104-68-1303</t>
  </si>
  <si>
    <t>117-56-1005</t>
  </si>
  <si>
    <t>084-66-6456</t>
  </si>
  <si>
    <t>050-60-5363</t>
  </si>
  <si>
    <t>077-50-5981</t>
  </si>
  <si>
    <t>004-50-3096</t>
  </si>
  <si>
    <t>082-44-3750</t>
  </si>
  <si>
    <t>592-49-4307</t>
  </si>
  <si>
    <t>081-48-5940</t>
  </si>
  <si>
    <t>543-58-8805</t>
  </si>
  <si>
    <t>078-36-1539</t>
  </si>
  <si>
    <t>111-46-4331</t>
  </si>
  <si>
    <t>063-60-7925</t>
  </si>
  <si>
    <t>261-95-3516</t>
  </si>
  <si>
    <t>065-56-4430</t>
  </si>
  <si>
    <t>136-50-6506</t>
  </si>
  <si>
    <t>056-58-0890</t>
  </si>
  <si>
    <t>160-23-8625</t>
  </si>
  <si>
    <t>133-98-3438</t>
  </si>
  <si>
    <t>106-48-2419</t>
  </si>
  <si>
    <t>113-42-0501</t>
  </si>
  <si>
    <t>582-37-8377</t>
  </si>
  <si>
    <t>134-72-8235</t>
  </si>
  <si>
    <t>203-58-0262</t>
  </si>
  <si>
    <t>088-56-2920</t>
  </si>
  <si>
    <t>040-68-3997</t>
  </si>
  <si>
    <t>052-30-0063</t>
  </si>
  <si>
    <t>095-48-1950</t>
  </si>
  <si>
    <t>087-36-8940</t>
  </si>
  <si>
    <t>073-48-3861</t>
  </si>
  <si>
    <t>089-84-9486</t>
  </si>
  <si>
    <t>599-18-1018</t>
  </si>
  <si>
    <t>070-58-9030</t>
  </si>
  <si>
    <t>147-84-8752</t>
  </si>
  <si>
    <t>581-36-0198</t>
  </si>
  <si>
    <t>000-00-9505</t>
  </si>
  <si>
    <t>125-54-9729</t>
  </si>
  <si>
    <t>583-48-3256</t>
  </si>
  <si>
    <t>134-82-8076</t>
  </si>
  <si>
    <t>449-94-2903</t>
  </si>
  <si>
    <t>127-42-5246</t>
  </si>
  <si>
    <t>055-74-6359</t>
  </si>
  <si>
    <t>000-00-1191</t>
  </si>
  <si>
    <t>116-58-9815</t>
  </si>
  <si>
    <t>105-50-0812</t>
  </si>
  <si>
    <t>065-44-6818</t>
  </si>
  <si>
    <t>581-72-8698</t>
  </si>
  <si>
    <t>111-78-6454</t>
  </si>
  <si>
    <t>598-16-7837</t>
  </si>
  <si>
    <t>091-40-8280</t>
  </si>
  <si>
    <t>082-46-2224</t>
  </si>
  <si>
    <t>053-76-6276</t>
  </si>
  <si>
    <t>025-64-6550</t>
  </si>
  <si>
    <t>084-84-8419</t>
  </si>
  <si>
    <t>121-54-1165</t>
  </si>
  <si>
    <t>652-30-0705</t>
  </si>
  <si>
    <t>213-60-4774</t>
  </si>
  <si>
    <t>094-56-8470</t>
  </si>
  <si>
    <t>133-70-1018</t>
  </si>
  <si>
    <t>105-72-4945</t>
  </si>
  <si>
    <t>141-40-7739</t>
  </si>
  <si>
    <t>107-96-0966</t>
  </si>
  <si>
    <t>133-90-1531</t>
  </si>
  <si>
    <t>062-48-9591</t>
  </si>
  <si>
    <t>121-38-0535</t>
  </si>
  <si>
    <t>584-38-3807</t>
  </si>
  <si>
    <t>059-68-0705</t>
  </si>
  <si>
    <t>731-01-6741</t>
  </si>
  <si>
    <t>104-78-4668</t>
  </si>
  <si>
    <t>085-56-9979</t>
  </si>
  <si>
    <t>050-02-2676</t>
  </si>
  <si>
    <t>060-86-9675</t>
  </si>
  <si>
    <t>122-60-2936</t>
  </si>
  <si>
    <t>361-60-1625</t>
  </si>
  <si>
    <t>104-40-4668</t>
  </si>
  <si>
    <t>101-64-5055</t>
  </si>
  <si>
    <t>128-64-6454</t>
  </si>
  <si>
    <t>094-74-1986</t>
  </si>
  <si>
    <t>124-86-1769</t>
  </si>
  <si>
    <t>582-72-2980</t>
  </si>
  <si>
    <t>094-30-0378</t>
  </si>
  <si>
    <t>107-62-1518</t>
  </si>
  <si>
    <t>052-38-9852</t>
  </si>
  <si>
    <t>106-82-7737</t>
  </si>
  <si>
    <t>083-84-5465</t>
  </si>
  <si>
    <t>671-26-9276</t>
  </si>
  <si>
    <t>342-58-7772</t>
  </si>
  <si>
    <t>584-27-7966</t>
  </si>
  <si>
    <t>060-98-1525</t>
  </si>
  <si>
    <t>095-84-6257</t>
  </si>
  <si>
    <t>124-82-0074</t>
  </si>
  <si>
    <t>102-56-8793</t>
  </si>
  <si>
    <t>071-78-0702</t>
  </si>
  <si>
    <t>072-76-8535</t>
  </si>
  <si>
    <t>067-46-5820</t>
  </si>
  <si>
    <t>732-09-7726</t>
  </si>
  <si>
    <t>118-96-8996</t>
  </si>
  <si>
    <t>050-62-1204</t>
  </si>
  <si>
    <t>131-40-1636</t>
  </si>
  <si>
    <t>115-62-6738</t>
  </si>
  <si>
    <t>120-84-2900</t>
  </si>
  <si>
    <t>363-11-2780</t>
  </si>
  <si>
    <t>248-08-3303</t>
  </si>
  <si>
    <t>118-94-9395</t>
  </si>
  <si>
    <t>132-58-5856</t>
  </si>
  <si>
    <t>063-34-8571</t>
  </si>
  <si>
    <t>070-44-3573</t>
  </si>
  <si>
    <t>076-68-4649</t>
  </si>
  <si>
    <t>134-74-0399</t>
  </si>
  <si>
    <t>523-33-7639</t>
  </si>
  <si>
    <t>071-60-3379</t>
  </si>
  <si>
    <t>000-00-9709</t>
  </si>
  <si>
    <t>101-50-5485</t>
  </si>
  <si>
    <t>097-64-2982</t>
  </si>
  <si>
    <t>121-52-2414</t>
  </si>
  <si>
    <t>079-56-1494</t>
  </si>
  <si>
    <t>597-36-3875</t>
  </si>
  <si>
    <t>099-78-6640</t>
  </si>
  <si>
    <t>114-86-2459</t>
  </si>
  <si>
    <t>000-00-6535</t>
  </si>
  <si>
    <t>345-57-9878</t>
  </si>
  <si>
    <t>105-38-3489</t>
  </si>
  <si>
    <t>000-00-0335</t>
  </si>
  <si>
    <t>057-88-6806</t>
  </si>
  <si>
    <t>069-62-7184</t>
  </si>
  <si>
    <t>071-74-3304</t>
  </si>
  <si>
    <t>131-84-1228</t>
  </si>
  <si>
    <t>100-54-1483</t>
  </si>
  <si>
    <t>086-98-4849</t>
  </si>
  <si>
    <t>085-56-5725</t>
  </si>
  <si>
    <t>127-70-9989</t>
  </si>
  <si>
    <t>069-90-7935</t>
  </si>
  <si>
    <t>062-84-0490</t>
  </si>
  <si>
    <t>176-70-4504</t>
  </si>
  <si>
    <t>130-58-9511</t>
  </si>
  <si>
    <t>055-56-6934</t>
  </si>
  <si>
    <t>595-40-5568</t>
  </si>
  <si>
    <t>050-78-3070</t>
  </si>
  <si>
    <t>000-00-8225</t>
  </si>
  <si>
    <t>091-42-0814</t>
  </si>
  <si>
    <t>370-02-4297</t>
  </si>
  <si>
    <t>078-36-0108</t>
  </si>
  <si>
    <t>050-70-9173</t>
  </si>
  <si>
    <t>103-58-9582</t>
  </si>
  <si>
    <t>108-92-9390</t>
  </si>
  <si>
    <t>115-40-5657</t>
  </si>
  <si>
    <t>070-34-1192</t>
  </si>
  <si>
    <t>096-91-6646</t>
  </si>
  <si>
    <t>054-96-0616</t>
  </si>
  <si>
    <t>114-56-0496</t>
  </si>
  <si>
    <t>056-44-4015</t>
  </si>
  <si>
    <t>081-64-7694</t>
  </si>
  <si>
    <t>054-70-1803</t>
  </si>
  <si>
    <t>226-31-6509</t>
  </si>
  <si>
    <t>108-66-2844</t>
  </si>
  <si>
    <t>082-88-4185</t>
  </si>
  <si>
    <t>583-73-9075</t>
  </si>
  <si>
    <t>077-63-2837</t>
  </si>
  <si>
    <t>056-58-9463</t>
  </si>
  <si>
    <t>076-60-8686</t>
  </si>
  <si>
    <t>085-64-5852</t>
  </si>
  <si>
    <t>098-56-7228</t>
  </si>
  <si>
    <t>584-04-4938</t>
  </si>
  <si>
    <t>117-54-0356</t>
  </si>
  <si>
    <t>594-10-3068</t>
  </si>
  <si>
    <t>056-70-1457</t>
  </si>
  <si>
    <t>138-32-3136</t>
  </si>
  <si>
    <t>520-33-2846</t>
  </si>
  <si>
    <t>095-78-5554</t>
  </si>
  <si>
    <t>078-58-6780</t>
  </si>
  <si>
    <t>105-56-7824</t>
  </si>
  <si>
    <t>132-82-2399</t>
  </si>
  <si>
    <t>094-87-1558</t>
  </si>
  <si>
    <t>065-46-0754</t>
  </si>
  <si>
    <t>131-72-5981</t>
  </si>
  <si>
    <t>636-30-9073</t>
  </si>
  <si>
    <t>220-88-5955</t>
  </si>
  <si>
    <t>112-68-8686</t>
  </si>
  <si>
    <t>Unregulated</t>
  </si>
  <si>
    <t>Rent Stabilized</t>
  </si>
  <si>
    <t>Rent Controlled</t>
  </si>
  <si>
    <t>Project-based Sec. 8</t>
  </si>
  <si>
    <t>Low Income Tax Credit</t>
  </si>
  <si>
    <t>Public Housing/NYCHA</t>
  </si>
  <si>
    <t>Supportive Housing</t>
  </si>
  <si>
    <t>Unregulated – Co-Op</t>
  </si>
  <si>
    <t>Other Subsidized Housing</t>
  </si>
  <si>
    <t>Unregulated – Other</t>
  </si>
  <si>
    <t>Unregulated – Sublet</t>
  </si>
  <si>
    <t>HDFC</t>
  </si>
  <si>
    <t>Section 8</t>
  </si>
  <si>
    <t>City FEPS</t>
  </si>
  <si>
    <t>DRIE/SCRIE</t>
  </si>
  <si>
    <t>FEPS</t>
  </si>
  <si>
    <t>HASA</t>
  </si>
  <si>
    <t>HUD VASH</t>
  </si>
  <si>
    <t>LINC</t>
  </si>
  <si>
    <t>11/28/2016</t>
  </si>
  <si>
    <t>11/28/2019</t>
  </si>
  <si>
    <t>FJC Waiver</t>
  </si>
  <si>
    <t>Zip Code Waiver</t>
  </si>
  <si>
    <t>Income Waiver</t>
  </si>
  <si>
    <t>Urdu</t>
  </si>
  <si>
    <t>English</t>
  </si>
  <si>
    <t>Chinese/Mandarin</t>
  </si>
  <si>
    <t>Spanish</t>
  </si>
  <si>
    <t>Amer. Sign Lang.</t>
  </si>
  <si>
    <t>Dutch</t>
  </si>
  <si>
    <t>5/10 - need advice notes; DHCI in case # 19-1897373</t>
  </si>
  <si>
    <t>CASA 5/2/19 , missing advice notes</t>
  </si>
  <si>
    <t>4/18 - case type &amp; status unclear from notes</t>
  </si>
  <si>
    <t>Coded as TRC as part of a HPLP/TRC swap, CN</t>
  </si>
  <si>
    <t>S. Prado to upload forms, we have them</t>
  </si>
  <si>
    <t>Sent by email to Sylvia</t>
  </si>
  <si>
    <t>4/18 - case status unclear from notes</t>
  </si>
  <si>
    <t>DV victim - in process of applying for citizenship</t>
  </si>
  <si>
    <t>HRA consent is in LS#18-1885738</t>
  </si>
  <si>
    <t>HRA consent and DHCI forms are in LS#19-1899758</t>
  </si>
  <si>
    <t>This case got missed in earlier reporting, reporting it now</t>
  </si>
  <si>
    <t>4/12 - need billing consent</t>
  </si>
  <si>
    <t>HRA consent and DHCI forms are in LS#HRA consent is in LS#18-1885738</t>
  </si>
  <si>
    <t>Please see HRA and DCHI forms in LS # 19-1896204</t>
  </si>
  <si>
    <t>HRA consent is in LS# 18-1882003</t>
  </si>
  <si>
    <t>HRA and DHCI forms are in case #18-1885956</t>
  </si>
  <si>
    <t>DHCI is in LS# 19-1889786</t>
  </si>
  <si>
    <t>HRA and DHCI forms are in case #19-1899894</t>
  </si>
  <si>
    <t>Client provided last 4 digits of SS# but declined to provide in its entirety.</t>
  </si>
  <si>
    <t>consent form not yet uploaded 6/20 ND</t>
  </si>
  <si>
    <t>Client needs an income waiver for TRC. He's 201.76% of FPL with recurring bills and obligations.</t>
  </si>
  <si>
    <t>Docket number is correct</t>
  </si>
  <si>
    <t>need consent signed</t>
  </si>
  <si>
    <t>Over 200% FPL</t>
  </si>
  <si>
    <t>over income 411%, need income waiver</t>
  </si>
  <si>
    <t>&gt;200%FPL</t>
  </si>
  <si>
    <t>Filed for an Emergency Order to Show Cause</t>
  </si>
  <si>
    <t>Filed/Argued/Supplemented Dispositive or other Substantive Motion</t>
  </si>
  <si>
    <t>Counsel Assisted in Filing or Refiling of Answer</t>
  </si>
  <si>
    <t>Case Discontinued/Dismissed/Landlord Fails to Prosecute, Case Resolved without Judgment of Eviction Against Client, Other</t>
  </si>
  <si>
    <t>Case Discontinued/Dismissed/Landlord Fails to Prosecute</t>
  </si>
  <si>
    <t>Case Resolved without Judgment of Eviction Against Client</t>
  </si>
  <si>
    <t>Client Allowed to Remain in Residence</t>
  </si>
  <si>
    <t>Client Discharged Attorney</t>
  </si>
  <si>
    <t>2019-07-03</t>
  </si>
  <si>
    <t>2019-06-28</t>
  </si>
  <si>
    <t>2019-02-28</t>
  </si>
  <si>
    <t>2019-06-19</t>
  </si>
  <si>
    <t>2018-11-27</t>
  </si>
  <si>
    <t>01/29/2019</t>
  </si>
  <si>
    <t>05/09/2019</t>
  </si>
  <si>
    <t>12/20/2018</t>
  </si>
  <si>
    <t>06/11/2019</t>
  </si>
  <si>
    <t>02/01/2019</t>
  </si>
  <si>
    <t>05/10/2019</t>
  </si>
  <si>
    <t>05/22/2019</t>
  </si>
  <si>
    <t>03/14/2019</t>
  </si>
  <si>
    <t>11/28/2018</t>
  </si>
  <si>
    <t>Pujols, Isabel</t>
  </si>
  <si>
    <t>Prado, Steven</t>
  </si>
  <si>
    <t>Santana, Bridgette</t>
  </si>
  <si>
    <t>Wong, Angela</t>
  </si>
  <si>
    <t>Encarnacion-Badru, Bea</t>
  </si>
  <si>
    <t>Martinez, Renee</t>
  </si>
  <si>
    <t>Garcia, Keiannis</t>
  </si>
  <si>
    <t>Cisneros, Marisol</t>
  </si>
  <si>
    <t>Baldova, Maria</t>
  </si>
  <si>
    <t>Khanam, Aysha</t>
  </si>
  <si>
    <t>Bernardez, Florencita</t>
  </si>
  <si>
    <t>Morales-Robinson, Ana</t>
  </si>
  <si>
    <t>Medina, Marta</t>
  </si>
  <si>
    <t>Belhomme, Wilesca</t>
  </si>
  <si>
    <t>Carrasco, Yazmin</t>
  </si>
  <si>
    <t>Vergeli, Evelyn</t>
  </si>
  <si>
    <t>St. Louis, Bianca</t>
  </si>
  <si>
    <t>Torres, Elizabeth</t>
  </si>
  <si>
    <t>Santiago, Denya</t>
  </si>
  <si>
    <t>Figueroa, Sylvia</t>
  </si>
  <si>
    <t>Then, Laura</t>
  </si>
  <si>
    <t>Ortega, Luis</t>
  </si>
  <si>
    <t>Velasquez, Diana</t>
  </si>
  <si>
    <t>Dong, Sean</t>
  </si>
  <si>
    <t>Vale, Yvonne</t>
  </si>
  <si>
    <t>Baez, Jeaneshia</t>
  </si>
  <si>
    <t>Frias De Sosa, Yajaira</t>
  </si>
  <si>
    <t>Acevedo, Tiffany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</si>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</sst>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342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HYPERLINK("https://lsnyc.legalserver.org/matter/dynamic-profile/view/1902821","19-1902821")</f>
        <v>0</v>
      </c>
      <c r="B2" t="s">
        <v>50</v>
      </c>
      <c r="C2" t="s">
        <v>118</v>
      </c>
      <c r="D2" t="s">
        <v>120</v>
      </c>
      <c r="F2" t="s">
        <v>224</v>
      </c>
      <c r="G2" t="s">
        <v>490</v>
      </c>
      <c r="H2" t="s">
        <v>770</v>
      </c>
      <c r="I2" t="s">
        <v>993</v>
      </c>
      <c r="J2" t="s">
        <v>1156</v>
      </c>
      <c r="K2">
        <v>11423</v>
      </c>
      <c r="L2" t="s">
        <v>1175</v>
      </c>
      <c r="M2" t="s">
        <v>1177</v>
      </c>
      <c r="N2" t="s">
        <v>1178</v>
      </c>
      <c r="O2" t="s">
        <v>1281</v>
      </c>
      <c r="P2" t="s">
        <v>1298</v>
      </c>
      <c r="R2" t="s">
        <v>1311</v>
      </c>
      <c r="S2" t="s">
        <v>1176</v>
      </c>
      <c r="U2" t="s">
        <v>1313</v>
      </c>
      <c r="V2" t="s">
        <v>1320</v>
      </c>
      <c r="W2" t="s">
        <v>123</v>
      </c>
      <c r="X2">
        <v>1700</v>
      </c>
      <c r="Y2" t="s">
        <v>1327</v>
      </c>
      <c r="Z2" t="s">
        <v>1332</v>
      </c>
      <c r="AB2" t="s">
        <v>1355</v>
      </c>
      <c r="AC2" t="s">
        <v>1674</v>
      </c>
      <c r="AE2">
        <v>3</v>
      </c>
      <c r="AF2" t="s">
        <v>1683</v>
      </c>
      <c r="AG2" t="s">
        <v>1255</v>
      </c>
      <c r="AH2">
        <v>4</v>
      </c>
      <c r="AI2">
        <v>1</v>
      </c>
      <c r="AJ2">
        <v>3</v>
      </c>
      <c r="AK2">
        <v>0</v>
      </c>
      <c r="AN2" t="s">
        <v>1997</v>
      </c>
      <c r="AO2">
        <v>0</v>
      </c>
      <c r="AU2">
        <v>7.15</v>
      </c>
      <c r="AV2" t="s">
        <v>222</v>
      </c>
      <c r="AW2" t="s">
        <v>2051</v>
      </c>
      <c r="AX2" t="s">
        <v>2079</v>
      </c>
    </row>
    <row r="3" spans="1:50">
      <c r="A3" s="1">
        <f>HYPERLINK("https://lsnyc.legalserver.org/matter/dynamic-profile/view/1903246","19-1903246")</f>
        <v>0</v>
      </c>
      <c r="B3" t="s">
        <v>51</v>
      </c>
      <c r="C3" t="s">
        <v>118</v>
      </c>
      <c r="D3" t="s">
        <v>121</v>
      </c>
      <c r="F3" t="s">
        <v>225</v>
      </c>
      <c r="G3" t="s">
        <v>491</v>
      </c>
      <c r="H3" t="s">
        <v>771</v>
      </c>
      <c r="J3" t="s">
        <v>1157</v>
      </c>
      <c r="K3">
        <v>11422</v>
      </c>
      <c r="L3" t="s">
        <v>1175</v>
      </c>
      <c r="M3" t="s">
        <v>1177</v>
      </c>
      <c r="O3" t="s">
        <v>1282</v>
      </c>
      <c r="P3" t="s">
        <v>1299</v>
      </c>
      <c r="R3" t="s">
        <v>1312</v>
      </c>
      <c r="S3" t="s">
        <v>1176</v>
      </c>
      <c r="U3" t="s">
        <v>1313</v>
      </c>
      <c r="W3" t="s">
        <v>121</v>
      </c>
      <c r="X3">
        <v>900</v>
      </c>
      <c r="Y3" t="s">
        <v>1327</v>
      </c>
      <c r="Z3" t="s">
        <v>1333</v>
      </c>
      <c r="AB3" t="s">
        <v>1356</v>
      </c>
      <c r="AE3">
        <v>3</v>
      </c>
      <c r="AF3" t="s">
        <v>1973</v>
      </c>
      <c r="AG3" t="s">
        <v>1255</v>
      </c>
      <c r="AH3">
        <v>1</v>
      </c>
      <c r="AI3">
        <v>1</v>
      </c>
      <c r="AJ3">
        <v>0</v>
      </c>
      <c r="AK3">
        <v>0</v>
      </c>
      <c r="AL3" t="s">
        <v>1992</v>
      </c>
      <c r="AM3" t="s">
        <v>1994</v>
      </c>
      <c r="AN3" t="s">
        <v>1998</v>
      </c>
      <c r="AO3">
        <v>0</v>
      </c>
      <c r="AU3">
        <v>1.1</v>
      </c>
      <c r="AV3" t="s">
        <v>123</v>
      </c>
      <c r="AW3" t="s">
        <v>51</v>
      </c>
    </row>
    <row r="4" spans="1:50">
      <c r="A4" s="1">
        <f>HYPERLINK("https://lsnyc.legalserver.org/matter/dynamic-profile/view/1901880","19-1901880")</f>
        <v>0</v>
      </c>
      <c r="B4" t="s">
        <v>51</v>
      </c>
      <c r="C4" t="s">
        <v>118</v>
      </c>
      <c r="D4" t="s">
        <v>122</v>
      </c>
      <c r="F4" t="s">
        <v>226</v>
      </c>
      <c r="G4" t="s">
        <v>492</v>
      </c>
      <c r="H4" t="s">
        <v>772</v>
      </c>
      <c r="J4" t="s">
        <v>1158</v>
      </c>
      <c r="K4">
        <v>11367</v>
      </c>
      <c r="L4" t="s">
        <v>1175</v>
      </c>
      <c r="M4" t="s">
        <v>1177</v>
      </c>
      <c r="O4" t="s">
        <v>1282</v>
      </c>
      <c r="P4" t="s">
        <v>1299</v>
      </c>
      <c r="R4" t="s">
        <v>1312</v>
      </c>
      <c r="S4" t="s">
        <v>1176</v>
      </c>
      <c r="U4" t="s">
        <v>1313</v>
      </c>
      <c r="W4" t="s">
        <v>148</v>
      </c>
      <c r="X4">
        <v>1900</v>
      </c>
      <c r="Y4" t="s">
        <v>1327</v>
      </c>
      <c r="Z4" t="s">
        <v>1333</v>
      </c>
      <c r="AB4" t="s">
        <v>1357</v>
      </c>
      <c r="AE4">
        <v>2</v>
      </c>
      <c r="AF4" t="s">
        <v>1973</v>
      </c>
      <c r="AG4" t="s">
        <v>1255</v>
      </c>
      <c r="AH4">
        <v>4</v>
      </c>
      <c r="AI4">
        <v>1</v>
      </c>
      <c r="AJ4">
        <v>2</v>
      </c>
      <c r="AK4">
        <v>0</v>
      </c>
      <c r="AL4" t="s">
        <v>1992</v>
      </c>
      <c r="AM4" t="s">
        <v>1994</v>
      </c>
      <c r="AN4" t="s">
        <v>1999</v>
      </c>
      <c r="AO4">
        <v>0</v>
      </c>
      <c r="AU4">
        <v>3.6</v>
      </c>
      <c r="AV4" t="s">
        <v>157</v>
      </c>
      <c r="AW4" t="s">
        <v>51</v>
      </c>
    </row>
    <row r="5" spans="1:50">
      <c r="A5" s="1">
        <f>HYPERLINK("https://lsnyc.legalserver.org/matter/dynamic-profile/view/1903492","19-1903492")</f>
        <v>0</v>
      </c>
      <c r="B5" t="s">
        <v>50</v>
      </c>
      <c r="C5" t="s">
        <v>118</v>
      </c>
      <c r="D5" t="s">
        <v>123</v>
      </c>
      <c r="F5" t="s">
        <v>227</v>
      </c>
      <c r="G5" t="s">
        <v>493</v>
      </c>
      <c r="H5" t="s">
        <v>773</v>
      </c>
      <c r="I5" t="s">
        <v>994</v>
      </c>
      <c r="J5" t="s">
        <v>1158</v>
      </c>
      <c r="K5">
        <v>11354</v>
      </c>
      <c r="L5" t="s">
        <v>1175</v>
      </c>
      <c r="M5" t="s">
        <v>1177</v>
      </c>
      <c r="N5" t="s">
        <v>1179</v>
      </c>
      <c r="O5" t="s">
        <v>1283</v>
      </c>
      <c r="P5" t="s">
        <v>1300</v>
      </c>
      <c r="R5" t="s">
        <v>1311</v>
      </c>
      <c r="S5" t="s">
        <v>1175</v>
      </c>
      <c r="U5" t="s">
        <v>1313</v>
      </c>
      <c r="V5" t="s">
        <v>1321</v>
      </c>
      <c r="W5" t="s">
        <v>123</v>
      </c>
      <c r="X5">
        <v>0</v>
      </c>
      <c r="Y5" t="s">
        <v>1327</v>
      </c>
      <c r="Z5" t="s">
        <v>1334</v>
      </c>
      <c r="AB5" t="s">
        <v>1358</v>
      </c>
      <c r="AE5">
        <v>91</v>
      </c>
      <c r="AF5" t="s">
        <v>1974</v>
      </c>
      <c r="AG5" t="s">
        <v>1255</v>
      </c>
      <c r="AH5">
        <v>26</v>
      </c>
      <c r="AI5">
        <v>2</v>
      </c>
      <c r="AJ5">
        <v>0</v>
      </c>
      <c r="AK5">
        <v>0</v>
      </c>
      <c r="AN5" t="s">
        <v>2000</v>
      </c>
      <c r="AO5">
        <v>0</v>
      </c>
      <c r="AU5">
        <v>0.15</v>
      </c>
      <c r="AV5" t="s">
        <v>123</v>
      </c>
      <c r="AW5" t="s">
        <v>50</v>
      </c>
      <c r="AX5" t="s">
        <v>2079</v>
      </c>
    </row>
    <row r="6" spans="1:50">
      <c r="A6" s="1">
        <f>HYPERLINK("https://lsnyc.legalserver.org/matter/dynamic-profile/view/1900522","19-1900522")</f>
        <v>0</v>
      </c>
      <c r="B6" t="s">
        <v>52</v>
      </c>
      <c r="C6" t="s">
        <v>118</v>
      </c>
      <c r="D6" t="s">
        <v>124</v>
      </c>
      <c r="F6" t="s">
        <v>227</v>
      </c>
      <c r="G6" t="s">
        <v>494</v>
      </c>
      <c r="H6" t="s">
        <v>774</v>
      </c>
      <c r="I6" t="s">
        <v>995</v>
      </c>
      <c r="J6" t="s">
        <v>1159</v>
      </c>
      <c r="K6">
        <v>10460</v>
      </c>
      <c r="L6" t="s">
        <v>1175</v>
      </c>
      <c r="M6" t="s">
        <v>1177</v>
      </c>
      <c r="N6" t="s">
        <v>1180</v>
      </c>
      <c r="O6" t="s">
        <v>1282</v>
      </c>
      <c r="P6" t="s">
        <v>1301</v>
      </c>
      <c r="R6" t="s">
        <v>1311</v>
      </c>
      <c r="S6" t="s">
        <v>1176</v>
      </c>
      <c r="U6" t="s">
        <v>1313</v>
      </c>
      <c r="W6" t="s">
        <v>1325</v>
      </c>
      <c r="X6">
        <v>0</v>
      </c>
      <c r="Y6" t="s">
        <v>1328</v>
      </c>
      <c r="Z6" t="s">
        <v>1335</v>
      </c>
      <c r="AB6" t="s">
        <v>1359</v>
      </c>
      <c r="AD6" t="s">
        <v>1713</v>
      </c>
      <c r="AE6">
        <v>168</v>
      </c>
      <c r="AF6" t="s">
        <v>1975</v>
      </c>
      <c r="AG6" t="s">
        <v>1985</v>
      </c>
      <c r="AH6">
        <v>3</v>
      </c>
      <c r="AI6">
        <v>2</v>
      </c>
      <c r="AJ6">
        <v>1</v>
      </c>
      <c r="AK6">
        <v>0</v>
      </c>
      <c r="AN6" t="s">
        <v>1998</v>
      </c>
      <c r="AO6">
        <v>0</v>
      </c>
      <c r="AU6">
        <v>0</v>
      </c>
      <c r="AW6" t="s">
        <v>2052</v>
      </c>
      <c r="AX6" t="s">
        <v>2079</v>
      </c>
    </row>
    <row r="7" spans="1:50">
      <c r="A7" s="1">
        <f>HYPERLINK("https://lsnyc.legalserver.org/matter/dynamic-profile/view/1900526","19-1900526")</f>
        <v>0</v>
      </c>
      <c r="B7" t="s">
        <v>52</v>
      </c>
      <c r="C7" t="s">
        <v>118</v>
      </c>
      <c r="D7" t="s">
        <v>124</v>
      </c>
      <c r="F7" t="s">
        <v>228</v>
      </c>
      <c r="G7" t="s">
        <v>495</v>
      </c>
      <c r="H7" t="s">
        <v>774</v>
      </c>
      <c r="I7" t="s">
        <v>996</v>
      </c>
      <c r="J7" t="s">
        <v>1159</v>
      </c>
      <c r="K7">
        <v>10460</v>
      </c>
      <c r="L7" t="s">
        <v>1175</v>
      </c>
      <c r="M7" t="s">
        <v>1177</v>
      </c>
      <c r="N7" t="s">
        <v>1180</v>
      </c>
      <c r="O7" t="s">
        <v>1282</v>
      </c>
      <c r="P7" t="s">
        <v>1301</v>
      </c>
      <c r="R7" t="s">
        <v>1311</v>
      </c>
      <c r="S7" t="s">
        <v>1175</v>
      </c>
      <c r="U7" t="s">
        <v>1313</v>
      </c>
      <c r="W7" t="s">
        <v>1325</v>
      </c>
      <c r="X7">
        <v>1100</v>
      </c>
      <c r="Y7" t="s">
        <v>1328</v>
      </c>
      <c r="Z7" t="s">
        <v>1335</v>
      </c>
      <c r="AB7" t="s">
        <v>1360</v>
      </c>
      <c r="AD7" t="s">
        <v>1714</v>
      </c>
      <c r="AE7">
        <v>168</v>
      </c>
      <c r="AF7" t="s">
        <v>1974</v>
      </c>
      <c r="AG7" t="s">
        <v>1341</v>
      </c>
      <c r="AH7">
        <v>4</v>
      </c>
      <c r="AI7">
        <v>2</v>
      </c>
      <c r="AJ7">
        <v>0</v>
      </c>
      <c r="AK7">
        <v>0</v>
      </c>
      <c r="AN7" t="s">
        <v>1998</v>
      </c>
      <c r="AO7">
        <v>0</v>
      </c>
      <c r="AU7">
        <v>0</v>
      </c>
      <c r="AW7" t="s">
        <v>2052</v>
      </c>
      <c r="AX7" t="s">
        <v>2079</v>
      </c>
    </row>
    <row r="8" spans="1:50">
      <c r="A8" s="1">
        <f>HYPERLINK("https://lsnyc.legalserver.org/matter/dynamic-profile/view/1901464","19-1901464")</f>
        <v>0</v>
      </c>
      <c r="B8" t="s">
        <v>53</v>
      </c>
      <c r="C8" t="s">
        <v>119</v>
      </c>
      <c r="D8" t="s">
        <v>125</v>
      </c>
      <c r="E8" t="s">
        <v>148</v>
      </c>
      <c r="F8" t="s">
        <v>229</v>
      </c>
      <c r="G8" t="s">
        <v>496</v>
      </c>
      <c r="H8" t="s">
        <v>775</v>
      </c>
      <c r="J8" t="s">
        <v>1159</v>
      </c>
      <c r="K8">
        <v>10457</v>
      </c>
      <c r="L8" t="s">
        <v>1175</v>
      </c>
      <c r="M8" t="s">
        <v>1177</v>
      </c>
      <c r="P8" t="s">
        <v>1299</v>
      </c>
      <c r="Q8" t="s">
        <v>1305</v>
      </c>
      <c r="R8" t="s">
        <v>1311</v>
      </c>
      <c r="S8" t="s">
        <v>1176</v>
      </c>
      <c r="U8" t="s">
        <v>1313</v>
      </c>
      <c r="W8" t="s">
        <v>1325</v>
      </c>
      <c r="X8">
        <v>2950</v>
      </c>
      <c r="Y8" t="s">
        <v>1328</v>
      </c>
      <c r="Z8" t="s">
        <v>1336</v>
      </c>
      <c r="AA8" t="s">
        <v>1346</v>
      </c>
      <c r="AB8" t="s">
        <v>1361</v>
      </c>
      <c r="AE8">
        <v>1</v>
      </c>
      <c r="AF8" t="s">
        <v>1683</v>
      </c>
      <c r="AG8" t="s">
        <v>1255</v>
      </c>
      <c r="AH8">
        <v>16</v>
      </c>
      <c r="AI8">
        <v>2</v>
      </c>
      <c r="AJ8">
        <v>0</v>
      </c>
      <c r="AK8">
        <v>0</v>
      </c>
      <c r="AN8" t="s">
        <v>2000</v>
      </c>
      <c r="AO8">
        <v>0</v>
      </c>
      <c r="AU8">
        <v>1.5</v>
      </c>
      <c r="AV8" t="s">
        <v>125</v>
      </c>
      <c r="AW8" t="s">
        <v>2053</v>
      </c>
      <c r="AX8" t="s">
        <v>2079</v>
      </c>
    </row>
    <row r="9" spans="1:50">
      <c r="A9" s="1">
        <f>HYPERLINK("https://lsnyc.legalserver.org/matter/dynamic-profile/view/1879542","18-1879542")</f>
        <v>0</v>
      </c>
      <c r="B9" t="s">
        <v>54</v>
      </c>
      <c r="C9" t="s">
        <v>119</v>
      </c>
      <c r="D9" t="s">
        <v>126</v>
      </c>
      <c r="E9" t="s">
        <v>214</v>
      </c>
      <c r="F9" t="s">
        <v>230</v>
      </c>
      <c r="G9" t="s">
        <v>497</v>
      </c>
      <c r="H9" t="s">
        <v>776</v>
      </c>
      <c r="I9">
        <v>2</v>
      </c>
      <c r="J9" t="s">
        <v>1159</v>
      </c>
      <c r="K9">
        <v>10453</v>
      </c>
      <c r="L9" t="s">
        <v>1175</v>
      </c>
      <c r="M9" t="s">
        <v>1175</v>
      </c>
      <c r="O9" t="s">
        <v>1284</v>
      </c>
      <c r="P9" t="s">
        <v>1299</v>
      </c>
      <c r="Q9" t="s">
        <v>1305</v>
      </c>
      <c r="R9" t="s">
        <v>1311</v>
      </c>
      <c r="S9" t="s">
        <v>1176</v>
      </c>
      <c r="U9" t="s">
        <v>1313</v>
      </c>
      <c r="W9" t="s">
        <v>1325</v>
      </c>
      <c r="X9">
        <v>1500</v>
      </c>
      <c r="Y9" t="s">
        <v>1328</v>
      </c>
      <c r="Z9" t="s">
        <v>1337</v>
      </c>
      <c r="AA9" t="s">
        <v>1346</v>
      </c>
      <c r="AB9" t="s">
        <v>1362</v>
      </c>
      <c r="AD9" t="s">
        <v>1715</v>
      </c>
      <c r="AE9">
        <v>3</v>
      </c>
      <c r="AF9" t="s">
        <v>1683</v>
      </c>
      <c r="AG9" t="s">
        <v>1255</v>
      </c>
      <c r="AH9">
        <v>1</v>
      </c>
      <c r="AI9">
        <v>1</v>
      </c>
      <c r="AJ9">
        <v>3</v>
      </c>
      <c r="AK9">
        <v>0</v>
      </c>
      <c r="AN9" t="s">
        <v>1998</v>
      </c>
      <c r="AO9">
        <v>0</v>
      </c>
      <c r="AU9">
        <v>1</v>
      </c>
      <c r="AV9" t="s">
        <v>126</v>
      </c>
      <c r="AW9" t="s">
        <v>2054</v>
      </c>
    </row>
    <row r="10" spans="1:50">
      <c r="A10" s="1">
        <f>HYPERLINK("https://lsnyc.legalserver.org/matter/dynamic-profile/view/1900199","19-1900199")</f>
        <v>0</v>
      </c>
      <c r="B10" t="s">
        <v>55</v>
      </c>
      <c r="C10" t="s">
        <v>118</v>
      </c>
      <c r="D10" t="s">
        <v>127</v>
      </c>
      <c r="F10" t="s">
        <v>231</v>
      </c>
      <c r="G10" t="s">
        <v>498</v>
      </c>
      <c r="H10" t="s">
        <v>777</v>
      </c>
      <c r="I10" t="s">
        <v>997</v>
      </c>
      <c r="J10" t="s">
        <v>1159</v>
      </c>
      <c r="K10">
        <v>10453</v>
      </c>
      <c r="L10" t="s">
        <v>1175</v>
      </c>
      <c r="M10" t="s">
        <v>1177</v>
      </c>
      <c r="N10" t="s">
        <v>1181</v>
      </c>
      <c r="O10" t="s">
        <v>1285</v>
      </c>
      <c r="P10" t="s">
        <v>1298</v>
      </c>
      <c r="R10" t="s">
        <v>1311</v>
      </c>
      <c r="S10" t="s">
        <v>1176</v>
      </c>
      <c r="U10" t="s">
        <v>1313</v>
      </c>
      <c r="V10" t="s">
        <v>1321</v>
      </c>
      <c r="W10" t="s">
        <v>1325</v>
      </c>
      <c r="X10">
        <v>176</v>
      </c>
      <c r="Y10" t="s">
        <v>1328</v>
      </c>
      <c r="Z10" t="s">
        <v>1335</v>
      </c>
      <c r="AB10" t="s">
        <v>1363</v>
      </c>
      <c r="AD10" t="s">
        <v>1716</v>
      </c>
      <c r="AE10">
        <v>383</v>
      </c>
      <c r="AF10" t="s">
        <v>1976</v>
      </c>
      <c r="AG10" t="s">
        <v>1985</v>
      </c>
      <c r="AH10">
        <v>12</v>
      </c>
      <c r="AI10">
        <v>1</v>
      </c>
      <c r="AJ10">
        <v>0</v>
      </c>
      <c r="AK10">
        <v>0</v>
      </c>
      <c r="AN10" t="s">
        <v>1998</v>
      </c>
      <c r="AO10">
        <v>0</v>
      </c>
      <c r="AU10">
        <v>10</v>
      </c>
      <c r="AV10" t="s">
        <v>206</v>
      </c>
      <c r="AW10" t="s">
        <v>55</v>
      </c>
      <c r="AX10" t="s">
        <v>2079</v>
      </c>
    </row>
    <row r="11" spans="1:50">
      <c r="A11" s="1">
        <f>HYPERLINK("https://lsnyc.legalserver.org/matter/dynamic-profile/view/1898089","19-1898089")</f>
        <v>0</v>
      </c>
      <c r="B11" t="s">
        <v>56</v>
      </c>
      <c r="C11" t="s">
        <v>118</v>
      </c>
      <c r="D11" t="s">
        <v>128</v>
      </c>
      <c r="F11" t="s">
        <v>232</v>
      </c>
      <c r="G11" t="s">
        <v>499</v>
      </c>
      <c r="H11" t="s">
        <v>778</v>
      </c>
      <c r="I11" t="s">
        <v>998</v>
      </c>
      <c r="J11" t="s">
        <v>1159</v>
      </c>
      <c r="K11">
        <v>10452</v>
      </c>
      <c r="L11" t="s">
        <v>1175</v>
      </c>
      <c r="M11" t="s">
        <v>1175</v>
      </c>
      <c r="O11" t="s">
        <v>1282</v>
      </c>
      <c r="P11" t="s">
        <v>1301</v>
      </c>
      <c r="R11" t="s">
        <v>1311</v>
      </c>
      <c r="S11" t="s">
        <v>1175</v>
      </c>
      <c r="U11" t="s">
        <v>1313</v>
      </c>
      <c r="W11" t="s">
        <v>1325</v>
      </c>
      <c r="X11">
        <v>858.6900000000001</v>
      </c>
      <c r="Y11" t="s">
        <v>1328</v>
      </c>
      <c r="Z11" t="s">
        <v>1336</v>
      </c>
      <c r="AD11" t="s">
        <v>1717</v>
      </c>
      <c r="AE11">
        <v>60</v>
      </c>
      <c r="AF11" t="s">
        <v>1974</v>
      </c>
      <c r="AG11" t="s">
        <v>1985</v>
      </c>
      <c r="AH11">
        <v>20</v>
      </c>
      <c r="AI11">
        <v>1</v>
      </c>
      <c r="AJ11">
        <v>0</v>
      </c>
      <c r="AK11">
        <v>0</v>
      </c>
      <c r="AN11" t="s">
        <v>2000</v>
      </c>
      <c r="AO11">
        <v>0</v>
      </c>
      <c r="AU11">
        <v>0</v>
      </c>
      <c r="AW11" t="s">
        <v>2052</v>
      </c>
      <c r="AX11" t="s">
        <v>2079</v>
      </c>
    </row>
    <row r="12" spans="1:50">
      <c r="A12" s="1">
        <f>HYPERLINK("https://lsnyc.legalserver.org/matter/dynamic-profile/view/1901405","19-1901405")</f>
        <v>0</v>
      </c>
      <c r="B12" t="s">
        <v>57</v>
      </c>
      <c r="C12" t="s">
        <v>118</v>
      </c>
      <c r="D12" t="s">
        <v>129</v>
      </c>
      <c r="F12" t="s">
        <v>233</v>
      </c>
      <c r="G12" t="s">
        <v>500</v>
      </c>
      <c r="H12" t="s">
        <v>779</v>
      </c>
      <c r="I12" t="s">
        <v>999</v>
      </c>
      <c r="J12" t="s">
        <v>1159</v>
      </c>
      <c r="K12">
        <v>10452</v>
      </c>
      <c r="L12" t="s">
        <v>1175</v>
      </c>
      <c r="M12" t="s">
        <v>1177</v>
      </c>
      <c r="O12" t="s">
        <v>1282</v>
      </c>
      <c r="P12" t="s">
        <v>1299</v>
      </c>
      <c r="R12" t="s">
        <v>1311</v>
      </c>
      <c r="S12" t="s">
        <v>1176</v>
      </c>
      <c r="U12" t="s">
        <v>1313</v>
      </c>
      <c r="W12" t="s">
        <v>1325</v>
      </c>
      <c r="X12">
        <v>808.88</v>
      </c>
      <c r="Y12" t="s">
        <v>1328</v>
      </c>
      <c r="Z12" t="s">
        <v>1336</v>
      </c>
      <c r="AB12" t="s">
        <v>1364</v>
      </c>
      <c r="AE12">
        <v>0</v>
      </c>
      <c r="AF12" t="s">
        <v>1974</v>
      </c>
      <c r="AH12">
        <v>37</v>
      </c>
      <c r="AI12">
        <v>1</v>
      </c>
      <c r="AJ12">
        <v>0</v>
      </c>
      <c r="AK12">
        <v>0</v>
      </c>
      <c r="AN12" t="s">
        <v>1998</v>
      </c>
      <c r="AO12">
        <v>0</v>
      </c>
      <c r="AU12">
        <v>1</v>
      </c>
      <c r="AV12" t="s">
        <v>125</v>
      </c>
      <c r="AW12" t="s">
        <v>57</v>
      </c>
      <c r="AX12" t="s">
        <v>2079</v>
      </c>
    </row>
    <row r="13" spans="1:50">
      <c r="A13" s="1">
        <f>HYPERLINK("https://lsnyc.legalserver.org/matter/dynamic-profile/view/1900614","19-1900614")</f>
        <v>0</v>
      </c>
      <c r="B13" t="s">
        <v>58</v>
      </c>
      <c r="C13" t="s">
        <v>118</v>
      </c>
      <c r="D13" t="s">
        <v>124</v>
      </c>
      <c r="F13" t="s">
        <v>234</v>
      </c>
      <c r="G13" t="s">
        <v>501</v>
      </c>
      <c r="H13" t="s">
        <v>780</v>
      </c>
      <c r="I13" t="s">
        <v>1000</v>
      </c>
      <c r="J13" t="s">
        <v>1159</v>
      </c>
      <c r="K13">
        <v>10452</v>
      </c>
      <c r="L13" t="s">
        <v>1175</v>
      </c>
      <c r="M13" t="s">
        <v>1177</v>
      </c>
      <c r="N13" t="s">
        <v>1182</v>
      </c>
      <c r="O13" t="s">
        <v>1281</v>
      </c>
      <c r="P13" t="s">
        <v>1298</v>
      </c>
      <c r="R13" t="s">
        <v>1311</v>
      </c>
      <c r="S13" t="s">
        <v>1176</v>
      </c>
      <c r="U13" t="s">
        <v>1313</v>
      </c>
      <c r="V13" t="s">
        <v>1320</v>
      </c>
      <c r="W13" t="s">
        <v>1325</v>
      </c>
      <c r="X13">
        <v>1000</v>
      </c>
      <c r="Y13" t="s">
        <v>1328</v>
      </c>
      <c r="Z13" t="s">
        <v>1338</v>
      </c>
      <c r="AB13" t="s">
        <v>1365</v>
      </c>
      <c r="AC13" t="s">
        <v>1675</v>
      </c>
      <c r="AD13" t="s">
        <v>1718</v>
      </c>
      <c r="AE13">
        <v>0</v>
      </c>
      <c r="AF13" t="s">
        <v>1974</v>
      </c>
      <c r="AG13" t="s">
        <v>1986</v>
      </c>
      <c r="AH13">
        <v>22</v>
      </c>
      <c r="AI13">
        <v>1</v>
      </c>
      <c r="AJ13">
        <v>3</v>
      </c>
      <c r="AK13">
        <v>0</v>
      </c>
      <c r="AN13" t="s">
        <v>1998</v>
      </c>
      <c r="AO13">
        <v>0</v>
      </c>
      <c r="AU13">
        <v>7.5</v>
      </c>
      <c r="AV13" t="s">
        <v>184</v>
      </c>
      <c r="AW13" t="s">
        <v>2055</v>
      </c>
      <c r="AX13" t="s">
        <v>2080</v>
      </c>
    </row>
    <row r="14" spans="1:50">
      <c r="A14" s="1">
        <f>HYPERLINK("https://lsnyc.legalserver.org/matter/dynamic-profile/view/1897367","19-1897367")</f>
        <v>0</v>
      </c>
      <c r="B14" t="s">
        <v>59</v>
      </c>
      <c r="C14" t="s">
        <v>118</v>
      </c>
      <c r="D14" t="s">
        <v>130</v>
      </c>
      <c r="F14" t="s">
        <v>235</v>
      </c>
      <c r="G14" t="s">
        <v>502</v>
      </c>
      <c r="H14" t="s">
        <v>781</v>
      </c>
      <c r="I14" t="s">
        <v>1001</v>
      </c>
      <c r="J14" t="s">
        <v>1159</v>
      </c>
      <c r="K14">
        <v>10451</v>
      </c>
      <c r="L14" t="s">
        <v>1175</v>
      </c>
      <c r="M14" t="s">
        <v>1175</v>
      </c>
      <c r="O14" t="s">
        <v>1286</v>
      </c>
      <c r="P14" t="s">
        <v>1299</v>
      </c>
      <c r="R14" t="s">
        <v>1311</v>
      </c>
      <c r="S14" t="s">
        <v>1176</v>
      </c>
      <c r="U14" t="s">
        <v>1314</v>
      </c>
      <c r="W14" t="s">
        <v>1325</v>
      </c>
      <c r="X14">
        <v>891.87</v>
      </c>
      <c r="Y14" t="s">
        <v>1328</v>
      </c>
      <c r="Z14" t="s">
        <v>1335</v>
      </c>
      <c r="AB14" t="s">
        <v>1366</v>
      </c>
      <c r="AD14" t="s">
        <v>1719</v>
      </c>
      <c r="AE14">
        <v>84</v>
      </c>
      <c r="AF14" t="s">
        <v>1974</v>
      </c>
      <c r="AG14" t="s">
        <v>1986</v>
      </c>
      <c r="AH14">
        <v>25</v>
      </c>
      <c r="AI14">
        <v>1</v>
      </c>
      <c r="AJ14">
        <v>2</v>
      </c>
      <c r="AK14">
        <v>0</v>
      </c>
      <c r="AN14" t="s">
        <v>2000</v>
      </c>
      <c r="AO14">
        <v>0</v>
      </c>
      <c r="AP14" t="s">
        <v>2003</v>
      </c>
      <c r="AU14">
        <v>0.8</v>
      </c>
      <c r="AV14" t="s">
        <v>157</v>
      </c>
      <c r="AW14" t="s">
        <v>2052</v>
      </c>
      <c r="AX14" t="s">
        <v>2079</v>
      </c>
    </row>
    <row r="15" spans="1:50">
      <c r="A15" s="1">
        <f>HYPERLINK("https://lsnyc.legalserver.org/matter/dynamic-profile/view/1902273","19-1902273")</f>
        <v>0</v>
      </c>
      <c r="B15" t="s">
        <v>60</v>
      </c>
      <c r="C15" t="s">
        <v>118</v>
      </c>
      <c r="D15" t="s">
        <v>131</v>
      </c>
      <c r="F15" t="s">
        <v>236</v>
      </c>
      <c r="G15" t="s">
        <v>503</v>
      </c>
      <c r="H15" t="s">
        <v>782</v>
      </c>
      <c r="I15" t="s">
        <v>1002</v>
      </c>
      <c r="J15" t="s">
        <v>1160</v>
      </c>
      <c r="K15">
        <v>10303</v>
      </c>
      <c r="L15" t="s">
        <v>1175</v>
      </c>
      <c r="M15" t="s">
        <v>1177</v>
      </c>
      <c r="N15" t="s">
        <v>1183</v>
      </c>
      <c r="O15" t="s">
        <v>1284</v>
      </c>
      <c r="P15" t="s">
        <v>1298</v>
      </c>
      <c r="R15" t="s">
        <v>1311</v>
      </c>
      <c r="S15" t="s">
        <v>1176</v>
      </c>
      <c r="U15" t="s">
        <v>1313</v>
      </c>
      <c r="V15" t="s">
        <v>1321</v>
      </c>
      <c r="W15" t="s">
        <v>131</v>
      </c>
      <c r="X15">
        <v>1800</v>
      </c>
      <c r="Y15" t="s">
        <v>1329</v>
      </c>
      <c r="Z15" t="s">
        <v>1339</v>
      </c>
      <c r="AB15" t="s">
        <v>1367</v>
      </c>
      <c r="AC15" t="s">
        <v>1676</v>
      </c>
      <c r="AD15" t="s">
        <v>1720</v>
      </c>
      <c r="AE15">
        <v>1</v>
      </c>
      <c r="AF15" t="s">
        <v>1973</v>
      </c>
      <c r="AG15" t="s">
        <v>1255</v>
      </c>
      <c r="AH15">
        <v>1</v>
      </c>
      <c r="AI15">
        <v>1</v>
      </c>
      <c r="AJ15">
        <v>4</v>
      </c>
      <c r="AK15">
        <v>0</v>
      </c>
      <c r="AN15" t="s">
        <v>1998</v>
      </c>
      <c r="AO15">
        <v>0</v>
      </c>
      <c r="AU15">
        <v>3.2</v>
      </c>
      <c r="AV15" t="s">
        <v>223</v>
      </c>
      <c r="AW15" t="s">
        <v>2056</v>
      </c>
      <c r="AX15" t="s">
        <v>2080</v>
      </c>
    </row>
    <row r="16" spans="1:50">
      <c r="A16" s="1">
        <f>HYPERLINK("https://lsnyc.legalserver.org/matter/dynamic-profile/view/1902035","19-1902035")</f>
        <v>0</v>
      </c>
      <c r="B16" t="s">
        <v>61</v>
      </c>
      <c r="C16" t="s">
        <v>118</v>
      </c>
      <c r="D16" t="s">
        <v>132</v>
      </c>
      <c r="F16" t="s">
        <v>237</v>
      </c>
      <c r="G16" t="s">
        <v>504</v>
      </c>
      <c r="H16" t="s">
        <v>783</v>
      </c>
      <c r="I16">
        <v>304</v>
      </c>
      <c r="J16" t="s">
        <v>1161</v>
      </c>
      <c r="K16">
        <v>10034</v>
      </c>
      <c r="L16" t="s">
        <v>1175</v>
      </c>
      <c r="M16" t="s">
        <v>1177</v>
      </c>
      <c r="O16" t="s">
        <v>1282</v>
      </c>
      <c r="P16" t="s">
        <v>1302</v>
      </c>
      <c r="R16" t="s">
        <v>1311</v>
      </c>
      <c r="S16" t="s">
        <v>1176</v>
      </c>
      <c r="U16" t="s">
        <v>1313</v>
      </c>
      <c r="W16" t="s">
        <v>132</v>
      </c>
      <c r="X16">
        <v>1248.72</v>
      </c>
      <c r="Y16" t="s">
        <v>1330</v>
      </c>
      <c r="Z16" t="s">
        <v>1338</v>
      </c>
      <c r="AB16" t="s">
        <v>1368</v>
      </c>
      <c r="AD16" t="s">
        <v>1721</v>
      </c>
      <c r="AE16">
        <v>73</v>
      </c>
      <c r="AF16" t="s">
        <v>1974</v>
      </c>
      <c r="AG16" t="s">
        <v>1987</v>
      </c>
      <c r="AH16">
        <v>45</v>
      </c>
      <c r="AI16">
        <v>2</v>
      </c>
      <c r="AJ16">
        <v>3</v>
      </c>
      <c r="AK16">
        <v>0</v>
      </c>
      <c r="AN16" t="s">
        <v>2000</v>
      </c>
      <c r="AO16">
        <v>0</v>
      </c>
      <c r="AU16">
        <v>1</v>
      </c>
      <c r="AV16" t="s">
        <v>142</v>
      </c>
      <c r="AW16" t="s">
        <v>2057</v>
      </c>
      <c r="AX16" t="s">
        <v>1255</v>
      </c>
    </row>
    <row r="17" spans="1:50">
      <c r="A17" s="1">
        <f>HYPERLINK("https://lsnyc.legalserver.org/matter/dynamic-profile/view/1902753","19-1902753")</f>
        <v>0</v>
      </c>
      <c r="B17" t="s">
        <v>62</v>
      </c>
      <c r="C17" t="s">
        <v>119</v>
      </c>
      <c r="D17" t="s">
        <v>120</v>
      </c>
      <c r="E17" t="s">
        <v>120</v>
      </c>
      <c r="F17" t="s">
        <v>238</v>
      </c>
      <c r="G17" t="s">
        <v>505</v>
      </c>
      <c r="H17" t="s">
        <v>784</v>
      </c>
      <c r="I17">
        <v>201</v>
      </c>
      <c r="J17" t="s">
        <v>1161</v>
      </c>
      <c r="K17">
        <v>10034</v>
      </c>
      <c r="L17" t="s">
        <v>1175</v>
      </c>
      <c r="M17" t="s">
        <v>1177</v>
      </c>
      <c r="O17" t="s">
        <v>1287</v>
      </c>
      <c r="P17" t="s">
        <v>1302</v>
      </c>
      <c r="Q17" t="s">
        <v>1306</v>
      </c>
      <c r="R17" t="s">
        <v>1311</v>
      </c>
      <c r="S17" t="s">
        <v>1176</v>
      </c>
      <c r="U17" t="s">
        <v>1315</v>
      </c>
      <c r="W17" t="s">
        <v>120</v>
      </c>
      <c r="X17">
        <v>1374</v>
      </c>
      <c r="Y17" t="s">
        <v>1330</v>
      </c>
      <c r="Z17" t="s">
        <v>1335</v>
      </c>
      <c r="AA17" t="s">
        <v>1347</v>
      </c>
      <c r="AB17" t="s">
        <v>1369</v>
      </c>
      <c r="AD17" t="s">
        <v>1722</v>
      </c>
      <c r="AE17">
        <v>72</v>
      </c>
      <c r="AF17" t="s">
        <v>1974</v>
      </c>
      <c r="AG17" t="s">
        <v>1988</v>
      </c>
      <c r="AH17">
        <v>11</v>
      </c>
      <c r="AI17">
        <v>1</v>
      </c>
      <c r="AJ17">
        <v>1</v>
      </c>
      <c r="AK17">
        <v>0</v>
      </c>
      <c r="AN17" t="s">
        <v>2000</v>
      </c>
      <c r="AO17">
        <v>0</v>
      </c>
      <c r="AU17">
        <v>1.75</v>
      </c>
      <c r="AV17" t="s">
        <v>215</v>
      </c>
      <c r="AW17" t="s">
        <v>2057</v>
      </c>
      <c r="AX17" t="s">
        <v>2079</v>
      </c>
    </row>
    <row r="18" spans="1:50">
      <c r="A18" s="1">
        <f>HYPERLINK("https://lsnyc.legalserver.org/matter/dynamic-profile/view/1902355","19-1902355")</f>
        <v>0</v>
      </c>
      <c r="B18" t="s">
        <v>63</v>
      </c>
      <c r="C18" t="s">
        <v>118</v>
      </c>
      <c r="D18" t="s">
        <v>131</v>
      </c>
      <c r="F18" t="s">
        <v>239</v>
      </c>
      <c r="G18" t="s">
        <v>506</v>
      </c>
      <c r="H18" t="s">
        <v>785</v>
      </c>
      <c r="I18">
        <v>1</v>
      </c>
      <c r="J18" t="s">
        <v>1161</v>
      </c>
      <c r="K18">
        <v>10032</v>
      </c>
      <c r="L18" t="s">
        <v>1175</v>
      </c>
      <c r="M18" t="s">
        <v>1177</v>
      </c>
      <c r="O18" t="s">
        <v>1282</v>
      </c>
      <c r="P18" t="s">
        <v>1299</v>
      </c>
      <c r="R18" t="s">
        <v>1311</v>
      </c>
      <c r="S18" t="s">
        <v>1176</v>
      </c>
      <c r="U18" t="s">
        <v>1313</v>
      </c>
      <c r="W18" t="s">
        <v>131</v>
      </c>
      <c r="X18">
        <v>2500</v>
      </c>
      <c r="Y18" t="s">
        <v>1330</v>
      </c>
      <c r="Z18" t="s">
        <v>1335</v>
      </c>
      <c r="AB18" t="s">
        <v>1370</v>
      </c>
      <c r="AD18" t="s">
        <v>1723</v>
      </c>
      <c r="AE18">
        <v>4</v>
      </c>
      <c r="AF18" t="s">
        <v>1974</v>
      </c>
      <c r="AG18" t="s">
        <v>1255</v>
      </c>
      <c r="AH18">
        <v>2</v>
      </c>
      <c r="AI18">
        <v>1</v>
      </c>
      <c r="AJ18">
        <v>0</v>
      </c>
      <c r="AK18">
        <v>0</v>
      </c>
      <c r="AN18" t="s">
        <v>1998</v>
      </c>
      <c r="AO18">
        <v>0</v>
      </c>
      <c r="AU18">
        <v>1.5</v>
      </c>
      <c r="AV18" t="s">
        <v>131</v>
      </c>
      <c r="AW18" t="s">
        <v>2057</v>
      </c>
      <c r="AX18" t="s">
        <v>2079</v>
      </c>
    </row>
    <row r="19" spans="1:50">
      <c r="A19" s="1">
        <f>HYPERLINK("https://lsnyc.legalserver.org/matter/dynamic-profile/view/1888169","19-1888169")</f>
        <v>0</v>
      </c>
      <c r="B19" t="s">
        <v>64</v>
      </c>
      <c r="C19" t="s">
        <v>119</v>
      </c>
      <c r="D19" t="s">
        <v>133</v>
      </c>
      <c r="E19" t="s">
        <v>215</v>
      </c>
      <c r="F19" t="s">
        <v>240</v>
      </c>
      <c r="G19" t="s">
        <v>507</v>
      </c>
      <c r="H19" t="s">
        <v>786</v>
      </c>
      <c r="J19" t="s">
        <v>1161</v>
      </c>
      <c r="K19">
        <v>10023</v>
      </c>
      <c r="L19" t="s">
        <v>1175</v>
      </c>
      <c r="M19" t="s">
        <v>1176</v>
      </c>
      <c r="N19" t="s">
        <v>1184</v>
      </c>
      <c r="O19" t="s">
        <v>1288</v>
      </c>
      <c r="P19" t="s">
        <v>1298</v>
      </c>
      <c r="Q19" t="s">
        <v>1307</v>
      </c>
      <c r="R19" t="s">
        <v>1311</v>
      </c>
      <c r="S19" t="s">
        <v>1176</v>
      </c>
      <c r="U19" t="s">
        <v>1313</v>
      </c>
      <c r="W19" t="s">
        <v>215</v>
      </c>
      <c r="X19">
        <v>3600</v>
      </c>
      <c r="Y19" t="s">
        <v>1330</v>
      </c>
      <c r="Z19" t="s">
        <v>1333</v>
      </c>
      <c r="AA19" t="s">
        <v>1348</v>
      </c>
      <c r="AB19" t="s">
        <v>1371</v>
      </c>
      <c r="AD19" t="s">
        <v>1724</v>
      </c>
      <c r="AE19">
        <v>0</v>
      </c>
      <c r="AF19" t="s">
        <v>1974</v>
      </c>
      <c r="AG19" t="s">
        <v>1255</v>
      </c>
      <c r="AH19">
        <v>1</v>
      </c>
      <c r="AI19">
        <v>1</v>
      </c>
      <c r="AJ19">
        <v>0</v>
      </c>
      <c r="AK19">
        <v>0</v>
      </c>
      <c r="AN19" t="s">
        <v>1998</v>
      </c>
      <c r="AO19">
        <v>0</v>
      </c>
      <c r="AU19">
        <v>68.59999999999999</v>
      </c>
      <c r="AV19" t="s">
        <v>215</v>
      </c>
      <c r="AW19" t="s">
        <v>2057</v>
      </c>
      <c r="AX19" t="s">
        <v>2079</v>
      </c>
    </row>
    <row r="20" spans="1:50">
      <c r="A20" s="1">
        <f>HYPERLINK("https://lsnyc.legalserver.org/matter/dynamic-profile/view/1902269","19-1902269")</f>
        <v>0</v>
      </c>
      <c r="B20" t="s">
        <v>65</v>
      </c>
      <c r="C20" t="s">
        <v>118</v>
      </c>
      <c r="D20" t="s">
        <v>131</v>
      </c>
      <c r="F20" t="s">
        <v>241</v>
      </c>
      <c r="G20" t="s">
        <v>508</v>
      </c>
      <c r="H20" t="s">
        <v>787</v>
      </c>
      <c r="I20" t="s">
        <v>1003</v>
      </c>
      <c r="J20" t="s">
        <v>1159</v>
      </c>
      <c r="K20">
        <v>10460</v>
      </c>
      <c r="L20" t="s">
        <v>1175</v>
      </c>
      <c r="M20" t="s">
        <v>1177</v>
      </c>
      <c r="N20" t="s">
        <v>1185</v>
      </c>
      <c r="O20" t="s">
        <v>1285</v>
      </c>
      <c r="P20" t="s">
        <v>1298</v>
      </c>
      <c r="R20" t="s">
        <v>1311</v>
      </c>
      <c r="S20" t="s">
        <v>1176</v>
      </c>
      <c r="U20" t="s">
        <v>1313</v>
      </c>
      <c r="V20" t="s">
        <v>1321</v>
      </c>
      <c r="W20" t="s">
        <v>131</v>
      </c>
      <c r="X20">
        <v>1980.45</v>
      </c>
      <c r="Y20" t="s">
        <v>1328</v>
      </c>
      <c r="Z20" t="s">
        <v>1335</v>
      </c>
      <c r="AB20" t="s">
        <v>1372</v>
      </c>
      <c r="AC20" t="s">
        <v>1677</v>
      </c>
      <c r="AD20" t="s">
        <v>1725</v>
      </c>
      <c r="AE20">
        <v>0</v>
      </c>
      <c r="AF20" t="s">
        <v>1974</v>
      </c>
      <c r="AG20" t="s">
        <v>1986</v>
      </c>
      <c r="AH20">
        <v>2</v>
      </c>
      <c r="AI20">
        <v>4</v>
      </c>
      <c r="AJ20">
        <v>1</v>
      </c>
      <c r="AK20">
        <v>8.029999999999999</v>
      </c>
      <c r="AN20" t="s">
        <v>1998</v>
      </c>
      <c r="AO20">
        <v>2424</v>
      </c>
      <c r="AU20">
        <v>5</v>
      </c>
      <c r="AV20" t="s">
        <v>163</v>
      </c>
      <c r="AW20" t="s">
        <v>112</v>
      </c>
      <c r="AX20" t="s">
        <v>2080</v>
      </c>
    </row>
    <row r="21" spans="1:50">
      <c r="A21" s="1">
        <f>HYPERLINK("https://lsnyc.legalserver.org/matter/dynamic-profile/view/1900690","19-1900690")</f>
        <v>0</v>
      </c>
      <c r="B21" t="s">
        <v>66</v>
      </c>
      <c r="C21" t="s">
        <v>118</v>
      </c>
      <c r="D21" t="s">
        <v>134</v>
      </c>
      <c r="F21" t="s">
        <v>242</v>
      </c>
      <c r="G21" t="s">
        <v>509</v>
      </c>
      <c r="H21" t="s">
        <v>774</v>
      </c>
      <c r="I21" t="s">
        <v>1004</v>
      </c>
      <c r="J21" t="s">
        <v>1159</v>
      </c>
      <c r="K21">
        <v>10460</v>
      </c>
      <c r="L21" t="s">
        <v>1175</v>
      </c>
      <c r="M21" t="s">
        <v>1177</v>
      </c>
      <c r="N21" t="s">
        <v>1186</v>
      </c>
      <c r="O21" t="s">
        <v>1281</v>
      </c>
      <c r="P21" t="s">
        <v>1298</v>
      </c>
      <c r="R21" t="s">
        <v>1311</v>
      </c>
      <c r="S21" t="s">
        <v>1176</v>
      </c>
      <c r="U21" t="s">
        <v>1313</v>
      </c>
      <c r="W21" t="s">
        <v>1325</v>
      </c>
      <c r="X21">
        <v>233</v>
      </c>
      <c r="Y21" t="s">
        <v>1328</v>
      </c>
      <c r="Z21" t="s">
        <v>1335</v>
      </c>
      <c r="AB21" t="s">
        <v>1373</v>
      </c>
      <c r="AD21" t="s">
        <v>1726</v>
      </c>
      <c r="AE21">
        <v>248</v>
      </c>
      <c r="AF21" t="s">
        <v>1977</v>
      </c>
      <c r="AG21" t="s">
        <v>1989</v>
      </c>
      <c r="AH21">
        <v>25</v>
      </c>
      <c r="AI21">
        <v>2</v>
      </c>
      <c r="AJ21">
        <v>0</v>
      </c>
      <c r="AK21">
        <v>11.6</v>
      </c>
      <c r="AN21" t="s">
        <v>1998</v>
      </c>
      <c r="AO21">
        <v>1962</v>
      </c>
      <c r="AU21">
        <v>9.800000000000001</v>
      </c>
      <c r="AV21" t="s">
        <v>164</v>
      </c>
      <c r="AW21" t="s">
        <v>2052</v>
      </c>
      <c r="AX21" t="s">
        <v>2079</v>
      </c>
    </row>
    <row r="22" spans="1:50">
      <c r="A22" s="1">
        <f>HYPERLINK("https://lsnyc.legalserver.org/matter/dynamic-profile/view/1896780","19-1896780")</f>
        <v>0</v>
      </c>
      <c r="B22" t="s">
        <v>66</v>
      </c>
      <c r="C22" t="s">
        <v>118</v>
      </c>
      <c r="D22" t="s">
        <v>135</v>
      </c>
      <c r="F22" t="s">
        <v>243</v>
      </c>
      <c r="G22" t="s">
        <v>510</v>
      </c>
      <c r="H22" t="s">
        <v>788</v>
      </c>
      <c r="I22" t="s">
        <v>1005</v>
      </c>
      <c r="J22" t="s">
        <v>1159</v>
      </c>
      <c r="K22">
        <v>10460</v>
      </c>
      <c r="L22" t="s">
        <v>1175</v>
      </c>
      <c r="M22" t="s">
        <v>1175</v>
      </c>
      <c r="N22" t="s">
        <v>1187</v>
      </c>
      <c r="O22" t="s">
        <v>1281</v>
      </c>
      <c r="P22" t="s">
        <v>1299</v>
      </c>
      <c r="R22" t="s">
        <v>1311</v>
      </c>
      <c r="S22" t="s">
        <v>1176</v>
      </c>
      <c r="U22" t="s">
        <v>1313</v>
      </c>
      <c r="V22" t="s">
        <v>1320</v>
      </c>
      <c r="W22" t="s">
        <v>1325</v>
      </c>
      <c r="X22">
        <v>1330</v>
      </c>
      <c r="Y22" t="s">
        <v>1328</v>
      </c>
      <c r="Z22" t="s">
        <v>1339</v>
      </c>
      <c r="AA22" t="s">
        <v>1346</v>
      </c>
      <c r="AB22" t="s">
        <v>1374</v>
      </c>
      <c r="AC22" t="s">
        <v>1678</v>
      </c>
      <c r="AD22" t="s">
        <v>1727</v>
      </c>
      <c r="AE22">
        <v>237</v>
      </c>
      <c r="AF22" t="s">
        <v>1976</v>
      </c>
      <c r="AG22" t="s">
        <v>1255</v>
      </c>
      <c r="AH22">
        <v>8</v>
      </c>
      <c r="AI22">
        <v>2</v>
      </c>
      <c r="AJ22">
        <v>0</v>
      </c>
      <c r="AK22">
        <v>13.06</v>
      </c>
      <c r="AN22" t="s">
        <v>1998</v>
      </c>
      <c r="AO22">
        <v>2208</v>
      </c>
      <c r="AP22" t="s">
        <v>2004</v>
      </c>
      <c r="AU22">
        <v>5.1</v>
      </c>
      <c r="AV22" t="s">
        <v>188</v>
      </c>
      <c r="AW22" t="s">
        <v>110</v>
      </c>
      <c r="AX22" t="s">
        <v>2079</v>
      </c>
    </row>
    <row r="23" spans="1:50">
      <c r="A23" s="1">
        <f>HYPERLINK("https://lsnyc.legalserver.org/matter/dynamic-profile/view/1899003","19-1899003")</f>
        <v>0</v>
      </c>
      <c r="B23" t="s">
        <v>67</v>
      </c>
      <c r="C23" t="s">
        <v>118</v>
      </c>
      <c r="D23" t="s">
        <v>136</v>
      </c>
      <c r="F23" t="s">
        <v>244</v>
      </c>
      <c r="G23" t="s">
        <v>511</v>
      </c>
      <c r="H23" t="s">
        <v>789</v>
      </c>
      <c r="I23" t="s">
        <v>1006</v>
      </c>
      <c r="J23" t="s">
        <v>1162</v>
      </c>
      <c r="K23">
        <v>11208</v>
      </c>
      <c r="L23" t="s">
        <v>1176</v>
      </c>
      <c r="M23" t="s">
        <v>1177</v>
      </c>
      <c r="N23" t="s">
        <v>1188</v>
      </c>
      <c r="O23" t="s">
        <v>1284</v>
      </c>
      <c r="P23" t="s">
        <v>1302</v>
      </c>
      <c r="R23" t="s">
        <v>1311</v>
      </c>
      <c r="S23" t="s">
        <v>1176</v>
      </c>
      <c r="U23" t="s">
        <v>1313</v>
      </c>
      <c r="W23" t="s">
        <v>142</v>
      </c>
      <c r="X23">
        <v>1297</v>
      </c>
      <c r="Y23" t="s">
        <v>1331</v>
      </c>
      <c r="AB23" t="s">
        <v>1375</v>
      </c>
      <c r="AC23">
        <v>4798867</v>
      </c>
      <c r="AD23" t="s">
        <v>1728</v>
      </c>
      <c r="AE23">
        <v>2</v>
      </c>
      <c r="AF23" t="s">
        <v>1973</v>
      </c>
      <c r="AG23" t="s">
        <v>1985</v>
      </c>
      <c r="AH23">
        <v>12</v>
      </c>
      <c r="AI23">
        <v>1</v>
      </c>
      <c r="AJ23">
        <v>2</v>
      </c>
      <c r="AK23">
        <v>14.18</v>
      </c>
      <c r="AN23" t="s">
        <v>1998</v>
      </c>
      <c r="AO23">
        <v>3024</v>
      </c>
      <c r="AU23">
        <v>4</v>
      </c>
      <c r="AV23" t="s">
        <v>124</v>
      </c>
      <c r="AW23" t="s">
        <v>2058</v>
      </c>
      <c r="AX23" t="s">
        <v>2080</v>
      </c>
    </row>
    <row r="24" spans="1:50">
      <c r="A24" s="1">
        <f>HYPERLINK("https://lsnyc.legalserver.org/matter/dynamic-profile/view/1900935","19-1900935")</f>
        <v>0</v>
      </c>
      <c r="B24" t="s">
        <v>68</v>
      </c>
      <c r="C24" t="s">
        <v>119</v>
      </c>
      <c r="D24" t="s">
        <v>137</v>
      </c>
      <c r="E24" t="s">
        <v>122</v>
      </c>
      <c r="F24" t="s">
        <v>245</v>
      </c>
      <c r="G24" t="s">
        <v>512</v>
      </c>
      <c r="H24" t="s">
        <v>790</v>
      </c>
      <c r="J24" t="s">
        <v>1159</v>
      </c>
      <c r="K24">
        <v>10452</v>
      </c>
      <c r="L24" t="s">
        <v>1175</v>
      </c>
      <c r="M24" t="s">
        <v>1177</v>
      </c>
      <c r="O24" t="s">
        <v>1282</v>
      </c>
      <c r="P24" t="s">
        <v>1299</v>
      </c>
      <c r="Q24" t="s">
        <v>1305</v>
      </c>
      <c r="R24" t="s">
        <v>1311</v>
      </c>
      <c r="U24" t="s">
        <v>1313</v>
      </c>
      <c r="W24" t="s">
        <v>215</v>
      </c>
      <c r="X24">
        <v>705.35</v>
      </c>
      <c r="Y24" t="s">
        <v>1328</v>
      </c>
      <c r="Z24" t="s">
        <v>1340</v>
      </c>
      <c r="AA24" t="s">
        <v>1346</v>
      </c>
      <c r="AB24" t="s">
        <v>1376</v>
      </c>
      <c r="AE24">
        <v>55</v>
      </c>
      <c r="AG24" t="s">
        <v>1341</v>
      </c>
      <c r="AH24">
        <v>28</v>
      </c>
      <c r="AI24">
        <v>1</v>
      </c>
      <c r="AJ24">
        <v>0</v>
      </c>
      <c r="AK24">
        <v>17.29</v>
      </c>
      <c r="AN24" t="s">
        <v>1998</v>
      </c>
      <c r="AO24">
        <v>2160</v>
      </c>
      <c r="AU24">
        <v>1</v>
      </c>
      <c r="AV24" t="s">
        <v>139</v>
      </c>
      <c r="AW24" t="s">
        <v>112</v>
      </c>
      <c r="AX24" t="s">
        <v>2079</v>
      </c>
    </row>
    <row r="25" spans="1:50">
      <c r="A25" s="1">
        <f>HYPERLINK("https://lsnyc.legalserver.org/matter/dynamic-profile/view/1900004","19-1900004")</f>
        <v>0</v>
      </c>
      <c r="B25" t="s">
        <v>69</v>
      </c>
      <c r="C25" t="s">
        <v>119</v>
      </c>
      <c r="D25" t="s">
        <v>138</v>
      </c>
      <c r="E25" t="s">
        <v>131</v>
      </c>
      <c r="F25" t="s">
        <v>246</v>
      </c>
      <c r="G25" t="s">
        <v>513</v>
      </c>
      <c r="H25" t="s">
        <v>791</v>
      </c>
      <c r="I25" t="s">
        <v>1007</v>
      </c>
      <c r="J25" t="s">
        <v>1162</v>
      </c>
      <c r="K25">
        <v>11208</v>
      </c>
      <c r="L25" t="s">
        <v>1175</v>
      </c>
      <c r="M25" t="s">
        <v>1177</v>
      </c>
      <c r="N25" t="s">
        <v>1189</v>
      </c>
      <c r="O25" t="s">
        <v>1284</v>
      </c>
      <c r="P25" t="s">
        <v>1299</v>
      </c>
      <c r="Q25" t="s">
        <v>1305</v>
      </c>
      <c r="R25" t="s">
        <v>1311</v>
      </c>
      <c r="S25" t="s">
        <v>1176</v>
      </c>
      <c r="U25" t="s">
        <v>1313</v>
      </c>
      <c r="V25" t="s">
        <v>1320</v>
      </c>
      <c r="W25" t="s">
        <v>188</v>
      </c>
      <c r="X25">
        <v>1557</v>
      </c>
      <c r="Y25" t="s">
        <v>1331</v>
      </c>
      <c r="Z25" t="s">
        <v>1341</v>
      </c>
      <c r="AA25" t="s">
        <v>1346</v>
      </c>
      <c r="AB25" t="s">
        <v>1377</v>
      </c>
      <c r="AD25" t="s">
        <v>1729</v>
      </c>
      <c r="AE25">
        <v>19</v>
      </c>
      <c r="AF25" t="s">
        <v>1974</v>
      </c>
      <c r="AG25" t="s">
        <v>1988</v>
      </c>
      <c r="AH25">
        <v>3</v>
      </c>
      <c r="AI25">
        <v>1</v>
      </c>
      <c r="AJ25">
        <v>3</v>
      </c>
      <c r="AK25">
        <v>18.64</v>
      </c>
      <c r="AN25" t="s">
        <v>1998</v>
      </c>
      <c r="AO25">
        <v>4800</v>
      </c>
      <c r="AU25">
        <v>2.25</v>
      </c>
      <c r="AV25" t="s">
        <v>188</v>
      </c>
      <c r="AW25" t="s">
        <v>2059</v>
      </c>
      <c r="AX25" t="s">
        <v>2079</v>
      </c>
    </row>
    <row r="26" spans="1:50">
      <c r="A26" s="1">
        <f>HYPERLINK("https://lsnyc.legalserver.org/matter/dynamic-profile/view/1901212","19-1901212")</f>
        <v>0</v>
      </c>
      <c r="B26" t="s">
        <v>70</v>
      </c>
      <c r="C26" t="s">
        <v>118</v>
      </c>
      <c r="D26" t="s">
        <v>139</v>
      </c>
      <c r="F26" t="s">
        <v>247</v>
      </c>
      <c r="G26" t="s">
        <v>514</v>
      </c>
      <c r="H26" t="s">
        <v>792</v>
      </c>
      <c r="I26" t="s">
        <v>1002</v>
      </c>
      <c r="J26" t="s">
        <v>1163</v>
      </c>
      <c r="K26">
        <v>11692</v>
      </c>
      <c r="L26" t="s">
        <v>1175</v>
      </c>
      <c r="M26" t="s">
        <v>1177</v>
      </c>
      <c r="N26" t="s">
        <v>1190</v>
      </c>
      <c r="O26" t="s">
        <v>1284</v>
      </c>
      <c r="P26" t="s">
        <v>1298</v>
      </c>
      <c r="R26" t="s">
        <v>1311</v>
      </c>
      <c r="S26" t="s">
        <v>1176</v>
      </c>
      <c r="U26" t="s">
        <v>1313</v>
      </c>
      <c r="V26" t="s">
        <v>1322</v>
      </c>
      <c r="W26" t="s">
        <v>122</v>
      </c>
      <c r="X26">
        <v>2197</v>
      </c>
      <c r="Y26" t="s">
        <v>1327</v>
      </c>
      <c r="Z26" t="s">
        <v>1342</v>
      </c>
      <c r="AB26" t="s">
        <v>1378</v>
      </c>
      <c r="AC26">
        <v>30838634</v>
      </c>
      <c r="AD26" t="s">
        <v>1730</v>
      </c>
      <c r="AE26">
        <v>2</v>
      </c>
      <c r="AF26" t="s">
        <v>1973</v>
      </c>
      <c r="AG26" t="s">
        <v>1986</v>
      </c>
      <c r="AH26">
        <v>3</v>
      </c>
      <c r="AI26">
        <v>2</v>
      </c>
      <c r="AJ26">
        <v>7</v>
      </c>
      <c r="AK26">
        <v>19.06</v>
      </c>
      <c r="AN26" t="s">
        <v>1998</v>
      </c>
      <c r="AO26">
        <v>9120</v>
      </c>
      <c r="AU26">
        <v>20.9</v>
      </c>
      <c r="AV26" t="s">
        <v>222</v>
      </c>
      <c r="AW26" t="s">
        <v>2060</v>
      </c>
      <c r="AX26" t="s">
        <v>2079</v>
      </c>
    </row>
    <row r="27" spans="1:50">
      <c r="A27" s="1">
        <f>HYPERLINK("https://lsnyc.legalserver.org/matter/dynamic-profile/view/1898933","19-1898933")</f>
        <v>0</v>
      </c>
      <c r="B27" t="s">
        <v>71</v>
      </c>
      <c r="C27" t="s">
        <v>119</v>
      </c>
      <c r="D27" t="s">
        <v>136</v>
      </c>
      <c r="E27" t="s">
        <v>215</v>
      </c>
      <c r="F27" t="s">
        <v>248</v>
      </c>
      <c r="G27" t="s">
        <v>515</v>
      </c>
      <c r="H27" t="s">
        <v>793</v>
      </c>
      <c r="I27" t="s">
        <v>1008</v>
      </c>
      <c r="J27" t="s">
        <v>1159</v>
      </c>
      <c r="K27">
        <v>10469</v>
      </c>
      <c r="L27" t="s">
        <v>1175</v>
      </c>
      <c r="M27" t="s">
        <v>1175</v>
      </c>
      <c r="P27" t="s">
        <v>1299</v>
      </c>
      <c r="Q27" t="s">
        <v>1305</v>
      </c>
      <c r="R27" t="s">
        <v>1311</v>
      </c>
      <c r="S27" t="s">
        <v>1176</v>
      </c>
      <c r="U27" t="s">
        <v>1313</v>
      </c>
      <c r="W27" t="s">
        <v>1325</v>
      </c>
      <c r="X27">
        <v>1811</v>
      </c>
      <c r="Y27" t="s">
        <v>1328</v>
      </c>
      <c r="Z27" t="s">
        <v>1336</v>
      </c>
      <c r="AA27" t="s">
        <v>1346</v>
      </c>
      <c r="AB27" t="s">
        <v>1379</v>
      </c>
      <c r="AC27">
        <v>3760288201</v>
      </c>
      <c r="AE27">
        <v>2</v>
      </c>
      <c r="AF27" t="s">
        <v>1683</v>
      </c>
      <c r="AG27" t="s">
        <v>1985</v>
      </c>
      <c r="AH27">
        <v>8</v>
      </c>
      <c r="AI27">
        <v>2</v>
      </c>
      <c r="AJ27">
        <v>2</v>
      </c>
      <c r="AK27">
        <v>19.85</v>
      </c>
      <c r="AN27" t="s">
        <v>1998</v>
      </c>
      <c r="AO27">
        <v>5112</v>
      </c>
      <c r="AU27">
        <v>0.1</v>
      </c>
      <c r="AV27" t="s">
        <v>215</v>
      </c>
      <c r="AW27" t="s">
        <v>2052</v>
      </c>
      <c r="AX27" t="s">
        <v>2079</v>
      </c>
    </row>
    <row r="28" spans="1:50">
      <c r="A28" s="1">
        <f>HYPERLINK("https://lsnyc.legalserver.org/matter/dynamic-profile/view/1899049","19-1899049")</f>
        <v>0</v>
      </c>
      <c r="B28" t="s">
        <v>66</v>
      </c>
      <c r="C28" t="s">
        <v>118</v>
      </c>
      <c r="D28" t="s">
        <v>140</v>
      </c>
      <c r="F28" t="s">
        <v>249</v>
      </c>
      <c r="G28" t="s">
        <v>516</v>
      </c>
      <c r="H28" t="s">
        <v>794</v>
      </c>
      <c r="I28" t="s">
        <v>1009</v>
      </c>
      <c r="J28" t="s">
        <v>1159</v>
      </c>
      <c r="K28">
        <v>10451</v>
      </c>
      <c r="L28" t="s">
        <v>1175</v>
      </c>
      <c r="M28" t="s">
        <v>1177</v>
      </c>
      <c r="O28" t="s">
        <v>1281</v>
      </c>
      <c r="P28" t="s">
        <v>1299</v>
      </c>
      <c r="R28" t="s">
        <v>1311</v>
      </c>
      <c r="S28" t="s">
        <v>1176</v>
      </c>
      <c r="U28" t="s">
        <v>1313</v>
      </c>
      <c r="V28" t="s">
        <v>1320</v>
      </c>
      <c r="W28" t="s">
        <v>1325</v>
      </c>
      <c r="X28">
        <v>975</v>
      </c>
      <c r="Y28" t="s">
        <v>1328</v>
      </c>
      <c r="Z28" t="s">
        <v>1336</v>
      </c>
      <c r="AB28" t="s">
        <v>1380</v>
      </c>
      <c r="AD28" t="s">
        <v>1731</v>
      </c>
      <c r="AE28">
        <v>84</v>
      </c>
      <c r="AF28" t="s">
        <v>1975</v>
      </c>
      <c r="AG28" t="s">
        <v>1987</v>
      </c>
      <c r="AH28">
        <v>7</v>
      </c>
      <c r="AI28">
        <v>2</v>
      </c>
      <c r="AJ28">
        <v>0</v>
      </c>
      <c r="AK28">
        <v>20.44</v>
      </c>
      <c r="AO28">
        <v>3456</v>
      </c>
      <c r="AU28">
        <v>0</v>
      </c>
      <c r="AW28" t="s">
        <v>2052</v>
      </c>
      <c r="AX28" t="s">
        <v>2079</v>
      </c>
    </row>
    <row r="29" spans="1:50">
      <c r="A29" s="1">
        <f>HYPERLINK("https://lsnyc.legalserver.org/matter/dynamic-profile/view/1890105","19-1890105")</f>
        <v>0</v>
      </c>
      <c r="B29" t="s">
        <v>53</v>
      </c>
      <c r="C29" t="s">
        <v>118</v>
      </c>
      <c r="D29" t="s">
        <v>141</v>
      </c>
      <c r="F29" t="s">
        <v>250</v>
      </c>
      <c r="G29" t="s">
        <v>517</v>
      </c>
      <c r="H29" t="s">
        <v>795</v>
      </c>
      <c r="I29" t="s">
        <v>1010</v>
      </c>
      <c r="J29" t="s">
        <v>1159</v>
      </c>
      <c r="K29">
        <v>10453</v>
      </c>
      <c r="L29" t="s">
        <v>1175</v>
      </c>
      <c r="M29" t="s">
        <v>1175</v>
      </c>
      <c r="N29" t="s">
        <v>1191</v>
      </c>
      <c r="P29" t="s">
        <v>1301</v>
      </c>
      <c r="R29" t="s">
        <v>1312</v>
      </c>
      <c r="S29" t="s">
        <v>1176</v>
      </c>
      <c r="U29" t="s">
        <v>1313</v>
      </c>
      <c r="W29" t="s">
        <v>1325</v>
      </c>
      <c r="X29">
        <v>1537</v>
      </c>
      <c r="Y29" t="s">
        <v>1328</v>
      </c>
      <c r="Z29" t="s">
        <v>1333</v>
      </c>
      <c r="AB29" t="s">
        <v>1381</v>
      </c>
      <c r="AD29" t="s">
        <v>1732</v>
      </c>
      <c r="AE29">
        <v>0</v>
      </c>
      <c r="AF29" t="s">
        <v>1974</v>
      </c>
      <c r="AG29" t="s">
        <v>1985</v>
      </c>
      <c r="AH29">
        <v>2</v>
      </c>
      <c r="AI29">
        <v>2</v>
      </c>
      <c r="AJ29">
        <v>0</v>
      </c>
      <c r="AK29">
        <v>21.79</v>
      </c>
      <c r="AN29" t="s">
        <v>2000</v>
      </c>
      <c r="AO29">
        <v>3684</v>
      </c>
      <c r="AP29" t="s">
        <v>2005</v>
      </c>
      <c r="AU29">
        <v>11.55</v>
      </c>
      <c r="AV29" t="s">
        <v>152</v>
      </c>
      <c r="AW29" t="s">
        <v>2053</v>
      </c>
    </row>
    <row r="30" spans="1:50">
      <c r="A30" s="1">
        <f>HYPERLINK("https://lsnyc.legalserver.org/matter/dynamic-profile/view/1901850","19-1901850")</f>
        <v>0</v>
      </c>
      <c r="B30" t="s">
        <v>72</v>
      </c>
      <c r="C30" t="s">
        <v>118</v>
      </c>
      <c r="D30" t="s">
        <v>142</v>
      </c>
      <c r="F30" t="s">
        <v>251</v>
      </c>
      <c r="G30" t="s">
        <v>518</v>
      </c>
      <c r="H30" t="s">
        <v>796</v>
      </c>
      <c r="I30" t="s">
        <v>1011</v>
      </c>
      <c r="J30" t="s">
        <v>1159</v>
      </c>
      <c r="K30">
        <v>10453</v>
      </c>
      <c r="L30" t="s">
        <v>1175</v>
      </c>
      <c r="M30" t="s">
        <v>1177</v>
      </c>
      <c r="N30" t="s">
        <v>1192</v>
      </c>
      <c r="O30" t="s">
        <v>1281</v>
      </c>
      <c r="P30" t="s">
        <v>1298</v>
      </c>
      <c r="R30" t="s">
        <v>1311</v>
      </c>
      <c r="S30" t="s">
        <v>1176</v>
      </c>
      <c r="U30" t="s">
        <v>1313</v>
      </c>
      <c r="V30" t="s">
        <v>1320</v>
      </c>
      <c r="W30" t="s">
        <v>1325</v>
      </c>
      <c r="X30">
        <v>1152.86</v>
      </c>
      <c r="Y30" t="s">
        <v>1328</v>
      </c>
      <c r="Z30" t="s">
        <v>1335</v>
      </c>
      <c r="AB30" t="s">
        <v>1382</v>
      </c>
      <c r="AC30" t="s">
        <v>1679</v>
      </c>
      <c r="AD30" t="s">
        <v>1733</v>
      </c>
      <c r="AE30">
        <v>0</v>
      </c>
      <c r="AF30" t="s">
        <v>1974</v>
      </c>
      <c r="AG30" t="s">
        <v>1988</v>
      </c>
      <c r="AH30">
        <v>6</v>
      </c>
      <c r="AI30">
        <v>1</v>
      </c>
      <c r="AJ30">
        <v>2</v>
      </c>
      <c r="AK30">
        <v>21.88</v>
      </c>
      <c r="AN30" t="s">
        <v>2000</v>
      </c>
      <c r="AO30">
        <v>4668</v>
      </c>
      <c r="AP30" t="s">
        <v>2006</v>
      </c>
      <c r="AU30">
        <v>0.3</v>
      </c>
      <c r="AV30" t="s">
        <v>221</v>
      </c>
      <c r="AW30" t="s">
        <v>72</v>
      </c>
      <c r="AX30" t="s">
        <v>2079</v>
      </c>
    </row>
    <row r="31" spans="1:50">
      <c r="A31" s="1">
        <f>HYPERLINK("https://lsnyc.legalserver.org/matter/dynamic-profile/view/1903357","19-1903357")</f>
        <v>0</v>
      </c>
      <c r="B31" t="s">
        <v>73</v>
      </c>
      <c r="C31" t="s">
        <v>118</v>
      </c>
      <c r="D31" t="s">
        <v>123</v>
      </c>
      <c r="F31" t="s">
        <v>252</v>
      </c>
      <c r="G31" t="s">
        <v>519</v>
      </c>
      <c r="H31" t="s">
        <v>797</v>
      </c>
      <c r="I31" t="s">
        <v>1012</v>
      </c>
      <c r="J31" t="s">
        <v>1164</v>
      </c>
      <c r="K31">
        <v>11420</v>
      </c>
      <c r="L31" t="s">
        <v>1175</v>
      </c>
      <c r="M31" t="s">
        <v>1177</v>
      </c>
      <c r="N31" t="s">
        <v>1193</v>
      </c>
      <c r="O31" t="s">
        <v>1284</v>
      </c>
      <c r="P31" t="s">
        <v>1298</v>
      </c>
      <c r="R31" t="s">
        <v>1311</v>
      </c>
      <c r="S31" t="s">
        <v>1176</v>
      </c>
      <c r="U31" t="s">
        <v>1313</v>
      </c>
      <c r="W31" t="s">
        <v>123</v>
      </c>
      <c r="X31">
        <v>1450</v>
      </c>
      <c r="Y31" t="s">
        <v>1327</v>
      </c>
      <c r="Z31" t="s">
        <v>1332</v>
      </c>
      <c r="AB31" t="s">
        <v>1383</v>
      </c>
      <c r="AD31" t="s">
        <v>1734</v>
      </c>
      <c r="AE31">
        <v>2</v>
      </c>
      <c r="AF31" t="s">
        <v>1683</v>
      </c>
      <c r="AG31" t="s">
        <v>1255</v>
      </c>
      <c r="AH31">
        <v>2</v>
      </c>
      <c r="AI31">
        <v>1</v>
      </c>
      <c r="AJ31">
        <v>2</v>
      </c>
      <c r="AK31">
        <v>22.5</v>
      </c>
      <c r="AN31" t="s">
        <v>1998</v>
      </c>
      <c r="AO31">
        <v>4800</v>
      </c>
      <c r="AU31">
        <v>1.7</v>
      </c>
      <c r="AV31" t="s">
        <v>223</v>
      </c>
      <c r="AW31" t="s">
        <v>2061</v>
      </c>
      <c r="AX31" t="s">
        <v>2079</v>
      </c>
    </row>
    <row r="32" spans="1:50">
      <c r="A32" s="1">
        <f>HYPERLINK("https://lsnyc.legalserver.org/matter/dynamic-profile/view/1903154","19-1903154")</f>
        <v>0</v>
      </c>
      <c r="B32" t="s">
        <v>74</v>
      </c>
      <c r="C32" t="s">
        <v>118</v>
      </c>
      <c r="D32" t="s">
        <v>123</v>
      </c>
      <c r="F32" t="s">
        <v>253</v>
      </c>
      <c r="G32" t="s">
        <v>497</v>
      </c>
      <c r="H32" t="s">
        <v>798</v>
      </c>
      <c r="J32" t="s">
        <v>1160</v>
      </c>
      <c r="K32">
        <v>10310</v>
      </c>
      <c r="L32" t="s">
        <v>1177</v>
      </c>
      <c r="M32" t="s">
        <v>1177</v>
      </c>
      <c r="N32" t="s">
        <v>1194</v>
      </c>
      <c r="O32" t="s">
        <v>1282</v>
      </c>
      <c r="P32" t="s">
        <v>1303</v>
      </c>
      <c r="R32" t="s">
        <v>1312</v>
      </c>
      <c r="S32" t="s">
        <v>1176</v>
      </c>
      <c r="U32" t="s">
        <v>1313</v>
      </c>
      <c r="W32" t="s">
        <v>215</v>
      </c>
      <c r="X32">
        <v>0</v>
      </c>
      <c r="Y32" t="s">
        <v>1329</v>
      </c>
      <c r="Z32" t="s">
        <v>1333</v>
      </c>
      <c r="AB32" t="s">
        <v>1384</v>
      </c>
      <c r="AD32" t="s">
        <v>1735</v>
      </c>
      <c r="AE32">
        <v>0</v>
      </c>
      <c r="AF32" t="s">
        <v>1973</v>
      </c>
      <c r="AH32">
        <v>0</v>
      </c>
      <c r="AI32">
        <v>1</v>
      </c>
      <c r="AJ32">
        <v>4</v>
      </c>
      <c r="AK32">
        <v>23.27</v>
      </c>
      <c r="AM32" t="s">
        <v>1994</v>
      </c>
      <c r="AN32" t="s">
        <v>2000</v>
      </c>
      <c r="AO32">
        <v>7020</v>
      </c>
      <c r="AU32">
        <v>2</v>
      </c>
      <c r="AV32" t="s">
        <v>216</v>
      </c>
      <c r="AW32" t="s">
        <v>74</v>
      </c>
    </row>
    <row r="33" spans="1:50">
      <c r="A33" s="1">
        <f>HYPERLINK("https://lsnyc.legalserver.org/matter/dynamic-profile/view/1900020","19-1900020")</f>
        <v>0</v>
      </c>
      <c r="B33" t="s">
        <v>75</v>
      </c>
      <c r="C33" t="s">
        <v>119</v>
      </c>
      <c r="D33" t="s">
        <v>138</v>
      </c>
      <c r="E33" t="s">
        <v>216</v>
      </c>
      <c r="F33" t="s">
        <v>254</v>
      </c>
      <c r="G33" t="s">
        <v>520</v>
      </c>
      <c r="H33" t="s">
        <v>799</v>
      </c>
      <c r="I33" t="s">
        <v>1006</v>
      </c>
      <c r="J33" t="s">
        <v>1159</v>
      </c>
      <c r="K33">
        <v>10470</v>
      </c>
      <c r="L33" t="s">
        <v>1175</v>
      </c>
      <c r="M33" t="s">
        <v>1177</v>
      </c>
      <c r="N33" t="s">
        <v>1195</v>
      </c>
      <c r="O33" t="s">
        <v>1284</v>
      </c>
      <c r="P33" t="s">
        <v>1299</v>
      </c>
      <c r="Q33" t="s">
        <v>1305</v>
      </c>
      <c r="R33" t="s">
        <v>1311</v>
      </c>
      <c r="S33" t="s">
        <v>1176</v>
      </c>
      <c r="U33" t="s">
        <v>1313</v>
      </c>
      <c r="V33" t="s">
        <v>1321</v>
      </c>
      <c r="W33" t="s">
        <v>215</v>
      </c>
      <c r="X33">
        <v>1622.55</v>
      </c>
      <c r="Y33" t="s">
        <v>1328</v>
      </c>
      <c r="Z33" t="s">
        <v>1338</v>
      </c>
      <c r="AA33" t="s">
        <v>1346</v>
      </c>
      <c r="AB33" t="s">
        <v>1385</v>
      </c>
      <c r="AD33" t="s">
        <v>1736</v>
      </c>
      <c r="AE33">
        <v>2</v>
      </c>
      <c r="AF33" t="s">
        <v>1973</v>
      </c>
      <c r="AG33" t="s">
        <v>1985</v>
      </c>
      <c r="AH33">
        <v>12</v>
      </c>
      <c r="AI33">
        <v>1</v>
      </c>
      <c r="AJ33">
        <v>2</v>
      </c>
      <c r="AK33">
        <v>23.28</v>
      </c>
      <c r="AN33" t="s">
        <v>1998</v>
      </c>
      <c r="AO33">
        <v>4966</v>
      </c>
      <c r="AU33">
        <v>0.8</v>
      </c>
      <c r="AV33" t="s">
        <v>138</v>
      </c>
      <c r="AW33" t="s">
        <v>75</v>
      </c>
      <c r="AX33" t="s">
        <v>2079</v>
      </c>
    </row>
    <row r="34" spans="1:50">
      <c r="A34" s="1">
        <f>HYPERLINK("https://lsnyc.legalserver.org/matter/dynamic-profile/view/1899862","19-1899862")</f>
        <v>0</v>
      </c>
      <c r="B34" t="s">
        <v>52</v>
      </c>
      <c r="C34" t="s">
        <v>118</v>
      </c>
      <c r="D34" t="s">
        <v>143</v>
      </c>
      <c r="F34" t="s">
        <v>255</v>
      </c>
      <c r="G34" t="s">
        <v>521</v>
      </c>
      <c r="H34" t="s">
        <v>774</v>
      </c>
      <c r="I34" t="s">
        <v>1013</v>
      </c>
      <c r="J34" t="s">
        <v>1159</v>
      </c>
      <c r="K34">
        <v>10460</v>
      </c>
      <c r="L34" t="s">
        <v>1175</v>
      </c>
      <c r="M34" t="s">
        <v>1177</v>
      </c>
      <c r="N34" t="s">
        <v>1180</v>
      </c>
      <c r="O34" t="s">
        <v>1282</v>
      </c>
      <c r="P34" t="s">
        <v>1301</v>
      </c>
      <c r="R34" t="s">
        <v>1311</v>
      </c>
      <c r="S34" t="s">
        <v>1175</v>
      </c>
      <c r="U34" t="s">
        <v>1313</v>
      </c>
      <c r="W34" t="s">
        <v>1325</v>
      </c>
      <c r="X34">
        <v>400</v>
      </c>
      <c r="Y34" t="s">
        <v>1328</v>
      </c>
      <c r="Z34" t="s">
        <v>1336</v>
      </c>
      <c r="AB34" t="s">
        <v>1386</v>
      </c>
      <c r="AD34" t="s">
        <v>1737</v>
      </c>
      <c r="AE34">
        <v>169</v>
      </c>
      <c r="AF34" t="s">
        <v>1974</v>
      </c>
      <c r="AG34" t="s">
        <v>1985</v>
      </c>
      <c r="AH34">
        <v>8</v>
      </c>
      <c r="AI34">
        <v>1</v>
      </c>
      <c r="AJ34">
        <v>2</v>
      </c>
      <c r="AK34">
        <v>23.65</v>
      </c>
      <c r="AN34" t="s">
        <v>1998</v>
      </c>
      <c r="AO34">
        <v>5044</v>
      </c>
      <c r="AU34">
        <v>0</v>
      </c>
      <c r="AW34" t="s">
        <v>2053</v>
      </c>
      <c r="AX34" t="s">
        <v>2079</v>
      </c>
    </row>
    <row r="35" spans="1:50">
      <c r="A35" s="1">
        <f>HYPERLINK("https://lsnyc.legalserver.org/matter/dynamic-profile/view/1889055","19-1889055")</f>
        <v>0</v>
      </c>
      <c r="B35" t="s">
        <v>76</v>
      </c>
      <c r="C35" t="s">
        <v>119</v>
      </c>
      <c r="D35" t="s">
        <v>144</v>
      </c>
      <c r="E35" t="s">
        <v>213</v>
      </c>
      <c r="F35" t="s">
        <v>249</v>
      </c>
      <c r="G35" t="s">
        <v>522</v>
      </c>
      <c r="H35" t="s">
        <v>800</v>
      </c>
      <c r="I35" t="s">
        <v>1014</v>
      </c>
      <c r="J35" t="s">
        <v>1159</v>
      </c>
      <c r="K35">
        <v>10452</v>
      </c>
      <c r="L35" t="s">
        <v>1175</v>
      </c>
      <c r="M35" t="s">
        <v>1177</v>
      </c>
      <c r="N35" t="s">
        <v>1196</v>
      </c>
      <c r="O35" t="s">
        <v>1284</v>
      </c>
      <c r="P35" t="s">
        <v>1299</v>
      </c>
      <c r="Q35" t="s">
        <v>1305</v>
      </c>
      <c r="R35" t="s">
        <v>1311</v>
      </c>
      <c r="S35" t="s">
        <v>1176</v>
      </c>
      <c r="U35" t="s">
        <v>1313</v>
      </c>
      <c r="V35" t="s">
        <v>1321</v>
      </c>
      <c r="W35" t="s">
        <v>1325</v>
      </c>
      <c r="X35">
        <v>606.48</v>
      </c>
      <c r="Y35" t="s">
        <v>1328</v>
      </c>
      <c r="Z35" t="s">
        <v>1341</v>
      </c>
      <c r="AA35" t="s">
        <v>1346</v>
      </c>
      <c r="AB35" t="s">
        <v>1387</v>
      </c>
      <c r="AD35" t="s">
        <v>1738</v>
      </c>
      <c r="AE35">
        <v>25</v>
      </c>
      <c r="AF35" t="s">
        <v>1974</v>
      </c>
      <c r="AG35" t="s">
        <v>1255</v>
      </c>
      <c r="AH35">
        <v>32</v>
      </c>
      <c r="AI35">
        <v>2</v>
      </c>
      <c r="AJ35">
        <v>0</v>
      </c>
      <c r="AK35">
        <v>24.84</v>
      </c>
      <c r="AN35" t="s">
        <v>2000</v>
      </c>
      <c r="AO35">
        <v>4200</v>
      </c>
      <c r="AU35">
        <v>8.26</v>
      </c>
      <c r="AV35" t="s">
        <v>213</v>
      </c>
      <c r="AW35" t="s">
        <v>2062</v>
      </c>
      <c r="AX35" t="s">
        <v>2079</v>
      </c>
    </row>
    <row r="36" spans="1:50">
      <c r="A36" s="1">
        <f>HYPERLINK("https://lsnyc.legalserver.org/matter/dynamic-profile/view/1899959","19-1899959")</f>
        <v>0</v>
      </c>
      <c r="B36" t="s">
        <v>52</v>
      </c>
      <c r="C36" t="s">
        <v>118</v>
      </c>
      <c r="D36" t="s">
        <v>138</v>
      </c>
      <c r="F36" t="s">
        <v>256</v>
      </c>
      <c r="G36" t="s">
        <v>523</v>
      </c>
      <c r="H36" t="s">
        <v>774</v>
      </c>
      <c r="I36" t="s">
        <v>1015</v>
      </c>
      <c r="J36" t="s">
        <v>1159</v>
      </c>
      <c r="K36">
        <v>10460</v>
      </c>
      <c r="L36" t="s">
        <v>1175</v>
      </c>
      <c r="M36" t="s">
        <v>1177</v>
      </c>
      <c r="O36" t="s">
        <v>1282</v>
      </c>
      <c r="P36" t="s">
        <v>1301</v>
      </c>
      <c r="R36" t="s">
        <v>1311</v>
      </c>
      <c r="S36" t="s">
        <v>1175</v>
      </c>
      <c r="U36" t="s">
        <v>1313</v>
      </c>
      <c r="W36" t="s">
        <v>1325</v>
      </c>
      <c r="X36">
        <v>129</v>
      </c>
      <c r="Y36" t="s">
        <v>1328</v>
      </c>
      <c r="Z36" t="s">
        <v>1336</v>
      </c>
      <c r="AB36" t="s">
        <v>1388</v>
      </c>
      <c r="AE36">
        <v>168</v>
      </c>
      <c r="AF36" t="s">
        <v>1974</v>
      </c>
      <c r="AG36" t="s">
        <v>1985</v>
      </c>
      <c r="AH36">
        <v>3</v>
      </c>
      <c r="AI36">
        <v>1</v>
      </c>
      <c r="AJ36">
        <v>3</v>
      </c>
      <c r="AK36">
        <v>25.63</v>
      </c>
      <c r="AN36" t="s">
        <v>2000</v>
      </c>
      <c r="AO36">
        <v>6600</v>
      </c>
      <c r="AU36">
        <v>0</v>
      </c>
      <c r="AW36" t="s">
        <v>2063</v>
      </c>
      <c r="AX36" t="s">
        <v>2079</v>
      </c>
    </row>
    <row r="37" spans="1:50">
      <c r="A37" s="1">
        <f>HYPERLINK("https://lsnyc.legalserver.org/matter/dynamic-profile/view/1902615","19-1902615")</f>
        <v>0</v>
      </c>
      <c r="B37" t="s">
        <v>66</v>
      </c>
      <c r="C37" t="s">
        <v>118</v>
      </c>
      <c r="D37" t="s">
        <v>145</v>
      </c>
      <c r="F37" t="s">
        <v>257</v>
      </c>
      <c r="G37" t="s">
        <v>524</v>
      </c>
      <c r="H37" t="s">
        <v>801</v>
      </c>
      <c r="I37" t="s">
        <v>1016</v>
      </c>
      <c r="J37" t="s">
        <v>1159</v>
      </c>
      <c r="K37">
        <v>10451</v>
      </c>
      <c r="L37" t="s">
        <v>1175</v>
      </c>
      <c r="M37" t="s">
        <v>1177</v>
      </c>
      <c r="N37" t="s">
        <v>1197</v>
      </c>
      <c r="O37" t="s">
        <v>1281</v>
      </c>
      <c r="P37" t="s">
        <v>1298</v>
      </c>
      <c r="R37" t="s">
        <v>1312</v>
      </c>
      <c r="S37" t="s">
        <v>1176</v>
      </c>
      <c r="U37" t="s">
        <v>1316</v>
      </c>
      <c r="V37" t="s">
        <v>1321</v>
      </c>
      <c r="W37" t="s">
        <v>1325</v>
      </c>
      <c r="X37">
        <v>122</v>
      </c>
      <c r="Y37" t="s">
        <v>1328</v>
      </c>
      <c r="Z37" t="s">
        <v>1333</v>
      </c>
      <c r="AB37" t="s">
        <v>1389</v>
      </c>
      <c r="AC37" t="s">
        <v>1680</v>
      </c>
      <c r="AD37" t="s">
        <v>1739</v>
      </c>
      <c r="AE37">
        <v>1023</v>
      </c>
      <c r="AF37" t="s">
        <v>1978</v>
      </c>
      <c r="AG37" t="s">
        <v>1255</v>
      </c>
      <c r="AH37">
        <v>2</v>
      </c>
      <c r="AI37">
        <v>1</v>
      </c>
      <c r="AJ37">
        <v>2</v>
      </c>
      <c r="AK37">
        <v>27.85</v>
      </c>
      <c r="AN37" t="s">
        <v>1998</v>
      </c>
      <c r="AO37">
        <v>5940</v>
      </c>
      <c r="AP37" t="s">
        <v>2007</v>
      </c>
      <c r="AU37">
        <v>4.9</v>
      </c>
      <c r="AV37" t="s">
        <v>123</v>
      </c>
      <c r="AW37" t="s">
        <v>2052</v>
      </c>
      <c r="AX37" t="s">
        <v>2080</v>
      </c>
    </row>
    <row r="38" spans="1:50">
      <c r="A38" s="1">
        <f>HYPERLINK("https://lsnyc.legalserver.org/matter/dynamic-profile/view/1884754","18-1884754")</f>
        <v>0</v>
      </c>
      <c r="B38" t="s">
        <v>77</v>
      </c>
      <c r="C38" t="s">
        <v>118</v>
      </c>
      <c r="D38" t="s">
        <v>146</v>
      </c>
      <c r="F38" t="s">
        <v>258</v>
      </c>
      <c r="G38" t="s">
        <v>525</v>
      </c>
      <c r="H38" t="s">
        <v>802</v>
      </c>
      <c r="I38" t="s">
        <v>1017</v>
      </c>
      <c r="J38" t="s">
        <v>1159</v>
      </c>
      <c r="K38">
        <v>10458</v>
      </c>
      <c r="L38" t="s">
        <v>1175</v>
      </c>
      <c r="M38" t="s">
        <v>1176</v>
      </c>
      <c r="O38" t="s">
        <v>1285</v>
      </c>
      <c r="P38" t="s">
        <v>1299</v>
      </c>
      <c r="R38" t="s">
        <v>1311</v>
      </c>
      <c r="S38" t="s">
        <v>1176</v>
      </c>
      <c r="U38" t="s">
        <v>1313</v>
      </c>
      <c r="W38" t="s">
        <v>1325</v>
      </c>
      <c r="X38">
        <v>921</v>
      </c>
      <c r="Y38" t="s">
        <v>1328</v>
      </c>
      <c r="Z38" t="s">
        <v>1336</v>
      </c>
      <c r="AB38" t="s">
        <v>1390</v>
      </c>
      <c r="AD38" t="s">
        <v>1740</v>
      </c>
      <c r="AE38">
        <v>0</v>
      </c>
      <c r="AF38" t="s">
        <v>1974</v>
      </c>
      <c r="AG38" t="s">
        <v>1255</v>
      </c>
      <c r="AH38">
        <v>0</v>
      </c>
      <c r="AI38">
        <v>1</v>
      </c>
      <c r="AJ38">
        <v>0</v>
      </c>
      <c r="AK38">
        <v>29.24</v>
      </c>
      <c r="AN38" t="s">
        <v>2000</v>
      </c>
      <c r="AO38">
        <v>3550</v>
      </c>
      <c r="AP38" t="s">
        <v>2008</v>
      </c>
      <c r="AU38">
        <v>0</v>
      </c>
      <c r="AW38" t="s">
        <v>2063</v>
      </c>
      <c r="AX38" t="s">
        <v>2079</v>
      </c>
    </row>
    <row r="39" spans="1:50">
      <c r="A39" s="1">
        <f>HYPERLINK("https://lsnyc.legalserver.org/matter/dynamic-profile/view/1896478","19-1896478")</f>
        <v>0</v>
      </c>
      <c r="B39" t="s">
        <v>78</v>
      </c>
      <c r="C39" t="s">
        <v>119</v>
      </c>
      <c r="D39" t="s">
        <v>129</v>
      </c>
      <c r="E39" t="s">
        <v>184</v>
      </c>
      <c r="F39" t="s">
        <v>259</v>
      </c>
      <c r="G39" t="s">
        <v>526</v>
      </c>
      <c r="H39" t="s">
        <v>803</v>
      </c>
      <c r="I39" t="s">
        <v>1018</v>
      </c>
      <c r="J39" t="s">
        <v>1165</v>
      </c>
      <c r="K39">
        <v>11419</v>
      </c>
      <c r="L39" t="s">
        <v>1175</v>
      </c>
      <c r="M39" t="s">
        <v>1177</v>
      </c>
      <c r="N39" t="s">
        <v>1198</v>
      </c>
      <c r="P39" t="s">
        <v>1299</v>
      </c>
      <c r="Q39" t="s">
        <v>1305</v>
      </c>
      <c r="R39" t="s">
        <v>1311</v>
      </c>
      <c r="U39" t="s">
        <v>1313</v>
      </c>
      <c r="W39" t="s">
        <v>129</v>
      </c>
      <c r="X39">
        <v>2000</v>
      </c>
      <c r="Y39" t="s">
        <v>1327</v>
      </c>
      <c r="Z39" t="s">
        <v>1332</v>
      </c>
      <c r="AA39" t="s">
        <v>1346</v>
      </c>
      <c r="AB39" t="s">
        <v>1391</v>
      </c>
      <c r="AC39" t="s">
        <v>1681</v>
      </c>
      <c r="AD39" t="s">
        <v>1741</v>
      </c>
      <c r="AE39">
        <v>4</v>
      </c>
      <c r="AF39" t="s">
        <v>1973</v>
      </c>
      <c r="AG39" t="s">
        <v>1255</v>
      </c>
      <c r="AH39">
        <v>2</v>
      </c>
      <c r="AI39">
        <v>4</v>
      </c>
      <c r="AJ39">
        <v>1</v>
      </c>
      <c r="AK39">
        <v>31.82</v>
      </c>
      <c r="AN39" t="s">
        <v>1998</v>
      </c>
      <c r="AO39">
        <v>9600</v>
      </c>
      <c r="AU39">
        <v>1</v>
      </c>
      <c r="AV39" t="s">
        <v>184</v>
      </c>
      <c r="AW39" t="s">
        <v>2061</v>
      </c>
      <c r="AX39" t="s">
        <v>2080</v>
      </c>
    </row>
    <row r="40" spans="1:50">
      <c r="A40" s="1">
        <f>HYPERLINK("https://lsnyc.legalserver.org/matter/dynamic-profile/view/1902332","19-1902332")</f>
        <v>0</v>
      </c>
      <c r="B40" t="s">
        <v>79</v>
      </c>
      <c r="C40" t="s">
        <v>118</v>
      </c>
      <c r="D40" t="s">
        <v>131</v>
      </c>
      <c r="F40" t="s">
        <v>260</v>
      </c>
      <c r="G40" t="s">
        <v>527</v>
      </c>
      <c r="H40" t="s">
        <v>804</v>
      </c>
      <c r="I40" t="s">
        <v>1019</v>
      </c>
      <c r="J40" t="s">
        <v>1159</v>
      </c>
      <c r="K40">
        <v>10452</v>
      </c>
      <c r="L40" t="s">
        <v>1175</v>
      </c>
      <c r="M40" t="s">
        <v>1177</v>
      </c>
      <c r="O40" t="s">
        <v>1282</v>
      </c>
      <c r="P40" t="s">
        <v>1302</v>
      </c>
      <c r="R40" t="s">
        <v>1311</v>
      </c>
      <c r="S40" t="s">
        <v>1176</v>
      </c>
      <c r="U40" t="s">
        <v>1313</v>
      </c>
      <c r="W40" t="s">
        <v>1325</v>
      </c>
      <c r="X40">
        <v>121</v>
      </c>
      <c r="Y40" t="s">
        <v>1328</v>
      </c>
      <c r="Z40" t="s">
        <v>1336</v>
      </c>
      <c r="AB40" t="s">
        <v>1392</v>
      </c>
      <c r="AE40">
        <v>57</v>
      </c>
      <c r="AF40" t="s">
        <v>1974</v>
      </c>
      <c r="AG40" t="s">
        <v>1985</v>
      </c>
      <c r="AH40">
        <v>30</v>
      </c>
      <c r="AI40">
        <v>2</v>
      </c>
      <c r="AJ40">
        <v>2</v>
      </c>
      <c r="AK40">
        <v>35.23</v>
      </c>
      <c r="AN40" t="s">
        <v>2000</v>
      </c>
      <c r="AO40">
        <v>9072</v>
      </c>
      <c r="AU40">
        <v>1.2</v>
      </c>
      <c r="AV40" t="s">
        <v>163</v>
      </c>
      <c r="AW40" t="s">
        <v>79</v>
      </c>
      <c r="AX40" t="s">
        <v>2079</v>
      </c>
    </row>
    <row r="41" spans="1:50">
      <c r="A41" s="1">
        <f>HYPERLINK("https://lsnyc.legalserver.org/matter/dynamic-profile/view/1899581","19-1899581")</f>
        <v>0</v>
      </c>
      <c r="B41" t="s">
        <v>80</v>
      </c>
      <c r="C41" t="s">
        <v>118</v>
      </c>
      <c r="D41" t="s">
        <v>147</v>
      </c>
      <c r="F41" t="s">
        <v>261</v>
      </c>
      <c r="G41" t="s">
        <v>528</v>
      </c>
      <c r="H41" t="s">
        <v>805</v>
      </c>
      <c r="I41" t="s">
        <v>1020</v>
      </c>
      <c r="J41" t="s">
        <v>1159</v>
      </c>
      <c r="K41">
        <v>10454</v>
      </c>
      <c r="L41" t="s">
        <v>1175</v>
      </c>
      <c r="M41" t="s">
        <v>1177</v>
      </c>
      <c r="O41" t="s">
        <v>1282</v>
      </c>
      <c r="P41" t="s">
        <v>1302</v>
      </c>
      <c r="R41" t="s">
        <v>1311</v>
      </c>
      <c r="S41" t="s">
        <v>1176</v>
      </c>
      <c r="U41" t="s">
        <v>1313</v>
      </c>
      <c r="W41" t="s">
        <v>215</v>
      </c>
      <c r="X41">
        <v>400</v>
      </c>
      <c r="Y41" t="s">
        <v>1328</v>
      </c>
      <c r="Z41" t="s">
        <v>1335</v>
      </c>
      <c r="AB41" t="s">
        <v>1393</v>
      </c>
      <c r="AD41" t="s">
        <v>1742</v>
      </c>
      <c r="AE41">
        <v>0</v>
      </c>
      <c r="AF41" t="s">
        <v>1683</v>
      </c>
      <c r="AG41" t="s">
        <v>1255</v>
      </c>
      <c r="AH41">
        <v>0</v>
      </c>
      <c r="AI41">
        <v>2</v>
      </c>
      <c r="AJ41">
        <v>0</v>
      </c>
      <c r="AK41">
        <v>35.28</v>
      </c>
      <c r="AN41" t="s">
        <v>2000</v>
      </c>
      <c r="AO41">
        <v>5966.4</v>
      </c>
      <c r="AU41">
        <v>3.4</v>
      </c>
      <c r="AV41" t="s">
        <v>223</v>
      </c>
      <c r="AW41" t="s">
        <v>80</v>
      </c>
      <c r="AX41" t="s">
        <v>2079</v>
      </c>
    </row>
    <row r="42" spans="1:50">
      <c r="A42" s="1">
        <f>HYPERLINK("https://lsnyc.legalserver.org/matter/dynamic-profile/view/1901514","19-1901514")</f>
        <v>0</v>
      </c>
      <c r="B42" t="s">
        <v>81</v>
      </c>
      <c r="C42" t="s">
        <v>118</v>
      </c>
      <c r="D42" t="s">
        <v>148</v>
      </c>
      <c r="F42" t="s">
        <v>262</v>
      </c>
      <c r="G42" t="s">
        <v>529</v>
      </c>
      <c r="H42" t="s">
        <v>806</v>
      </c>
      <c r="I42" t="s">
        <v>1021</v>
      </c>
      <c r="J42" t="s">
        <v>1162</v>
      </c>
      <c r="K42">
        <v>11225</v>
      </c>
      <c r="L42" t="s">
        <v>1175</v>
      </c>
      <c r="M42" t="s">
        <v>1177</v>
      </c>
      <c r="P42" t="s">
        <v>1301</v>
      </c>
      <c r="R42" t="s">
        <v>1311</v>
      </c>
      <c r="S42" t="s">
        <v>1175</v>
      </c>
      <c r="U42" t="s">
        <v>1313</v>
      </c>
      <c r="W42" t="s">
        <v>148</v>
      </c>
      <c r="X42">
        <v>0</v>
      </c>
      <c r="Y42" t="s">
        <v>1331</v>
      </c>
      <c r="AB42" t="s">
        <v>1394</v>
      </c>
      <c r="AD42" t="s">
        <v>1743</v>
      </c>
      <c r="AE42">
        <v>0</v>
      </c>
      <c r="AH42">
        <v>0</v>
      </c>
      <c r="AI42">
        <v>4</v>
      </c>
      <c r="AJ42">
        <v>0</v>
      </c>
      <c r="AK42">
        <v>36.25</v>
      </c>
      <c r="AN42" t="s">
        <v>1998</v>
      </c>
      <c r="AO42">
        <v>9335.16</v>
      </c>
      <c r="AU42">
        <v>0</v>
      </c>
      <c r="AW42" t="s">
        <v>2064</v>
      </c>
      <c r="AX42" t="s">
        <v>2079</v>
      </c>
    </row>
    <row r="43" spans="1:50">
      <c r="A43" s="1">
        <f>HYPERLINK("https://lsnyc.legalserver.org/matter/dynamic-profile/view/1889826","19-1889826")</f>
        <v>0</v>
      </c>
      <c r="B43" t="s">
        <v>71</v>
      </c>
      <c r="C43" t="s">
        <v>118</v>
      </c>
      <c r="D43" t="s">
        <v>149</v>
      </c>
      <c r="F43" t="s">
        <v>263</v>
      </c>
      <c r="G43" t="s">
        <v>530</v>
      </c>
      <c r="H43" t="s">
        <v>807</v>
      </c>
      <c r="I43" t="s">
        <v>1022</v>
      </c>
      <c r="J43" t="s">
        <v>1159</v>
      </c>
      <c r="K43">
        <v>10453</v>
      </c>
      <c r="L43" t="s">
        <v>1175</v>
      </c>
      <c r="M43" t="s">
        <v>1175</v>
      </c>
      <c r="O43" t="s">
        <v>1283</v>
      </c>
      <c r="P43" t="s">
        <v>1300</v>
      </c>
      <c r="R43" t="s">
        <v>1311</v>
      </c>
      <c r="S43" t="s">
        <v>1175</v>
      </c>
      <c r="U43" t="s">
        <v>1313</v>
      </c>
      <c r="W43" t="s">
        <v>206</v>
      </c>
      <c r="X43">
        <v>1193.81</v>
      </c>
      <c r="Y43" t="s">
        <v>1328</v>
      </c>
      <c r="Z43" t="s">
        <v>1336</v>
      </c>
      <c r="AB43" t="s">
        <v>1395</v>
      </c>
      <c r="AD43" t="s">
        <v>1744</v>
      </c>
      <c r="AE43">
        <v>170</v>
      </c>
      <c r="AF43" t="s">
        <v>1974</v>
      </c>
      <c r="AH43">
        <v>12</v>
      </c>
      <c r="AI43">
        <v>2</v>
      </c>
      <c r="AJ43">
        <v>0</v>
      </c>
      <c r="AK43">
        <v>37.11</v>
      </c>
      <c r="AN43" t="s">
        <v>2000</v>
      </c>
      <c r="AO43">
        <v>6276</v>
      </c>
      <c r="AU43">
        <v>0</v>
      </c>
      <c r="AW43" t="s">
        <v>2065</v>
      </c>
      <c r="AX43" t="s">
        <v>2079</v>
      </c>
    </row>
    <row r="44" spans="1:50">
      <c r="A44" s="1">
        <f>HYPERLINK("https://lsnyc.legalserver.org/matter/dynamic-profile/view/1900523","19-1900523")</f>
        <v>0</v>
      </c>
      <c r="B44" t="s">
        <v>52</v>
      </c>
      <c r="C44" t="s">
        <v>118</v>
      </c>
      <c r="D44" t="s">
        <v>124</v>
      </c>
      <c r="F44" t="s">
        <v>264</v>
      </c>
      <c r="G44" t="s">
        <v>531</v>
      </c>
      <c r="H44" t="s">
        <v>774</v>
      </c>
      <c r="I44" t="s">
        <v>1023</v>
      </c>
      <c r="J44" t="s">
        <v>1159</v>
      </c>
      <c r="K44">
        <v>10460</v>
      </c>
      <c r="L44" t="s">
        <v>1175</v>
      </c>
      <c r="M44" t="s">
        <v>1177</v>
      </c>
      <c r="N44" t="s">
        <v>1180</v>
      </c>
      <c r="O44" t="s">
        <v>1282</v>
      </c>
      <c r="P44" t="s">
        <v>1301</v>
      </c>
      <c r="R44" t="s">
        <v>1311</v>
      </c>
      <c r="S44" t="s">
        <v>1175</v>
      </c>
      <c r="U44" t="s">
        <v>1313</v>
      </c>
      <c r="W44" t="s">
        <v>1325</v>
      </c>
      <c r="X44">
        <v>1000</v>
      </c>
      <c r="Y44" t="s">
        <v>1328</v>
      </c>
      <c r="Z44" t="s">
        <v>1335</v>
      </c>
      <c r="AB44" t="s">
        <v>1396</v>
      </c>
      <c r="AD44" t="s">
        <v>1745</v>
      </c>
      <c r="AE44">
        <v>168</v>
      </c>
      <c r="AF44" t="s">
        <v>1974</v>
      </c>
      <c r="AG44" t="s">
        <v>1255</v>
      </c>
      <c r="AH44">
        <v>4</v>
      </c>
      <c r="AI44">
        <v>1</v>
      </c>
      <c r="AJ44">
        <v>0</v>
      </c>
      <c r="AK44">
        <v>39.14</v>
      </c>
      <c r="AN44" t="s">
        <v>2000</v>
      </c>
      <c r="AO44">
        <v>4888</v>
      </c>
      <c r="AU44">
        <v>0</v>
      </c>
      <c r="AW44" t="s">
        <v>2052</v>
      </c>
      <c r="AX44" t="s">
        <v>2079</v>
      </c>
    </row>
    <row r="45" spans="1:50">
      <c r="A45" s="1">
        <f>HYPERLINK("https://lsnyc.legalserver.org/matter/dynamic-profile/view/1899914","19-1899914")</f>
        <v>0</v>
      </c>
      <c r="B45" t="s">
        <v>52</v>
      </c>
      <c r="C45" t="s">
        <v>118</v>
      </c>
      <c r="D45" t="s">
        <v>143</v>
      </c>
      <c r="F45" t="s">
        <v>265</v>
      </c>
      <c r="G45" t="s">
        <v>532</v>
      </c>
      <c r="H45" t="s">
        <v>774</v>
      </c>
      <c r="I45" t="s">
        <v>1024</v>
      </c>
      <c r="J45" t="s">
        <v>1159</v>
      </c>
      <c r="K45">
        <v>10460</v>
      </c>
      <c r="L45" t="s">
        <v>1175</v>
      </c>
      <c r="M45" t="s">
        <v>1177</v>
      </c>
      <c r="N45" t="s">
        <v>1180</v>
      </c>
      <c r="O45" t="s">
        <v>1282</v>
      </c>
      <c r="P45" t="s">
        <v>1301</v>
      </c>
      <c r="R45" t="s">
        <v>1311</v>
      </c>
      <c r="S45" t="s">
        <v>1175</v>
      </c>
      <c r="U45" t="s">
        <v>1313</v>
      </c>
      <c r="W45" t="s">
        <v>1325</v>
      </c>
      <c r="X45">
        <v>1300</v>
      </c>
      <c r="Y45" t="s">
        <v>1328</v>
      </c>
      <c r="Z45" t="s">
        <v>1336</v>
      </c>
      <c r="AB45" t="s">
        <v>1397</v>
      </c>
      <c r="AD45" t="s">
        <v>1746</v>
      </c>
      <c r="AE45">
        <v>168</v>
      </c>
      <c r="AF45" t="s">
        <v>1974</v>
      </c>
      <c r="AG45" t="s">
        <v>1985</v>
      </c>
      <c r="AH45">
        <v>19</v>
      </c>
      <c r="AI45">
        <v>1</v>
      </c>
      <c r="AJ45">
        <v>0</v>
      </c>
      <c r="AK45">
        <v>40.03</v>
      </c>
      <c r="AN45" t="s">
        <v>1998</v>
      </c>
      <c r="AO45">
        <v>5000.04</v>
      </c>
      <c r="AU45">
        <v>0</v>
      </c>
      <c r="AW45" t="s">
        <v>2063</v>
      </c>
      <c r="AX45" t="s">
        <v>2079</v>
      </c>
    </row>
    <row r="46" spans="1:50">
      <c r="A46" s="1">
        <f>HYPERLINK("https://lsnyc.legalserver.org/matter/dynamic-profile/view/1888329","19-1888329")</f>
        <v>0</v>
      </c>
      <c r="B46" t="s">
        <v>66</v>
      </c>
      <c r="C46" t="s">
        <v>118</v>
      </c>
      <c r="D46" t="s">
        <v>150</v>
      </c>
      <c r="F46" t="s">
        <v>266</v>
      </c>
      <c r="G46" t="s">
        <v>533</v>
      </c>
      <c r="H46" t="s">
        <v>808</v>
      </c>
      <c r="I46" t="s">
        <v>1025</v>
      </c>
      <c r="J46" t="s">
        <v>1159</v>
      </c>
      <c r="K46">
        <v>10453</v>
      </c>
      <c r="L46" t="s">
        <v>1175</v>
      </c>
      <c r="M46" t="s">
        <v>1175</v>
      </c>
      <c r="N46" t="s">
        <v>1199</v>
      </c>
      <c r="O46" t="s">
        <v>1281</v>
      </c>
      <c r="P46" t="s">
        <v>1299</v>
      </c>
      <c r="R46" t="s">
        <v>1311</v>
      </c>
      <c r="S46" t="s">
        <v>1176</v>
      </c>
      <c r="U46" t="s">
        <v>1313</v>
      </c>
      <c r="V46" t="s">
        <v>1321</v>
      </c>
      <c r="W46" t="s">
        <v>1325</v>
      </c>
      <c r="X46">
        <v>1931</v>
      </c>
      <c r="Y46" t="s">
        <v>1328</v>
      </c>
      <c r="Z46" t="s">
        <v>1335</v>
      </c>
      <c r="AB46" t="s">
        <v>1398</v>
      </c>
      <c r="AC46">
        <v>32013902</v>
      </c>
      <c r="AD46" t="s">
        <v>1747</v>
      </c>
      <c r="AE46">
        <v>1654</v>
      </c>
      <c r="AF46" t="s">
        <v>1976</v>
      </c>
      <c r="AG46" t="s">
        <v>1985</v>
      </c>
      <c r="AH46">
        <v>9</v>
      </c>
      <c r="AI46">
        <v>2</v>
      </c>
      <c r="AJ46">
        <v>4</v>
      </c>
      <c r="AK46">
        <v>40.9</v>
      </c>
      <c r="AN46" t="s">
        <v>1998</v>
      </c>
      <c r="AO46">
        <v>13800</v>
      </c>
      <c r="AP46" t="s">
        <v>2009</v>
      </c>
      <c r="AU46">
        <v>2.3</v>
      </c>
      <c r="AV46" t="s">
        <v>2042</v>
      </c>
      <c r="AW46" t="s">
        <v>2053</v>
      </c>
    </row>
    <row r="47" spans="1:50">
      <c r="A47" s="1">
        <f>HYPERLINK("https://lsnyc.legalserver.org/matter/dynamic-profile/view/1901479","19-1901479")</f>
        <v>0</v>
      </c>
      <c r="B47" t="s">
        <v>56</v>
      </c>
      <c r="C47" t="s">
        <v>118</v>
      </c>
      <c r="D47" t="s">
        <v>148</v>
      </c>
      <c r="F47" t="s">
        <v>267</v>
      </c>
      <c r="G47" t="s">
        <v>534</v>
      </c>
      <c r="H47" t="s">
        <v>809</v>
      </c>
      <c r="I47" t="s">
        <v>1026</v>
      </c>
      <c r="J47" t="s">
        <v>1159</v>
      </c>
      <c r="K47">
        <v>10452</v>
      </c>
      <c r="L47" t="s">
        <v>1175</v>
      </c>
      <c r="M47" t="s">
        <v>1177</v>
      </c>
      <c r="O47" t="s">
        <v>1283</v>
      </c>
      <c r="P47" t="s">
        <v>1300</v>
      </c>
      <c r="R47" t="s">
        <v>1311</v>
      </c>
      <c r="S47" t="s">
        <v>1175</v>
      </c>
      <c r="U47" t="s">
        <v>1313</v>
      </c>
      <c r="W47" t="s">
        <v>1325</v>
      </c>
      <c r="X47">
        <v>1310</v>
      </c>
      <c r="Y47" t="s">
        <v>1328</v>
      </c>
      <c r="Z47" t="s">
        <v>1336</v>
      </c>
      <c r="AB47" t="s">
        <v>1399</v>
      </c>
      <c r="AC47">
        <v>4268720</v>
      </c>
      <c r="AD47" t="s">
        <v>1748</v>
      </c>
      <c r="AE47">
        <v>52</v>
      </c>
      <c r="AF47" t="s">
        <v>1683</v>
      </c>
      <c r="AG47" t="s">
        <v>1988</v>
      </c>
      <c r="AH47">
        <v>10</v>
      </c>
      <c r="AI47">
        <v>3</v>
      </c>
      <c r="AJ47">
        <v>2</v>
      </c>
      <c r="AK47">
        <v>41.64</v>
      </c>
      <c r="AN47" t="s">
        <v>1998</v>
      </c>
      <c r="AO47">
        <v>12564</v>
      </c>
      <c r="AU47">
        <v>0</v>
      </c>
      <c r="AW47" t="s">
        <v>112</v>
      </c>
      <c r="AX47" t="s">
        <v>2079</v>
      </c>
    </row>
    <row r="48" spans="1:50">
      <c r="A48" s="1">
        <f>HYPERLINK("https://lsnyc.legalserver.org/matter/dynamic-profile/view/1903379","19-1903379")</f>
        <v>0</v>
      </c>
      <c r="B48" t="s">
        <v>73</v>
      </c>
      <c r="C48" t="s">
        <v>118</v>
      </c>
      <c r="D48" t="s">
        <v>123</v>
      </c>
      <c r="F48" t="s">
        <v>268</v>
      </c>
      <c r="G48" t="s">
        <v>535</v>
      </c>
      <c r="H48" t="s">
        <v>810</v>
      </c>
      <c r="I48" t="s">
        <v>1012</v>
      </c>
      <c r="J48" t="s">
        <v>1166</v>
      </c>
      <c r="K48">
        <v>11413</v>
      </c>
      <c r="L48" t="s">
        <v>1175</v>
      </c>
      <c r="M48" t="s">
        <v>1177</v>
      </c>
      <c r="N48" t="s">
        <v>1200</v>
      </c>
      <c r="O48" t="s">
        <v>1281</v>
      </c>
      <c r="P48" t="s">
        <v>1298</v>
      </c>
      <c r="R48" t="s">
        <v>1311</v>
      </c>
      <c r="S48" t="s">
        <v>1176</v>
      </c>
      <c r="U48" t="s">
        <v>1313</v>
      </c>
      <c r="W48" t="s">
        <v>123</v>
      </c>
      <c r="X48">
        <v>2000</v>
      </c>
      <c r="Y48" t="s">
        <v>1327</v>
      </c>
      <c r="Z48" t="s">
        <v>1332</v>
      </c>
      <c r="AB48" t="s">
        <v>1400</v>
      </c>
      <c r="AC48" t="s">
        <v>1682</v>
      </c>
      <c r="AD48" t="s">
        <v>1749</v>
      </c>
      <c r="AE48">
        <v>2</v>
      </c>
      <c r="AF48" t="s">
        <v>1683</v>
      </c>
      <c r="AG48" t="s">
        <v>1255</v>
      </c>
      <c r="AH48">
        <v>1</v>
      </c>
      <c r="AI48">
        <v>2</v>
      </c>
      <c r="AJ48">
        <v>1</v>
      </c>
      <c r="AK48">
        <v>42.19</v>
      </c>
      <c r="AN48" t="s">
        <v>1998</v>
      </c>
      <c r="AO48">
        <v>9000</v>
      </c>
      <c r="AR48" t="s">
        <v>2032</v>
      </c>
      <c r="AS48" t="s">
        <v>2035</v>
      </c>
      <c r="AT48" t="s">
        <v>2037</v>
      </c>
      <c r="AU48">
        <v>1.2</v>
      </c>
      <c r="AV48" t="s">
        <v>178</v>
      </c>
      <c r="AW48" t="s">
        <v>2061</v>
      </c>
      <c r="AX48" t="s">
        <v>2079</v>
      </c>
    </row>
    <row r="49" spans="1:50">
      <c r="A49" s="1">
        <f>HYPERLINK("https://lsnyc.legalserver.org/matter/dynamic-profile/view/1896516","19-1896516")</f>
        <v>0</v>
      </c>
      <c r="B49" t="s">
        <v>58</v>
      </c>
      <c r="C49" t="s">
        <v>118</v>
      </c>
      <c r="D49" t="s">
        <v>151</v>
      </c>
      <c r="F49" t="s">
        <v>269</v>
      </c>
      <c r="G49" t="s">
        <v>536</v>
      </c>
      <c r="H49" t="s">
        <v>807</v>
      </c>
      <c r="I49" t="s">
        <v>1027</v>
      </c>
      <c r="J49" t="s">
        <v>1159</v>
      </c>
      <c r="K49">
        <v>10453</v>
      </c>
      <c r="L49" t="s">
        <v>1175</v>
      </c>
      <c r="M49" t="s">
        <v>1175</v>
      </c>
      <c r="N49" t="s">
        <v>1201</v>
      </c>
      <c r="O49" t="s">
        <v>1281</v>
      </c>
      <c r="P49" t="s">
        <v>1298</v>
      </c>
      <c r="R49" t="s">
        <v>1311</v>
      </c>
      <c r="S49" t="s">
        <v>1176</v>
      </c>
      <c r="U49" t="s">
        <v>1313</v>
      </c>
      <c r="W49" t="s">
        <v>206</v>
      </c>
      <c r="X49">
        <v>1011.37</v>
      </c>
      <c r="Y49" t="s">
        <v>1328</v>
      </c>
      <c r="Z49" t="s">
        <v>1335</v>
      </c>
      <c r="AB49" t="s">
        <v>1401</v>
      </c>
      <c r="AD49" t="s">
        <v>1750</v>
      </c>
      <c r="AE49">
        <v>0</v>
      </c>
      <c r="AF49" t="s">
        <v>1974</v>
      </c>
      <c r="AG49" t="s">
        <v>1988</v>
      </c>
      <c r="AH49">
        <v>12</v>
      </c>
      <c r="AI49">
        <v>3</v>
      </c>
      <c r="AJ49">
        <v>3</v>
      </c>
      <c r="AK49">
        <v>42.19</v>
      </c>
      <c r="AN49" t="s">
        <v>2000</v>
      </c>
      <c r="AO49">
        <v>14592</v>
      </c>
      <c r="AU49">
        <v>10.75</v>
      </c>
      <c r="AV49" t="s">
        <v>120</v>
      </c>
      <c r="AW49" t="s">
        <v>2053</v>
      </c>
      <c r="AX49" t="s">
        <v>2079</v>
      </c>
    </row>
    <row r="50" spans="1:50">
      <c r="A50" s="1">
        <f>HYPERLINK("https://lsnyc.legalserver.org/matter/dynamic-profile/view/1903703","19-1903703")</f>
        <v>0</v>
      </c>
      <c r="B50" t="s">
        <v>82</v>
      </c>
      <c r="C50" t="s">
        <v>118</v>
      </c>
      <c r="D50" t="s">
        <v>152</v>
      </c>
      <c r="F50" t="s">
        <v>270</v>
      </c>
      <c r="G50" t="s">
        <v>537</v>
      </c>
      <c r="H50" t="s">
        <v>811</v>
      </c>
      <c r="I50" t="s">
        <v>1028</v>
      </c>
      <c r="J50" t="s">
        <v>1161</v>
      </c>
      <c r="K50">
        <v>10035</v>
      </c>
      <c r="L50" t="s">
        <v>1175</v>
      </c>
      <c r="M50" t="s">
        <v>1177</v>
      </c>
      <c r="O50" t="s">
        <v>1289</v>
      </c>
      <c r="P50" t="s">
        <v>1301</v>
      </c>
      <c r="R50" t="s">
        <v>1311</v>
      </c>
      <c r="S50" t="s">
        <v>1176</v>
      </c>
      <c r="U50" t="s">
        <v>1317</v>
      </c>
      <c r="V50" t="s">
        <v>1321</v>
      </c>
      <c r="W50" t="s">
        <v>121</v>
      </c>
      <c r="X50">
        <v>115.2</v>
      </c>
      <c r="Y50" t="s">
        <v>1330</v>
      </c>
      <c r="Z50" t="s">
        <v>1343</v>
      </c>
      <c r="AB50" t="s">
        <v>1402</v>
      </c>
      <c r="AD50" t="s">
        <v>1751</v>
      </c>
      <c r="AE50">
        <v>72</v>
      </c>
      <c r="AF50" t="s">
        <v>1976</v>
      </c>
      <c r="AG50" t="s">
        <v>1985</v>
      </c>
      <c r="AH50">
        <v>22</v>
      </c>
      <c r="AI50">
        <v>2</v>
      </c>
      <c r="AJ50">
        <v>0</v>
      </c>
      <c r="AK50">
        <v>42.58</v>
      </c>
      <c r="AN50" t="s">
        <v>2000</v>
      </c>
      <c r="AO50">
        <v>7200</v>
      </c>
      <c r="AU50">
        <v>10.75</v>
      </c>
      <c r="AV50" t="s">
        <v>178</v>
      </c>
      <c r="AW50" t="s">
        <v>2066</v>
      </c>
      <c r="AX50" t="s">
        <v>2079</v>
      </c>
    </row>
    <row r="51" spans="1:50">
      <c r="A51" s="1">
        <f>HYPERLINK("https://lsnyc.legalserver.org/matter/dynamic-profile/view/1896360","19-1896360")</f>
        <v>0</v>
      </c>
      <c r="B51" t="s">
        <v>83</v>
      </c>
      <c r="C51" t="s">
        <v>118</v>
      </c>
      <c r="D51" t="s">
        <v>153</v>
      </c>
      <c r="F51" t="s">
        <v>271</v>
      </c>
      <c r="G51" t="s">
        <v>538</v>
      </c>
      <c r="H51" t="s">
        <v>812</v>
      </c>
      <c r="I51" t="s">
        <v>1029</v>
      </c>
      <c r="J51" t="s">
        <v>1162</v>
      </c>
      <c r="K51">
        <v>11212</v>
      </c>
      <c r="L51" t="s">
        <v>1175</v>
      </c>
      <c r="M51" t="s">
        <v>1176</v>
      </c>
      <c r="N51" t="s">
        <v>1202</v>
      </c>
      <c r="O51" t="s">
        <v>1284</v>
      </c>
      <c r="P51" t="s">
        <v>1302</v>
      </c>
      <c r="R51" t="s">
        <v>1311</v>
      </c>
      <c r="S51" t="s">
        <v>1176</v>
      </c>
      <c r="U51" t="s">
        <v>1313</v>
      </c>
      <c r="V51" t="s">
        <v>1321</v>
      </c>
      <c r="W51" t="s">
        <v>154</v>
      </c>
      <c r="X51">
        <v>2100</v>
      </c>
      <c r="Y51" t="s">
        <v>1331</v>
      </c>
      <c r="AB51" t="s">
        <v>1403</v>
      </c>
      <c r="AD51" t="s">
        <v>1752</v>
      </c>
      <c r="AE51">
        <v>2</v>
      </c>
      <c r="AF51" t="s">
        <v>1973</v>
      </c>
      <c r="AG51" t="s">
        <v>1255</v>
      </c>
      <c r="AH51">
        <v>5</v>
      </c>
      <c r="AI51">
        <v>1</v>
      </c>
      <c r="AJ51">
        <v>2</v>
      </c>
      <c r="AK51">
        <v>42.76</v>
      </c>
      <c r="AN51" t="s">
        <v>1998</v>
      </c>
      <c r="AO51">
        <v>9120</v>
      </c>
      <c r="AP51" t="s">
        <v>2010</v>
      </c>
      <c r="AT51" t="s">
        <v>2038</v>
      </c>
      <c r="AU51">
        <v>3</v>
      </c>
      <c r="AV51" t="s">
        <v>154</v>
      </c>
      <c r="AW51" t="s">
        <v>2059</v>
      </c>
      <c r="AX51" t="s">
        <v>2079</v>
      </c>
    </row>
    <row r="52" spans="1:50">
      <c r="A52" s="1">
        <f>HYPERLINK("https://lsnyc.legalserver.org/matter/dynamic-profile/view/1900951","19-1900951")</f>
        <v>0</v>
      </c>
      <c r="B52" t="s">
        <v>68</v>
      </c>
      <c r="C52" t="s">
        <v>119</v>
      </c>
      <c r="D52" t="s">
        <v>137</v>
      </c>
      <c r="E52" t="s">
        <v>122</v>
      </c>
      <c r="F52" t="s">
        <v>272</v>
      </c>
      <c r="G52" t="s">
        <v>539</v>
      </c>
      <c r="H52" t="s">
        <v>813</v>
      </c>
      <c r="I52">
        <v>29</v>
      </c>
      <c r="J52" t="s">
        <v>1159</v>
      </c>
      <c r="K52">
        <v>10456</v>
      </c>
      <c r="L52" t="s">
        <v>1175</v>
      </c>
      <c r="M52" t="s">
        <v>1177</v>
      </c>
      <c r="P52" t="s">
        <v>1299</v>
      </c>
      <c r="Q52" t="s">
        <v>1305</v>
      </c>
      <c r="R52" t="s">
        <v>1311</v>
      </c>
      <c r="S52" t="s">
        <v>1176</v>
      </c>
      <c r="U52" t="s">
        <v>1313</v>
      </c>
      <c r="W52" t="s">
        <v>1325</v>
      </c>
      <c r="X52">
        <v>50</v>
      </c>
      <c r="Y52" t="s">
        <v>1328</v>
      </c>
      <c r="Z52" t="s">
        <v>1340</v>
      </c>
      <c r="AA52" t="s">
        <v>1346</v>
      </c>
      <c r="AB52" t="s">
        <v>1404</v>
      </c>
      <c r="AD52" t="s">
        <v>1753</v>
      </c>
      <c r="AE52">
        <v>54</v>
      </c>
      <c r="AF52" t="s">
        <v>1974</v>
      </c>
      <c r="AG52" t="s">
        <v>1255</v>
      </c>
      <c r="AH52">
        <v>-1</v>
      </c>
      <c r="AI52">
        <v>2</v>
      </c>
      <c r="AJ52">
        <v>0</v>
      </c>
      <c r="AK52">
        <v>43.05</v>
      </c>
      <c r="AO52">
        <v>7280</v>
      </c>
      <c r="AU52">
        <v>1</v>
      </c>
      <c r="AV52" t="s">
        <v>125</v>
      </c>
      <c r="AW52" t="s">
        <v>112</v>
      </c>
      <c r="AX52" t="s">
        <v>2079</v>
      </c>
    </row>
    <row r="53" spans="1:50">
      <c r="A53" s="1">
        <f>HYPERLINK("https://lsnyc.legalserver.org/matter/dynamic-profile/view/1902776","19-1902776")</f>
        <v>0</v>
      </c>
      <c r="B53" t="s">
        <v>69</v>
      </c>
      <c r="C53" t="s">
        <v>118</v>
      </c>
      <c r="D53" t="s">
        <v>120</v>
      </c>
      <c r="F53" t="s">
        <v>273</v>
      </c>
      <c r="G53" t="s">
        <v>540</v>
      </c>
      <c r="H53" t="s">
        <v>814</v>
      </c>
      <c r="I53" t="s">
        <v>1030</v>
      </c>
      <c r="J53" t="s">
        <v>1162</v>
      </c>
      <c r="K53">
        <v>11239</v>
      </c>
      <c r="L53" t="s">
        <v>1175</v>
      </c>
      <c r="M53" t="s">
        <v>1177</v>
      </c>
      <c r="N53" t="s">
        <v>1203</v>
      </c>
      <c r="O53" t="s">
        <v>1284</v>
      </c>
      <c r="R53" t="s">
        <v>1311</v>
      </c>
      <c r="S53" t="s">
        <v>1176</v>
      </c>
      <c r="U53" t="s">
        <v>1313</v>
      </c>
      <c r="V53" t="s">
        <v>1321</v>
      </c>
      <c r="W53" t="s">
        <v>131</v>
      </c>
      <c r="X53">
        <v>254</v>
      </c>
      <c r="Y53" t="s">
        <v>1331</v>
      </c>
      <c r="Z53" t="s">
        <v>1332</v>
      </c>
      <c r="AB53" t="s">
        <v>1405</v>
      </c>
      <c r="AC53" t="s">
        <v>1683</v>
      </c>
      <c r="AE53">
        <v>1463</v>
      </c>
      <c r="AF53" t="s">
        <v>1976</v>
      </c>
      <c r="AG53" t="s">
        <v>1990</v>
      </c>
      <c r="AH53">
        <v>0</v>
      </c>
      <c r="AI53">
        <v>3</v>
      </c>
      <c r="AJ53">
        <v>0</v>
      </c>
      <c r="AK53">
        <v>43.38</v>
      </c>
      <c r="AN53" t="s">
        <v>1998</v>
      </c>
      <c r="AO53">
        <v>9252</v>
      </c>
      <c r="AU53">
        <v>0.75</v>
      </c>
      <c r="AV53" t="s">
        <v>221</v>
      </c>
      <c r="AW53" t="s">
        <v>2067</v>
      </c>
      <c r="AX53" t="s">
        <v>2079</v>
      </c>
    </row>
    <row r="54" spans="1:50">
      <c r="A54" s="1">
        <f>HYPERLINK("https://lsnyc.legalserver.org/matter/dynamic-profile/view/1901369","19-1901369")</f>
        <v>0</v>
      </c>
      <c r="B54" t="s">
        <v>57</v>
      </c>
      <c r="C54" t="s">
        <v>118</v>
      </c>
      <c r="D54" t="s">
        <v>129</v>
      </c>
      <c r="F54" t="s">
        <v>274</v>
      </c>
      <c r="G54" t="s">
        <v>541</v>
      </c>
      <c r="H54" t="s">
        <v>815</v>
      </c>
      <c r="I54" t="s">
        <v>1010</v>
      </c>
      <c r="J54" t="s">
        <v>1159</v>
      </c>
      <c r="K54">
        <v>10472</v>
      </c>
      <c r="L54" t="s">
        <v>1175</v>
      </c>
      <c r="M54" t="s">
        <v>1177</v>
      </c>
      <c r="O54" t="s">
        <v>1282</v>
      </c>
      <c r="P54" t="s">
        <v>1299</v>
      </c>
      <c r="R54" t="s">
        <v>1311</v>
      </c>
      <c r="S54" t="s">
        <v>1176</v>
      </c>
      <c r="U54" t="s">
        <v>1313</v>
      </c>
      <c r="W54" t="s">
        <v>1325</v>
      </c>
      <c r="X54">
        <v>1303</v>
      </c>
      <c r="Y54" t="s">
        <v>1328</v>
      </c>
      <c r="Z54" t="s">
        <v>1336</v>
      </c>
      <c r="AB54" t="s">
        <v>1406</v>
      </c>
      <c r="AD54" t="s">
        <v>1754</v>
      </c>
      <c r="AE54">
        <v>0</v>
      </c>
      <c r="AF54" t="s">
        <v>1974</v>
      </c>
      <c r="AG54" t="s">
        <v>1986</v>
      </c>
      <c r="AH54">
        <v>0</v>
      </c>
      <c r="AI54">
        <v>1</v>
      </c>
      <c r="AJ54">
        <v>1</v>
      </c>
      <c r="AK54">
        <v>44.74</v>
      </c>
      <c r="AN54" t="s">
        <v>1998</v>
      </c>
      <c r="AO54">
        <v>7566</v>
      </c>
      <c r="AU54">
        <v>5</v>
      </c>
      <c r="AV54" t="s">
        <v>157</v>
      </c>
      <c r="AW54" t="s">
        <v>57</v>
      </c>
      <c r="AX54" t="s">
        <v>2079</v>
      </c>
    </row>
    <row r="55" spans="1:50">
      <c r="A55" s="1">
        <f>HYPERLINK("https://lsnyc.legalserver.org/matter/dynamic-profile/view/1903789","19-1903789")</f>
        <v>0</v>
      </c>
      <c r="B55" t="s">
        <v>50</v>
      </c>
      <c r="C55" t="s">
        <v>118</v>
      </c>
      <c r="D55" t="s">
        <v>152</v>
      </c>
      <c r="F55" t="s">
        <v>275</v>
      </c>
      <c r="G55" t="s">
        <v>530</v>
      </c>
      <c r="H55" t="s">
        <v>816</v>
      </c>
      <c r="I55" t="s">
        <v>1031</v>
      </c>
      <c r="J55" t="s">
        <v>1158</v>
      </c>
      <c r="K55">
        <v>11354</v>
      </c>
      <c r="L55" t="s">
        <v>1175</v>
      </c>
      <c r="M55" t="s">
        <v>1177</v>
      </c>
      <c r="N55" t="s">
        <v>1179</v>
      </c>
      <c r="O55" t="s">
        <v>1283</v>
      </c>
      <c r="P55" t="s">
        <v>1300</v>
      </c>
      <c r="R55" t="s">
        <v>1311</v>
      </c>
      <c r="S55" t="s">
        <v>1175</v>
      </c>
      <c r="U55" t="s">
        <v>1313</v>
      </c>
      <c r="V55" t="s">
        <v>1321</v>
      </c>
      <c r="W55" t="s">
        <v>123</v>
      </c>
      <c r="X55">
        <v>817.99</v>
      </c>
      <c r="Y55" t="s">
        <v>1327</v>
      </c>
      <c r="Z55" t="s">
        <v>1334</v>
      </c>
      <c r="AB55" t="s">
        <v>1407</v>
      </c>
      <c r="AE55">
        <v>91</v>
      </c>
      <c r="AF55" t="s">
        <v>1974</v>
      </c>
      <c r="AG55" t="s">
        <v>1255</v>
      </c>
      <c r="AH55">
        <v>40</v>
      </c>
      <c r="AI55">
        <v>4</v>
      </c>
      <c r="AJ55">
        <v>0</v>
      </c>
      <c r="AK55">
        <v>46.6</v>
      </c>
      <c r="AN55" t="s">
        <v>2000</v>
      </c>
      <c r="AO55">
        <v>12000</v>
      </c>
      <c r="AU55">
        <v>0.15</v>
      </c>
      <c r="AV55" t="s">
        <v>152</v>
      </c>
      <c r="AW55" t="s">
        <v>50</v>
      </c>
      <c r="AX55" t="s">
        <v>2079</v>
      </c>
    </row>
    <row r="56" spans="1:50">
      <c r="A56" s="1">
        <f>HYPERLINK("https://lsnyc.legalserver.org/matter/dynamic-profile/view/1902317","19-1902317")</f>
        <v>0</v>
      </c>
      <c r="B56" t="s">
        <v>79</v>
      </c>
      <c r="C56" t="s">
        <v>118</v>
      </c>
      <c r="D56" t="s">
        <v>131</v>
      </c>
      <c r="F56" t="s">
        <v>276</v>
      </c>
      <c r="G56" t="s">
        <v>542</v>
      </c>
      <c r="H56" t="s">
        <v>817</v>
      </c>
      <c r="I56" t="s">
        <v>1032</v>
      </c>
      <c r="J56" t="s">
        <v>1159</v>
      </c>
      <c r="K56">
        <v>10453</v>
      </c>
      <c r="L56" t="s">
        <v>1175</v>
      </c>
      <c r="M56" t="s">
        <v>1177</v>
      </c>
      <c r="O56" t="s">
        <v>1282</v>
      </c>
      <c r="P56" t="s">
        <v>1299</v>
      </c>
      <c r="R56" t="s">
        <v>1311</v>
      </c>
      <c r="S56" t="s">
        <v>1176</v>
      </c>
      <c r="U56" t="s">
        <v>1313</v>
      </c>
      <c r="W56" t="s">
        <v>1325</v>
      </c>
      <c r="X56">
        <v>942.33</v>
      </c>
      <c r="Y56" t="s">
        <v>1328</v>
      </c>
      <c r="Z56" t="s">
        <v>1336</v>
      </c>
      <c r="AB56" t="s">
        <v>1408</v>
      </c>
      <c r="AD56" t="s">
        <v>1755</v>
      </c>
      <c r="AE56">
        <v>37</v>
      </c>
      <c r="AF56" t="s">
        <v>1974</v>
      </c>
      <c r="AG56" t="s">
        <v>1255</v>
      </c>
      <c r="AH56">
        <v>4</v>
      </c>
      <c r="AI56">
        <v>2</v>
      </c>
      <c r="AJ56">
        <v>2</v>
      </c>
      <c r="AK56">
        <v>46.6</v>
      </c>
      <c r="AN56" t="s">
        <v>1341</v>
      </c>
      <c r="AO56">
        <v>12000</v>
      </c>
      <c r="AU56">
        <v>1.2</v>
      </c>
      <c r="AV56" t="s">
        <v>163</v>
      </c>
      <c r="AW56" t="s">
        <v>79</v>
      </c>
      <c r="AX56" t="s">
        <v>2079</v>
      </c>
    </row>
    <row r="57" spans="1:50">
      <c r="A57" s="1">
        <f>HYPERLINK("https://lsnyc.legalserver.org/matter/dynamic-profile/view/1899050","19-1899050")</f>
        <v>0</v>
      </c>
      <c r="B57" t="s">
        <v>66</v>
      </c>
      <c r="C57" t="s">
        <v>118</v>
      </c>
      <c r="D57" t="s">
        <v>140</v>
      </c>
      <c r="F57" t="s">
        <v>277</v>
      </c>
      <c r="G57" t="s">
        <v>543</v>
      </c>
      <c r="H57" t="s">
        <v>818</v>
      </c>
      <c r="I57" t="s">
        <v>1033</v>
      </c>
      <c r="J57" t="s">
        <v>1159</v>
      </c>
      <c r="K57">
        <v>10452</v>
      </c>
      <c r="L57" t="s">
        <v>1175</v>
      </c>
      <c r="M57" t="s">
        <v>1177</v>
      </c>
      <c r="O57" t="s">
        <v>1284</v>
      </c>
      <c r="P57" t="s">
        <v>1299</v>
      </c>
      <c r="R57" t="s">
        <v>1311</v>
      </c>
      <c r="S57" t="s">
        <v>1176</v>
      </c>
      <c r="U57" t="s">
        <v>1313</v>
      </c>
      <c r="W57" t="s">
        <v>1325</v>
      </c>
      <c r="X57">
        <v>1980</v>
      </c>
      <c r="Y57" t="s">
        <v>1328</v>
      </c>
      <c r="Z57" t="s">
        <v>1336</v>
      </c>
      <c r="AB57" t="s">
        <v>1409</v>
      </c>
      <c r="AD57" t="s">
        <v>1756</v>
      </c>
      <c r="AE57">
        <v>3</v>
      </c>
      <c r="AF57" t="s">
        <v>1683</v>
      </c>
      <c r="AG57" t="s">
        <v>1988</v>
      </c>
      <c r="AH57">
        <v>4</v>
      </c>
      <c r="AI57">
        <v>2</v>
      </c>
      <c r="AJ57">
        <v>3</v>
      </c>
      <c r="AK57">
        <v>47.85</v>
      </c>
      <c r="AN57" t="s">
        <v>1998</v>
      </c>
      <c r="AO57">
        <v>14436</v>
      </c>
      <c r="AU57">
        <v>0</v>
      </c>
      <c r="AW57" t="s">
        <v>2052</v>
      </c>
      <c r="AX57" t="s">
        <v>2079</v>
      </c>
    </row>
    <row r="58" spans="1:50">
      <c r="A58" s="1">
        <f>HYPERLINK("https://lsnyc.legalserver.org/matter/dynamic-profile/view/1902788","19-1902788")</f>
        <v>0</v>
      </c>
      <c r="B58" t="s">
        <v>84</v>
      </c>
      <c r="C58" t="s">
        <v>118</v>
      </c>
      <c r="D58" t="s">
        <v>120</v>
      </c>
      <c r="F58" t="s">
        <v>278</v>
      </c>
      <c r="G58" t="s">
        <v>544</v>
      </c>
      <c r="H58" t="s">
        <v>819</v>
      </c>
      <c r="I58" t="s">
        <v>1034</v>
      </c>
      <c r="J58" t="s">
        <v>1159</v>
      </c>
      <c r="K58">
        <v>10460</v>
      </c>
      <c r="L58" t="s">
        <v>1175</v>
      </c>
      <c r="M58" t="s">
        <v>1177</v>
      </c>
      <c r="O58" t="s">
        <v>1290</v>
      </c>
      <c r="P58" t="s">
        <v>1301</v>
      </c>
      <c r="R58" t="s">
        <v>1311</v>
      </c>
      <c r="S58" t="s">
        <v>1176</v>
      </c>
      <c r="U58" t="s">
        <v>1318</v>
      </c>
      <c r="W58" t="s">
        <v>1325</v>
      </c>
      <c r="X58">
        <v>187</v>
      </c>
      <c r="Y58" t="s">
        <v>1328</v>
      </c>
      <c r="Z58" t="s">
        <v>1335</v>
      </c>
      <c r="AB58" t="s">
        <v>1410</v>
      </c>
      <c r="AD58" t="s">
        <v>1757</v>
      </c>
      <c r="AE58">
        <v>23</v>
      </c>
      <c r="AF58" t="s">
        <v>1974</v>
      </c>
      <c r="AG58" t="s">
        <v>1990</v>
      </c>
      <c r="AH58">
        <v>6</v>
      </c>
      <c r="AI58">
        <v>2</v>
      </c>
      <c r="AJ58">
        <v>0</v>
      </c>
      <c r="AK58">
        <v>49.24</v>
      </c>
      <c r="AN58" t="s">
        <v>1998</v>
      </c>
      <c r="AO58">
        <v>8326.799999999999</v>
      </c>
      <c r="AU58">
        <v>1</v>
      </c>
      <c r="AV58" t="s">
        <v>120</v>
      </c>
      <c r="AW58" t="s">
        <v>84</v>
      </c>
      <c r="AX58" t="s">
        <v>2079</v>
      </c>
    </row>
    <row r="59" spans="1:50">
      <c r="A59" s="1">
        <f>HYPERLINK("https://lsnyc.legalserver.org/matter/dynamic-profile/view/1903681","19-1903681")</f>
        <v>0</v>
      </c>
      <c r="B59" t="s">
        <v>51</v>
      </c>
      <c r="C59" t="s">
        <v>118</v>
      </c>
      <c r="D59" t="s">
        <v>154</v>
      </c>
      <c r="F59" t="s">
        <v>279</v>
      </c>
      <c r="G59" t="s">
        <v>545</v>
      </c>
      <c r="H59" t="s">
        <v>820</v>
      </c>
      <c r="J59" t="s">
        <v>1167</v>
      </c>
      <c r="K59">
        <v>11418</v>
      </c>
      <c r="L59" t="s">
        <v>1175</v>
      </c>
      <c r="M59" t="s">
        <v>1177</v>
      </c>
      <c r="N59" t="s">
        <v>1204</v>
      </c>
      <c r="O59" t="s">
        <v>1282</v>
      </c>
      <c r="P59" t="s">
        <v>1303</v>
      </c>
      <c r="R59" t="s">
        <v>1312</v>
      </c>
      <c r="S59" t="s">
        <v>1176</v>
      </c>
      <c r="U59" t="s">
        <v>1313</v>
      </c>
      <c r="W59" t="s">
        <v>121</v>
      </c>
      <c r="X59">
        <v>1100</v>
      </c>
      <c r="Y59" t="s">
        <v>1327</v>
      </c>
      <c r="Z59" t="s">
        <v>1333</v>
      </c>
      <c r="AB59" t="s">
        <v>1411</v>
      </c>
      <c r="AE59">
        <v>4</v>
      </c>
      <c r="AG59" t="s">
        <v>1255</v>
      </c>
      <c r="AH59">
        <v>11</v>
      </c>
      <c r="AI59">
        <v>1</v>
      </c>
      <c r="AJ59">
        <v>3</v>
      </c>
      <c r="AK59">
        <v>50.49</v>
      </c>
      <c r="AN59" t="s">
        <v>1998</v>
      </c>
      <c r="AO59">
        <v>13000</v>
      </c>
      <c r="AU59">
        <v>0.75</v>
      </c>
      <c r="AV59" t="s">
        <v>121</v>
      </c>
      <c r="AW59" t="s">
        <v>51</v>
      </c>
    </row>
    <row r="60" spans="1:50">
      <c r="A60" s="1">
        <f>HYPERLINK("https://lsnyc.legalserver.org/matter/dynamic-profile/view/1893630","19-1893630")</f>
        <v>0</v>
      </c>
      <c r="B60" t="s">
        <v>58</v>
      </c>
      <c r="C60" t="s">
        <v>118</v>
      </c>
      <c r="D60" t="s">
        <v>155</v>
      </c>
      <c r="F60" t="s">
        <v>280</v>
      </c>
      <c r="G60" t="s">
        <v>523</v>
      </c>
      <c r="H60" t="s">
        <v>774</v>
      </c>
      <c r="I60" t="s">
        <v>1028</v>
      </c>
      <c r="J60" t="s">
        <v>1159</v>
      </c>
      <c r="K60">
        <v>10460</v>
      </c>
      <c r="L60" t="s">
        <v>1175</v>
      </c>
      <c r="M60" t="s">
        <v>1175</v>
      </c>
      <c r="N60" t="s">
        <v>1205</v>
      </c>
      <c r="O60" t="s">
        <v>1281</v>
      </c>
      <c r="P60" t="s">
        <v>1298</v>
      </c>
      <c r="R60" t="s">
        <v>1311</v>
      </c>
      <c r="S60" t="s">
        <v>1176</v>
      </c>
      <c r="U60" t="s">
        <v>1313</v>
      </c>
      <c r="W60" t="s">
        <v>1325</v>
      </c>
      <c r="X60">
        <v>1621</v>
      </c>
      <c r="Y60" t="s">
        <v>1328</v>
      </c>
      <c r="Z60" t="s">
        <v>1336</v>
      </c>
      <c r="AB60" t="s">
        <v>1412</v>
      </c>
      <c r="AE60">
        <v>168</v>
      </c>
      <c r="AF60" t="s">
        <v>1683</v>
      </c>
      <c r="AG60" t="s">
        <v>1985</v>
      </c>
      <c r="AH60">
        <v>2</v>
      </c>
      <c r="AI60">
        <v>2</v>
      </c>
      <c r="AJ60">
        <v>0</v>
      </c>
      <c r="AK60">
        <v>51.09</v>
      </c>
      <c r="AN60" t="s">
        <v>1998</v>
      </c>
      <c r="AO60">
        <v>8640</v>
      </c>
      <c r="AP60" t="s">
        <v>2011</v>
      </c>
      <c r="AU60">
        <v>12.8</v>
      </c>
      <c r="AV60" t="s">
        <v>154</v>
      </c>
      <c r="AW60" t="s">
        <v>2053</v>
      </c>
      <c r="AX60" t="s">
        <v>2079</v>
      </c>
    </row>
    <row r="61" spans="1:50">
      <c r="A61" s="1">
        <f>HYPERLINK("https://lsnyc.legalserver.org/matter/dynamic-profile/view/1869585","18-1869585")</f>
        <v>0</v>
      </c>
      <c r="B61" t="s">
        <v>85</v>
      </c>
      <c r="C61" t="s">
        <v>119</v>
      </c>
      <c r="D61" t="s">
        <v>156</v>
      </c>
      <c r="E61" t="s">
        <v>217</v>
      </c>
      <c r="F61" t="s">
        <v>281</v>
      </c>
      <c r="G61" t="s">
        <v>546</v>
      </c>
      <c r="H61" t="s">
        <v>821</v>
      </c>
      <c r="I61" t="s">
        <v>1035</v>
      </c>
      <c r="J61" t="s">
        <v>1160</v>
      </c>
      <c r="K61">
        <v>10304</v>
      </c>
      <c r="L61" t="s">
        <v>1175</v>
      </c>
      <c r="M61" t="s">
        <v>1177</v>
      </c>
      <c r="N61" t="s">
        <v>1206</v>
      </c>
      <c r="O61" t="s">
        <v>1281</v>
      </c>
      <c r="P61" t="s">
        <v>1298</v>
      </c>
      <c r="Q61" t="s">
        <v>1308</v>
      </c>
      <c r="R61" t="s">
        <v>1311</v>
      </c>
      <c r="U61" t="s">
        <v>1313</v>
      </c>
      <c r="V61" t="s">
        <v>1320</v>
      </c>
      <c r="W61" t="s">
        <v>1326</v>
      </c>
      <c r="X61">
        <v>574</v>
      </c>
      <c r="Y61" t="s">
        <v>1329</v>
      </c>
      <c r="AA61" t="s">
        <v>1349</v>
      </c>
      <c r="AB61" t="s">
        <v>1413</v>
      </c>
      <c r="AD61" t="s">
        <v>1758</v>
      </c>
      <c r="AE61">
        <v>0</v>
      </c>
      <c r="AF61" t="s">
        <v>1976</v>
      </c>
      <c r="AH61">
        <v>0</v>
      </c>
      <c r="AI61">
        <v>1</v>
      </c>
      <c r="AJ61">
        <v>0</v>
      </c>
      <c r="AK61">
        <v>51.4</v>
      </c>
      <c r="AN61" t="s">
        <v>1998</v>
      </c>
      <c r="AO61">
        <v>6240</v>
      </c>
      <c r="AQ61" t="s">
        <v>2029</v>
      </c>
      <c r="AR61" t="s">
        <v>2033</v>
      </c>
      <c r="AS61" t="s">
        <v>2035</v>
      </c>
      <c r="AT61" t="s">
        <v>2039</v>
      </c>
      <c r="AU61">
        <v>9.1</v>
      </c>
      <c r="AV61" t="s">
        <v>152</v>
      </c>
      <c r="AW61" t="s">
        <v>2068</v>
      </c>
      <c r="AX61" t="s">
        <v>2079</v>
      </c>
    </row>
    <row r="62" spans="1:50">
      <c r="A62" s="1">
        <f>HYPERLINK("https://lsnyc.legalserver.org/matter/dynamic-profile/view/1903412","19-1903412")</f>
        <v>0</v>
      </c>
      <c r="B62" t="s">
        <v>86</v>
      </c>
      <c r="C62" t="s">
        <v>118</v>
      </c>
      <c r="D62" t="s">
        <v>123</v>
      </c>
      <c r="F62" t="s">
        <v>282</v>
      </c>
      <c r="G62" t="s">
        <v>547</v>
      </c>
      <c r="H62" t="s">
        <v>822</v>
      </c>
      <c r="I62" t="s">
        <v>1036</v>
      </c>
      <c r="J62" t="s">
        <v>1168</v>
      </c>
      <c r="K62">
        <v>11374</v>
      </c>
      <c r="L62" t="s">
        <v>1175</v>
      </c>
      <c r="M62" t="s">
        <v>1177</v>
      </c>
      <c r="N62" t="s">
        <v>1207</v>
      </c>
      <c r="O62" t="s">
        <v>1284</v>
      </c>
      <c r="P62" t="s">
        <v>1303</v>
      </c>
      <c r="R62" t="s">
        <v>1311</v>
      </c>
      <c r="S62" t="s">
        <v>1176</v>
      </c>
      <c r="U62" t="s">
        <v>1313</v>
      </c>
      <c r="W62" t="s">
        <v>123</v>
      </c>
      <c r="X62">
        <v>1900</v>
      </c>
      <c r="Y62" t="s">
        <v>1327</v>
      </c>
      <c r="Z62" t="s">
        <v>1332</v>
      </c>
      <c r="AB62" t="s">
        <v>1414</v>
      </c>
      <c r="AD62" t="s">
        <v>1759</v>
      </c>
      <c r="AE62">
        <v>54</v>
      </c>
      <c r="AF62" t="s">
        <v>1974</v>
      </c>
      <c r="AG62" t="s">
        <v>1255</v>
      </c>
      <c r="AH62">
        <v>4</v>
      </c>
      <c r="AI62">
        <v>2</v>
      </c>
      <c r="AJ62">
        <v>1</v>
      </c>
      <c r="AK62">
        <v>51.57</v>
      </c>
      <c r="AN62" t="s">
        <v>1998</v>
      </c>
      <c r="AO62">
        <v>11000</v>
      </c>
      <c r="AU62">
        <v>1.2</v>
      </c>
      <c r="AV62" t="s">
        <v>152</v>
      </c>
      <c r="AW62" t="s">
        <v>2061</v>
      </c>
      <c r="AX62" t="s">
        <v>2079</v>
      </c>
    </row>
    <row r="63" spans="1:50">
      <c r="A63" s="1">
        <f>HYPERLINK("https://lsnyc.legalserver.org/matter/dynamic-profile/view/1903528","19-1903528")</f>
        <v>0</v>
      </c>
      <c r="B63" t="s">
        <v>51</v>
      </c>
      <c r="C63" t="s">
        <v>118</v>
      </c>
      <c r="D63" t="s">
        <v>157</v>
      </c>
      <c r="F63" t="s">
        <v>283</v>
      </c>
      <c r="G63" t="s">
        <v>548</v>
      </c>
      <c r="H63" t="s">
        <v>823</v>
      </c>
      <c r="I63" t="s">
        <v>1037</v>
      </c>
      <c r="J63" t="s">
        <v>1169</v>
      </c>
      <c r="K63">
        <v>11436</v>
      </c>
      <c r="L63" t="s">
        <v>1175</v>
      </c>
      <c r="M63" t="s">
        <v>1177</v>
      </c>
      <c r="N63" t="s">
        <v>1208</v>
      </c>
      <c r="O63" t="s">
        <v>1284</v>
      </c>
      <c r="P63" t="s">
        <v>1298</v>
      </c>
      <c r="R63" t="s">
        <v>1311</v>
      </c>
      <c r="S63" t="s">
        <v>1176</v>
      </c>
      <c r="U63" t="s">
        <v>1313</v>
      </c>
      <c r="V63" t="s">
        <v>1321</v>
      </c>
      <c r="W63" t="s">
        <v>157</v>
      </c>
      <c r="X63">
        <v>17000</v>
      </c>
      <c r="Y63" t="s">
        <v>1327</v>
      </c>
      <c r="Z63" t="s">
        <v>1332</v>
      </c>
      <c r="AB63" t="s">
        <v>1415</v>
      </c>
      <c r="AC63" t="s">
        <v>1684</v>
      </c>
      <c r="AD63" t="s">
        <v>1760</v>
      </c>
      <c r="AE63">
        <v>2</v>
      </c>
      <c r="AF63" t="s">
        <v>1976</v>
      </c>
      <c r="AG63" t="s">
        <v>1985</v>
      </c>
      <c r="AH63">
        <v>3</v>
      </c>
      <c r="AI63">
        <v>5</v>
      </c>
      <c r="AJ63">
        <v>1</v>
      </c>
      <c r="AK63">
        <v>52.04</v>
      </c>
      <c r="AN63" t="s">
        <v>1998</v>
      </c>
      <c r="AO63">
        <v>18000</v>
      </c>
      <c r="AU63">
        <v>1.55</v>
      </c>
      <c r="AV63" t="s">
        <v>216</v>
      </c>
      <c r="AW63" t="s">
        <v>2051</v>
      </c>
      <c r="AX63" t="s">
        <v>2079</v>
      </c>
    </row>
    <row r="64" spans="1:50">
      <c r="A64" s="1">
        <f>HYPERLINK("https://lsnyc.legalserver.org/matter/dynamic-profile/view/1901408","19-1901408")</f>
        <v>0</v>
      </c>
      <c r="B64" t="s">
        <v>57</v>
      </c>
      <c r="C64" t="s">
        <v>118</v>
      </c>
      <c r="D64" t="s">
        <v>129</v>
      </c>
      <c r="F64" t="s">
        <v>284</v>
      </c>
      <c r="G64" t="s">
        <v>549</v>
      </c>
      <c r="H64" t="s">
        <v>824</v>
      </c>
      <c r="I64">
        <v>205</v>
      </c>
      <c r="J64" t="s">
        <v>1159</v>
      </c>
      <c r="K64">
        <v>10457</v>
      </c>
      <c r="L64" t="s">
        <v>1175</v>
      </c>
      <c r="M64" t="s">
        <v>1177</v>
      </c>
      <c r="O64" t="s">
        <v>1282</v>
      </c>
      <c r="P64" t="s">
        <v>1299</v>
      </c>
      <c r="R64" t="s">
        <v>1311</v>
      </c>
      <c r="S64" t="s">
        <v>1176</v>
      </c>
      <c r="U64" t="s">
        <v>1313</v>
      </c>
      <c r="W64" t="s">
        <v>1325</v>
      </c>
      <c r="X64">
        <v>574</v>
      </c>
      <c r="Y64" t="s">
        <v>1328</v>
      </c>
      <c r="Z64" t="s">
        <v>1336</v>
      </c>
      <c r="AB64" t="s">
        <v>1416</v>
      </c>
      <c r="AD64" t="s">
        <v>1761</v>
      </c>
      <c r="AE64">
        <v>0</v>
      </c>
      <c r="AF64" t="s">
        <v>1683</v>
      </c>
      <c r="AG64" t="s">
        <v>1985</v>
      </c>
      <c r="AH64">
        <v>5</v>
      </c>
      <c r="AI64">
        <v>2</v>
      </c>
      <c r="AJ64">
        <v>0</v>
      </c>
      <c r="AK64">
        <v>52.55</v>
      </c>
      <c r="AN64" t="s">
        <v>2001</v>
      </c>
      <c r="AO64">
        <v>8887</v>
      </c>
      <c r="AU64">
        <v>3</v>
      </c>
      <c r="AV64" t="s">
        <v>123</v>
      </c>
      <c r="AW64" t="s">
        <v>57</v>
      </c>
      <c r="AX64" t="s">
        <v>2079</v>
      </c>
    </row>
    <row r="65" spans="1:50">
      <c r="A65" s="1">
        <f>HYPERLINK("https://lsnyc.legalserver.org/matter/dynamic-profile/view/1899475","19-1899475")</f>
        <v>0</v>
      </c>
      <c r="B65" t="s">
        <v>87</v>
      </c>
      <c r="C65" t="s">
        <v>118</v>
      </c>
      <c r="D65" t="s">
        <v>158</v>
      </c>
      <c r="F65" t="s">
        <v>235</v>
      </c>
      <c r="G65" t="s">
        <v>550</v>
      </c>
      <c r="H65" t="s">
        <v>825</v>
      </c>
      <c r="I65" t="s">
        <v>1033</v>
      </c>
      <c r="J65" t="s">
        <v>1159</v>
      </c>
      <c r="K65">
        <v>10458</v>
      </c>
      <c r="L65" t="s">
        <v>1175</v>
      </c>
      <c r="M65" t="s">
        <v>1177</v>
      </c>
      <c r="P65" t="s">
        <v>1299</v>
      </c>
      <c r="R65" t="s">
        <v>1311</v>
      </c>
      <c r="S65" t="s">
        <v>1176</v>
      </c>
      <c r="U65" t="s">
        <v>1313</v>
      </c>
      <c r="W65" t="s">
        <v>160</v>
      </c>
      <c r="X65">
        <v>1360</v>
      </c>
      <c r="Y65" t="s">
        <v>1328</v>
      </c>
      <c r="Z65" t="s">
        <v>1336</v>
      </c>
      <c r="AB65" t="s">
        <v>1417</v>
      </c>
      <c r="AD65" t="s">
        <v>1762</v>
      </c>
      <c r="AE65">
        <v>43</v>
      </c>
      <c r="AF65" t="s">
        <v>1683</v>
      </c>
      <c r="AG65" t="s">
        <v>1255</v>
      </c>
      <c r="AH65">
        <v>6</v>
      </c>
      <c r="AI65">
        <v>1</v>
      </c>
      <c r="AJ65">
        <v>0</v>
      </c>
      <c r="AK65">
        <v>52.84</v>
      </c>
      <c r="AN65" t="s">
        <v>2000</v>
      </c>
      <c r="AO65">
        <v>6600</v>
      </c>
      <c r="AU65">
        <v>0.5</v>
      </c>
      <c r="AV65" t="s">
        <v>120</v>
      </c>
      <c r="AW65" t="s">
        <v>2053</v>
      </c>
      <c r="AX65" t="s">
        <v>2079</v>
      </c>
    </row>
    <row r="66" spans="1:50">
      <c r="A66" s="1">
        <f>HYPERLINK("https://lsnyc.legalserver.org/matter/dynamic-profile/view/1885967","18-1885967")</f>
        <v>0</v>
      </c>
      <c r="B66" t="s">
        <v>66</v>
      </c>
      <c r="C66" t="s">
        <v>118</v>
      </c>
      <c r="D66" t="s">
        <v>159</v>
      </c>
      <c r="F66" t="s">
        <v>285</v>
      </c>
      <c r="G66" t="s">
        <v>500</v>
      </c>
      <c r="H66" t="s">
        <v>826</v>
      </c>
      <c r="I66" t="s">
        <v>1026</v>
      </c>
      <c r="J66" t="s">
        <v>1159</v>
      </c>
      <c r="K66">
        <v>10463</v>
      </c>
      <c r="L66" t="s">
        <v>1175</v>
      </c>
      <c r="M66" t="s">
        <v>1175</v>
      </c>
      <c r="N66" t="s">
        <v>1209</v>
      </c>
      <c r="O66" t="s">
        <v>1285</v>
      </c>
      <c r="P66" t="s">
        <v>1298</v>
      </c>
      <c r="R66" t="s">
        <v>1311</v>
      </c>
      <c r="S66" t="s">
        <v>1175</v>
      </c>
      <c r="U66" t="s">
        <v>1313</v>
      </c>
      <c r="W66" t="s">
        <v>123</v>
      </c>
      <c r="X66">
        <v>1428</v>
      </c>
      <c r="Y66" t="s">
        <v>1328</v>
      </c>
      <c r="Z66" t="s">
        <v>1336</v>
      </c>
      <c r="AB66" t="s">
        <v>1418</v>
      </c>
      <c r="AD66" t="s">
        <v>1763</v>
      </c>
      <c r="AE66">
        <v>0</v>
      </c>
      <c r="AF66" t="s">
        <v>1974</v>
      </c>
      <c r="AG66" t="s">
        <v>1988</v>
      </c>
      <c r="AH66">
        <v>3</v>
      </c>
      <c r="AI66">
        <v>2</v>
      </c>
      <c r="AJ66">
        <v>1</v>
      </c>
      <c r="AK66">
        <v>52.94</v>
      </c>
      <c r="AN66" t="s">
        <v>2000</v>
      </c>
      <c r="AO66">
        <v>11000</v>
      </c>
      <c r="AU66">
        <v>4.4</v>
      </c>
      <c r="AV66" t="s">
        <v>188</v>
      </c>
      <c r="AW66" t="s">
        <v>2063</v>
      </c>
    </row>
    <row r="67" spans="1:50">
      <c r="A67" s="1">
        <f>HYPERLINK("https://lsnyc.legalserver.org/matter/dynamic-profile/view/1899841","19-1899841")</f>
        <v>0</v>
      </c>
      <c r="B67" t="s">
        <v>52</v>
      </c>
      <c r="C67" t="s">
        <v>118</v>
      </c>
      <c r="D67" t="s">
        <v>143</v>
      </c>
      <c r="F67" t="s">
        <v>286</v>
      </c>
      <c r="G67" t="s">
        <v>551</v>
      </c>
      <c r="H67" t="s">
        <v>774</v>
      </c>
      <c r="I67" t="s">
        <v>1038</v>
      </c>
      <c r="J67" t="s">
        <v>1159</v>
      </c>
      <c r="K67">
        <v>10460</v>
      </c>
      <c r="L67" t="s">
        <v>1175</v>
      </c>
      <c r="M67" t="s">
        <v>1177</v>
      </c>
      <c r="O67" t="s">
        <v>1282</v>
      </c>
      <c r="P67" t="s">
        <v>1301</v>
      </c>
      <c r="R67" t="s">
        <v>1311</v>
      </c>
      <c r="S67" t="s">
        <v>1175</v>
      </c>
      <c r="U67" t="s">
        <v>1313</v>
      </c>
      <c r="W67" t="s">
        <v>1325</v>
      </c>
      <c r="X67">
        <v>1789</v>
      </c>
      <c r="Y67" t="s">
        <v>1328</v>
      </c>
      <c r="Z67" t="s">
        <v>1336</v>
      </c>
      <c r="AB67" t="s">
        <v>1419</v>
      </c>
      <c r="AD67" t="s">
        <v>1764</v>
      </c>
      <c r="AE67">
        <v>168</v>
      </c>
      <c r="AF67" t="s">
        <v>1974</v>
      </c>
      <c r="AG67" t="s">
        <v>1985</v>
      </c>
      <c r="AH67">
        <v>12</v>
      </c>
      <c r="AI67">
        <v>2</v>
      </c>
      <c r="AJ67">
        <v>0</v>
      </c>
      <c r="AK67">
        <v>53.22</v>
      </c>
      <c r="AN67" t="s">
        <v>1998</v>
      </c>
      <c r="AO67">
        <v>9000</v>
      </c>
      <c r="AU67">
        <v>0</v>
      </c>
      <c r="AW67" t="s">
        <v>2053</v>
      </c>
      <c r="AX67" t="s">
        <v>2079</v>
      </c>
    </row>
    <row r="68" spans="1:50">
      <c r="A68" s="1">
        <f>HYPERLINK("https://lsnyc.legalserver.org/matter/dynamic-profile/view/1903504","19-1903504")</f>
        <v>0</v>
      </c>
      <c r="B68" t="s">
        <v>65</v>
      </c>
      <c r="C68" t="s">
        <v>118</v>
      </c>
      <c r="D68" t="s">
        <v>157</v>
      </c>
      <c r="F68" t="s">
        <v>287</v>
      </c>
      <c r="G68" t="s">
        <v>552</v>
      </c>
      <c r="H68" t="s">
        <v>827</v>
      </c>
      <c r="I68" t="s">
        <v>1039</v>
      </c>
      <c r="J68" t="s">
        <v>1159</v>
      </c>
      <c r="K68">
        <v>10453</v>
      </c>
      <c r="L68" t="s">
        <v>1175</v>
      </c>
      <c r="M68" t="s">
        <v>1177</v>
      </c>
      <c r="N68" t="s">
        <v>1210</v>
      </c>
      <c r="O68" t="s">
        <v>1281</v>
      </c>
      <c r="P68" t="s">
        <v>1298</v>
      </c>
      <c r="R68" t="s">
        <v>1311</v>
      </c>
      <c r="S68" t="s">
        <v>1176</v>
      </c>
      <c r="U68" t="s">
        <v>1313</v>
      </c>
      <c r="V68" t="s">
        <v>1323</v>
      </c>
      <c r="W68" t="s">
        <v>157</v>
      </c>
      <c r="X68">
        <v>1268</v>
      </c>
      <c r="Y68" t="s">
        <v>1328</v>
      </c>
      <c r="Z68" t="s">
        <v>1332</v>
      </c>
      <c r="AB68" t="s">
        <v>1420</v>
      </c>
      <c r="AC68" t="s">
        <v>1685</v>
      </c>
      <c r="AE68">
        <v>0</v>
      </c>
      <c r="AF68" t="s">
        <v>1974</v>
      </c>
      <c r="AG68" t="s">
        <v>1991</v>
      </c>
      <c r="AH68">
        <v>3</v>
      </c>
      <c r="AI68">
        <v>2</v>
      </c>
      <c r="AJ68">
        <v>0</v>
      </c>
      <c r="AK68">
        <v>53.44</v>
      </c>
      <c r="AN68" t="s">
        <v>1998</v>
      </c>
      <c r="AO68">
        <v>9036</v>
      </c>
      <c r="AU68">
        <v>4.7</v>
      </c>
      <c r="AV68" t="s">
        <v>221</v>
      </c>
      <c r="AW68" t="s">
        <v>112</v>
      </c>
      <c r="AX68" t="s">
        <v>2080</v>
      </c>
    </row>
    <row r="69" spans="1:50">
      <c r="A69" s="1">
        <f>HYPERLINK("https://lsnyc.legalserver.org/matter/dynamic-profile/view/1902945","19-1902945")</f>
        <v>0</v>
      </c>
      <c r="B69" t="s">
        <v>57</v>
      </c>
      <c r="C69" t="s">
        <v>118</v>
      </c>
      <c r="D69" t="s">
        <v>160</v>
      </c>
      <c r="F69" t="s">
        <v>288</v>
      </c>
      <c r="G69" t="s">
        <v>553</v>
      </c>
      <c r="H69" t="s">
        <v>828</v>
      </c>
      <c r="I69">
        <v>67</v>
      </c>
      <c r="J69" t="s">
        <v>1159</v>
      </c>
      <c r="K69">
        <v>10452</v>
      </c>
      <c r="L69" t="s">
        <v>1175</v>
      </c>
      <c r="M69" t="s">
        <v>1177</v>
      </c>
      <c r="P69" t="s">
        <v>1302</v>
      </c>
      <c r="R69" t="s">
        <v>1311</v>
      </c>
      <c r="S69" t="s">
        <v>1176</v>
      </c>
      <c r="U69" t="s">
        <v>1313</v>
      </c>
      <c r="V69" t="s">
        <v>1321</v>
      </c>
      <c r="W69" t="s">
        <v>1325</v>
      </c>
      <c r="X69">
        <v>834.85</v>
      </c>
      <c r="Y69" t="s">
        <v>1328</v>
      </c>
      <c r="Z69" t="s">
        <v>1336</v>
      </c>
      <c r="AB69" t="s">
        <v>1421</v>
      </c>
      <c r="AE69">
        <v>0</v>
      </c>
      <c r="AF69" t="s">
        <v>1974</v>
      </c>
      <c r="AG69" t="s">
        <v>1255</v>
      </c>
      <c r="AH69">
        <v>40</v>
      </c>
      <c r="AI69">
        <v>1</v>
      </c>
      <c r="AJ69">
        <v>0</v>
      </c>
      <c r="AK69">
        <v>53.72</v>
      </c>
      <c r="AN69" t="s">
        <v>2000</v>
      </c>
      <c r="AO69">
        <v>6709.2</v>
      </c>
      <c r="AU69">
        <v>1.25</v>
      </c>
      <c r="AV69" t="s">
        <v>160</v>
      </c>
      <c r="AW69" t="s">
        <v>57</v>
      </c>
      <c r="AX69" t="s">
        <v>2079</v>
      </c>
    </row>
    <row r="70" spans="1:50">
      <c r="A70" s="1">
        <f>HYPERLINK("https://lsnyc.legalserver.org/matter/dynamic-profile/view/1902289","19-1902289")</f>
        <v>0</v>
      </c>
      <c r="B70" t="s">
        <v>86</v>
      </c>
      <c r="C70" t="s">
        <v>118</v>
      </c>
      <c r="D70" t="s">
        <v>131</v>
      </c>
      <c r="F70" t="s">
        <v>289</v>
      </c>
      <c r="G70" t="s">
        <v>554</v>
      </c>
      <c r="H70" t="s">
        <v>829</v>
      </c>
      <c r="I70" t="s">
        <v>1040</v>
      </c>
      <c r="J70" t="s">
        <v>1169</v>
      </c>
      <c r="K70">
        <v>11435</v>
      </c>
      <c r="L70" t="s">
        <v>1175</v>
      </c>
      <c r="M70" t="s">
        <v>1177</v>
      </c>
      <c r="N70" t="s">
        <v>1211</v>
      </c>
      <c r="O70" t="s">
        <v>1281</v>
      </c>
      <c r="P70" t="s">
        <v>1298</v>
      </c>
      <c r="R70" t="s">
        <v>1311</v>
      </c>
      <c r="S70" t="s">
        <v>1176</v>
      </c>
      <c r="U70" t="s">
        <v>1313</v>
      </c>
      <c r="W70" t="s">
        <v>131</v>
      </c>
      <c r="X70">
        <v>1145</v>
      </c>
      <c r="Y70" t="s">
        <v>1327</v>
      </c>
      <c r="Z70" t="s">
        <v>1332</v>
      </c>
      <c r="AB70" t="s">
        <v>1422</v>
      </c>
      <c r="AC70" t="s">
        <v>1686</v>
      </c>
      <c r="AD70" t="s">
        <v>1765</v>
      </c>
      <c r="AE70">
        <v>36</v>
      </c>
      <c r="AF70" t="s">
        <v>1683</v>
      </c>
      <c r="AG70" t="s">
        <v>1255</v>
      </c>
      <c r="AH70">
        <v>7</v>
      </c>
      <c r="AI70">
        <v>1</v>
      </c>
      <c r="AJ70">
        <v>1</v>
      </c>
      <c r="AK70">
        <v>54.29</v>
      </c>
      <c r="AN70" t="s">
        <v>1998</v>
      </c>
      <c r="AO70">
        <v>9180</v>
      </c>
      <c r="AU70">
        <v>3.45</v>
      </c>
      <c r="AV70" t="s">
        <v>163</v>
      </c>
      <c r="AW70" t="s">
        <v>2061</v>
      </c>
      <c r="AX70" t="s">
        <v>2079</v>
      </c>
    </row>
    <row r="71" spans="1:50">
      <c r="A71" s="1">
        <f>HYPERLINK("https://lsnyc.legalserver.org/matter/dynamic-profile/view/1900610","19-1900610")</f>
        <v>0</v>
      </c>
      <c r="B71" t="s">
        <v>52</v>
      </c>
      <c r="C71" t="s">
        <v>118</v>
      </c>
      <c r="D71" t="s">
        <v>124</v>
      </c>
      <c r="F71" t="s">
        <v>290</v>
      </c>
      <c r="G71" t="s">
        <v>555</v>
      </c>
      <c r="H71" t="s">
        <v>774</v>
      </c>
      <c r="I71" t="s">
        <v>1041</v>
      </c>
      <c r="J71" t="s">
        <v>1159</v>
      </c>
      <c r="K71">
        <v>10460</v>
      </c>
      <c r="L71" t="s">
        <v>1175</v>
      </c>
      <c r="M71" t="s">
        <v>1177</v>
      </c>
      <c r="N71" t="s">
        <v>1180</v>
      </c>
      <c r="O71" t="s">
        <v>1282</v>
      </c>
      <c r="P71" t="s">
        <v>1301</v>
      </c>
      <c r="R71" t="s">
        <v>1311</v>
      </c>
      <c r="S71" t="s">
        <v>1175</v>
      </c>
      <c r="U71" t="s">
        <v>1313</v>
      </c>
      <c r="W71" t="s">
        <v>1325</v>
      </c>
      <c r="X71">
        <v>242</v>
      </c>
      <c r="Y71" t="s">
        <v>1328</v>
      </c>
      <c r="Z71" t="s">
        <v>1335</v>
      </c>
      <c r="AB71" t="s">
        <v>1423</v>
      </c>
      <c r="AD71" t="s">
        <v>1766</v>
      </c>
      <c r="AE71">
        <v>168</v>
      </c>
      <c r="AF71" t="s">
        <v>1683</v>
      </c>
      <c r="AG71" t="s">
        <v>1341</v>
      </c>
      <c r="AH71">
        <v>1</v>
      </c>
      <c r="AI71">
        <v>2</v>
      </c>
      <c r="AJ71">
        <v>0</v>
      </c>
      <c r="AK71">
        <v>54.64</v>
      </c>
      <c r="AN71" t="s">
        <v>1998</v>
      </c>
      <c r="AO71">
        <v>9240</v>
      </c>
      <c r="AU71">
        <v>0.2</v>
      </c>
      <c r="AV71" t="s">
        <v>192</v>
      </c>
      <c r="AW71" t="s">
        <v>2052</v>
      </c>
      <c r="AX71" t="s">
        <v>2079</v>
      </c>
    </row>
    <row r="72" spans="1:50">
      <c r="A72" s="1">
        <f>HYPERLINK("https://lsnyc.legalserver.org/matter/dynamic-profile/view/1901492","19-1901492")</f>
        <v>0</v>
      </c>
      <c r="B72" t="s">
        <v>88</v>
      </c>
      <c r="C72" t="s">
        <v>118</v>
      </c>
      <c r="D72" t="s">
        <v>148</v>
      </c>
      <c r="F72" t="s">
        <v>291</v>
      </c>
      <c r="G72" t="s">
        <v>556</v>
      </c>
      <c r="H72" t="s">
        <v>830</v>
      </c>
      <c r="I72" t="s">
        <v>1003</v>
      </c>
      <c r="J72" t="s">
        <v>1162</v>
      </c>
      <c r="K72">
        <v>11208</v>
      </c>
      <c r="L72" t="s">
        <v>1175</v>
      </c>
      <c r="M72" t="s">
        <v>1177</v>
      </c>
      <c r="N72" t="s">
        <v>1212</v>
      </c>
      <c r="O72" t="s">
        <v>1287</v>
      </c>
      <c r="R72" t="s">
        <v>1311</v>
      </c>
      <c r="S72" t="s">
        <v>1176</v>
      </c>
      <c r="U72" t="s">
        <v>1315</v>
      </c>
      <c r="V72" t="s">
        <v>1322</v>
      </c>
      <c r="W72" t="s">
        <v>129</v>
      </c>
      <c r="X72">
        <v>0</v>
      </c>
      <c r="Y72" t="s">
        <v>1331</v>
      </c>
      <c r="AB72" t="s">
        <v>1424</v>
      </c>
      <c r="AC72" t="s">
        <v>1687</v>
      </c>
      <c r="AD72" t="s">
        <v>1767</v>
      </c>
      <c r="AE72">
        <v>0</v>
      </c>
      <c r="AG72" t="s">
        <v>1988</v>
      </c>
      <c r="AH72">
        <v>0</v>
      </c>
      <c r="AI72">
        <v>1</v>
      </c>
      <c r="AJ72">
        <v>1</v>
      </c>
      <c r="AK72">
        <v>56.77</v>
      </c>
      <c r="AN72" t="s">
        <v>1998</v>
      </c>
      <c r="AO72">
        <v>9600</v>
      </c>
      <c r="AU72">
        <v>1.75</v>
      </c>
      <c r="AV72" t="s">
        <v>185</v>
      </c>
      <c r="AW72" t="s">
        <v>2067</v>
      </c>
      <c r="AX72" t="s">
        <v>2079</v>
      </c>
    </row>
    <row r="73" spans="1:50">
      <c r="A73" s="1">
        <f>HYPERLINK("https://lsnyc.legalserver.org/matter/dynamic-profile/view/1892380","19-1892380")</f>
        <v>0</v>
      </c>
      <c r="B73" t="s">
        <v>55</v>
      </c>
      <c r="C73" t="s">
        <v>118</v>
      </c>
      <c r="D73" t="s">
        <v>161</v>
      </c>
      <c r="F73" t="s">
        <v>227</v>
      </c>
      <c r="G73" t="s">
        <v>557</v>
      </c>
      <c r="H73" t="s">
        <v>831</v>
      </c>
      <c r="I73" t="s">
        <v>1042</v>
      </c>
      <c r="J73" t="s">
        <v>1159</v>
      </c>
      <c r="K73">
        <v>10460</v>
      </c>
      <c r="L73" t="s">
        <v>1175</v>
      </c>
      <c r="M73" t="s">
        <v>1177</v>
      </c>
      <c r="N73" t="s">
        <v>1213</v>
      </c>
      <c r="O73" t="s">
        <v>1281</v>
      </c>
      <c r="P73" t="s">
        <v>1299</v>
      </c>
      <c r="R73" t="s">
        <v>1311</v>
      </c>
      <c r="U73" t="s">
        <v>1313</v>
      </c>
      <c r="W73" t="s">
        <v>1325</v>
      </c>
      <c r="X73">
        <v>970</v>
      </c>
      <c r="Y73" t="s">
        <v>1328</v>
      </c>
      <c r="Z73" t="s">
        <v>1338</v>
      </c>
      <c r="AB73" t="s">
        <v>1425</v>
      </c>
      <c r="AC73">
        <v>6532660</v>
      </c>
      <c r="AD73" t="s">
        <v>1768</v>
      </c>
      <c r="AE73">
        <v>85</v>
      </c>
      <c r="AF73" t="s">
        <v>1977</v>
      </c>
      <c r="AG73" t="s">
        <v>1255</v>
      </c>
      <c r="AH73">
        <v>21</v>
      </c>
      <c r="AI73">
        <v>2</v>
      </c>
      <c r="AJ73">
        <v>0</v>
      </c>
      <c r="AK73">
        <v>58.77</v>
      </c>
      <c r="AN73" t="s">
        <v>1998</v>
      </c>
      <c r="AO73">
        <v>9938.4</v>
      </c>
      <c r="AU73">
        <v>1</v>
      </c>
      <c r="AV73" t="s">
        <v>161</v>
      </c>
      <c r="AW73" t="s">
        <v>2051</v>
      </c>
      <c r="AX73" t="s">
        <v>2079</v>
      </c>
    </row>
    <row r="74" spans="1:50">
      <c r="A74" s="1">
        <f>HYPERLINK("https://lsnyc.legalserver.org/matter/dynamic-profile/view/1894126","19-1894126")</f>
        <v>0</v>
      </c>
      <c r="B74" t="s">
        <v>71</v>
      </c>
      <c r="C74" t="s">
        <v>118</v>
      </c>
      <c r="D74" t="s">
        <v>162</v>
      </c>
      <c r="F74" t="s">
        <v>292</v>
      </c>
      <c r="G74" t="s">
        <v>558</v>
      </c>
      <c r="H74" t="s">
        <v>807</v>
      </c>
      <c r="I74" t="s">
        <v>1043</v>
      </c>
      <c r="J74" t="s">
        <v>1159</v>
      </c>
      <c r="K74">
        <v>10453</v>
      </c>
      <c r="L74" t="s">
        <v>1175</v>
      </c>
      <c r="M74" t="s">
        <v>1175</v>
      </c>
      <c r="O74" t="s">
        <v>1283</v>
      </c>
      <c r="P74" t="s">
        <v>1300</v>
      </c>
      <c r="R74" t="s">
        <v>1311</v>
      </c>
      <c r="S74" t="s">
        <v>1175</v>
      </c>
      <c r="U74" t="s">
        <v>1313</v>
      </c>
      <c r="W74" t="s">
        <v>206</v>
      </c>
      <c r="X74">
        <v>506</v>
      </c>
      <c r="Y74" t="s">
        <v>1328</v>
      </c>
      <c r="Z74" t="s">
        <v>1336</v>
      </c>
      <c r="AB74" t="s">
        <v>1426</v>
      </c>
      <c r="AD74" t="s">
        <v>1769</v>
      </c>
      <c r="AE74">
        <v>167</v>
      </c>
      <c r="AF74" t="s">
        <v>1974</v>
      </c>
      <c r="AG74" t="s">
        <v>1985</v>
      </c>
      <c r="AH74">
        <v>10</v>
      </c>
      <c r="AI74">
        <v>2</v>
      </c>
      <c r="AJ74">
        <v>4</v>
      </c>
      <c r="AK74">
        <v>58.98</v>
      </c>
      <c r="AN74" t="s">
        <v>2000</v>
      </c>
      <c r="AO74">
        <v>20400</v>
      </c>
      <c r="AU74">
        <v>0</v>
      </c>
      <c r="AW74" t="s">
        <v>2052</v>
      </c>
      <c r="AX74" t="s">
        <v>2079</v>
      </c>
    </row>
    <row r="75" spans="1:50">
      <c r="A75" s="1">
        <f>HYPERLINK("https://lsnyc.legalserver.org/matter/dynamic-profile/view/1902616","19-1902616")</f>
        <v>0</v>
      </c>
      <c r="B75" t="s">
        <v>89</v>
      </c>
      <c r="C75" t="s">
        <v>118</v>
      </c>
      <c r="D75" t="s">
        <v>145</v>
      </c>
      <c r="F75" t="s">
        <v>293</v>
      </c>
      <c r="G75" t="s">
        <v>559</v>
      </c>
      <c r="H75" t="s">
        <v>832</v>
      </c>
      <c r="I75" t="s">
        <v>1044</v>
      </c>
      <c r="J75" t="s">
        <v>1162</v>
      </c>
      <c r="K75">
        <v>11220</v>
      </c>
      <c r="L75" t="s">
        <v>1175</v>
      </c>
      <c r="M75" t="s">
        <v>1177</v>
      </c>
      <c r="P75" t="s">
        <v>1298</v>
      </c>
      <c r="R75" t="s">
        <v>1311</v>
      </c>
      <c r="U75" t="s">
        <v>1313</v>
      </c>
      <c r="W75" t="s">
        <v>145</v>
      </c>
      <c r="X75">
        <v>0</v>
      </c>
      <c r="Y75" t="s">
        <v>1331</v>
      </c>
      <c r="Z75" t="s">
        <v>1336</v>
      </c>
      <c r="AB75" t="s">
        <v>1427</v>
      </c>
      <c r="AE75">
        <v>0</v>
      </c>
      <c r="AF75" t="s">
        <v>1976</v>
      </c>
      <c r="AH75">
        <v>10</v>
      </c>
      <c r="AI75">
        <v>3</v>
      </c>
      <c r="AJ75">
        <v>0</v>
      </c>
      <c r="AK75">
        <v>59.24</v>
      </c>
      <c r="AN75" t="s">
        <v>2000</v>
      </c>
      <c r="AO75">
        <v>12636</v>
      </c>
      <c r="AQ75" t="s">
        <v>2030</v>
      </c>
      <c r="AR75" t="s">
        <v>2034</v>
      </c>
      <c r="AS75" t="s">
        <v>2035</v>
      </c>
      <c r="AT75" t="s">
        <v>2040</v>
      </c>
      <c r="AU75">
        <v>8.6</v>
      </c>
      <c r="AV75" t="s">
        <v>178</v>
      </c>
      <c r="AW75" t="s">
        <v>92</v>
      </c>
    </row>
    <row r="76" spans="1:50">
      <c r="A76" s="1">
        <f>HYPERLINK("https://lsnyc.legalserver.org/matter/dynamic-profile/view/1899977","19-1899977")</f>
        <v>0</v>
      </c>
      <c r="B76" t="s">
        <v>52</v>
      </c>
      <c r="C76" t="s">
        <v>118</v>
      </c>
      <c r="D76" t="s">
        <v>138</v>
      </c>
      <c r="F76" t="s">
        <v>294</v>
      </c>
      <c r="G76" t="s">
        <v>560</v>
      </c>
      <c r="H76" t="s">
        <v>774</v>
      </c>
      <c r="I76" t="s">
        <v>1045</v>
      </c>
      <c r="J76" t="s">
        <v>1159</v>
      </c>
      <c r="K76">
        <v>10460</v>
      </c>
      <c r="L76" t="s">
        <v>1175</v>
      </c>
      <c r="M76" t="s">
        <v>1177</v>
      </c>
      <c r="O76" t="s">
        <v>1282</v>
      </c>
      <c r="P76" t="s">
        <v>1301</v>
      </c>
      <c r="R76" t="s">
        <v>1311</v>
      </c>
      <c r="S76" t="s">
        <v>1175</v>
      </c>
      <c r="U76" t="s">
        <v>1313</v>
      </c>
      <c r="W76" t="s">
        <v>1325</v>
      </c>
      <c r="X76">
        <v>967</v>
      </c>
      <c r="Y76" t="s">
        <v>1328</v>
      </c>
      <c r="Z76" t="s">
        <v>1336</v>
      </c>
      <c r="AB76" t="s">
        <v>1428</v>
      </c>
      <c r="AD76" t="s">
        <v>1770</v>
      </c>
      <c r="AE76">
        <v>169</v>
      </c>
      <c r="AF76" t="s">
        <v>1683</v>
      </c>
      <c r="AG76" t="s">
        <v>1985</v>
      </c>
      <c r="AH76">
        <v>5</v>
      </c>
      <c r="AI76">
        <v>1</v>
      </c>
      <c r="AJ76">
        <v>0</v>
      </c>
      <c r="AK76">
        <v>59.57</v>
      </c>
      <c r="AN76" t="s">
        <v>1998</v>
      </c>
      <c r="AO76">
        <v>7440</v>
      </c>
      <c r="AU76">
        <v>0</v>
      </c>
      <c r="AW76" t="s">
        <v>112</v>
      </c>
      <c r="AX76" t="s">
        <v>2079</v>
      </c>
    </row>
    <row r="77" spans="1:50">
      <c r="A77" s="1">
        <f>HYPERLINK("https://lsnyc.legalserver.org/matter/dynamic-profile/view/1901339","19-1901339")</f>
        <v>0</v>
      </c>
      <c r="B77" t="s">
        <v>73</v>
      </c>
      <c r="C77" t="s">
        <v>118</v>
      </c>
      <c r="D77" t="s">
        <v>129</v>
      </c>
      <c r="F77" t="s">
        <v>295</v>
      </c>
      <c r="G77" t="s">
        <v>561</v>
      </c>
      <c r="H77" t="s">
        <v>833</v>
      </c>
      <c r="J77" t="s">
        <v>1156</v>
      </c>
      <c r="K77">
        <v>11423</v>
      </c>
      <c r="L77" t="s">
        <v>1175</v>
      </c>
      <c r="M77" t="s">
        <v>1177</v>
      </c>
      <c r="N77" t="s">
        <v>1214</v>
      </c>
      <c r="O77" t="s">
        <v>1285</v>
      </c>
      <c r="P77" t="s">
        <v>1302</v>
      </c>
      <c r="R77" t="s">
        <v>1311</v>
      </c>
      <c r="S77" t="s">
        <v>1176</v>
      </c>
      <c r="U77" t="s">
        <v>1313</v>
      </c>
      <c r="W77" t="s">
        <v>129</v>
      </c>
      <c r="X77">
        <v>700</v>
      </c>
      <c r="Y77" t="s">
        <v>1327</v>
      </c>
      <c r="Z77" t="s">
        <v>1332</v>
      </c>
      <c r="AB77" t="s">
        <v>1429</v>
      </c>
      <c r="AD77" t="s">
        <v>1771</v>
      </c>
      <c r="AE77">
        <v>0</v>
      </c>
      <c r="AF77" t="s">
        <v>1973</v>
      </c>
      <c r="AH77">
        <v>53</v>
      </c>
      <c r="AI77">
        <v>2</v>
      </c>
      <c r="AJ77">
        <v>0</v>
      </c>
      <c r="AK77">
        <v>59.61</v>
      </c>
      <c r="AN77" t="s">
        <v>1998</v>
      </c>
      <c r="AO77">
        <v>10080</v>
      </c>
      <c r="AU77">
        <v>0.5</v>
      </c>
      <c r="AV77" t="s">
        <v>129</v>
      </c>
      <c r="AW77" t="s">
        <v>73</v>
      </c>
    </row>
    <row r="78" spans="1:50">
      <c r="A78" s="1">
        <f>HYPERLINK("https://lsnyc.legalserver.org/matter/dynamic-profile/view/1903835","19-1903835")</f>
        <v>0</v>
      </c>
      <c r="B78" t="s">
        <v>51</v>
      </c>
      <c r="C78" t="s">
        <v>118</v>
      </c>
      <c r="D78" t="s">
        <v>163</v>
      </c>
      <c r="F78" t="s">
        <v>296</v>
      </c>
      <c r="G78" t="s">
        <v>536</v>
      </c>
      <c r="H78" t="s">
        <v>834</v>
      </c>
      <c r="I78" t="s">
        <v>1046</v>
      </c>
      <c r="J78" t="s">
        <v>1170</v>
      </c>
      <c r="K78">
        <v>11372</v>
      </c>
      <c r="L78" t="s">
        <v>1175</v>
      </c>
      <c r="M78" t="s">
        <v>1177</v>
      </c>
      <c r="N78" t="s">
        <v>1215</v>
      </c>
      <c r="O78" t="s">
        <v>1285</v>
      </c>
      <c r="P78" t="s">
        <v>1298</v>
      </c>
      <c r="R78" t="s">
        <v>1311</v>
      </c>
      <c r="S78" t="s">
        <v>1176</v>
      </c>
      <c r="U78" t="s">
        <v>1313</v>
      </c>
      <c r="V78" t="s">
        <v>1321</v>
      </c>
      <c r="W78" t="s">
        <v>142</v>
      </c>
      <c r="X78">
        <v>909.0599999999999</v>
      </c>
      <c r="Y78" t="s">
        <v>1327</v>
      </c>
      <c r="Z78" t="s">
        <v>1335</v>
      </c>
      <c r="AB78" t="s">
        <v>1430</v>
      </c>
      <c r="AC78" t="s">
        <v>1688</v>
      </c>
      <c r="AD78" t="s">
        <v>1772</v>
      </c>
      <c r="AE78">
        <v>20</v>
      </c>
      <c r="AF78" t="s">
        <v>1974</v>
      </c>
      <c r="AG78" t="s">
        <v>1255</v>
      </c>
      <c r="AH78">
        <v>38</v>
      </c>
      <c r="AI78">
        <v>4</v>
      </c>
      <c r="AJ78">
        <v>2</v>
      </c>
      <c r="AK78">
        <v>59.68</v>
      </c>
      <c r="AN78" t="s">
        <v>2000</v>
      </c>
      <c r="AO78">
        <v>20643.96</v>
      </c>
      <c r="AU78">
        <v>8.65</v>
      </c>
      <c r="AV78" t="s">
        <v>221</v>
      </c>
      <c r="AW78" t="s">
        <v>51</v>
      </c>
    </row>
    <row r="79" spans="1:50">
      <c r="A79" s="1">
        <f>HYPERLINK("https://lsnyc.legalserver.org/matter/dynamic-profile/view/1902484","19-1902484")</f>
        <v>0</v>
      </c>
      <c r="B79" t="s">
        <v>90</v>
      </c>
      <c r="C79" t="s">
        <v>118</v>
      </c>
      <c r="D79" t="s">
        <v>164</v>
      </c>
      <c r="F79" t="s">
        <v>297</v>
      </c>
      <c r="G79" t="s">
        <v>562</v>
      </c>
      <c r="H79" t="s">
        <v>835</v>
      </c>
      <c r="I79" t="s">
        <v>1047</v>
      </c>
      <c r="J79" t="s">
        <v>1161</v>
      </c>
      <c r="K79">
        <v>10036</v>
      </c>
      <c r="L79" t="s">
        <v>1175</v>
      </c>
      <c r="M79" t="s">
        <v>1177</v>
      </c>
      <c r="N79" t="s">
        <v>1216</v>
      </c>
      <c r="O79" t="s">
        <v>1284</v>
      </c>
      <c r="P79" t="s">
        <v>1298</v>
      </c>
      <c r="R79" t="s">
        <v>1311</v>
      </c>
      <c r="S79" t="s">
        <v>1176</v>
      </c>
      <c r="U79" t="s">
        <v>1313</v>
      </c>
      <c r="W79" t="s">
        <v>164</v>
      </c>
      <c r="X79">
        <v>949.62</v>
      </c>
      <c r="Y79" t="s">
        <v>1330</v>
      </c>
      <c r="Z79" t="s">
        <v>1332</v>
      </c>
      <c r="AB79" t="s">
        <v>1431</v>
      </c>
      <c r="AC79" t="s">
        <v>1689</v>
      </c>
      <c r="AD79" t="s">
        <v>1773</v>
      </c>
      <c r="AE79">
        <v>0</v>
      </c>
      <c r="AF79" t="s">
        <v>1974</v>
      </c>
      <c r="AG79" t="s">
        <v>1989</v>
      </c>
      <c r="AH79">
        <v>2</v>
      </c>
      <c r="AI79">
        <v>2</v>
      </c>
      <c r="AJ79">
        <v>0</v>
      </c>
      <c r="AK79">
        <v>60.25</v>
      </c>
      <c r="AN79" t="s">
        <v>1998</v>
      </c>
      <c r="AO79">
        <v>10188</v>
      </c>
      <c r="AU79">
        <v>2</v>
      </c>
      <c r="AV79" t="s">
        <v>216</v>
      </c>
      <c r="AW79" t="s">
        <v>2069</v>
      </c>
      <c r="AX79" t="s">
        <v>2080</v>
      </c>
    </row>
    <row r="80" spans="1:50">
      <c r="A80" s="1">
        <f>HYPERLINK("https://lsnyc.legalserver.org/matter/dynamic-profile/view/1896561","19-1896561")</f>
        <v>0</v>
      </c>
      <c r="B80" t="s">
        <v>87</v>
      </c>
      <c r="C80" t="s">
        <v>118</v>
      </c>
      <c r="D80" t="s">
        <v>151</v>
      </c>
      <c r="F80" t="s">
        <v>298</v>
      </c>
      <c r="G80" t="s">
        <v>563</v>
      </c>
      <c r="H80" t="s">
        <v>836</v>
      </c>
      <c r="I80" t="s">
        <v>1009</v>
      </c>
      <c r="J80" t="s">
        <v>1159</v>
      </c>
      <c r="K80">
        <v>10459</v>
      </c>
      <c r="L80" t="s">
        <v>1175</v>
      </c>
      <c r="M80" t="s">
        <v>1175</v>
      </c>
      <c r="P80" t="s">
        <v>1298</v>
      </c>
      <c r="R80" t="s">
        <v>1311</v>
      </c>
      <c r="S80" t="s">
        <v>1176</v>
      </c>
      <c r="U80" t="s">
        <v>1313</v>
      </c>
      <c r="W80" t="s">
        <v>1325</v>
      </c>
      <c r="X80">
        <v>1023.44</v>
      </c>
      <c r="Y80" t="s">
        <v>1328</v>
      </c>
      <c r="Z80" t="s">
        <v>1335</v>
      </c>
      <c r="AB80" t="s">
        <v>1432</v>
      </c>
      <c r="AC80" t="s">
        <v>1690</v>
      </c>
      <c r="AD80" t="s">
        <v>1774</v>
      </c>
      <c r="AE80">
        <v>11</v>
      </c>
      <c r="AF80" t="s">
        <v>1974</v>
      </c>
      <c r="AG80" t="s">
        <v>1985</v>
      </c>
      <c r="AH80">
        <v>9</v>
      </c>
      <c r="AI80">
        <v>1</v>
      </c>
      <c r="AJ80">
        <v>1</v>
      </c>
      <c r="AK80">
        <v>60.32</v>
      </c>
      <c r="AN80" t="s">
        <v>2000</v>
      </c>
      <c r="AO80">
        <v>10200</v>
      </c>
      <c r="AU80">
        <v>6</v>
      </c>
      <c r="AV80" t="s">
        <v>172</v>
      </c>
      <c r="AW80" t="s">
        <v>2053</v>
      </c>
      <c r="AX80" t="s">
        <v>2079</v>
      </c>
    </row>
    <row r="81" spans="1:50">
      <c r="A81" s="1">
        <f>HYPERLINK("https://lsnyc.legalserver.org/matter/dynamic-profile/view/1897943","19-1897943")</f>
        <v>0</v>
      </c>
      <c r="B81" t="s">
        <v>66</v>
      </c>
      <c r="C81" t="s">
        <v>118</v>
      </c>
      <c r="D81" t="s">
        <v>165</v>
      </c>
      <c r="F81" t="s">
        <v>299</v>
      </c>
      <c r="G81" t="s">
        <v>564</v>
      </c>
      <c r="H81" t="s">
        <v>837</v>
      </c>
      <c r="I81" t="s">
        <v>1034</v>
      </c>
      <c r="J81" t="s">
        <v>1159</v>
      </c>
      <c r="K81">
        <v>10453</v>
      </c>
      <c r="L81" t="s">
        <v>1175</v>
      </c>
      <c r="M81" t="s">
        <v>1175</v>
      </c>
      <c r="P81" t="s">
        <v>1299</v>
      </c>
      <c r="R81" t="s">
        <v>1311</v>
      </c>
      <c r="S81" t="s">
        <v>1176</v>
      </c>
      <c r="U81" t="s">
        <v>1313</v>
      </c>
      <c r="W81" t="s">
        <v>120</v>
      </c>
      <c r="X81">
        <v>178</v>
      </c>
      <c r="Y81" t="s">
        <v>1328</v>
      </c>
      <c r="Z81" t="s">
        <v>1336</v>
      </c>
      <c r="AB81" t="s">
        <v>1433</v>
      </c>
      <c r="AE81">
        <v>56</v>
      </c>
      <c r="AF81" t="s">
        <v>1978</v>
      </c>
      <c r="AG81" t="s">
        <v>1341</v>
      </c>
      <c r="AH81">
        <v>20</v>
      </c>
      <c r="AI81">
        <v>1</v>
      </c>
      <c r="AJ81">
        <v>1</v>
      </c>
      <c r="AK81">
        <v>60.86</v>
      </c>
      <c r="AN81" t="s">
        <v>1998</v>
      </c>
      <c r="AO81">
        <v>10292</v>
      </c>
      <c r="AU81">
        <v>1.2</v>
      </c>
      <c r="AV81" t="s">
        <v>138</v>
      </c>
      <c r="AW81" t="s">
        <v>2052</v>
      </c>
      <c r="AX81" t="s">
        <v>2079</v>
      </c>
    </row>
    <row r="82" spans="1:50">
      <c r="A82" s="1">
        <f>HYPERLINK("https://lsnyc.legalserver.org/matter/dynamic-profile/view/1898149","19-1898149")</f>
        <v>0</v>
      </c>
      <c r="B82" t="s">
        <v>65</v>
      </c>
      <c r="C82" t="s">
        <v>119</v>
      </c>
      <c r="D82" t="s">
        <v>128</v>
      </c>
      <c r="E82" t="s">
        <v>218</v>
      </c>
      <c r="F82" t="s">
        <v>227</v>
      </c>
      <c r="G82" t="s">
        <v>565</v>
      </c>
      <c r="H82" t="s">
        <v>838</v>
      </c>
      <c r="I82" t="s">
        <v>1048</v>
      </c>
      <c r="J82" t="s">
        <v>1159</v>
      </c>
      <c r="K82">
        <v>10453</v>
      </c>
      <c r="L82" t="s">
        <v>1175</v>
      </c>
      <c r="M82" t="s">
        <v>1175</v>
      </c>
      <c r="O82" t="s">
        <v>1282</v>
      </c>
      <c r="P82" t="s">
        <v>1299</v>
      </c>
      <c r="Q82" t="s">
        <v>1305</v>
      </c>
      <c r="R82" t="s">
        <v>1311</v>
      </c>
      <c r="S82" t="s">
        <v>1176</v>
      </c>
      <c r="U82" t="s">
        <v>1313</v>
      </c>
      <c r="W82" t="s">
        <v>1325</v>
      </c>
      <c r="X82">
        <v>903</v>
      </c>
      <c r="Y82" t="s">
        <v>1328</v>
      </c>
      <c r="Z82" t="s">
        <v>1336</v>
      </c>
      <c r="AA82" t="s">
        <v>1346</v>
      </c>
      <c r="AB82" t="s">
        <v>1434</v>
      </c>
      <c r="AD82" t="s">
        <v>1775</v>
      </c>
      <c r="AE82">
        <v>0</v>
      </c>
      <c r="AF82" t="s">
        <v>1975</v>
      </c>
      <c r="AG82" t="s">
        <v>1985</v>
      </c>
      <c r="AH82">
        <v>29</v>
      </c>
      <c r="AI82">
        <v>3</v>
      </c>
      <c r="AJ82">
        <v>0</v>
      </c>
      <c r="AK82">
        <v>60.95</v>
      </c>
      <c r="AN82" t="s">
        <v>2000</v>
      </c>
      <c r="AO82">
        <v>13000</v>
      </c>
      <c r="AU82">
        <v>0.3</v>
      </c>
      <c r="AV82" t="s">
        <v>218</v>
      </c>
      <c r="AW82" t="s">
        <v>112</v>
      </c>
      <c r="AX82" t="s">
        <v>2079</v>
      </c>
    </row>
    <row r="83" spans="1:50">
      <c r="A83" s="1">
        <f>HYPERLINK("https://lsnyc.legalserver.org/matter/dynamic-profile/view/1901915","19-1901915")</f>
        <v>0</v>
      </c>
      <c r="B83" t="s">
        <v>65</v>
      </c>
      <c r="C83" t="s">
        <v>118</v>
      </c>
      <c r="D83" t="s">
        <v>122</v>
      </c>
      <c r="F83" t="s">
        <v>300</v>
      </c>
      <c r="G83" t="s">
        <v>528</v>
      </c>
      <c r="H83" t="s">
        <v>839</v>
      </c>
      <c r="I83" t="s">
        <v>1049</v>
      </c>
      <c r="J83" t="s">
        <v>1159</v>
      </c>
      <c r="K83">
        <v>10455</v>
      </c>
      <c r="L83" t="s">
        <v>1175</v>
      </c>
      <c r="M83" t="s">
        <v>1177</v>
      </c>
      <c r="N83" t="s">
        <v>1217</v>
      </c>
      <c r="O83" t="s">
        <v>1281</v>
      </c>
      <c r="P83" t="s">
        <v>1298</v>
      </c>
      <c r="R83" t="s">
        <v>1311</v>
      </c>
      <c r="S83" t="s">
        <v>1176</v>
      </c>
      <c r="U83" t="s">
        <v>1313</v>
      </c>
      <c r="V83" t="s">
        <v>1322</v>
      </c>
      <c r="W83" t="s">
        <v>122</v>
      </c>
      <c r="X83">
        <v>347</v>
      </c>
      <c r="Y83" t="s">
        <v>1328</v>
      </c>
      <c r="Z83" t="s">
        <v>1343</v>
      </c>
      <c r="AB83" t="s">
        <v>1435</v>
      </c>
      <c r="AD83" t="s">
        <v>1776</v>
      </c>
      <c r="AE83">
        <v>0</v>
      </c>
      <c r="AF83" t="s">
        <v>1976</v>
      </c>
      <c r="AG83" t="s">
        <v>1255</v>
      </c>
      <c r="AH83">
        <v>16</v>
      </c>
      <c r="AI83">
        <v>2</v>
      </c>
      <c r="AJ83">
        <v>0</v>
      </c>
      <c r="AK83">
        <v>61.5</v>
      </c>
      <c r="AN83" t="s">
        <v>1998</v>
      </c>
      <c r="AO83">
        <v>10400</v>
      </c>
      <c r="AU83">
        <v>6.1</v>
      </c>
      <c r="AV83" t="s">
        <v>215</v>
      </c>
      <c r="AW83" t="s">
        <v>112</v>
      </c>
      <c r="AX83" t="s">
        <v>2079</v>
      </c>
    </row>
    <row r="84" spans="1:50">
      <c r="A84" s="1">
        <f>HYPERLINK("https://lsnyc.legalserver.org/matter/dynamic-profile/view/1897509","19-1897509")</f>
        <v>0</v>
      </c>
      <c r="B84" t="s">
        <v>56</v>
      </c>
      <c r="C84" t="s">
        <v>118</v>
      </c>
      <c r="D84" t="s">
        <v>166</v>
      </c>
      <c r="F84" t="s">
        <v>301</v>
      </c>
      <c r="G84" t="s">
        <v>566</v>
      </c>
      <c r="H84" t="s">
        <v>840</v>
      </c>
      <c r="I84" t="s">
        <v>1050</v>
      </c>
      <c r="J84" t="s">
        <v>1159</v>
      </c>
      <c r="K84">
        <v>10452</v>
      </c>
      <c r="L84" t="s">
        <v>1175</v>
      </c>
      <c r="M84" t="s">
        <v>1176</v>
      </c>
      <c r="O84" t="s">
        <v>1285</v>
      </c>
      <c r="P84" t="s">
        <v>1302</v>
      </c>
      <c r="R84" t="s">
        <v>1311</v>
      </c>
      <c r="S84" t="s">
        <v>1176</v>
      </c>
      <c r="U84" t="s">
        <v>1313</v>
      </c>
      <c r="W84" t="s">
        <v>1325</v>
      </c>
      <c r="X84">
        <v>1800</v>
      </c>
      <c r="Y84" t="s">
        <v>1328</v>
      </c>
      <c r="Z84" t="s">
        <v>1338</v>
      </c>
      <c r="AC84" t="s">
        <v>1691</v>
      </c>
      <c r="AD84" t="s">
        <v>1777</v>
      </c>
      <c r="AE84">
        <v>0</v>
      </c>
      <c r="AH84">
        <v>6</v>
      </c>
      <c r="AI84">
        <v>2</v>
      </c>
      <c r="AJ84">
        <v>0</v>
      </c>
      <c r="AK84">
        <v>61.5</v>
      </c>
      <c r="AN84" t="s">
        <v>1998</v>
      </c>
      <c r="AO84">
        <v>10400</v>
      </c>
      <c r="AU84">
        <v>1.5</v>
      </c>
      <c r="AV84" t="s">
        <v>166</v>
      </c>
      <c r="AW84" t="s">
        <v>56</v>
      </c>
      <c r="AX84" t="s">
        <v>2080</v>
      </c>
    </row>
    <row r="85" spans="1:50">
      <c r="A85" s="1">
        <f>HYPERLINK("https://lsnyc.legalserver.org/matter/dynamic-profile/view/1902418","19-1902418")</f>
        <v>0</v>
      </c>
      <c r="B85" t="s">
        <v>91</v>
      </c>
      <c r="C85" t="s">
        <v>119</v>
      </c>
      <c r="D85" t="s">
        <v>164</v>
      </c>
      <c r="E85" t="s">
        <v>154</v>
      </c>
      <c r="F85" t="s">
        <v>302</v>
      </c>
      <c r="G85" t="s">
        <v>567</v>
      </c>
      <c r="H85" t="s">
        <v>841</v>
      </c>
      <c r="I85" t="s">
        <v>1051</v>
      </c>
      <c r="J85" t="s">
        <v>1161</v>
      </c>
      <c r="K85">
        <v>10030</v>
      </c>
      <c r="L85" t="s">
        <v>1175</v>
      </c>
      <c r="M85" t="s">
        <v>1177</v>
      </c>
      <c r="N85" t="s">
        <v>1218</v>
      </c>
      <c r="O85" t="s">
        <v>1281</v>
      </c>
      <c r="P85" t="s">
        <v>1299</v>
      </c>
      <c r="Q85" t="s">
        <v>1305</v>
      </c>
      <c r="R85" t="s">
        <v>1311</v>
      </c>
      <c r="S85" t="s">
        <v>1176</v>
      </c>
      <c r="U85" t="s">
        <v>1313</v>
      </c>
      <c r="W85" t="s">
        <v>164</v>
      </c>
      <c r="X85">
        <v>1415</v>
      </c>
      <c r="Y85" t="s">
        <v>1330</v>
      </c>
      <c r="Z85" t="s">
        <v>1332</v>
      </c>
      <c r="AA85" t="s">
        <v>1346</v>
      </c>
      <c r="AB85" t="s">
        <v>1436</v>
      </c>
      <c r="AC85" t="s">
        <v>1692</v>
      </c>
      <c r="AD85" t="s">
        <v>1778</v>
      </c>
      <c r="AE85">
        <v>0</v>
      </c>
      <c r="AF85" t="s">
        <v>1976</v>
      </c>
      <c r="AG85" t="s">
        <v>1985</v>
      </c>
      <c r="AH85">
        <v>25</v>
      </c>
      <c r="AI85">
        <v>2</v>
      </c>
      <c r="AJ85">
        <v>0</v>
      </c>
      <c r="AK85">
        <v>61.74</v>
      </c>
      <c r="AN85" t="s">
        <v>1998</v>
      </c>
      <c r="AO85">
        <v>10440</v>
      </c>
      <c r="AU85">
        <v>0.75</v>
      </c>
      <c r="AV85" t="s">
        <v>164</v>
      </c>
      <c r="AW85" t="s">
        <v>2069</v>
      </c>
      <c r="AX85" t="s">
        <v>2080</v>
      </c>
    </row>
    <row r="86" spans="1:50">
      <c r="A86" s="1">
        <f>HYPERLINK("https://lsnyc.legalserver.org/matter/dynamic-profile/view/1890006","19-1890006")</f>
        <v>0</v>
      </c>
      <c r="B86" t="s">
        <v>77</v>
      </c>
      <c r="C86" t="s">
        <v>118</v>
      </c>
      <c r="D86" t="s">
        <v>144</v>
      </c>
      <c r="F86" t="s">
        <v>278</v>
      </c>
      <c r="G86" t="s">
        <v>568</v>
      </c>
      <c r="H86" t="s">
        <v>842</v>
      </c>
      <c r="I86" t="s">
        <v>1052</v>
      </c>
      <c r="J86" t="s">
        <v>1159</v>
      </c>
      <c r="K86">
        <v>10466</v>
      </c>
      <c r="L86" t="s">
        <v>1175</v>
      </c>
      <c r="M86" t="s">
        <v>1175</v>
      </c>
      <c r="P86" t="s">
        <v>1299</v>
      </c>
      <c r="R86" t="s">
        <v>1311</v>
      </c>
      <c r="S86" t="s">
        <v>1176</v>
      </c>
      <c r="U86" t="s">
        <v>1313</v>
      </c>
      <c r="W86" t="s">
        <v>1325</v>
      </c>
      <c r="X86">
        <v>700</v>
      </c>
      <c r="Y86" t="s">
        <v>1328</v>
      </c>
      <c r="Z86" t="s">
        <v>1336</v>
      </c>
      <c r="AB86" t="s">
        <v>1437</v>
      </c>
      <c r="AD86" t="s">
        <v>1754</v>
      </c>
      <c r="AE86">
        <v>0</v>
      </c>
      <c r="AF86" t="s">
        <v>1683</v>
      </c>
      <c r="AH86">
        <v>1</v>
      </c>
      <c r="AI86">
        <v>1</v>
      </c>
      <c r="AJ86">
        <v>0</v>
      </c>
      <c r="AK86">
        <v>62.45</v>
      </c>
      <c r="AN86" t="s">
        <v>1998</v>
      </c>
      <c r="AO86">
        <v>7800</v>
      </c>
      <c r="AU86">
        <v>0</v>
      </c>
      <c r="AW86" t="s">
        <v>2070</v>
      </c>
      <c r="AX86" t="s">
        <v>2079</v>
      </c>
    </row>
    <row r="87" spans="1:50">
      <c r="A87" s="1">
        <f>HYPERLINK("https://lsnyc.legalserver.org/matter/dynamic-profile/view/1899758","19-1899758")</f>
        <v>0</v>
      </c>
      <c r="B87" t="s">
        <v>58</v>
      </c>
      <c r="C87" t="s">
        <v>118</v>
      </c>
      <c r="D87" t="s">
        <v>167</v>
      </c>
      <c r="F87" t="s">
        <v>303</v>
      </c>
      <c r="G87" t="s">
        <v>569</v>
      </c>
      <c r="H87" t="s">
        <v>774</v>
      </c>
      <c r="I87" t="s">
        <v>1030</v>
      </c>
      <c r="J87" t="s">
        <v>1159</v>
      </c>
      <c r="K87">
        <v>10460</v>
      </c>
      <c r="L87" t="s">
        <v>1175</v>
      </c>
      <c r="M87" t="s">
        <v>1177</v>
      </c>
      <c r="N87" t="s">
        <v>1219</v>
      </c>
      <c r="O87" t="s">
        <v>1281</v>
      </c>
      <c r="P87" t="s">
        <v>1298</v>
      </c>
      <c r="R87" t="s">
        <v>1311</v>
      </c>
      <c r="S87" t="s">
        <v>1176</v>
      </c>
      <c r="U87" t="s">
        <v>1313</v>
      </c>
      <c r="W87" t="s">
        <v>1325</v>
      </c>
      <c r="X87">
        <v>832.5</v>
      </c>
      <c r="Y87" t="s">
        <v>1328</v>
      </c>
      <c r="Z87" t="s">
        <v>1335</v>
      </c>
      <c r="AB87" t="s">
        <v>1438</v>
      </c>
      <c r="AD87" t="s">
        <v>1779</v>
      </c>
      <c r="AE87">
        <v>169</v>
      </c>
      <c r="AF87" t="s">
        <v>1974</v>
      </c>
      <c r="AG87" t="s">
        <v>1985</v>
      </c>
      <c r="AH87">
        <v>15</v>
      </c>
      <c r="AI87">
        <v>2</v>
      </c>
      <c r="AJ87">
        <v>1</v>
      </c>
      <c r="AK87">
        <v>64.81</v>
      </c>
      <c r="AN87" t="s">
        <v>1998</v>
      </c>
      <c r="AO87">
        <v>13824</v>
      </c>
      <c r="AU87">
        <v>6.5</v>
      </c>
      <c r="AV87" t="s">
        <v>120</v>
      </c>
      <c r="AW87" t="s">
        <v>2053</v>
      </c>
      <c r="AX87" t="s">
        <v>2079</v>
      </c>
    </row>
    <row r="88" spans="1:50">
      <c r="A88" s="1">
        <f>HYPERLINK("https://lsnyc.legalserver.org/matter/dynamic-profile/view/1901756","19-1901756")</f>
        <v>0</v>
      </c>
      <c r="B88" t="s">
        <v>54</v>
      </c>
      <c r="C88" t="s">
        <v>119</v>
      </c>
      <c r="D88" t="s">
        <v>142</v>
      </c>
      <c r="E88" t="s">
        <v>154</v>
      </c>
      <c r="F88" t="s">
        <v>304</v>
      </c>
      <c r="G88" t="s">
        <v>570</v>
      </c>
      <c r="H88" t="s">
        <v>843</v>
      </c>
      <c r="I88" t="s">
        <v>1053</v>
      </c>
      <c r="J88" t="s">
        <v>1159</v>
      </c>
      <c r="K88">
        <v>10467</v>
      </c>
      <c r="L88" t="s">
        <v>1175</v>
      </c>
      <c r="M88" t="s">
        <v>1177</v>
      </c>
      <c r="N88" t="s">
        <v>1220</v>
      </c>
      <c r="O88" t="s">
        <v>1285</v>
      </c>
      <c r="P88" t="s">
        <v>1299</v>
      </c>
      <c r="Q88" t="s">
        <v>1305</v>
      </c>
      <c r="R88" t="s">
        <v>1311</v>
      </c>
      <c r="S88" t="s">
        <v>1176</v>
      </c>
      <c r="U88" t="s">
        <v>1313</v>
      </c>
      <c r="V88" t="s">
        <v>1321</v>
      </c>
      <c r="W88" t="s">
        <v>142</v>
      </c>
      <c r="X88">
        <v>1531.65</v>
      </c>
      <c r="Y88" t="s">
        <v>1328</v>
      </c>
      <c r="Z88" t="s">
        <v>1336</v>
      </c>
      <c r="AA88" t="s">
        <v>1346</v>
      </c>
      <c r="AB88" t="s">
        <v>1439</v>
      </c>
      <c r="AD88" t="s">
        <v>1780</v>
      </c>
      <c r="AE88">
        <v>0</v>
      </c>
      <c r="AF88" t="s">
        <v>1974</v>
      </c>
      <c r="AG88" t="s">
        <v>1255</v>
      </c>
      <c r="AH88">
        <v>15</v>
      </c>
      <c r="AI88">
        <v>2</v>
      </c>
      <c r="AJ88">
        <v>0</v>
      </c>
      <c r="AK88">
        <v>66.48999999999999</v>
      </c>
      <c r="AN88" t="s">
        <v>1998</v>
      </c>
      <c r="AO88">
        <v>11244</v>
      </c>
      <c r="AU88">
        <v>0.1</v>
      </c>
      <c r="AV88" t="s">
        <v>154</v>
      </c>
      <c r="AW88" t="s">
        <v>54</v>
      </c>
      <c r="AX88" t="s">
        <v>2079</v>
      </c>
    </row>
    <row r="89" spans="1:50">
      <c r="A89" s="1">
        <f>HYPERLINK("https://lsnyc.legalserver.org/matter/dynamic-profile/view/1886876","19-1886876")</f>
        <v>0</v>
      </c>
      <c r="B89" t="s">
        <v>52</v>
      </c>
      <c r="C89" t="s">
        <v>118</v>
      </c>
      <c r="D89" t="s">
        <v>168</v>
      </c>
      <c r="F89" t="s">
        <v>303</v>
      </c>
      <c r="G89" t="s">
        <v>569</v>
      </c>
      <c r="H89" t="s">
        <v>774</v>
      </c>
      <c r="I89" t="s">
        <v>1030</v>
      </c>
      <c r="J89" t="s">
        <v>1159</v>
      </c>
      <c r="K89">
        <v>10460</v>
      </c>
      <c r="L89" t="s">
        <v>1175</v>
      </c>
      <c r="M89" t="s">
        <v>1176</v>
      </c>
      <c r="N89" t="s">
        <v>1221</v>
      </c>
      <c r="O89" t="s">
        <v>1285</v>
      </c>
      <c r="P89" t="s">
        <v>1298</v>
      </c>
      <c r="R89" t="s">
        <v>1311</v>
      </c>
      <c r="S89" t="s">
        <v>1175</v>
      </c>
      <c r="U89" t="s">
        <v>1313</v>
      </c>
      <c r="W89" t="s">
        <v>1325</v>
      </c>
      <c r="X89">
        <v>832.5</v>
      </c>
      <c r="Y89" t="s">
        <v>1328</v>
      </c>
      <c r="Z89" t="s">
        <v>1336</v>
      </c>
      <c r="AB89" t="s">
        <v>1438</v>
      </c>
      <c r="AD89" t="s">
        <v>1779</v>
      </c>
      <c r="AE89">
        <v>169</v>
      </c>
      <c r="AF89" t="s">
        <v>1974</v>
      </c>
      <c r="AG89" t="s">
        <v>1985</v>
      </c>
      <c r="AH89">
        <v>15</v>
      </c>
      <c r="AI89">
        <v>2</v>
      </c>
      <c r="AJ89">
        <v>1</v>
      </c>
      <c r="AK89">
        <v>66.53</v>
      </c>
      <c r="AN89" t="s">
        <v>1998</v>
      </c>
      <c r="AO89">
        <v>13824</v>
      </c>
      <c r="AP89" t="s">
        <v>2012</v>
      </c>
      <c r="AU89">
        <v>0</v>
      </c>
      <c r="AW89" t="s">
        <v>2053</v>
      </c>
      <c r="AX89" t="s">
        <v>2079</v>
      </c>
    </row>
    <row r="90" spans="1:50">
      <c r="A90" s="1">
        <f>HYPERLINK("https://lsnyc.legalserver.org/matter/dynamic-profile/view/1895976","19-1895976")</f>
        <v>0</v>
      </c>
      <c r="B90" t="s">
        <v>55</v>
      </c>
      <c r="C90" t="s">
        <v>118</v>
      </c>
      <c r="D90" t="s">
        <v>169</v>
      </c>
      <c r="F90" t="s">
        <v>305</v>
      </c>
      <c r="G90" t="s">
        <v>571</v>
      </c>
      <c r="H90" t="s">
        <v>844</v>
      </c>
      <c r="I90" t="s">
        <v>1054</v>
      </c>
      <c r="J90" t="s">
        <v>1159</v>
      </c>
      <c r="K90">
        <v>10452</v>
      </c>
      <c r="L90" t="s">
        <v>1175</v>
      </c>
      <c r="M90" t="s">
        <v>1177</v>
      </c>
      <c r="N90" t="s">
        <v>1222</v>
      </c>
      <c r="O90" t="s">
        <v>1281</v>
      </c>
      <c r="P90" t="s">
        <v>1299</v>
      </c>
      <c r="R90" t="s">
        <v>1311</v>
      </c>
      <c r="U90" t="s">
        <v>1313</v>
      </c>
      <c r="V90" t="s">
        <v>1323</v>
      </c>
      <c r="W90" t="s">
        <v>1325</v>
      </c>
      <c r="X90">
        <v>0</v>
      </c>
      <c r="Y90" t="s">
        <v>1328</v>
      </c>
      <c r="AB90" t="s">
        <v>1440</v>
      </c>
      <c r="AD90" t="s">
        <v>1781</v>
      </c>
      <c r="AE90">
        <v>0</v>
      </c>
      <c r="AH90">
        <v>0</v>
      </c>
      <c r="AI90">
        <v>1</v>
      </c>
      <c r="AJ90">
        <v>0</v>
      </c>
      <c r="AK90">
        <v>67.25</v>
      </c>
      <c r="AO90">
        <v>8400</v>
      </c>
      <c r="AU90">
        <v>0.5</v>
      </c>
      <c r="AV90" t="s">
        <v>130</v>
      </c>
      <c r="AW90" t="s">
        <v>55</v>
      </c>
      <c r="AX90" t="s">
        <v>2079</v>
      </c>
    </row>
    <row r="91" spans="1:50">
      <c r="A91" s="1">
        <f>HYPERLINK("https://lsnyc.legalserver.org/matter/dynamic-profile/view/1899865","19-1899865")</f>
        <v>0</v>
      </c>
      <c r="B91" t="s">
        <v>52</v>
      </c>
      <c r="C91" t="s">
        <v>118</v>
      </c>
      <c r="D91" t="s">
        <v>143</v>
      </c>
      <c r="F91" t="s">
        <v>306</v>
      </c>
      <c r="G91" t="s">
        <v>572</v>
      </c>
      <c r="H91" t="s">
        <v>774</v>
      </c>
      <c r="I91" t="s">
        <v>1042</v>
      </c>
      <c r="J91" t="s">
        <v>1159</v>
      </c>
      <c r="K91">
        <v>10460</v>
      </c>
      <c r="L91" t="s">
        <v>1175</v>
      </c>
      <c r="M91" t="s">
        <v>1177</v>
      </c>
      <c r="O91" t="s">
        <v>1282</v>
      </c>
      <c r="P91" t="s">
        <v>1301</v>
      </c>
      <c r="R91" t="s">
        <v>1311</v>
      </c>
      <c r="S91" t="s">
        <v>1175</v>
      </c>
      <c r="U91" t="s">
        <v>1313</v>
      </c>
      <c r="W91" t="s">
        <v>1325</v>
      </c>
      <c r="X91">
        <v>266.5</v>
      </c>
      <c r="Y91" t="s">
        <v>1328</v>
      </c>
      <c r="Z91" t="s">
        <v>1336</v>
      </c>
      <c r="AB91" t="s">
        <v>1441</v>
      </c>
      <c r="AD91" t="s">
        <v>1782</v>
      </c>
      <c r="AE91">
        <v>168</v>
      </c>
      <c r="AF91" t="s">
        <v>1974</v>
      </c>
      <c r="AG91" t="s">
        <v>1985</v>
      </c>
      <c r="AH91">
        <v>8</v>
      </c>
      <c r="AI91">
        <v>1</v>
      </c>
      <c r="AJ91">
        <v>0</v>
      </c>
      <c r="AK91">
        <v>68.20999999999999</v>
      </c>
      <c r="AN91" t="s">
        <v>2000</v>
      </c>
      <c r="AO91">
        <v>8520</v>
      </c>
      <c r="AU91">
        <v>0</v>
      </c>
      <c r="AW91" t="s">
        <v>2063</v>
      </c>
      <c r="AX91" t="s">
        <v>2079</v>
      </c>
    </row>
    <row r="92" spans="1:50">
      <c r="A92" s="1">
        <f>HYPERLINK("https://lsnyc.legalserver.org/matter/dynamic-profile/view/1880605","18-1880605")</f>
        <v>0</v>
      </c>
      <c r="B92" t="s">
        <v>71</v>
      </c>
      <c r="C92" t="s">
        <v>118</v>
      </c>
      <c r="D92" t="s">
        <v>170</v>
      </c>
      <c r="F92" t="s">
        <v>307</v>
      </c>
      <c r="G92" t="s">
        <v>536</v>
      </c>
      <c r="H92" t="s">
        <v>845</v>
      </c>
      <c r="I92" t="s">
        <v>1055</v>
      </c>
      <c r="J92" t="s">
        <v>1159</v>
      </c>
      <c r="K92">
        <v>10456</v>
      </c>
      <c r="L92" t="s">
        <v>1175</v>
      </c>
      <c r="M92" t="s">
        <v>1175</v>
      </c>
      <c r="N92" t="s">
        <v>1223</v>
      </c>
      <c r="O92" t="s">
        <v>1283</v>
      </c>
      <c r="P92" t="s">
        <v>1300</v>
      </c>
      <c r="R92" t="s">
        <v>1311</v>
      </c>
      <c r="S92" t="s">
        <v>1175</v>
      </c>
      <c r="U92" t="s">
        <v>1313</v>
      </c>
      <c r="W92" t="s">
        <v>215</v>
      </c>
      <c r="X92">
        <v>1165</v>
      </c>
      <c r="Y92" t="s">
        <v>1328</v>
      </c>
      <c r="AB92" t="s">
        <v>1442</v>
      </c>
      <c r="AD92" t="s">
        <v>1783</v>
      </c>
      <c r="AE92">
        <v>61</v>
      </c>
      <c r="AF92" t="s">
        <v>1974</v>
      </c>
      <c r="AG92" t="s">
        <v>1985</v>
      </c>
      <c r="AH92">
        <v>22</v>
      </c>
      <c r="AI92">
        <v>1</v>
      </c>
      <c r="AJ92">
        <v>0</v>
      </c>
      <c r="AK92">
        <v>70.08</v>
      </c>
      <c r="AN92" t="s">
        <v>2000</v>
      </c>
      <c r="AO92">
        <v>8508</v>
      </c>
      <c r="AP92" t="s">
        <v>2013</v>
      </c>
      <c r="AU92">
        <v>0</v>
      </c>
      <c r="AW92" t="s">
        <v>2052</v>
      </c>
    </row>
    <row r="93" spans="1:50">
      <c r="A93" s="1">
        <f>HYPERLINK("https://lsnyc.legalserver.org/matter/dynamic-profile/view/1901444","19-1901444")</f>
        <v>0</v>
      </c>
      <c r="B93" t="s">
        <v>92</v>
      </c>
      <c r="C93" t="s">
        <v>118</v>
      </c>
      <c r="D93" t="s">
        <v>148</v>
      </c>
      <c r="F93" t="s">
        <v>308</v>
      </c>
      <c r="G93" t="s">
        <v>573</v>
      </c>
      <c r="H93" t="s">
        <v>846</v>
      </c>
      <c r="I93" t="s">
        <v>1056</v>
      </c>
      <c r="J93" t="s">
        <v>1162</v>
      </c>
      <c r="K93">
        <v>11206</v>
      </c>
      <c r="L93" t="s">
        <v>1175</v>
      </c>
      <c r="M93" t="s">
        <v>1177</v>
      </c>
      <c r="R93" t="s">
        <v>1311</v>
      </c>
      <c r="U93" t="s">
        <v>1313</v>
      </c>
      <c r="W93" t="s">
        <v>148</v>
      </c>
      <c r="X93">
        <v>0</v>
      </c>
      <c r="Y93" t="s">
        <v>1331</v>
      </c>
      <c r="AB93" t="s">
        <v>1443</v>
      </c>
      <c r="AE93">
        <v>0</v>
      </c>
      <c r="AH93">
        <v>0</v>
      </c>
      <c r="AI93">
        <v>3</v>
      </c>
      <c r="AJ93">
        <v>0</v>
      </c>
      <c r="AK93">
        <v>70.31999999999999</v>
      </c>
      <c r="AN93" t="s">
        <v>1998</v>
      </c>
      <c r="AO93">
        <v>15000</v>
      </c>
      <c r="AU93">
        <v>0.2</v>
      </c>
      <c r="AV93" t="s">
        <v>148</v>
      </c>
      <c r="AW93" t="s">
        <v>92</v>
      </c>
    </row>
    <row r="94" spans="1:50">
      <c r="A94" s="1">
        <f>HYPERLINK("https://lsnyc.legalserver.org/matter/dynamic-profile/view/1894837","19-1894837")</f>
        <v>0</v>
      </c>
      <c r="B94" t="s">
        <v>71</v>
      </c>
      <c r="C94" t="s">
        <v>118</v>
      </c>
      <c r="D94" t="s">
        <v>171</v>
      </c>
      <c r="F94" t="s">
        <v>309</v>
      </c>
      <c r="G94" t="s">
        <v>574</v>
      </c>
      <c r="H94" t="s">
        <v>807</v>
      </c>
      <c r="I94" t="s">
        <v>1035</v>
      </c>
      <c r="J94" t="s">
        <v>1159</v>
      </c>
      <c r="K94">
        <v>10453</v>
      </c>
      <c r="L94" t="s">
        <v>1175</v>
      </c>
      <c r="M94" t="s">
        <v>1175</v>
      </c>
      <c r="O94" t="s">
        <v>1283</v>
      </c>
      <c r="P94" t="s">
        <v>1300</v>
      </c>
      <c r="R94" t="s">
        <v>1311</v>
      </c>
      <c r="S94" t="s">
        <v>1175</v>
      </c>
      <c r="U94" t="s">
        <v>1313</v>
      </c>
      <c r="W94" t="s">
        <v>206</v>
      </c>
      <c r="X94">
        <v>1049.5</v>
      </c>
      <c r="Y94" t="s">
        <v>1328</v>
      </c>
      <c r="Z94" t="s">
        <v>1340</v>
      </c>
      <c r="AB94" t="s">
        <v>1444</v>
      </c>
      <c r="AD94" t="s">
        <v>1784</v>
      </c>
      <c r="AE94">
        <v>170</v>
      </c>
      <c r="AF94" t="s">
        <v>1974</v>
      </c>
      <c r="AG94" t="s">
        <v>1255</v>
      </c>
      <c r="AH94">
        <v>3</v>
      </c>
      <c r="AI94">
        <v>2</v>
      </c>
      <c r="AJ94">
        <v>2</v>
      </c>
      <c r="AK94">
        <v>70.68000000000001</v>
      </c>
      <c r="AN94" t="s">
        <v>2000</v>
      </c>
      <c r="AO94">
        <v>18200</v>
      </c>
      <c r="AU94">
        <v>0</v>
      </c>
      <c r="AW94" t="s">
        <v>112</v>
      </c>
      <c r="AX94" t="s">
        <v>2079</v>
      </c>
    </row>
    <row r="95" spans="1:50">
      <c r="A95" s="1">
        <f>HYPERLINK("https://lsnyc.legalserver.org/matter/dynamic-profile/view/1901519","19-1901519")</f>
        <v>0</v>
      </c>
      <c r="B95" t="s">
        <v>93</v>
      </c>
      <c r="C95" t="s">
        <v>118</v>
      </c>
      <c r="D95" t="s">
        <v>148</v>
      </c>
      <c r="F95" t="s">
        <v>310</v>
      </c>
      <c r="G95" t="s">
        <v>575</v>
      </c>
      <c r="H95" t="s">
        <v>847</v>
      </c>
      <c r="I95" t="s">
        <v>1057</v>
      </c>
      <c r="J95" t="s">
        <v>1161</v>
      </c>
      <c r="K95">
        <v>10033</v>
      </c>
      <c r="L95" t="s">
        <v>1175</v>
      </c>
      <c r="M95" t="s">
        <v>1177</v>
      </c>
      <c r="N95" t="s">
        <v>1224</v>
      </c>
      <c r="O95" t="s">
        <v>1291</v>
      </c>
      <c r="P95" t="s">
        <v>1299</v>
      </c>
      <c r="R95" t="s">
        <v>1311</v>
      </c>
      <c r="S95" t="s">
        <v>1176</v>
      </c>
      <c r="U95" t="s">
        <v>1313</v>
      </c>
      <c r="W95" t="s">
        <v>148</v>
      </c>
      <c r="X95">
        <v>848.29</v>
      </c>
      <c r="Y95" t="s">
        <v>1330</v>
      </c>
      <c r="Z95" t="s">
        <v>1338</v>
      </c>
      <c r="AB95" t="s">
        <v>1445</v>
      </c>
      <c r="AD95" t="s">
        <v>1785</v>
      </c>
      <c r="AE95">
        <v>29</v>
      </c>
      <c r="AF95" t="s">
        <v>1974</v>
      </c>
      <c r="AG95" t="s">
        <v>1255</v>
      </c>
      <c r="AH95">
        <v>24</v>
      </c>
      <c r="AI95">
        <v>1</v>
      </c>
      <c r="AJ95">
        <v>0</v>
      </c>
      <c r="AK95">
        <v>71.09999999999999</v>
      </c>
      <c r="AN95" t="s">
        <v>2000</v>
      </c>
      <c r="AO95">
        <v>8880</v>
      </c>
      <c r="AU95">
        <v>1.5</v>
      </c>
      <c r="AV95" t="s">
        <v>164</v>
      </c>
      <c r="AW95" t="s">
        <v>2057</v>
      </c>
      <c r="AX95" t="s">
        <v>2079</v>
      </c>
    </row>
    <row r="96" spans="1:50">
      <c r="A96" s="1">
        <f>HYPERLINK("https://lsnyc.legalserver.org/matter/dynamic-profile/view/1898118","19-1898118")</f>
        <v>0</v>
      </c>
      <c r="B96" t="s">
        <v>56</v>
      </c>
      <c r="C96" t="s">
        <v>118</v>
      </c>
      <c r="D96" t="s">
        <v>128</v>
      </c>
      <c r="F96" t="s">
        <v>261</v>
      </c>
      <c r="G96" t="s">
        <v>576</v>
      </c>
      <c r="H96" t="s">
        <v>778</v>
      </c>
      <c r="I96" t="s">
        <v>1058</v>
      </c>
      <c r="J96" t="s">
        <v>1159</v>
      </c>
      <c r="K96">
        <v>10452</v>
      </c>
      <c r="L96" t="s">
        <v>1175</v>
      </c>
      <c r="M96" t="s">
        <v>1175</v>
      </c>
      <c r="O96" t="s">
        <v>1282</v>
      </c>
      <c r="P96" t="s">
        <v>1301</v>
      </c>
      <c r="R96" t="s">
        <v>1311</v>
      </c>
      <c r="S96" t="s">
        <v>1175</v>
      </c>
      <c r="U96" t="s">
        <v>1313</v>
      </c>
      <c r="W96" t="s">
        <v>1325</v>
      </c>
      <c r="X96">
        <v>673.6799999999999</v>
      </c>
      <c r="Y96" t="s">
        <v>1328</v>
      </c>
      <c r="Z96" t="s">
        <v>1336</v>
      </c>
      <c r="AB96" t="s">
        <v>1446</v>
      </c>
      <c r="AC96" t="s">
        <v>1693</v>
      </c>
      <c r="AD96" t="s">
        <v>1786</v>
      </c>
      <c r="AE96">
        <v>60</v>
      </c>
      <c r="AF96" t="s">
        <v>1974</v>
      </c>
      <c r="AG96" t="s">
        <v>1255</v>
      </c>
      <c r="AH96">
        <v>31</v>
      </c>
      <c r="AI96">
        <v>2</v>
      </c>
      <c r="AJ96">
        <v>0</v>
      </c>
      <c r="AK96">
        <v>71.73999999999999</v>
      </c>
      <c r="AN96" t="s">
        <v>2000</v>
      </c>
      <c r="AO96">
        <v>12132</v>
      </c>
      <c r="AU96">
        <v>0</v>
      </c>
      <c r="AW96" t="s">
        <v>2052</v>
      </c>
      <c r="AX96" t="s">
        <v>2079</v>
      </c>
    </row>
    <row r="97" spans="1:50">
      <c r="A97" s="1">
        <f>HYPERLINK("https://lsnyc.legalserver.org/matter/dynamic-profile/view/1902306","19-1902306")</f>
        <v>0</v>
      </c>
      <c r="B97" t="s">
        <v>94</v>
      </c>
      <c r="C97" t="s">
        <v>118</v>
      </c>
      <c r="D97" t="s">
        <v>131</v>
      </c>
      <c r="F97" t="s">
        <v>311</v>
      </c>
      <c r="G97" t="s">
        <v>577</v>
      </c>
      <c r="H97" t="s">
        <v>848</v>
      </c>
      <c r="I97">
        <v>6</v>
      </c>
      <c r="J97" t="s">
        <v>1162</v>
      </c>
      <c r="K97">
        <v>11231</v>
      </c>
      <c r="L97" t="s">
        <v>1175</v>
      </c>
      <c r="M97" t="s">
        <v>1177</v>
      </c>
      <c r="O97" t="s">
        <v>1281</v>
      </c>
      <c r="P97" t="s">
        <v>1298</v>
      </c>
      <c r="R97" t="s">
        <v>1311</v>
      </c>
      <c r="S97" t="s">
        <v>1176</v>
      </c>
      <c r="U97" t="s">
        <v>1313</v>
      </c>
      <c r="W97" t="s">
        <v>131</v>
      </c>
      <c r="X97">
        <v>0</v>
      </c>
      <c r="Y97" t="s">
        <v>1331</v>
      </c>
      <c r="AB97" t="s">
        <v>1447</v>
      </c>
      <c r="AD97" t="s">
        <v>1787</v>
      </c>
      <c r="AE97">
        <v>0</v>
      </c>
      <c r="AH97">
        <v>37</v>
      </c>
      <c r="AI97">
        <v>1</v>
      </c>
      <c r="AJ97">
        <v>0</v>
      </c>
      <c r="AK97">
        <v>72.06</v>
      </c>
      <c r="AN97" t="s">
        <v>1998</v>
      </c>
      <c r="AO97">
        <v>9000</v>
      </c>
      <c r="AU97">
        <v>2.2</v>
      </c>
      <c r="AV97" t="s">
        <v>160</v>
      </c>
      <c r="AW97" t="s">
        <v>2064</v>
      </c>
      <c r="AX97" t="s">
        <v>2079</v>
      </c>
    </row>
    <row r="98" spans="1:50">
      <c r="A98" s="1">
        <f>HYPERLINK("https://lsnyc.legalserver.org/matter/dynamic-profile/view/1902329","19-1902329")</f>
        <v>0</v>
      </c>
      <c r="B98" t="s">
        <v>92</v>
      </c>
      <c r="C98" t="s">
        <v>118</v>
      </c>
      <c r="D98" t="s">
        <v>164</v>
      </c>
      <c r="F98" t="s">
        <v>311</v>
      </c>
      <c r="G98" t="s">
        <v>577</v>
      </c>
      <c r="H98" t="s">
        <v>848</v>
      </c>
      <c r="I98">
        <v>6</v>
      </c>
      <c r="J98" t="s">
        <v>1162</v>
      </c>
      <c r="K98">
        <v>11231</v>
      </c>
      <c r="L98" t="s">
        <v>1175</v>
      </c>
      <c r="M98" t="s">
        <v>1177</v>
      </c>
      <c r="P98" t="s">
        <v>1298</v>
      </c>
      <c r="R98" t="s">
        <v>1311</v>
      </c>
      <c r="S98" t="s">
        <v>1176</v>
      </c>
      <c r="U98" t="s">
        <v>1313</v>
      </c>
      <c r="W98" t="s">
        <v>164</v>
      </c>
      <c r="X98">
        <v>0</v>
      </c>
      <c r="Y98" t="s">
        <v>1331</v>
      </c>
      <c r="AB98" t="s">
        <v>1447</v>
      </c>
      <c r="AD98" t="s">
        <v>1787</v>
      </c>
      <c r="AE98">
        <v>0</v>
      </c>
      <c r="AH98">
        <v>37</v>
      </c>
      <c r="AI98">
        <v>1</v>
      </c>
      <c r="AJ98">
        <v>0</v>
      </c>
      <c r="AK98">
        <v>72.06</v>
      </c>
      <c r="AN98" t="s">
        <v>1998</v>
      </c>
      <c r="AO98">
        <v>9000</v>
      </c>
      <c r="AU98">
        <v>0.5</v>
      </c>
      <c r="AV98" t="s">
        <v>160</v>
      </c>
      <c r="AW98" t="s">
        <v>2064</v>
      </c>
      <c r="AX98" t="s">
        <v>2079</v>
      </c>
    </row>
    <row r="99" spans="1:50">
      <c r="A99" s="1">
        <f>HYPERLINK("https://lsnyc.legalserver.org/matter/dynamic-profile/view/1901484","19-1901484")</f>
        <v>0</v>
      </c>
      <c r="B99" t="s">
        <v>95</v>
      </c>
      <c r="C99" t="s">
        <v>118</v>
      </c>
      <c r="D99" t="s">
        <v>148</v>
      </c>
      <c r="F99" t="s">
        <v>312</v>
      </c>
      <c r="G99" t="s">
        <v>578</v>
      </c>
      <c r="H99" t="s">
        <v>849</v>
      </c>
      <c r="I99" t="s">
        <v>1059</v>
      </c>
      <c r="J99" t="s">
        <v>1159</v>
      </c>
      <c r="K99">
        <v>10460</v>
      </c>
      <c r="L99" t="s">
        <v>1175</v>
      </c>
      <c r="M99" t="s">
        <v>1177</v>
      </c>
      <c r="O99" t="s">
        <v>1285</v>
      </c>
      <c r="P99" t="s">
        <v>1298</v>
      </c>
      <c r="R99" t="s">
        <v>1311</v>
      </c>
      <c r="S99" t="s">
        <v>1176</v>
      </c>
      <c r="U99" t="s">
        <v>1313</v>
      </c>
      <c r="W99" t="s">
        <v>1325</v>
      </c>
      <c r="X99">
        <v>219</v>
      </c>
      <c r="Y99" t="s">
        <v>1328</v>
      </c>
      <c r="Z99" t="s">
        <v>1335</v>
      </c>
      <c r="AB99" t="s">
        <v>1448</v>
      </c>
      <c r="AC99" t="s">
        <v>1694</v>
      </c>
      <c r="AD99" t="s">
        <v>1788</v>
      </c>
      <c r="AE99">
        <v>52</v>
      </c>
      <c r="AF99" t="s">
        <v>1979</v>
      </c>
      <c r="AG99" t="s">
        <v>1341</v>
      </c>
      <c r="AH99">
        <v>3</v>
      </c>
      <c r="AI99">
        <v>1</v>
      </c>
      <c r="AJ99">
        <v>0</v>
      </c>
      <c r="AK99">
        <v>72.06</v>
      </c>
      <c r="AN99" t="s">
        <v>1998</v>
      </c>
      <c r="AO99">
        <v>9000</v>
      </c>
      <c r="AU99">
        <v>1</v>
      </c>
      <c r="AV99" t="s">
        <v>148</v>
      </c>
      <c r="AW99" t="s">
        <v>2071</v>
      </c>
      <c r="AX99" t="s">
        <v>2079</v>
      </c>
    </row>
    <row r="100" spans="1:50">
      <c r="A100" s="1">
        <f>HYPERLINK("https://lsnyc.legalserver.org/matter/dynamic-profile/view/1899848","19-1899848")</f>
        <v>0</v>
      </c>
      <c r="B100" t="s">
        <v>52</v>
      </c>
      <c r="C100" t="s">
        <v>118</v>
      </c>
      <c r="D100" t="s">
        <v>143</v>
      </c>
      <c r="F100" t="s">
        <v>313</v>
      </c>
      <c r="G100" t="s">
        <v>579</v>
      </c>
      <c r="H100" t="s">
        <v>774</v>
      </c>
      <c r="I100" t="s">
        <v>1060</v>
      </c>
      <c r="J100" t="s">
        <v>1159</v>
      </c>
      <c r="K100">
        <v>10460</v>
      </c>
      <c r="L100" t="s">
        <v>1175</v>
      </c>
      <c r="M100" t="s">
        <v>1177</v>
      </c>
      <c r="N100" t="s">
        <v>1180</v>
      </c>
      <c r="O100" t="s">
        <v>1282</v>
      </c>
      <c r="P100" t="s">
        <v>1301</v>
      </c>
      <c r="R100" t="s">
        <v>1311</v>
      </c>
      <c r="S100" t="s">
        <v>1175</v>
      </c>
      <c r="U100" t="s">
        <v>1313</v>
      </c>
      <c r="W100" t="s">
        <v>1325</v>
      </c>
      <c r="X100">
        <v>326</v>
      </c>
      <c r="Y100" t="s">
        <v>1328</v>
      </c>
      <c r="Z100" t="s">
        <v>1336</v>
      </c>
      <c r="AB100" t="s">
        <v>1449</v>
      </c>
      <c r="AD100" t="s">
        <v>1789</v>
      </c>
      <c r="AE100">
        <v>168</v>
      </c>
      <c r="AF100" t="s">
        <v>1974</v>
      </c>
      <c r="AG100" t="s">
        <v>1989</v>
      </c>
      <c r="AH100">
        <v>5</v>
      </c>
      <c r="AI100">
        <v>1</v>
      </c>
      <c r="AJ100">
        <v>0</v>
      </c>
      <c r="AK100">
        <v>72.06</v>
      </c>
      <c r="AN100" t="s">
        <v>2000</v>
      </c>
      <c r="AO100">
        <v>9000</v>
      </c>
      <c r="AU100">
        <v>0</v>
      </c>
      <c r="AW100" t="s">
        <v>2063</v>
      </c>
      <c r="AX100" t="s">
        <v>2079</v>
      </c>
    </row>
    <row r="101" spans="1:50">
      <c r="A101" s="1">
        <f>HYPERLINK("https://lsnyc.legalserver.org/matter/dynamic-profile/view/1900009","19-1900009")</f>
        <v>0</v>
      </c>
      <c r="B101" t="s">
        <v>52</v>
      </c>
      <c r="C101" t="s">
        <v>118</v>
      </c>
      <c r="D101" t="s">
        <v>138</v>
      </c>
      <c r="F101" t="s">
        <v>314</v>
      </c>
      <c r="G101" t="s">
        <v>580</v>
      </c>
      <c r="H101" t="s">
        <v>774</v>
      </c>
      <c r="I101" t="s">
        <v>1061</v>
      </c>
      <c r="J101" t="s">
        <v>1159</v>
      </c>
      <c r="K101">
        <v>10460</v>
      </c>
      <c r="L101" t="s">
        <v>1175</v>
      </c>
      <c r="M101" t="s">
        <v>1177</v>
      </c>
      <c r="O101" t="s">
        <v>1282</v>
      </c>
      <c r="P101" t="s">
        <v>1301</v>
      </c>
      <c r="R101" t="s">
        <v>1311</v>
      </c>
      <c r="S101" t="s">
        <v>1175</v>
      </c>
      <c r="U101" t="s">
        <v>1313</v>
      </c>
      <c r="W101" t="s">
        <v>1325</v>
      </c>
      <c r="X101">
        <v>990</v>
      </c>
      <c r="Y101" t="s">
        <v>1328</v>
      </c>
      <c r="Z101" t="s">
        <v>1336</v>
      </c>
      <c r="AB101" t="s">
        <v>1450</v>
      </c>
      <c r="AD101" t="s">
        <v>1790</v>
      </c>
      <c r="AE101">
        <v>168</v>
      </c>
      <c r="AF101" t="s">
        <v>1974</v>
      </c>
      <c r="AG101" t="s">
        <v>1985</v>
      </c>
      <c r="AH101">
        <v>11</v>
      </c>
      <c r="AI101">
        <v>1</v>
      </c>
      <c r="AJ101">
        <v>0</v>
      </c>
      <c r="AK101">
        <v>72.06</v>
      </c>
      <c r="AN101" t="s">
        <v>1998</v>
      </c>
      <c r="AO101">
        <v>9000</v>
      </c>
      <c r="AU101">
        <v>0</v>
      </c>
      <c r="AW101" t="s">
        <v>112</v>
      </c>
      <c r="AX101" t="s">
        <v>2079</v>
      </c>
    </row>
    <row r="102" spans="1:50">
      <c r="A102" s="1">
        <f>HYPERLINK("https://lsnyc.legalserver.org/matter/dynamic-profile/view/1901429","19-1901429")</f>
        <v>0</v>
      </c>
      <c r="B102" t="s">
        <v>93</v>
      </c>
      <c r="C102" t="s">
        <v>118</v>
      </c>
      <c r="D102" t="s">
        <v>148</v>
      </c>
      <c r="F102" t="s">
        <v>315</v>
      </c>
      <c r="G102" t="s">
        <v>581</v>
      </c>
      <c r="H102" t="s">
        <v>850</v>
      </c>
      <c r="I102">
        <v>35</v>
      </c>
      <c r="J102" t="s">
        <v>1161</v>
      </c>
      <c r="K102">
        <v>10034</v>
      </c>
      <c r="L102" t="s">
        <v>1175</v>
      </c>
      <c r="M102" t="s">
        <v>1177</v>
      </c>
      <c r="O102" t="s">
        <v>1291</v>
      </c>
      <c r="P102" t="s">
        <v>1299</v>
      </c>
      <c r="R102" t="s">
        <v>1311</v>
      </c>
      <c r="S102" t="s">
        <v>1176</v>
      </c>
      <c r="U102" t="s">
        <v>1313</v>
      </c>
      <c r="W102" t="s">
        <v>148</v>
      </c>
      <c r="X102">
        <v>0</v>
      </c>
      <c r="Y102" t="s">
        <v>1330</v>
      </c>
      <c r="Z102" t="s">
        <v>1338</v>
      </c>
      <c r="AB102" t="s">
        <v>1451</v>
      </c>
      <c r="AD102" t="s">
        <v>1791</v>
      </c>
      <c r="AE102">
        <v>29</v>
      </c>
      <c r="AG102" t="s">
        <v>1985</v>
      </c>
      <c r="AH102">
        <v>38</v>
      </c>
      <c r="AI102">
        <v>1</v>
      </c>
      <c r="AJ102">
        <v>0</v>
      </c>
      <c r="AK102">
        <v>72.06</v>
      </c>
      <c r="AN102" t="s">
        <v>2000</v>
      </c>
      <c r="AO102">
        <v>9000</v>
      </c>
      <c r="AU102">
        <v>1.5</v>
      </c>
      <c r="AV102" t="s">
        <v>164</v>
      </c>
      <c r="AW102" t="s">
        <v>2057</v>
      </c>
      <c r="AX102" t="s">
        <v>2079</v>
      </c>
    </row>
    <row r="103" spans="1:50">
      <c r="A103" s="1">
        <f>HYPERLINK("https://lsnyc.legalserver.org/matter/dynamic-profile/view/1895799","19-1895799")</f>
        <v>0</v>
      </c>
      <c r="B103" t="s">
        <v>56</v>
      </c>
      <c r="C103" t="s">
        <v>118</v>
      </c>
      <c r="D103" t="s">
        <v>172</v>
      </c>
      <c r="F103" t="s">
        <v>316</v>
      </c>
      <c r="G103" t="s">
        <v>582</v>
      </c>
      <c r="H103" t="s">
        <v>809</v>
      </c>
      <c r="I103" t="s">
        <v>1062</v>
      </c>
      <c r="J103" t="s">
        <v>1159</v>
      </c>
      <c r="K103">
        <v>10452</v>
      </c>
      <c r="L103" t="s">
        <v>1175</v>
      </c>
      <c r="M103" t="s">
        <v>1177</v>
      </c>
      <c r="O103" t="s">
        <v>1283</v>
      </c>
      <c r="P103" t="s">
        <v>1300</v>
      </c>
      <c r="R103" t="s">
        <v>1311</v>
      </c>
      <c r="S103" t="s">
        <v>1175</v>
      </c>
      <c r="U103" t="s">
        <v>1313</v>
      </c>
      <c r="W103" t="s">
        <v>1325</v>
      </c>
      <c r="X103">
        <v>1047</v>
      </c>
      <c r="Y103" t="s">
        <v>1328</v>
      </c>
      <c r="Z103" t="s">
        <v>1336</v>
      </c>
      <c r="AB103" t="s">
        <v>1452</v>
      </c>
      <c r="AD103" t="s">
        <v>1792</v>
      </c>
      <c r="AE103">
        <v>52</v>
      </c>
      <c r="AF103" t="s">
        <v>1974</v>
      </c>
      <c r="AH103">
        <v>19</v>
      </c>
      <c r="AI103">
        <v>1</v>
      </c>
      <c r="AJ103">
        <v>0</v>
      </c>
      <c r="AK103">
        <v>72.34999999999999</v>
      </c>
      <c r="AN103" t="s">
        <v>1998</v>
      </c>
      <c r="AO103">
        <v>9036</v>
      </c>
      <c r="AU103">
        <v>18.4</v>
      </c>
      <c r="AV103" t="s">
        <v>222</v>
      </c>
      <c r="AW103" t="s">
        <v>56</v>
      </c>
      <c r="AX103" t="s">
        <v>2079</v>
      </c>
    </row>
    <row r="104" spans="1:50">
      <c r="A104" s="1">
        <f>HYPERLINK("https://lsnyc.legalserver.org/matter/dynamic-profile/view/1902310","19-1902310")</f>
        <v>0</v>
      </c>
      <c r="B104" t="s">
        <v>79</v>
      </c>
      <c r="C104" t="s">
        <v>118</v>
      </c>
      <c r="D104" t="s">
        <v>131</v>
      </c>
      <c r="F104" t="s">
        <v>317</v>
      </c>
      <c r="G104" t="s">
        <v>522</v>
      </c>
      <c r="H104" t="s">
        <v>851</v>
      </c>
      <c r="I104" t="s">
        <v>1063</v>
      </c>
      <c r="J104" t="s">
        <v>1159</v>
      </c>
      <c r="K104">
        <v>10452</v>
      </c>
      <c r="L104" t="s">
        <v>1175</v>
      </c>
      <c r="M104" t="s">
        <v>1177</v>
      </c>
      <c r="O104" t="s">
        <v>1282</v>
      </c>
      <c r="P104" t="s">
        <v>1299</v>
      </c>
      <c r="R104" t="s">
        <v>1311</v>
      </c>
      <c r="S104" t="s">
        <v>1176</v>
      </c>
      <c r="U104" t="s">
        <v>1313</v>
      </c>
      <c r="W104" t="s">
        <v>1325</v>
      </c>
      <c r="X104">
        <v>1597.96</v>
      </c>
      <c r="Y104" t="s">
        <v>1328</v>
      </c>
      <c r="Z104" t="s">
        <v>1336</v>
      </c>
      <c r="AB104" t="s">
        <v>1453</v>
      </c>
      <c r="AE104">
        <v>55</v>
      </c>
      <c r="AF104" t="s">
        <v>1974</v>
      </c>
      <c r="AG104" t="s">
        <v>1985</v>
      </c>
      <c r="AH104">
        <v>17</v>
      </c>
      <c r="AI104">
        <v>1</v>
      </c>
      <c r="AJ104">
        <v>0</v>
      </c>
      <c r="AK104">
        <v>72.63</v>
      </c>
      <c r="AN104" t="s">
        <v>2000</v>
      </c>
      <c r="AO104">
        <v>9072</v>
      </c>
      <c r="AU104">
        <v>1.2</v>
      </c>
      <c r="AV104" t="s">
        <v>163</v>
      </c>
      <c r="AW104" t="s">
        <v>79</v>
      </c>
      <c r="AX104" t="s">
        <v>2079</v>
      </c>
    </row>
    <row r="105" spans="1:50">
      <c r="A105" s="1">
        <f>HYPERLINK("https://lsnyc.legalserver.org/matter/dynamic-profile/view/1901861","19-1901861")</f>
        <v>0</v>
      </c>
      <c r="B105" t="s">
        <v>65</v>
      </c>
      <c r="C105" t="s">
        <v>118</v>
      </c>
      <c r="D105" t="s">
        <v>122</v>
      </c>
      <c r="F105" t="s">
        <v>318</v>
      </c>
      <c r="G105" t="s">
        <v>583</v>
      </c>
      <c r="H105" t="s">
        <v>852</v>
      </c>
      <c r="I105">
        <v>220</v>
      </c>
      <c r="J105" t="s">
        <v>1159</v>
      </c>
      <c r="K105">
        <v>10459</v>
      </c>
      <c r="L105" t="s">
        <v>1175</v>
      </c>
      <c r="M105" t="s">
        <v>1177</v>
      </c>
      <c r="N105" t="s">
        <v>1225</v>
      </c>
      <c r="O105" t="s">
        <v>1281</v>
      </c>
      <c r="P105" t="s">
        <v>1298</v>
      </c>
      <c r="R105" t="s">
        <v>1311</v>
      </c>
      <c r="S105" t="s">
        <v>1176</v>
      </c>
      <c r="U105" t="s">
        <v>1313</v>
      </c>
      <c r="W105" t="s">
        <v>122</v>
      </c>
      <c r="X105">
        <v>1022</v>
      </c>
      <c r="Y105" t="s">
        <v>1328</v>
      </c>
      <c r="Z105" t="s">
        <v>1335</v>
      </c>
      <c r="AB105" t="s">
        <v>1454</v>
      </c>
      <c r="AC105" t="s">
        <v>1695</v>
      </c>
      <c r="AD105" t="s">
        <v>1793</v>
      </c>
      <c r="AE105">
        <v>144</v>
      </c>
      <c r="AF105" t="s">
        <v>1974</v>
      </c>
      <c r="AG105" t="s">
        <v>1988</v>
      </c>
      <c r="AH105">
        <v>2</v>
      </c>
      <c r="AI105">
        <v>2</v>
      </c>
      <c r="AJ105">
        <v>2</v>
      </c>
      <c r="AK105">
        <v>73</v>
      </c>
      <c r="AN105" t="s">
        <v>2000</v>
      </c>
      <c r="AO105">
        <v>18798</v>
      </c>
      <c r="AU105">
        <v>9.35</v>
      </c>
      <c r="AV105" t="s">
        <v>223</v>
      </c>
      <c r="AW105" t="s">
        <v>112</v>
      </c>
      <c r="AX105" t="s">
        <v>2080</v>
      </c>
    </row>
    <row r="106" spans="1:50">
      <c r="A106" s="1">
        <f>HYPERLINK("https://lsnyc.legalserver.org/matter/dynamic-profile/view/1901037","19-1901037")</f>
        <v>0</v>
      </c>
      <c r="B106" t="s">
        <v>68</v>
      </c>
      <c r="C106" t="s">
        <v>118</v>
      </c>
      <c r="D106" t="s">
        <v>137</v>
      </c>
      <c r="F106" t="s">
        <v>319</v>
      </c>
      <c r="G106" t="s">
        <v>584</v>
      </c>
      <c r="H106" t="s">
        <v>853</v>
      </c>
      <c r="I106" t="s">
        <v>1014</v>
      </c>
      <c r="J106" t="s">
        <v>1159</v>
      </c>
      <c r="K106">
        <v>10474</v>
      </c>
      <c r="L106" t="s">
        <v>1175</v>
      </c>
      <c r="M106" t="s">
        <v>1177</v>
      </c>
      <c r="N106" t="s">
        <v>1226</v>
      </c>
      <c r="O106" t="s">
        <v>1285</v>
      </c>
      <c r="P106" t="s">
        <v>1298</v>
      </c>
      <c r="R106" t="s">
        <v>1311</v>
      </c>
      <c r="S106" t="s">
        <v>1176</v>
      </c>
      <c r="U106" t="s">
        <v>1313</v>
      </c>
      <c r="V106" t="s">
        <v>1321</v>
      </c>
      <c r="W106" t="s">
        <v>1325</v>
      </c>
      <c r="X106">
        <v>894.52</v>
      </c>
      <c r="Y106" t="s">
        <v>1328</v>
      </c>
      <c r="Z106" t="s">
        <v>1340</v>
      </c>
      <c r="AB106" t="s">
        <v>1455</v>
      </c>
      <c r="AE106">
        <v>60</v>
      </c>
      <c r="AF106" t="s">
        <v>1974</v>
      </c>
      <c r="AG106" t="s">
        <v>1255</v>
      </c>
      <c r="AH106">
        <v>15</v>
      </c>
      <c r="AI106">
        <v>3</v>
      </c>
      <c r="AJ106">
        <v>0</v>
      </c>
      <c r="AK106">
        <v>73.14</v>
      </c>
      <c r="AN106" t="s">
        <v>1998</v>
      </c>
      <c r="AO106">
        <v>15600</v>
      </c>
      <c r="AU106">
        <v>20.2</v>
      </c>
      <c r="AV106" t="s">
        <v>223</v>
      </c>
      <c r="AW106" t="s">
        <v>112</v>
      </c>
      <c r="AX106" t="s">
        <v>2079</v>
      </c>
    </row>
    <row r="107" spans="1:50">
      <c r="A107" s="1">
        <f>HYPERLINK("https://lsnyc.legalserver.org/matter/dynamic-profile/view/1900130","19-1900130")</f>
        <v>0</v>
      </c>
      <c r="B107" t="s">
        <v>52</v>
      </c>
      <c r="C107" t="s">
        <v>118</v>
      </c>
      <c r="D107" t="s">
        <v>173</v>
      </c>
      <c r="F107" t="s">
        <v>320</v>
      </c>
      <c r="G107" t="s">
        <v>585</v>
      </c>
      <c r="H107" t="s">
        <v>774</v>
      </c>
      <c r="I107" t="s">
        <v>1064</v>
      </c>
      <c r="J107" t="s">
        <v>1159</v>
      </c>
      <c r="K107">
        <v>10460</v>
      </c>
      <c r="L107" t="s">
        <v>1175</v>
      </c>
      <c r="M107" t="s">
        <v>1177</v>
      </c>
      <c r="N107" t="s">
        <v>1180</v>
      </c>
      <c r="O107" t="s">
        <v>1282</v>
      </c>
      <c r="P107" t="s">
        <v>1301</v>
      </c>
      <c r="R107" t="s">
        <v>1311</v>
      </c>
      <c r="S107" t="s">
        <v>1175</v>
      </c>
      <c r="U107" t="s">
        <v>1313</v>
      </c>
      <c r="W107" t="s">
        <v>1325</v>
      </c>
      <c r="X107">
        <v>1694</v>
      </c>
      <c r="Y107" t="s">
        <v>1328</v>
      </c>
      <c r="Z107" t="s">
        <v>1336</v>
      </c>
      <c r="AB107" t="s">
        <v>1456</v>
      </c>
      <c r="AD107" t="s">
        <v>1794</v>
      </c>
      <c r="AE107">
        <v>168</v>
      </c>
      <c r="AF107" t="s">
        <v>1974</v>
      </c>
      <c r="AG107" t="s">
        <v>1985</v>
      </c>
      <c r="AH107">
        <v>35</v>
      </c>
      <c r="AI107">
        <v>1</v>
      </c>
      <c r="AJ107">
        <v>0</v>
      </c>
      <c r="AK107">
        <v>73.31</v>
      </c>
      <c r="AN107" t="s">
        <v>1998</v>
      </c>
      <c r="AO107">
        <v>9156</v>
      </c>
      <c r="AU107">
        <v>0</v>
      </c>
      <c r="AW107" t="s">
        <v>2063</v>
      </c>
      <c r="AX107" t="s">
        <v>2079</v>
      </c>
    </row>
    <row r="108" spans="1:50">
      <c r="A108" s="1">
        <f>HYPERLINK("https://lsnyc.legalserver.org/matter/dynamic-profile/view/1899795","19-1899795")</f>
        <v>0</v>
      </c>
      <c r="B108" t="s">
        <v>52</v>
      </c>
      <c r="C108" t="s">
        <v>118</v>
      </c>
      <c r="D108" t="s">
        <v>143</v>
      </c>
      <c r="F108" t="s">
        <v>321</v>
      </c>
      <c r="G108" t="s">
        <v>586</v>
      </c>
      <c r="H108" t="s">
        <v>774</v>
      </c>
      <c r="I108" t="s">
        <v>1034</v>
      </c>
      <c r="J108" t="s">
        <v>1159</v>
      </c>
      <c r="K108">
        <v>10460</v>
      </c>
      <c r="L108" t="s">
        <v>1175</v>
      </c>
      <c r="M108" t="s">
        <v>1177</v>
      </c>
      <c r="O108" t="s">
        <v>1282</v>
      </c>
      <c r="P108" t="s">
        <v>1301</v>
      </c>
      <c r="R108" t="s">
        <v>1311</v>
      </c>
      <c r="S108" t="s">
        <v>1175</v>
      </c>
      <c r="U108" t="s">
        <v>1313</v>
      </c>
      <c r="W108" t="s">
        <v>1325</v>
      </c>
      <c r="X108">
        <v>1583</v>
      </c>
      <c r="Y108" t="s">
        <v>1328</v>
      </c>
      <c r="Z108" t="s">
        <v>1336</v>
      </c>
      <c r="AB108" t="s">
        <v>1457</v>
      </c>
      <c r="AC108" t="s">
        <v>1696</v>
      </c>
      <c r="AD108" t="s">
        <v>1795</v>
      </c>
      <c r="AE108">
        <v>168</v>
      </c>
      <c r="AF108" t="s">
        <v>1974</v>
      </c>
      <c r="AG108" t="s">
        <v>1985</v>
      </c>
      <c r="AH108">
        <v>3</v>
      </c>
      <c r="AI108">
        <v>1</v>
      </c>
      <c r="AJ108">
        <v>0</v>
      </c>
      <c r="AK108">
        <v>74.08</v>
      </c>
      <c r="AN108" t="s">
        <v>1998</v>
      </c>
      <c r="AO108">
        <v>9252</v>
      </c>
      <c r="AU108">
        <v>0</v>
      </c>
      <c r="AW108" t="s">
        <v>2063</v>
      </c>
      <c r="AX108" t="s">
        <v>2079</v>
      </c>
    </row>
    <row r="109" spans="1:50">
      <c r="A109" s="1">
        <f>HYPERLINK("https://lsnyc.legalserver.org/matter/dynamic-profile/view/1900376","19-1900376")</f>
        <v>0</v>
      </c>
      <c r="B109" t="s">
        <v>96</v>
      </c>
      <c r="C109" t="s">
        <v>119</v>
      </c>
      <c r="D109" t="s">
        <v>129</v>
      </c>
      <c r="E109" t="s">
        <v>164</v>
      </c>
      <c r="F109" t="s">
        <v>322</v>
      </c>
      <c r="G109" t="s">
        <v>587</v>
      </c>
      <c r="H109" t="s">
        <v>854</v>
      </c>
      <c r="I109" t="s">
        <v>1065</v>
      </c>
      <c r="J109" t="s">
        <v>1160</v>
      </c>
      <c r="K109">
        <v>10301</v>
      </c>
      <c r="L109" t="s">
        <v>1177</v>
      </c>
      <c r="M109" t="s">
        <v>1177</v>
      </c>
      <c r="O109" t="s">
        <v>1292</v>
      </c>
      <c r="P109" t="s">
        <v>1300</v>
      </c>
      <c r="Q109" t="s">
        <v>1308</v>
      </c>
      <c r="R109" t="s">
        <v>1311</v>
      </c>
      <c r="S109" t="s">
        <v>1176</v>
      </c>
      <c r="U109" t="s">
        <v>1313</v>
      </c>
      <c r="V109" t="s">
        <v>1321</v>
      </c>
      <c r="W109" t="s">
        <v>129</v>
      </c>
      <c r="X109">
        <v>1213</v>
      </c>
      <c r="Y109" t="s">
        <v>1329</v>
      </c>
      <c r="Z109" t="s">
        <v>1341</v>
      </c>
      <c r="AA109" t="s">
        <v>1350</v>
      </c>
      <c r="AB109" t="s">
        <v>1458</v>
      </c>
      <c r="AD109" t="s">
        <v>1796</v>
      </c>
      <c r="AE109">
        <v>0</v>
      </c>
      <c r="AG109" t="s">
        <v>1991</v>
      </c>
      <c r="AH109">
        <v>1</v>
      </c>
      <c r="AI109">
        <v>1</v>
      </c>
      <c r="AJ109">
        <v>0</v>
      </c>
      <c r="AK109">
        <v>74.08</v>
      </c>
      <c r="AN109" t="s">
        <v>1998</v>
      </c>
      <c r="AO109">
        <v>9252</v>
      </c>
      <c r="AU109">
        <v>4.45</v>
      </c>
      <c r="AV109" t="s">
        <v>184</v>
      </c>
      <c r="AW109" t="s">
        <v>2056</v>
      </c>
    </row>
    <row r="110" spans="1:50">
      <c r="A110" s="1">
        <f>HYPERLINK("https://lsnyc.legalserver.org/matter/dynamic-profile/view/1899982","19-1899982")</f>
        <v>0</v>
      </c>
      <c r="B110" t="s">
        <v>75</v>
      </c>
      <c r="C110" t="s">
        <v>119</v>
      </c>
      <c r="D110" t="s">
        <v>138</v>
      </c>
      <c r="E110" t="s">
        <v>216</v>
      </c>
      <c r="F110" t="s">
        <v>323</v>
      </c>
      <c r="G110" t="s">
        <v>588</v>
      </c>
      <c r="H110" t="s">
        <v>855</v>
      </c>
      <c r="I110" t="s">
        <v>1066</v>
      </c>
      <c r="J110" t="s">
        <v>1159</v>
      </c>
      <c r="K110">
        <v>10452</v>
      </c>
      <c r="L110" t="s">
        <v>1175</v>
      </c>
      <c r="M110" t="s">
        <v>1177</v>
      </c>
      <c r="N110" t="s">
        <v>1227</v>
      </c>
      <c r="O110" t="s">
        <v>1285</v>
      </c>
      <c r="P110" t="s">
        <v>1299</v>
      </c>
      <c r="Q110" t="s">
        <v>1305</v>
      </c>
      <c r="R110" t="s">
        <v>1311</v>
      </c>
      <c r="S110" t="s">
        <v>1176</v>
      </c>
      <c r="U110" t="s">
        <v>1313</v>
      </c>
      <c r="W110" t="s">
        <v>215</v>
      </c>
      <c r="X110">
        <v>1200</v>
      </c>
      <c r="Y110" t="s">
        <v>1328</v>
      </c>
      <c r="Z110" t="s">
        <v>1338</v>
      </c>
      <c r="AA110" t="s">
        <v>1346</v>
      </c>
      <c r="AB110" t="s">
        <v>1459</v>
      </c>
      <c r="AD110" t="s">
        <v>1797</v>
      </c>
      <c r="AE110">
        <v>30</v>
      </c>
      <c r="AF110" t="s">
        <v>1974</v>
      </c>
      <c r="AG110" t="s">
        <v>1985</v>
      </c>
      <c r="AH110">
        <v>28</v>
      </c>
      <c r="AI110">
        <v>1</v>
      </c>
      <c r="AJ110">
        <v>0</v>
      </c>
      <c r="AK110">
        <v>74.27</v>
      </c>
      <c r="AN110" t="s">
        <v>1998</v>
      </c>
      <c r="AO110">
        <v>9276</v>
      </c>
      <c r="AU110">
        <v>0.8</v>
      </c>
      <c r="AV110" t="s">
        <v>138</v>
      </c>
      <c r="AW110" t="s">
        <v>75</v>
      </c>
      <c r="AX110" t="s">
        <v>2079</v>
      </c>
    </row>
    <row r="111" spans="1:50">
      <c r="A111" s="1">
        <f>HYPERLINK("https://lsnyc.legalserver.org/matter/dynamic-profile/view/1891445","19-1891445")</f>
        <v>0</v>
      </c>
      <c r="B111" t="s">
        <v>53</v>
      </c>
      <c r="C111" t="s">
        <v>119</v>
      </c>
      <c r="D111" t="s">
        <v>174</v>
      </c>
      <c r="E111" t="s">
        <v>219</v>
      </c>
      <c r="F111" t="s">
        <v>324</v>
      </c>
      <c r="G111" t="s">
        <v>589</v>
      </c>
      <c r="H111" t="s">
        <v>856</v>
      </c>
      <c r="I111" t="s">
        <v>1067</v>
      </c>
      <c r="J111" t="s">
        <v>1159</v>
      </c>
      <c r="K111">
        <v>10467</v>
      </c>
      <c r="L111" t="s">
        <v>1175</v>
      </c>
      <c r="M111" t="s">
        <v>1177</v>
      </c>
      <c r="O111" t="s">
        <v>1291</v>
      </c>
      <c r="P111" t="s">
        <v>1299</v>
      </c>
      <c r="Q111" t="s">
        <v>1305</v>
      </c>
      <c r="R111" t="s">
        <v>1311</v>
      </c>
      <c r="S111" t="s">
        <v>1176</v>
      </c>
      <c r="U111" t="s">
        <v>1313</v>
      </c>
      <c r="W111" t="s">
        <v>1325</v>
      </c>
      <c r="X111">
        <v>433</v>
      </c>
      <c r="Y111" t="s">
        <v>1328</v>
      </c>
      <c r="Z111" t="s">
        <v>1335</v>
      </c>
      <c r="AA111" t="s">
        <v>1346</v>
      </c>
      <c r="AB111" t="s">
        <v>1460</v>
      </c>
      <c r="AD111" t="s">
        <v>1798</v>
      </c>
      <c r="AE111">
        <v>0</v>
      </c>
      <c r="AF111" t="s">
        <v>1973</v>
      </c>
      <c r="AH111">
        <v>0</v>
      </c>
      <c r="AI111">
        <v>1</v>
      </c>
      <c r="AJ111">
        <v>0</v>
      </c>
      <c r="AK111">
        <v>74.45999999999999</v>
      </c>
      <c r="AN111" t="s">
        <v>1998</v>
      </c>
      <c r="AO111">
        <v>9300</v>
      </c>
      <c r="AU111">
        <v>0.5</v>
      </c>
      <c r="AV111" t="s">
        <v>207</v>
      </c>
      <c r="AW111" t="s">
        <v>53</v>
      </c>
      <c r="AX111" t="s">
        <v>2079</v>
      </c>
    </row>
    <row r="112" spans="1:50">
      <c r="A112" s="1">
        <f>HYPERLINK("https://lsnyc.legalserver.org/matter/dynamic-profile/view/1899990","19-1899990")</f>
        <v>0</v>
      </c>
      <c r="B112" t="s">
        <v>52</v>
      </c>
      <c r="C112" t="s">
        <v>118</v>
      </c>
      <c r="D112" t="s">
        <v>138</v>
      </c>
      <c r="F112" t="s">
        <v>325</v>
      </c>
      <c r="G112" t="s">
        <v>590</v>
      </c>
      <c r="H112" t="s">
        <v>774</v>
      </c>
      <c r="I112" t="s">
        <v>1068</v>
      </c>
      <c r="J112" t="s">
        <v>1159</v>
      </c>
      <c r="K112">
        <v>10460</v>
      </c>
      <c r="L112" t="s">
        <v>1175</v>
      </c>
      <c r="M112" t="s">
        <v>1177</v>
      </c>
      <c r="O112" t="s">
        <v>1282</v>
      </c>
      <c r="P112" t="s">
        <v>1301</v>
      </c>
      <c r="R112" t="s">
        <v>1311</v>
      </c>
      <c r="S112" t="s">
        <v>1175</v>
      </c>
      <c r="U112" t="s">
        <v>1313</v>
      </c>
      <c r="W112" t="s">
        <v>1325</v>
      </c>
      <c r="X112">
        <v>241</v>
      </c>
      <c r="Y112" t="s">
        <v>1328</v>
      </c>
      <c r="Z112" t="s">
        <v>1336</v>
      </c>
      <c r="AB112" t="s">
        <v>1461</v>
      </c>
      <c r="AD112" t="s">
        <v>1799</v>
      </c>
      <c r="AE112">
        <v>168</v>
      </c>
      <c r="AF112" t="s">
        <v>1974</v>
      </c>
      <c r="AG112" t="s">
        <v>1985</v>
      </c>
      <c r="AH112">
        <v>12</v>
      </c>
      <c r="AI112">
        <v>1</v>
      </c>
      <c r="AJ112">
        <v>0</v>
      </c>
      <c r="AK112">
        <v>74.45999999999999</v>
      </c>
      <c r="AN112" t="s">
        <v>1998</v>
      </c>
      <c r="AO112">
        <v>9300</v>
      </c>
      <c r="AU112">
        <v>11</v>
      </c>
      <c r="AV112" t="s">
        <v>157</v>
      </c>
      <c r="AW112" t="s">
        <v>112</v>
      </c>
      <c r="AX112" t="s">
        <v>2079</v>
      </c>
    </row>
    <row r="113" spans="1:50">
      <c r="A113" s="1">
        <f>HYPERLINK("https://lsnyc.legalserver.org/matter/dynamic-profile/view/1903229","19-1903229")</f>
        <v>0</v>
      </c>
      <c r="B113" t="s">
        <v>97</v>
      </c>
      <c r="C113" t="s">
        <v>118</v>
      </c>
      <c r="D113" t="s">
        <v>121</v>
      </c>
      <c r="F113" t="s">
        <v>326</v>
      </c>
      <c r="G113" t="s">
        <v>591</v>
      </c>
      <c r="H113" t="s">
        <v>857</v>
      </c>
      <c r="I113" t="s">
        <v>1069</v>
      </c>
      <c r="J113" t="s">
        <v>1161</v>
      </c>
      <c r="K113">
        <v>10034</v>
      </c>
      <c r="L113" t="s">
        <v>1175</v>
      </c>
      <c r="M113" t="s">
        <v>1177</v>
      </c>
      <c r="O113" t="s">
        <v>1282</v>
      </c>
      <c r="P113" t="s">
        <v>1302</v>
      </c>
      <c r="R113" t="s">
        <v>1311</v>
      </c>
      <c r="S113" t="s">
        <v>1176</v>
      </c>
      <c r="U113" t="s">
        <v>1313</v>
      </c>
      <c r="V113" t="s">
        <v>1321</v>
      </c>
      <c r="W113" t="s">
        <v>121</v>
      </c>
      <c r="X113">
        <v>544.6799999999999</v>
      </c>
      <c r="Y113" t="s">
        <v>1330</v>
      </c>
      <c r="Z113" t="s">
        <v>1335</v>
      </c>
      <c r="AB113" t="s">
        <v>1462</v>
      </c>
      <c r="AD113" t="s">
        <v>1800</v>
      </c>
      <c r="AE113">
        <v>200</v>
      </c>
      <c r="AF113" t="s">
        <v>1975</v>
      </c>
      <c r="AG113" t="s">
        <v>1255</v>
      </c>
      <c r="AH113">
        <v>24</v>
      </c>
      <c r="AI113">
        <v>1</v>
      </c>
      <c r="AJ113">
        <v>0</v>
      </c>
      <c r="AK113">
        <v>74.47</v>
      </c>
      <c r="AN113" t="s">
        <v>1998</v>
      </c>
      <c r="AO113">
        <v>9301.32</v>
      </c>
      <c r="AU113">
        <v>0</v>
      </c>
      <c r="AW113" t="s">
        <v>2066</v>
      </c>
      <c r="AX113" t="s">
        <v>2079</v>
      </c>
    </row>
    <row r="114" spans="1:50">
      <c r="A114" s="1">
        <f>HYPERLINK("https://lsnyc.legalserver.org/matter/dynamic-profile/view/1902364","19-1902364")</f>
        <v>0</v>
      </c>
      <c r="B114" t="s">
        <v>55</v>
      </c>
      <c r="C114" t="s">
        <v>118</v>
      </c>
      <c r="D114" t="s">
        <v>131</v>
      </c>
      <c r="F114" t="s">
        <v>327</v>
      </c>
      <c r="G114" t="s">
        <v>592</v>
      </c>
      <c r="H114" t="s">
        <v>858</v>
      </c>
      <c r="I114">
        <v>11</v>
      </c>
      <c r="J114" t="s">
        <v>1159</v>
      </c>
      <c r="K114">
        <v>10467</v>
      </c>
      <c r="L114" t="s">
        <v>1175</v>
      </c>
      <c r="M114" t="s">
        <v>1177</v>
      </c>
      <c r="N114" t="s">
        <v>1228</v>
      </c>
      <c r="O114" t="s">
        <v>1282</v>
      </c>
      <c r="P114" t="s">
        <v>1299</v>
      </c>
      <c r="R114" t="s">
        <v>1311</v>
      </c>
      <c r="U114" t="s">
        <v>1313</v>
      </c>
      <c r="W114" t="s">
        <v>1325</v>
      </c>
      <c r="X114">
        <v>500</v>
      </c>
      <c r="Y114" t="s">
        <v>1328</v>
      </c>
      <c r="Z114" t="s">
        <v>1338</v>
      </c>
      <c r="AB114" t="s">
        <v>1463</v>
      </c>
      <c r="AD114" t="s">
        <v>1801</v>
      </c>
      <c r="AE114">
        <v>1</v>
      </c>
      <c r="AF114" t="s">
        <v>1973</v>
      </c>
      <c r="AG114" t="s">
        <v>1255</v>
      </c>
      <c r="AH114">
        <v>35</v>
      </c>
      <c r="AI114">
        <v>4</v>
      </c>
      <c r="AJ114">
        <v>1</v>
      </c>
      <c r="AK114">
        <v>74.62</v>
      </c>
      <c r="AN114" t="s">
        <v>1998</v>
      </c>
      <c r="AO114">
        <v>22512</v>
      </c>
      <c r="AU114">
        <v>0.1</v>
      </c>
      <c r="AV114" t="s">
        <v>123</v>
      </c>
      <c r="AW114" t="s">
        <v>55</v>
      </c>
      <c r="AX114" t="s">
        <v>2079</v>
      </c>
    </row>
    <row r="115" spans="1:50">
      <c r="A115" s="1">
        <f>HYPERLINK("https://lsnyc.legalserver.org/matter/dynamic-profile/view/1903330","19-1903330")</f>
        <v>0</v>
      </c>
      <c r="B115" t="s">
        <v>81</v>
      </c>
      <c r="C115" t="s">
        <v>118</v>
      </c>
      <c r="D115" t="s">
        <v>123</v>
      </c>
      <c r="F115" t="s">
        <v>328</v>
      </c>
      <c r="G115" t="s">
        <v>593</v>
      </c>
      <c r="H115" t="s">
        <v>859</v>
      </c>
      <c r="J115" t="s">
        <v>1162</v>
      </c>
      <c r="K115">
        <v>11220</v>
      </c>
      <c r="L115" t="s">
        <v>1175</v>
      </c>
      <c r="M115" t="s">
        <v>1177</v>
      </c>
      <c r="P115" t="s">
        <v>1298</v>
      </c>
      <c r="R115" t="s">
        <v>1311</v>
      </c>
      <c r="S115" t="s">
        <v>1176</v>
      </c>
      <c r="U115" t="s">
        <v>1313</v>
      </c>
      <c r="W115" t="s">
        <v>123</v>
      </c>
      <c r="X115">
        <v>0</v>
      </c>
      <c r="Y115" t="s">
        <v>1331</v>
      </c>
      <c r="AB115" t="s">
        <v>1464</v>
      </c>
      <c r="AE115">
        <v>0</v>
      </c>
      <c r="AH115">
        <v>0</v>
      </c>
      <c r="AI115">
        <v>1</v>
      </c>
      <c r="AJ115">
        <v>1</v>
      </c>
      <c r="AK115">
        <v>74.87</v>
      </c>
      <c r="AN115" t="s">
        <v>1998</v>
      </c>
      <c r="AO115">
        <v>12660</v>
      </c>
      <c r="AU115">
        <v>1.2</v>
      </c>
      <c r="AV115" t="s">
        <v>178</v>
      </c>
      <c r="AW115" t="s">
        <v>2064</v>
      </c>
      <c r="AX115" t="s">
        <v>2079</v>
      </c>
    </row>
    <row r="116" spans="1:50">
      <c r="A116" s="1">
        <f>HYPERLINK("https://lsnyc.legalserver.org/matter/dynamic-profile/view/1902691","19-1902691")</f>
        <v>0</v>
      </c>
      <c r="B116" t="s">
        <v>70</v>
      </c>
      <c r="C116" t="s">
        <v>119</v>
      </c>
      <c r="D116" t="s">
        <v>145</v>
      </c>
      <c r="E116" t="s">
        <v>120</v>
      </c>
      <c r="F116" t="s">
        <v>329</v>
      </c>
      <c r="G116" t="s">
        <v>594</v>
      </c>
      <c r="H116" t="s">
        <v>860</v>
      </c>
      <c r="J116" t="s">
        <v>1156</v>
      </c>
      <c r="K116">
        <v>11423</v>
      </c>
      <c r="L116" t="s">
        <v>1175</v>
      </c>
      <c r="M116" t="s">
        <v>1177</v>
      </c>
      <c r="N116" t="s">
        <v>1229</v>
      </c>
      <c r="O116" t="s">
        <v>1282</v>
      </c>
      <c r="P116" t="s">
        <v>1299</v>
      </c>
      <c r="Q116" t="s">
        <v>1305</v>
      </c>
      <c r="R116" t="s">
        <v>1312</v>
      </c>
      <c r="S116" t="s">
        <v>1176</v>
      </c>
      <c r="U116" t="s">
        <v>1319</v>
      </c>
      <c r="V116" t="s">
        <v>1321</v>
      </c>
      <c r="W116" t="s">
        <v>120</v>
      </c>
      <c r="X116">
        <v>0</v>
      </c>
      <c r="Y116" t="s">
        <v>1327</v>
      </c>
      <c r="Z116" t="s">
        <v>1333</v>
      </c>
      <c r="AA116" t="s">
        <v>1346</v>
      </c>
      <c r="AB116" t="s">
        <v>1465</v>
      </c>
      <c r="AC116" t="s">
        <v>1255</v>
      </c>
      <c r="AD116" t="s">
        <v>1802</v>
      </c>
      <c r="AE116">
        <v>1</v>
      </c>
      <c r="AF116" t="s">
        <v>1973</v>
      </c>
      <c r="AG116" t="s">
        <v>1255</v>
      </c>
      <c r="AH116">
        <v>10</v>
      </c>
      <c r="AI116">
        <v>2</v>
      </c>
      <c r="AJ116">
        <v>1</v>
      </c>
      <c r="AK116">
        <v>75.01000000000001</v>
      </c>
      <c r="AL116" t="s">
        <v>1992</v>
      </c>
      <c r="AM116" t="s">
        <v>1994</v>
      </c>
      <c r="AN116" t="s">
        <v>1998</v>
      </c>
      <c r="AO116">
        <v>16000</v>
      </c>
      <c r="AU116">
        <v>1.2</v>
      </c>
      <c r="AV116" t="s">
        <v>120</v>
      </c>
      <c r="AW116" t="s">
        <v>70</v>
      </c>
      <c r="AX116" t="s">
        <v>2079</v>
      </c>
    </row>
    <row r="117" spans="1:50">
      <c r="A117" s="1">
        <f>HYPERLINK("https://lsnyc.legalserver.org/matter/dynamic-profile/view/1895355","19-1895355")</f>
        <v>0</v>
      </c>
      <c r="B117" t="s">
        <v>65</v>
      </c>
      <c r="C117" t="s">
        <v>119</v>
      </c>
      <c r="D117" t="s">
        <v>175</v>
      </c>
      <c r="E117" t="s">
        <v>213</v>
      </c>
      <c r="F117" t="s">
        <v>330</v>
      </c>
      <c r="G117" t="s">
        <v>595</v>
      </c>
      <c r="H117" t="s">
        <v>861</v>
      </c>
      <c r="I117" t="s">
        <v>1070</v>
      </c>
      <c r="J117" t="s">
        <v>1159</v>
      </c>
      <c r="K117">
        <v>10451</v>
      </c>
      <c r="L117" t="s">
        <v>1175</v>
      </c>
      <c r="M117" t="s">
        <v>1176</v>
      </c>
      <c r="O117" t="s">
        <v>1283</v>
      </c>
      <c r="P117" t="s">
        <v>1299</v>
      </c>
      <c r="Q117" t="s">
        <v>1305</v>
      </c>
      <c r="R117" t="s">
        <v>1311</v>
      </c>
      <c r="S117" t="s">
        <v>1176</v>
      </c>
      <c r="U117" t="s">
        <v>1313</v>
      </c>
      <c r="W117" t="s">
        <v>1325</v>
      </c>
      <c r="X117">
        <v>1155</v>
      </c>
      <c r="Y117" t="s">
        <v>1328</v>
      </c>
      <c r="Z117" t="s">
        <v>1336</v>
      </c>
      <c r="AA117" t="s">
        <v>1346</v>
      </c>
      <c r="AB117" t="s">
        <v>1466</v>
      </c>
      <c r="AC117" t="s">
        <v>1697</v>
      </c>
      <c r="AE117">
        <v>0</v>
      </c>
      <c r="AF117" t="s">
        <v>1974</v>
      </c>
      <c r="AG117" t="s">
        <v>1988</v>
      </c>
      <c r="AH117">
        <v>20</v>
      </c>
      <c r="AI117">
        <v>1</v>
      </c>
      <c r="AJ117">
        <v>3</v>
      </c>
      <c r="AK117">
        <v>75.26000000000001</v>
      </c>
      <c r="AN117" t="s">
        <v>2000</v>
      </c>
      <c r="AO117">
        <v>19380</v>
      </c>
      <c r="AU117">
        <v>1.1</v>
      </c>
      <c r="AV117" t="s">
        <v>213</v>
      </c>
      <c r="AW117" t="s">
        <v>65</v>
      </c>
      <c r="AX117" t="s">
        <v>2079</v>
      </c>
    </row>
    <row r="118" spans="1:50">
      <c r="A118" s="1">
        <f>HYPERLINK("https://lsnyc.legalserver.org/matter/dynamic-profile/view/1880487","18-1880487")</f>
        <v>0</v>
      </c>
      <c r="B118" t="s">
        <v>71</v>
      </c>
      <c r="C118" t="s">
        <v>119</v>
      </c>
      <c r="D118" t="s">
        <v>176</v>
      </c>
      <c r="E118" t="s">
        <v>215</v>
      </c>
      <c r="F118" t="s">
        <v>331</v>
      </c>
      <c r="G118" t="s">
        <v>596</v>
      </c>
      <c r="H118" t="s">
        <v>862</v>
      </c>
      <c r="I118">
        <v>2</v>
      </c>
      <c r="J118" t="s">
        <v>1159</v>
      </c>
      <c r="K118">
        <v>10453</v>
      </c>
      <c r="L118" t="s">
        <v>1175</v>
      </c>
      <c r="M118" t="s">
        <v>1175</v>
      </c>
      <c r="O118" t="s">
        <v>1285</v>
      </c>
      <c r="P118" t="s">
        <v>1302</v>
      </c>
      <c r="Q118" t="s">
        <v>1305</v>
      </c>
      <c r="R118" t="s">
        <v>1311</v>
      </c>
      <c r="S118" t="s">
        <v>1175</v>
      </c>
      <c r="U118" t="s">
        <v>1313</v>
      </c>
      <c r="W118" t="s">
        <v>1325</v>
      </c>
      <c r="X118">
        <v>800</v>
      </c>
      <c r="Y118" t="s">
        <v>1328</v>
      </c>
      <c r="Z118" t="s">
        <v>1343</v>
      </c>
      <c r="AA118" t="s">
        <v>1346</v>
      </c>
      <c r="AB118" t="s">
        <v>1467</v>
      </c>
      <c r="AC118" t="s">
        <v>1698</v>
      </c>
      <c r="AD118" t="s">
        <v>1803</v>
      </c>
      <c r="AE118">
        <v>0</v>
      </c>
      <c r="AF118" t="s">
        <v>1974</v>
      </c>
      <c r="AG118" t="s">
        <v>1991</v>
      </c>
      <c r="AH118">
        <v>4</v>
      </c>
      <c r="AI118">
        <v>1</v>
      </c>
      <c r="AJ118">
        <v>0</v>
      </c>
      <c r="AK118">
        <v>75.91</v>
      </c>
      <c r="AN118" t="s">
        <v>1998</v>
      </c>
      <c r="AO118">
        <v>9216</v>
      </c>
      <c r="AU118">
        <v>1</v>
      </c>
      <c r="AV118" t="s">
        <v>215</v>
      </c>
      <c r="AW118" t="s">
        <v>2052</v>
      </c>
      <c r="AX118" t="s">
        <v>2079</v>
      </c>
    </row>
    <row r="119" spans="1:50">
      <c r="A119" s="1">
        <f>HYPERLINK("https://lsnyc.legalserver.org/matter/dynamic-profile/view/1887865","19-1887865")</f>
        <v>0</v>
      </c>
      <c r="B119" t="s">
        <v>52</v>
      </c>
      <c r="C119" t="s">
        <v>118</v>
      </c>
      <c r="D119" t="s">
        <v>177</v>
      </c>
      <c r="F119" t="s">
        <v>325</v>
      </c>
      <c r="G119" t="s">
        <v>590</v>
      </c>
      <c r="H119" t="s">
        <v>774</v>
      </c>
      <c r="I119" t="s">
        <v>1068</v>
      </c>
      <c r="J119" t="s">
        <v>1159</v>
      </c>
      <c r="K119">
        <v>10460</v>
      </c>
      <c r="L119" t="s">
        <v>1175</v>
      </c>
      <c r="M119" t="s">
        <v>1175</v>
      </c>
      <c r="N119" t="s">
        <v>1230</v>
      </c>
      <c r="O119" t="s">
        <v>1284</v>
      </c>
      <c r="P119" t="s">
        <v>1298</v>
      </c>
      <c r="R119" t="s">
        <v>1311</v>
      </c>
      <c r="S119" t="s">
        <v>1176</v>
      </c>
      <c r="U119" t="s">
        <v>1313</v>
      </c>
      <c r="W119" t="s">
        <v>1325</v>
      </c>
      <c r="X119">
        <v>241</v>
      </c>
      <c r="Y119" t="s">
        <v>1328</v>
      </c>
      <c r="Z119" t="s">
        <v>1335</v>
      </c>
      <c r="AB119" t="s">
        <v>1461</v>
      </c>
      <c r="AD119" t="s">
        <v>1799</v>
      </c>
      <c r="AE119">
        <v>169</v>
      </c>
      <c r="AF119" t="s">
        <v>1977</v>
      </c>
      <c r="AG119" t="s">
        <v>1985</v>
      </c>
      <c r="AH119">
        <v>12</v>
      </c>
      <c r="AI119">
        <v>1</v>
      </c>
      <c r="AJ119">
        <v>0</v>
      </c>
      <c r="AK119">
        <v>76.61</v>
      </c>
      <c r="AN119" t="s">
        <v>1998</v>
      </c>
      <c r="AO119">
        <v>9300</v>
      </c>
      <c r="AU119">
        <v>26.2</v>
      </c>
      <c r="AV119" t="s">
        <v>152</v>
      </c>
      <c r="AW119" t="s">
        <v>2063</v>
      </c>
      <c r="AX119" t="s">
        <v>2079</v>
      </c>
    </row>
    <row r="120" spans="1:50">
      <c r="A120" s="1">
        <f>HYPERLINK("https://lsnyc.legalserver.org/matter/dynamic-profile/view/1898074","19-1898074")</f>
        <v>0</v>
      </c>
      <c r="B120" t="s">
        <v>65</v>
      </c>
      <c r="C120" t="s">
        <v>119</v>
      </c>
      <c r="D120" t="s">
        <v>128</v>
      </c>
      <c r="E120" t="s">
        <v>218</v>
      </c>
      <c r="F120" t="s">
        <v>332</v>
      </c>
      <c r="G120" t="s">
        <v>597</v>
      </c>
      <c r="H120" t="s">
        <v>863</v>
      </c>
      <c r="I120" t="s">
        <v>1071</v>
      </c>
      <c r="J120" t="s">
        <v>1159</v>
      </c>
      <c r="K120">
        <v>10452</v>
      </c>
      <c r="L120" t="s">
        <v>1175</v>
      </c>
      <c r="M120" t="s">
        <v>1175</v>
      </c>
      <c r="O120" t="s">
        <v>1282</v>
      </c>
      <c r="P120" t="s">
        <v>1299</v>
      </c>
      <c r="Q120" t="s">
        <v>1305</v>
      </c>
      <c r="R120" t="s">
        <v>1311</v>
      </c>
      <c r="S120" t="s">
        <v>1176</v>
      </c>
      <c r="U120" t="s">
        <v>1313</v>
      </c>
      <c r="W120" t="s">
        <v>1325</v>
      </c>
      <c r="X120">
        <v>1160</v>
      </c>
      <c r="Y120" t="s">
        <v>1328</v>
      </c>
      <c r="Z120" t="s">
        <v>1336</v>
      </c>
      <c r="AA120" t="s">
        <v>1346</v>
      </c>
      <c r="AB120" t="s">
        <v>1468</v>
      </c>
      <c r="AC120" t="s">
        <v>1699</v>
      </c>
      <c r="AD120" t="s">
        <v>1804</v>
      </c>
      <c r="AE120">
        <v>0</v>
      </c>
      <c r="AF120" t="s">
        <v>1973</v>
      </c>
      <c r="AG120" t="s">
        <v>1341</v>
      </c>
      <c r="AH120">
        <v>4</v>
      </c>
      <c r="AI120">
        <v>1</v>
      </c>
      <c r="AJ120">
        <v>0</v>
      </c>
      <c r="AK120">
        <v>76.86</v>
      </c>
      <c r="AN120" t="s">
        <v>1998</v>
      </c>
      <c r="AO120">
        <v>9600</v>
      </c>
      <c r="AU120">
        <v>0.5</v>
      </c>
      <c r="AV120" t="s">
        <v>128</v>
      </c>
      <c r="AW120" t="s">
        <v>112</v>
      </c>
      <c r="AX120" t="s">
        <v>2079</v>
      </c>
    </row>
    <row r="121" spans="1:50">
      <c r="A121" s="1">
        <f>HYPERLINK("https://lsnyc.legalserver.org/matter/dynamic-profile/view/1899942","19-1899942")</f>
        <v>0</v>
      </c>
      <c r="B121" t="s">
        <v>52</v>
      </c>
      <c r="C121" t="s">
        <v>118</v>
      </c>
      <c r="D121" t="s">
        <v>138</v>
      </c>
      <c r="F121" t="s">
        <v>319</v>
      </c>
      <c r="G121" t="s">
        <v>598</v>
      </c>
      <c r="H121" t="s">
        <v>774</v>
      </c>
      <c r="I121" t="s">
        <v>1072</v>
      </c>
      <c r="J121" t="s">
        <v>1159</v>
      </c>
      <c r="K121">
        <v>10460</v>
      </c>
      <c r="L121" t="s">
        <v>1175</v>
      </c>
      <c r="M121" t="s">
        <v>1177</v>
      </c>
      <c r="O121" t="s">
        <v>1282</v>
      </c>
      <c r="P121" t="s">
        <v>1301</v>
      </c>
      <c r="R121" t="s">
        <v>1311</v>
      </c>
      <c r="S121" t="s">
        <v>1175</v>
      </c>
      <c r="U121" t="s">
        <v>1313</v>
      </c>
      <c r="W121" t="s">
        <v>1325</v>
      </c>
      <c r="X121">
        <v>263</v>
      </c>
      <c r="Y121" t="s">
        <v>1328</v>
      </c>
      <c r="Z121" t="s">
        <v>1336</v>
      </c>
      <c r="AB121" t="s">
        <v>1469</v>
      </c>
      <c r="AD121" t="s">
        <v>1805</v>
      </c>
      <c r="AE121">
        <v>168</v>
      </c>
      <c r="AF121" t="s">
        <v>1976</v>
      </c>
      <c r="AG121" t="s">
        <v>1985</v>
      </c>
      <c r="AH121">
        <v>44</v>
      </c>
      <c r="AI121">
        <v>1</v>
      </c>
      <c r="AJ121">
        <v>0</v>
      </c>
      <c r="AK121">
        <v>77.34</v>
      </c>
      <c r="AN121" t="s">
        <v>1998</v>
      </c>
      <c r="AO121">
        <v>9660</v>
      </c>
      <c r="AU121">
        <v>0</v>
      </c>
      <c r="AW121" t="s">
        <v>112</v>
      </c>
    </row>
    <row r="122" spans="1:50">
      <c r="A122" s="1">
        <f>HYPERLINK("https://lsnyc.legalserver.org/matter/dynamic-profile/view/1904441","19-1904441")</f>
        <v>0</v>
      </c>
      <c r="B122" t="s">
        <v>52</v>
      </c>
      <c r="C122" t="s">
        <v>118</v>
      </c>
      <c r="D122" t="s">
        <v>178</v>
      </c>
      <c r="F122" t="s">
        <v>333</v>
      </c>
      <c r="G122" t="s">
        <v>599</v>
      </c>
      <c r="H122" t="s">
        <v>774</v>
      </c>
      <c r="I122" t="s">
        <v>1073</v>
      </c>
      <c r="J122" t="s">
        <v>1159</v>
      </c>
      <c r="K122">
        <v>10460</v>
      </c>
      <c r="L122" t="s">
        <v>1175</v>
      </c>
      <c r="M122" t="s">
        <v>1177</v>
      </c>
      <c r="O122" t="s">
        <v>1282</v>
      </c>
      <c r="P122" t="s">
        <v>1301</v>
      </c>
      <c r="R122" t="s">
        <v>1311</v>
      </c>
      <c r="S122" t="s">
        <v>1175</v>
      </c>
      <c r="U122" t="s">
        <v>1313</v>
      </c>
      <c r="W122" t="s">
        <v>1325</v>
      </c>
      <c r="X122">
        <v>1100</v>
      </c>
      <c r="Y122" t="s">
        <v>1328</v>
      </c>
      <c r="Z122" t="s">
        <v>1336</v>
      </c>
      <c r="AB122" t="s">
        <v>1470</v>
      </c>
      <c r="AD122" t="s">
        <v>1806</v>
      </c>
      <c r="AE122">
        <v>248</v>
      </c>
      <c r="AF122" t="s">
        <v>1974</v>
      </c>
      <c r="AH122">
        <v>4</v>
      </c>
      <c r="AI122">
        <v>1</v>
      </c>
      <c r="AJ122">
        <v>0</v>
      </c>
      <c r="AK122">
        <v>77.53</v>
      </c>
      <c r="AN122" t="s">
        <v>1998</v>
      </c>
      <c r="AO122">
        <v>9684</v>
      </c>
      <c r="AU122">
        <v>0</v>
      </c>
      <c r="AW122" t="s">
        <v>57</v>
      </c>
      <c r="AX122" t="s">
        <v>2079</v>
      </c>
    </row>
    <row r="123" spans="1:50">
      <c r="A123" s="1">
        <f>HYPERLINK("https://lsnyc.legalserver.org/matter/dynamic-profile/view/1901785","19-1901785")</f>
        <v>0</v>
      </c>
      <c r="B123" t="s">
        <v>86</v>
      </c>
      <c r="C123" t="s">
        <v>118</v>
      </c>
      <c r="D123" t="s">
        <v>142</v>
      </c>
      <c r="F123" t="s">
        <v>334</v>
      </c>
      <c r="G123" t="s">
        <v>600</v>
      </c>
      <c r="H123" t="s">
        <v>864</v>
      </c>
      <c r="I123" t="s">
        <v>1074</v>
      </c>
      <c r="J123" t="s">
        <v>1158</v>
      </c>
      <c r="K123">
        <v>11354</v>
      </c>
      <c r="L123" t="s">
        <v>1175</v>
      </c>
      <c r="M123" t="s">
        <v>1177</v>
      </c>
      <c r="N123" t="s">
        <v>1231</v>
      </c>
      <c r="O123" t="s">
        <v>1281</v>
      </c>
      <c r="P123" t="s">
        <v>1303</v>
      </c>
      <c r="R123" t="s">
        <v>1311</v>
      </c>
      <c r="S123" t="s">
        <v>1176</v>
      </c>
      <c r="U123" t="s">
        <v>1313</v>
      </c>
      <c r="W123" t="s">
        <v>142</v>
      </c>
      <c r="X123">
        <v>939.65</v>
      </c>
      <c r="Y123" t="s">
        <v>1327</v>
      </c>
      <c r="Z123" t="s">
        <v>1332</v>
      </c>
      <c r="AB123" t="s">
        <v>1471</v>
      </c>
      <c r="AD123" t="s">
        <v>1807</v>
      </c>
      <c r="AE123">
        <v>0</v>
      </c>
      <c r="AF123" t="s">
        <v>1980</v>
      </c>
      <c r="AG123" t="s">
        <v>1255</v>
      </c>
      <c r="AH123">
        <v>30</v>
      </c>
      <c r="AI123">
        <v>1</v>
      </c>
      <c r="AJ123">
        <v>0</v>
      </c>
      <c r="AK123">
        <v>78.78</v>
      </c>
      <c r="AN123" t="s">
        <v>1998</v>
      </c>
      <c r="AO123">
        <v>9840</v>
      </c>
      <c r="AU123">
        <v>1.65</v>
      </c>
      <c r="AV123" t="s">
        <v>160</v>
      </c>
      <c r="AW123" t="s">
        <v>2061</v>
      </c>
      <c r="AX123" t="s">
        <v>2079</v>
      </c>
    </row>
    <row r="124" spans="1:50">
      <c r="A124" s="1">
        <f>HYPERLINK("https://lsnyc.legalserver.org/matter/dynamic-profile/view/1882868","18-1882868")</f>
        <v>0</v>
      </c>
      <c r="B124" t="s">
        <v>65</v>
      </c>
      <c r="C124" t="s">
        <v>119</v>
      </c>
      <c r="D124" t="s">
        <v>179</v>
      </c>
      <c r="E124" t="s">
        <v>220</v>
      </c>
      <c r="F124" t="s">
        <v>335</v>
      </c>
      <c r="G124" t="s">
        <v>601</v>
      </c>
      <c r="H124" t="s">
        <v>865</v>
      </c>
      <c r="I124" t="s">
        <v>1075</v>
      </c>
      <c r="J124" t="s">
        <v>1159</v>
      </c>
      <c r="K124">
        <v>10458</v>
      </c>
      <c r="L124" t="s">
        <v>1175</v>
      </c>
      <c r="M124" t="s">
        <v>1175</v>
      </c>
      <c r="O124" t="s">
        <v>1285</v>
      </c>
      <c r="P124" t="s">
        <v>1299</v>
      </c>
      <c r="Q124" t="s">
        <v>1305</v>
      </c>
      <c r="R124" t="s">
        <v>1311</v>
      </c>
      <c r="S124" t="s">
        <v>1175</v>
      </c>
      <c r="U124" t="s">
        <v>1313</v>
      </c>
      <c r="W124" t="s">
        <v>1325</v>
      </c>
      <c r="X124">
        <v>995</v>
      </c>
      <c r="Y124" t="s">
        <v>1328</v>
      </c>
      <c r="Z124" t="s">
        <v>1336</v>
      </c>
      <c r="AA124" t="s">
        <v>1346</v>
      </c>
      <c r="AB124" t="s">
        <v>1472</v>
      </c>
      <c r="AE124">
        <v>0</v>
      </c>
      <c r="AF124" t="s">
        <v>1973</v>
      </c>
      <c r="AG124" t="s">
        <v>1255</v>
      </c>
      <c r="AH124">
        <v>8</v>
      </c>
      <c r="AI124">
        <v>1</v>
      </c>
      <c r="AJ124">
        <v>0</v>
      </c>
      <c r="AK124">
        <v>79.08</v>
      </c>
      <c r="AN124" t="s">
        <v>2000</v>
      </c>
      <c r="AO124">
        <v>9600</v>
      </c>
      <c r="AU124">
        <v>0.3</v>
      </c>
      <c r="AV124" t="s">
        <v>220</v>
      </c>
      <c r="AW124" t="s">
        <v>2053</v>
      </c>
      <c r="AX124" t="s">
        <v>2079</v>
      </c>
    </row>
    <row r="125" spans="1:50">
      <c r="A125" s="1">
        <f>HYPERLINK("https://lsnyc.legalserver.org/matter/dynamic-profile/view/1896009","19-1896009")</f>
        <v>0</v>
      </c>
      <c r="B125" t="s">
        <v>55</v>
      </c>
      <c r="C125" t="s">
        <v>118</v>
      </c>
      <c r="D125" t="s">
        <v>169</v>
      </c>
      <c r="F125" t="s">
        <v>336</v>
      </c>
      <c r="G125" t="s">
        <v>602</v>
      </c>
      <c r="H125" t="s">
        <v>866</v>
      </c>
      <c r="I125">
        <v>502</v>
      </c>
      <c r="J125" t="s">
        <v>1159</v>
      </c>
      <c r="K125">
        <v>10466</v>
      </c>
      <c r="L125" t="s">
        <v>1175</v>
      </c>
      <c r="M125" t="s">
        <v>1175</v>
      </c>
      <c r="N125" t="s">
        <v>1180</v>
      </c>
      <c r="O125" t="s">
        <v>1282</v>
      </c>
      <c r="P125" t="s">
        <v>1299</v>
      </c>
      <c r="R125" t="s">
        <v>1311</v>
      </c>
      <c r="S125" t="s">
        <v>1176</v>
      </c>
      <c r="U125" t="s">
        <v>1313</v>
      </c>
      <c r="W125" t="s">
        <v>145</v>
      </c>
      <c r="X125">
        <v>202</v>
      </c>
      <c r="Y125" t="s">
        <v>1328</v>
      </c>
      <c r="Z125" t="s">
        <v>1338</v>
      </c>
      <c r="AB125" t="s">
        <v>1473</v>
      </c>
      <c r="AE125">
        <v>0</v>
      </c>
      <c r="AF125" t="s">
        <v>1981</v>
      </c>
      <c r="AG125" t="s">
        <v>1341</v>
      </c>
      <c r="AH125">
        <v>7</v>
      </c>
      <c r="AI125">
        <v>1</v>
      </c>
      <c r="AJ125">
        <v>0</v>
      </c>
      <c r="AK125">
        <v>79.26000000000001</v>
      </c>
      <c r="AN125" t="s">
        <v>2000</v>
      </c>
      <c r="AO125">
        <v>9900</v>
      </c>
      <c r="AU125">
        <v>0.2</v>
      </c>
      <c r="AV125" t="s">
        <v>151</v>
      </c>
      <c r="AW125" t="s">
        <v>55</v>
      </c>
      <c r="AX125" t="s">
        <v>2079</v>
      </c>
    </row>
    <row r="126" spans="1:50">
      <c r="A126" s="1">
        <f>HYPERLINK("https://lsnyc.legalserver.org/matter/dynamic-profile/view/1899522","19-1899522")</f>
        <v>0</v>
      </c>
      <c r="B126" t="s">
        <v>87</v>
      </c>
      <c r="C126" t="s">
        <v>118</v>
      </c>
      <c r="D126" t="s">
        <v>158</v>
      </c>
      <c r="F126" t="s">
        <v>337</v>
      </c>
      <c r="G126" t="s">
        <v>603</v>
      </c>
      <c r="H126" t="s">
        <v>867</v>
      </c>
      <c r="J126" t="s">
        <v>1159</v>
      </c>
      <c r="K126">
        <v>10456</v>
      </c>
      <c r="L126" t="s">
        <v>1175</v>
      </c>
      <c r="M126" t="s">
        <v>1177</v>
      </c>
      <c r="O126" t="s">
        <v>1282</v>
      </c>
      <c r="P126" t="s">
        <v>1299</v>
      </c>
      <c r="R126" t="s">
        <v>1311</v>
      </c>
      <c r="S126" t="s">
        <v>1176</v>
      </c>
      <c r="U126" t="s">
        <v>1313</v>
      </c>
      <c r="W126" t="s">
        <v>1325</v>
      </c>
      <c r="X126">
        <v>0</v>
      </c>
      <c r="Y126" t="s">
        <v>1328</v>
      </c>
      <c r="Z126" t="s">
        <v>1336</v>
      </c>
      <c r="AB126" t="s">
        <v>1474</v>
      </c>
      <c r="AD126" t="s">
        <v>1808</v>
      </c>
      <c r="AE126">
        <v>1</v>
      </c>
      <c r="AF126" t="s">
        <v>1683</v>
      </c>
      <c r="AG126" t="s">
        <v>1255</v>
      </c>
      <c r="AH126">
        <v>0</v>
      </c>
      <c r="AI126">
        <v>1</v>
      </c>
      <c r="AJ126">
        <v>0</v>
      </c>
      <c r="AK126">
        <v>79.26000000000001</v>
      </c>
      <c r="AN126" t="s">
        <v>1998</v>
      </c>
      <c r="AO126">
        <v>9900</v>
      </c>
      <c r="AU126">
        <v>0.5</v>
      </c>
      <c r="AV126" t="s">
        <v>160</v>
      </c>
      <c r="AW126" t="s">
        <v>2053</v>
      </c>
      <c r="AX126" t="s">
        <v>2079</v>
      </c>
    </row>
    <row r="127" spans="1:50">
      <c r="A127" s="1">
        <f>HYPERLINK("https://lsnyc.legalserver.org/matter/dynamic-profile/view/1899937","19-1899937")</f>
        <v>0</v>
      </c>
      <c r="B127" t="s">
        <v>52</v>
      </c>
      <c r="C127" t="s">
        <v>118</v>
      </c>
      <c r="D127" t="s">
        <v>138</v>
      </c>
      <c r="F127" t="s">
        <v>338</v>
      </c>
      <c r="G127" t="s">
        <v>604</v>
      </c>
      <c r="H127" t="s">
        <v>774</v>
      </c>
      <c r="I127" t="s">
        <v>1076</v>
      </c>
      <c r="J127" t="s">
        <v>1159</v>
      </c>
      <c r="K127">
        <v>10460</v>
      </c>
      <c r="L127" t="s">
        <v>1175</v>
      </c>
      <c r="M127" t="s">
        <v>1177</v>
      </c>
      <c r="O127" t="s">
        <v>1282</v>
      </c>
      <c r="P127" t="s">
        <v>1301</v>
      </c>
      <c r="R127" t="s">
        <v>1311</v>
      </c>
      <c r="S127" t="s">
        <v>1175</v>
      </c>
      <c r="U127" t="s">
        <v>1313</v>
      </c>
      <c r="W127" t="s">
        <v>1325</v>
      </c>
      <c r="X127">
        <v>238</v>
      </c>
      <c r="Y127" t="s">
        <v>1328</v>
      </c>
      <c r="Z127" t="s">
        <v>1336</v>
      </c>
      <c r="AB127" t="s">
        <v>1475</v>
      </c>
      <c r="AC127" t="s">
        <v>1700</v>
      </c>
      <c r="AD127" t="s">
        <v>1809</v>
      </c>
      <c r="AE127">
        <v>168</v>
      </c>
      <c r="AF127" t="s">
        <v>1974</v>
      </c>
      <c r="AG127" t="s">
        <v>1985</v>
      </c>
      <c r="AH127">
        <v>24</v>
      </c>
      <c r="AI127">
        <v>1</v>
      </c>
      <c r="AJ127">
        <v>0</v>
      </c>
      <c r="AK127">
        <v>79.36</v>
      </c>
      <c r="AN127" t="s">
        <v>1998</v>
      </c>
      <c r="AO127">
        <v>9912</v>
      </c>
      <c r="AU127">
        <v>0</v>
      </c>
      <c r="AW127" t="s">
        <v>112</v>
      </c>
      <c r="AX127" t="s">
        <v>2079</v>
      </c>
    </row>
    <row r="128" spans="1:50">
      <c r="A128" s="1">
        <f>HYPERLINK("https://lsnyc.legalserver.org/matter/dynamic-profile/view/1899829","19-1899829")</f>
        <v>0</v>
      </c>
      <c r="B128" t="s">
        <v>52</v>
      </c>
      <c r="C128" t="s">
        <v>118</v>
      </c>
      <c r="D128" t="s">
        <v>143</v>
      </c>
      <c r="F128" t="s">
        <v>227</v>
      </c>
      <c r="G128" t="s">
        <v>536</v>
      </c>
      <c r="H128" t="s">
        <v>774</v>
      </c>
      <c r="I128" t="s">
        <v>1077</v>
      </c>
      <c r="J128" t="s">
        <v>1159</v>
      </c>
      <c r="K128">
        <v>10460</v>
      </c>
      <c r="L128" t="s">
        <v>1175</v>
      </c>
      <c r="M128" t="s">
        <v>1177</v>
      </c>
      <c r="N128" t="s">
        <v>1180</v>
      </c>
      <c r="O128" t="s">
        <v>1282</v>
      </c>
      <c r="P128" t="s">
        <v>1301</v>
      </c>
      <c r="R128" t="s">
        <v>1311</v>
      </c>
      <c r="S128" t="s">
        <v>1175</v>
      </c>
      <c r="U128" t="s">
        <v>1313</v>
      </c>
      <c r="W128" t="s">
        <v>1325</v>
      </c>
      <c r="X128">
        <v>1500</v>
      </c>
      <c r="Y128" t="s">
        <v>1328</v>
      </c>
      <c r="Z128" t="s">
        <v>1336</v>
      </c>
      <c r="AB128" t="s">
        <v>1476</v>
      </c>
      <c r="AD128" t="s">
        <v>1810</v>
      </c>
      <c r="AE128">
        <v>168</v>
      </c>
      <c r="AG128" t="s">
        <v>1987</v>
      </c>
      <c r="AH128">
        <v>2</v>
      </c>
      <c r="AI128">
        <v>1</v>
      </c>
      <c r="AJ128">
        <v>0</v>
      </c>
      <c r="AK128">
        <v>79.55</v>
      </c>
      <c r="AN128" t="s">
        <v>2000</v>
      </c>
      <c r="AO128">
        <v>9936</v>
      </c>
      <c r="AU128">
        <v>0</v>
      </c>
      <c r="AW128" t="s">
        <v>2053</v>
      </c>
      <c r="AX128" t="s">
        <v>2079</v>
      </c>
    </row>
    <row r="129" spans="1:50">
      <c r="A129" s="1">
        <f>HYPERLINK("https://lsnyc.legalserver.org/matter/dynamic-profile/view/1882859","18-1882859")</f>
        <v>0</v>
      </c>
      <c r="B129" t="s">
        <v>65</v>
      </c>
      <c r="C129" t="s">
        <v>119</v>
      </c>
      <c r="D129" t="s">
        <v>179</v>
      </c>
      <c r="E129" t="s">
        <v>220</v>
      </c>
      <c r="F129" t="s">
        <v>316</v>
      </c>
      <c r="G129" t="s">
        <v>497</v>
      </c>
      <c r="H129" t="s">
        <v>865</v>
      </c>
      <c r="I129" t="s">
        <v>1078</v>
      </c>
      <c r="J129" t="s">
        <v>1159</v>
      </c>
      <c r="K129">
        <v>10458</v>
      </c>
      <c r="L129" t="s">
        <v>1175</v>
      </c>
      <c r="M129" t="s">
        <v>1175</v>
      </c>
      <c r="O129" t="s">
        <v>1285</v>
      </c>
      <c r="P129" t="s">
        <v>1299</v>
      </c>
      <c r="Q129" t="s">
        <v>1305</v>
      </c>
      <c r="R129" t="s">
        <v>1311</v>
      </c>
      <c r="S129" t="s">
        <v>1175</v>
      </c>
      <c r="U129" t="s">
        <v>1313</v>
      </c>
      <c r="W129" t="s">
        <v>1325</v>
      </c>
      <c r="X129">
        <v>943.8</v>
      </c>
      <c r="Y129" t="s">
        <v>1328</v>
      </c>
      <c r="AA129" t="s">
        <v>1346</v>
      </c>
      <c r="AB129" t="s">
        <v>1477</v>
      </c>
      <c r="AE129">
        <v>0</v>
      </c>
      <c r="AF129" t="s">
        <v>1973</v>
      </c>
      <c r="AG129" t="s">
        <v>1255</v>
      </c>
      <c r="AH129">
        <v>9</v>
      </c>
      <c r="AI129">
        <v>2</v>
      </c>
      <c r="AJ129">
        <v>2</v>
      </c>
      <c r="AK129">
        <v>79.68000000000001</v>
      </c>
      <c r="AN129" t="s">
        <v>2000</v>
      </c>
      <c r="AO129">
        <v>20000</v>
      </c>
      <c r="AU129">
        <v>0.3</v>
      </c>
      <c r="AV129" t="s">
        <v>220</v>
      </c>
      <c r="AW129" t="s">
        <v>2053</v>
      </c>
      <c r="AX129" t="s">
        <v>2079</v>
      </c>
    </row>
    <row r="130" spans="1:50">
      <c r="A130" s="1">
        <f>HYPERLINK("https://lsnyc.legalserver.org/matter/dynamic-profile/view/1901368","19-1901368")</f>
        <v>0</v>
      </c>
      <c r="B130" t="s">
        <v>92</v>
      </c>
      <c r="C130" t="s">
        <v>118</v>
      </c>
      <c r="D130" t="s">
        <v>129</v>
      </c>
      <c r="F130" t="s">
        <v>339</v>
      </c>
      <c r="G130" t="s">
        <v>605</v>
      </c>
      <c r="H130" t="s">
        <v>868</v>
      </c>
      <c r="I130" t="s">
        <v>995</v>
      </c>
      <c r="J130" t="s">
        <v>1162</v>
      </c>
      <c r="K130">
        <v>11218</v>
      </c>
      <c r="L130" t="s">
        <v>1175</v>
      </c>
      <c r="M130" t="s">
        <v>1177</v>
      </c>
      <c r="R130" t="s">
        <v>1311</v>
      </c>
      <c r="S130" t="s">
        <v>1175</v>
      </c>
      <c r="U130" t="s">
        <v>1313</v>
      </c>
      <c r="W130" t="s">
        <v>129</v>
      </c>
      <c r="X130">
        <v>0</v>
      </c>
      <c r="Y130" t="s">
        <v>1331</v>
      </c>
      <c r="AB130" t="s">
        <v>1478</v>
      </c>
      <c r="AE130">
        <v>0</v>
      </c>
      <c r="AH130">
        <v>0</v>
      </c>
      <c r="AI130">
        <v>3</v>
      </c>
      <c r="AJ130">
        <v>2</v>
      </c>
      <c r="AK130">
        <v>80.20999999999999</v>
      </c>
      <c r="AN130" t="s">
        <v>1998</v>
      </c>
      <c r="AO130">
        <v>24200</v>
      </c>
      <c r="AU130">
        <v>0.5</v>
      </c>
      <c r="AV130" t="s">
        <v>129</v>
      </c>
      <c r="AW130" t="s">
        <v>92</v>
      </c>
    </row>
    <row r="131" spans="1:50">
      <c r="A131" s="1">
        <f>HYPERLINK("https://lsnyc.legalserver.org/matter/dynamic-profile/view/1902606","19-1902606")</f>
        <v>0</v>
      </c>
      <c r="B131" t="s">
        <v>66</v>
      </c>
      <c r="C131" t="s">
        <v>118</v>
      </c>
      <c r="D131" t="s">
        <v>145</v>
      </c>
      <c r="F131" t="s">
        <v>340</v>
      </c>
      <c r="G131" t="s">
        <v>606</v>
      </c>
      <c r="H131" t="s">
        <v>869</v>
      </c>
      <c r="I131" t="s">
        <v>1079</v>
      </c>
      <c r="J131" t="s">
        <v>1159</v>
      </c>
      <c r="K131">
        <v>10451</v>
      </c>
      <c r="L131" t="s">
        <v>1175</v>
      </c>
      <c r="M131" t="s">
        <v>1177</v>
      </c>
      <c r="N131" t="s">
        <v>1232</v>
      </c>
      <c r="O131" t="s">
        <v>1281</v>
      </c>
      <c r="P131" t="s">
        <v>1298</v>
      </c>
      <c r="R131" t="s">
        <v>1311</v>
      </c>
      <c r="S131" t="s">
        <v>1176</v>
      </c>
      <c r="U131" t="s">
        <v>1313</v>
      </c>
      <c r="V131" t="s">
        <v>1321</v>
      </c>
      <c r="W131" t="s">
        <v>1325</v>
      </c>
      <c r="X131">
        <v>1640</v>
      </c>
      <c r="Y131" t="s">
        <v>1328</v>
      </c>
      <c r="Z131" t="s">
        <v>1335</v>
      </c>
      <c r="AB131" t="s">
        <v>1479</v>
      </c>
      <c r="AC131" t="s">
        <v>1701</v>
      </c>
      <c r="AD131" t="s">
        <v>1811</v>
      </c>
      <c r="AE131">
        <v>77</v>
      </c>
      <c r="AF131" t="s">
        <v>1981</v>
      </c>
      <c r="AG131" t="s">
        <v>1989</v>
      </c>
      <c r="AH131">
        <v>2</v>
      </c>
      <c r="AI131">
        <v>3</v>
      </c>
      <c r="AJ131">
        <v>1</v>
      </c>
      <c r="AK131">
        <v>80.43000000000001</v>
      </c>
      <c r="AN131" t="s">
        <v>1998</v>
      </c>
      <c r="AO131">
        <v>20712</v>
      </c>
      <c r="AP131" t="s">
        <v>2007</v>
      </c>
      <c r="AU131">
        <v>2.3</v>
      </c>
      <c r="AV131" t="s">
        <v>120</v>
      </c>
      <c r="AW131" t="s">
        <v>2052</v>
      </c>
      <c r="AX131" t="s">
        <v>2080</v>
      </c>
    </row>
    <row r="132" spans="1:50">
      <c r="A132" s="1">
        <f>HYPERLINK("https://lsnyc.legalserver.org/matter/dynamic-profile/view/1896428","19-1896428")</f>
        <v>0</v>
      </c>
      <c r="B132" t="s">
        <v>71</v>
      </c>
      <c r="C132" t="s">
        <v>119</v>
      </c>
      <c r="D132" t="s">
        <v>153</v>
      </c>
      <c r="E132" t="s">
        <v>218</v>
      </c>
      <c r="F132" t="s">
        <v>341</v>
      </c>
      <c r="G132" t="s">
        <v>607</v>
      </c>
      <c r="H132" t="s">
        <v>870</v>
      </c>
      <c r="I132">
        <v>2</v>
      </c>
      <c r="J132" t="s">
        <v>1159</v>
      </c>
      <c r="K132">
        <v>10452</v>
      </c>
      <c r="L132" t="s">
        <v>1175</v>
      </c>
      <c r="M132" t="s">
        <v>1175</v>
      </c>
      <c r="N132" t="s">
        <v>1233</v>
      </c>
      <c r="O132" t="s">
        <v>1284</v>
      </c>
      <c r="P132" t="s">
        <v>1299</v>
      </c>
      <c r="Q132" t="s">
        <v>1305</v>
      </c>
      <c r="R132" t="s">
        <v>1311</v>
      </c>
      <c r="S132" t="s">
        <v>1176</v>
      </c>
      <c r="U132" t="s">
        <v>1313</v>
      </c>
      <c r="W132" t="s">
        <v>1325</v>
      </c>
      <c r="X132">
        <v>1600</v>
      </c>
      <c r="Y132" t="s">
        <v>1328</v>
      </c>
      <c r="Z132" t="s">
        <v>1335</v>
      </c>
      <c r="AA132" t="s">
        <v>1346</v>
      </c>
      <c r="AB132" t="s">
        <v>1480</v>
      </c>
      <c r="AD132" t="s">
        <v>1812</v>
      </c>
      <c r="AE132">
        <v>3</v>
      </c>
      <c r="AF132" t="s">
        <v>1683</v>
      </c>
      <c r="AG132" t="s">
        <v>1255</v>
      </c>
      <c r="AH132">
        <v>5</v>
      </c>
      <c r="AI132">
        <v>4</v>
      </c>
      <c r="AJ132">
        <v>2</v>
      </c>
      <c r="AK132">
        <v>80.94</v>
      </c>
      <c r="AN132" t="s">
        <v>2000</v>
      </c>
      <c r="AO132">
        <v>27996</v>
      </c>
      <c r="AU132">
        <v>0.85</v>
      </c>
      <c r="AV132" t="s">
        <v>218</v>
      </c>
      <c r="AW132" t="s">
        <v>2054</v>
      </c>
      <c r="AX132" t="s">
        <v>2079</v>
      </c>
    </row>
    <row r="133" spans="1:50">
      <c r="A133" s="1">
        <f>HYPERLINK("https://lsnyc.legalserver.org/matter/dynamic-profile/view/1881019","18-1881019")</f>
        <v>0</v>
      </c>
      <c r="B133" t="s">
        <v>66</v>
      </c>
      <c r="C133" t="s">
        <v>118</v>
      </c>
      <c r="D133" t="s">
        <v>180</v>
      </c>
      <c r="F133" t="s">
        <v>235</v>
      </c>
      <c r="G133" t="s">
        <v>608</v>
      </c>
      <c r="H133" t="s">
        <v>871</v>
      </c>
      <c r="I133" t="s">
        <v>1079</v>
      </c>
      <c r="J133" t="s">
        <v>1159</v>
      </c>
      <c r="K133">
        <v>10453</v>
      </c>
      <c r="L133" t="s">
        <v>1175</v>
      </c>
      <c r="M133" t="s">
        <v>1175</v>
      </c>
      <c r="N133" t="s">
        <v>1234</v>
      </c>
      <c r="O133" t="s">
        <v>1281</v>
      </c>
      <c r="P133" t="s">
        <v>1298</v>
      </c>
      <c r="R133" t="s">
        <v>1311</v>
      </c>
      <c r="S133" t="s">
        <v>1176</v>
      </c>
      <c r="U133" t="s">
        <v>1313</v>
      </c>
      <c r="V133" t="s">
        <v>1322</v>
      </c>
      <c r="W133" t="s">
        <v>1325</v>
      </c>
      <c r="X133">
        <v>1521</v>
      </c>
      <c r="Y133" t="s">
        <v>1328</v>
      </c>
      <c r="Z133" t="s">
        <v>1341</v>
      </c>
      <c r="AB133" t="s">
        <v>1481</v>
      </c>
      <c r="AC133" t="s">
        <v>1702</v>
      </c>
      <c r="AD133" t="s">
        <v>1813</v>
      </c>
      <c r="AE133">
        <v>56</v>
      </c>
      <c r="AF133" t="s">
        <v>1683</v>
      </c>
      <c r="AG133" t="s">
        <v>1255</v>
      </c>
      <c r="AH133">
        <v>7</v>
      </c>
      <c r="AI133">
        <v>1</v>
      </c>
      <c r="AJ133">
        <v>2</v>
      </c>
      <c r="AK133">
        <v>81.33</v>
      </c>
      <c r="AN133" t="s">
        <v>2000</v>
      </c>
      <c r="AO133">
        <v>16900</v>
      </c>
      <c r="AP133" t="s">
        <v>2014</v>
      </c>
      <c r="AU133">
        <v>20.14</v>
      </c>
      <c r="AV133" t="s">
        <v>187</v>
      </c>
      <c r="AW133" t="s">
        <v>2054</v>
      </c>
      <c r="AX133" t="s">
        <v>2079</v>
      </c>
    </row>
    <row r="134" spans="1:50">
      <c r="A134" s="1">
        <f>HYPERLINK("https://lsnyc.legalserver.org/matter/dynamic-profile/view/1900129","19-1900129")</f>
        <v>0</v>
      </c>
      <c r="B134" t="s">
        <v>52</v>
      </c>
      <c r="C134" t="s">
        <v>118</v>
      </c>
      <c r="D134" t="s">
        <v>173</v>
      </c>
      <c r="F134" t="s">
        <v>342</v>
      </c>
      <c r="G134" t="s">
        <v>609</v>
      </c>
      <c r="H134" t="s">
        <v>774</v>
      </c>
      <c r="I134" t="s">
        <v>1080</v>
      </c>
      <c r="J134" t="s">
        <v>1159</v>
      </c>
      <c r="K134">
        <v>10460</v>
      </c>
      <c r="L134" t="s">
        <v>1175</v>
      </c>
      <c r="M134" t="s">
        <v>1177</v>
      </c>
      <c r="N134" t="s">
        <v>1180</v>
      </c>
      <c r="O134" t="s">
        <v>1282</v>
      </c>
      <c r="P134" t="s">
        <v>1301</v>
      </c>
      <c r="R134" t="s">
        <v>1311</v>
      </c>
      <c r="S134" t="s">
        <v>1175</v>
      </c>
      <c r="U134" t="s">
        <v>1313</v>
      </c>
      <c r="W134" t="s">
        <v>1325</v>
      </c>
      <c r="X134">
        <v>1200</v>
      </c>
      <c r="Y134" t="s">
        <v>1328</v>
      </c>
      <c r="Z134" t="s">
        <v>1336</v>
      </c>
      <c r="AB134" t="s">
        <v>1482</v>
      </c>
      <c r="AD134" t="s">
        <v>1814</v>
      </c>
      <c r="AE134">
        <v>168</v>
      </c>
      <c r="AF134" t="s">
        <v>1974</v>
      </c>
      <c r="AG134" t="s">
        <v>1985</v>
      </c>
      <c r="AH134">
        <v>4</v>
      </c>
      <c r="AI134">
        <v>1</v>
      </c>
      <c r="AJ134">
        <v>0</v>
      </c>
      <c r="AK134">
        <v>81.67</v>
      </c>
      <c r="AN134" t="s">
        <v>1998</v>
      </c>
      <c r="AO134">
        <v>10200</v>
      </c>
      <c r="AU134">
        <v>0</v>
      </c>
      <c r="AW134" t="s">
        <v>2063</v>
      </c>
      <c r="AX134" t="s">
        <v>2079</v>
      </c>
    </row>
    <row r="135" spans="1:50">
      <c r="A135" s="1">
        <f>HYPERLINK("https://lsnyc.legalserver.org/matter/dynamic-profile/view/1891410","19-1891410")</f>
        <v>0</v>
      </c>
      <c r="B135" t="s">
        <v>71</v>
      </c>
      <c r="C135" t="s">
        <v>118</v>
      </c>
      <c r="D135" t="s">
        <v>181</v>
      </c>
      <c r="F135" t="s">
        <v>275</v>
      </c>
      <c r="G135" t="s">
        <v>610</v>
      </c>
      <c r="H135" t="s">
        <v>807</v>
      </c>
      <c r="I135" t="s">
        <v>1081</v>
      </c>
      <c r="J135" t="s">
        <v>1159</v>
      </c>
      <c r="K135">
        <v>10453</v>
      </c>
      <c r="L135" t="s">
        <v>1175</v>
      </c>
      <c r="M135" t="s">
        <v>1175</v>
      </c>
      <c r="O135" t="s">
        <v>1283</v>
      </c>
      <c r="P135" t="s">
        <v>1300</v>
      </c>
      <c r="R135" t="s">
        <v>1311</v>
      </c>
      <c r="S135" t="s">
        <v>1175</v>
      </c>
      <c r="U135" t="s">
        <v>1313</v>
      </c>
      <c r="W135" t="s">
        <v>206</v>
      </c>
      <c r="X135">
        <v>97</v>
      </c>
      <c r="Y135" t="s">
        <v>1328</v>
      </c>
      <c r="Z135" t="s">
        <v>1336</v>
      </c>
      <c r="AB135" t="s">
        <v>1483</v>
      </c>
      <c r="AD135" t="s">
        <v>1815</v>
      </c>
      <c r="AE135">
        <v>170</v>
      </c>
      <c r="AF135" t="s">
        <v>1974</v>
      </c>
      <c r="AG135" t="s">
        <v>1985</v>
      </c>
      <c r="AH135">
        <v>35</v>
      </c>
      <c r="AI135">
        <v>1</v>
      </c>
      <c r="AJ135">
        <v>0</v>
      </c>
      <c r="AK135">
        <v>81.67</v>
      </c>
      <c r="AN135" t="s">
        <v>2000</v>
      </c>
      <c r="AO135">
        <v>10200</v>
      </c>
      <c r="AU135">
        <v>0</v>
      </c>
      <c r="AW135" t="s">
        <v>2053</v>
      </c>
      <c r="AX135" t="s">
        <v>2079</v>
      </c>
    </row>
    <row r="136" spans="1:50">
      <c r="A136" s="1">
        <f>HYPERLINK("https://lsnyc.legalserver.org/matter/dynamic-profile/view/1899868","19-1899868")</f>
        <v>0</v>
      </c>
      <c r="B136" t="s">
        <v>52</v>
      </c>
      <c r="C136" t="s">
        <v>118</v>
      </c>
      <c r="D136" t="s">
        <v>143</v>
      </c>
      <c r="F136" t="s">
        <v>264</v>
      </c>
      <c r="G136" t="s">
        <v>611</v>
      </c>
      <c r="H136" t="s">
        <v>774</v>
      </c>
      <c r="I136" t="s">
        <v>1082</v>
      </c>
      <c r="J136" t="s">
        <v>1159</v>
      </c>
      <c r="K136">
        <v>10460</v>
      </c>
      <c r="L136" t="s">
        <v>1175</v>
      </c>
      <c r="M136" t="s">
        <v>1177</v>
      </c>
      <c r="N136" t="s">
        <v>1180</v>
      </c>
      <c r="O136" t="s">
        <v>1282</v>
      </c>
      <c r="P136" t="s">
        <v>1301</v>
      </c>
      <c r="R136" t="s">
        <v>1311</v>
      </c>
      <c r="S136" t="s">
        <v>1175</v>
      </c>
      <c r="U136" t="s">
        <v>1313</v>
      </c>
      <c r="W136" t="s">
        <v>1325</v>
      </c>
      <c r="X136">
        <v>391</v>
      </c>
      <c r="Y136" t="s">
        <v>1328</v>
      </c>
      <c r="Z136" t="s">
        <v>1336</v>
      </c>
      <c r="AB136" t="s">
        <v>1484</v>
      </c>
      <c r="AD136" t="s">
        <v>1816</v>
      </c>
      <c r="AE136">
        <v>168</v>
      </c>
      <c r="AF136" t="s">
        <v>1974</v>
      </c>
      <c r="AG136" t="s">
        <v>1985</v>
      </c>
      <c r="AH136">
        <v>10</v>
      </c>
      <c r="AI136">
        <v>2</v>
      </c>
      <c r="AJ136">
        <v>0</v>
      </c>
      <c r="AK136">
        <v>81.75</v>
      </c>
      <c r="AN136" t="s">
        <v>2000</v>
      </c>
      <c r="AO136">
        <v>13824</v>
      </c>
      <c r="AU136">
        <v>0</v>
      </c>
      <c r="AW136" t="s">
        <v>2053</v>
      </c>
      <c r="AX136" t="s">
        <v>2079</v>
      </c>
    </row>
    <row r="137" spans="1:50">
      <c r="A137" s="1">
        <f>HYPERLINK("https://lsnyc.legalserver.org/matter/dynamic-profile/view/1902778","19-1902778")</f>
        <v>0</v>
      </c>
      <c r="B137" t="s">
        <v>62</v>
      </c>
      <c r="C137" t="s">
        <v>118</v>
      </c>
      <c r="D137" t="s">
        <v>120</v>
      </c>
      <c r="F137" t="s">
        <v>343</v>
      </c>
      <c r="G137" t="s">
        <v>612</v>
      </c>
      <c r="H137" t="s">
        <v>872</v>
      </c>
      <c r="I137" t="s">
        <v>995</v>
      </c>
      <c r="J137" t="s">
        <v>1161</v>
      </c>
      <c r="K137">
        <v>10033</v>
      </c>
      <c r="L137" t="s">
        <v>1175</v>
      </c>
      <c r="M137" t="s">
        <v>1177</v>
      </c>
      <c r="O137" t="s">
        <v>1293</v>
      </c>
      <c r="P137" t="s">
        <v>1302</v>
      </c>
      <c r="R137" t="s">
        <v>1311</v>
      </c>
      <c r="S137" t="s">
        <v>1176</v>
      </c>
      <c r="U137" t="s">
        <v>1315</v>
      </c>
      <c r="W137" t="s">
        <v>120</v>
      </c>
      <c r="X137">
        <v>798</v>
      </c>
      <c r="Y137" t="s">
        <v>1330</v>
      </c>
      <c r="Z137" t="s">
        <v>1335</v>
      </c>
      <c r="AB137" t="s">
        <v>1485</v>
      </c>
      <c r="AD137" t="s">
        <v>1817</v>
      </c>
      <c r="AE137">
        <v>39</v>
      </c>
      <c r="AF137" t="s">
        <v>1974</v>
      </c>
      <c r="AG137" t="s">
        <v>1986</v>
      </c>
      <c r="AH137">
        <v>43</v>
      </c>
      <c r="AI137">
        <v>1</v>
      </c>
      <c r="AJ137">
        <v>0</v>
      </c>
      <c r="AK137">
        <v>81.76000000000001</v>
      </c>
      <c r="AN137" t="s">
        <v>1998</v>
      </c>
      <c r="AO137">
        <v>10212</v>
      </c>
      <c r="AU137">
        <v>0</v>
      </c>
      <c r="AW137" t="s">
        <v>2057</v>
      </c>
      <c r="AX137" t="s">
        <v>2079</v>
      </c>
    </row>
    <row r="138" spans="1:50">
      <c r="A138" s="1">
        <f>HYPERLINK("https://lsnyc.legalserver.org/matter/dynamic-profile/view/1888441","19-1888441")</f>
        <v>0</v>
      </c>
      <c r="B138" t="s">
        <v>56</v>
      </c>
      <c r="C138" t="s">
        <v>118</v>
      </c>
      <c r="D138" t="s">
        <v>182</v>
      </c>
      <c r="F138" t="s">
        <v>342</v>
      </c>
      <c r="G138" t="s">
        <v>577</v>
      </c>
      <c r="H138" t="s">
        <v>873</v>
      </c>
      <c r="I138" t="s">
        <v>1048</v>
      </c>
      <c r="J138" t="s">
        <v>1159</v>
      </c>
      <c r="K138">
        <v>10452</v>
      </c>
      <c r="L138" t="s">
        <v>1175</v>
      </c>
      <c r="M138" t="s">
        <v>1175</v>
      </c>
      <c r="N138" t="s">
        <v>1235</v>
      </c>
      <c r="O138" t="s">
        <v>1291</v>
      </c>
      <c r="P138" t="s">
        <v>1304</v>
      </c>
      <c r="R138" t="s">
        <v>1311</v>
      </c>
      <c r="S138" t="s">
        <v>1175</v>
      </c>
      <c r="U138" t="s">
        <v>1313</v>
      </c>
      <c r="W138" t="s">
        <v>215</v>
      </c>
      <c r="X138">
        <v>828</v>
      </c>
      <c r="Y138" t="s">
        <v>1328</v>
      </c>
      <c r="Z138" t="s">
        <v>1336</v>
      </c>
      <c r="AB138" t="s">
        <v>1486</v>
      </c>
      <c r="AC138" t="s">
        <v>1703</v>
      </c>
      <c r="AE138">
        <v>149</v>
      </c>
      <c r="AF138" t="s">
        <v>1974</v>
      </c>
      <c r="AH138">
        <v>2</v>
      </c>
      <c r="AI138">
        <v>1</v>
      </c>
      <c r="AJ138">
        <v>0</v>
      </c>
      <c r="AK138">
        <v>81.84999999999999</v>
      </c>
      <c r="AN138" t="s">
        <v>1998</v>
      </c>
      <c r="AO138">
        <v>9936</v>
      </c>
      <c r="AU138">
        <v>0</v>
      </c>
      <c r="AW138" t="s">
        <v>2063</v>
      </c>
      <c r="AX138" t="s">
        <v>2079</v>
      </c>
    </row>
    <row r="139" spans="1:50">
      <c r="A139" s="1">
        <f>HYPERLINK("https://lsnyc.legalserver.org/matter/dynamic-profile/view/1888489","19-1888489")</f>
        <v>0</v>
      </c>
      <c r="B139" t="s">
        <v>56</v>
      </c>
      <c r="C139" t="s">
        <v>118</v>
      </c>
      <c r="D139" t="s">
        <v>182</v>
      </c>
      <c r="F139" t="s">
        <v>344</v>
      </c>
      <c r="G139" t="s">
        <v>613</v>
      </c>
      <c r="H139" t="s">
        <v>873</v>
      </c>
      <c r="I139">
        <v>41</v>
      </c>
      <c r="J139" t="s">
        <v>1159</v>
      </c>
      <c r="K139">
        <v>10452</v>
      </c>
      <c r="L139" t="s">
        <v>1175</v>
      </c>
      <c r="M139" t="s">
        <v>1175</v>
      </c>
      <c r="N139" t="s">
        <v>1235</v>
      </c>
      <c r="O139" t="s">
        <v>1291</v>
      </c>
      <c r="P139" t="s">
        <v>1304</v>
      </c>
      <c r="R139" t="s">
        <v>1311</v>
      </c>
      <c r="S139" t="s">
        <v>1175</v>
      </c>
      <c r="U139" t="s">
        <v>1318</v>
      </c>
      <c r="W139" t="s">
        <v>215</v>
      </c>
      <c r="X139">
        <v>252</v>
      </c>
      <c r="Y139" t="s">
        <v>1328</v>
      </c>
      <c r="Z139" t="s">
        <v>1336</v>
      </c>
      <c r="AB139" t="s">
        <v>1487</v>
      </c>
      <c r="AC139" t="s">
        <v>1704</v>
      </c>
      <c r="AD139" t="s">
        <v>1818</v>
      </c>
      <c r="AE139">
        <v>149</v>
      </c>
      <c r="AF139" t="s">
        <v>1974</v>
      </c>
      <c r="AG139" t="s">
        <v>1989</v>
      </c>
      <c r="AH139">
        <v>2</v>
      </c>
      <c r="AI139">
        <v>1</v>
      </c>
      <c r="AJ139">
        <v>0</v>
      </c>
      <c r="AK139">
        <v>82.04000000000001</v>
      </c>
      <c r="AN139" t="s">
        <v>1998</v>
      </c>
      <c r="AO139">
        <v>9960</v>
      </c>
      <c r="AU139">
        <v>0</v>
      </c>
      <c r="AW139" t="s">
        <v>2063</v>
      </c>
      <c r="AX139" t="s">
        <v>2079</v>
      </c>
    </row>
    <row r="140" spans="1:50">
      <c r="A140" s="1">
        <f>HYPERLINK("https://lsnyc.legalserver.org/matter/dynamic-profile/view/1899066","19-1899066")</f>
        <v>0</v>
      </c>
      <c r="B140" t="s">
        <v>66</v>
      </c>
      <c r="C140" t="s">
        <v>118</v>
      </c>
      <c r="D140" t="s">
        <v>140</v>
      </c>
      <c r="F140" t="s">
        <v>345</v>
      </c>
      <c r="G140" t="s">
        <v>614</v>
      </c>
      <c r="H140" t="s">
        <v>874</v>
      </c>
      <c r="I140" t="s">
        <v>1083</v>
      </c>
      <c r="J140" t="s">
        <v>1159</v>
      </c>
      <c r="K140">
        <v>10458</v>
      </c>
      <c r="L140" t="s">
        <v>1175</v>
      </c>
      <c r="M140" t="s">
        <v>1177</v>
      </c>
      <c r="O140" t="s">
        <v>1284</v>
      </c>
      <c r="P140" t="s">
        <v>1299</v>
      </c>
      <c r="R140" t="s">
        <v>1311</v>
      </c>
      <c r="S140" t="s">
        <v>1176</v>
      </c>
      <c r="U140" t="s">
        <v>1313</v>
      </c>
      <c r="W140" t="s">
        <v>1325</v>
      </c>
      <c r="X140">
        <v>195</v>
      </c>
      <c r="Y140" t="s">
        <v>1328</v>
      </c>
      <c r="Z140" t="s">
        <v>1336</v>
      </c>
      <c r="AD140" t="s">
        <v>1819</v>
      </c>
      <c r="AE140">
        <v>62</v>
      </c>
      <c r="AF140" t="s">
        <v>1974</v>
      </c>
      <c r="AG140" t="s">
        <v>1341</v>
      </c>
      <c r="AH140">
        <v>10</v>
      </c>
      <c r="AI140">
        <v>1</v>
      </c>
      <c r="AJ140">
        <v>0</v>
      </c>
      <c r="AK140">
        <v>82.43000000000001</v>
      </c>
      <c r="AN140" t="s">
        <v>1998</v>
      </c>
      <c r="AO140">
        <v>10296</v>
      </c>
      <c r="AU140">
        <v>0.8</v>
      </c>
      <c r="AV140" t="s">
        <v>136</v>
      </c>
      <c r="AW140" t="s">
        <v>2052</v>
      </c>
      <c r="AX140" t="s">
        <v>1255</v>
      </c>
    </row>
    <row r="141" spans="1:50">
      <c r="A141" s="1">
        <f>HYPERLINK("https://lsnyc.legalserver.org/matter/dynamic-profile/view/1900560","19-1900560")</f>
        <v>0</v>
      </c>
      <c r="B141" t="s">
        <v>52</v>
      </c>
      <c r="C141" t="s">
        <v>118</v>
      </c>
      <c r="D141" t="s">
        <v>124</v>
      </c>
      <c r="F141" t="s">
        <v>280</v>
      </c>
      <c r="G141" t="s">
        <v>523</v>
      </c>
      <c r="H141" t="s">
        <v>774</v>
      </c>
      <c r="I141" t="s">
        <v>1028</v>
      </c>
      <c r="J141" t="s">
        <v>1159</v>
      </c>
      <c r="K141">
        <v>10460</v>
      </c>
      <c r="L141" t="s">
        <v>1175</v>
      </c>
      <c r="M141" t="s">
        <v>1177</v>
      </c>
      <c r="O141" t="s">
        <v>1282</v>
      </c>
      <c r="P141" t="s">
        <v>1301</v>
      </c>
      <c r="R141" t="s">
        <v>1311</v>
      </c>
      <c r="S141" t="s">
        <v>1175</v>
      </c>
      <c r="U141" t="s">
        <v>1313</v>
      </c>
      <c r="W141" t="s">
        <v>1325</v>
      </c>
      <c r="X141">
        <v>1621</v>
      </c>
      <c r="Y141" t="s">
        <v>1328</v>
      </c>
      <c r="Z141" t="s">
        <v>1335</v>
      </c>
      <c r="AB141" t="s">
        <v>1412</v>
      </c>
      <c r="AE141">
        <v>168</v>
      </c>
      <c r="AF141" t="s">
        <v>1683</v>
      </c>
      <c r="AG141" t="s">
        <v>1985</v>
      </c>
      <c r="AH141">
        <v>2</v>
      </c>
      <c r="AI141">
        <v>2</v>
      </c>
      <c r="AJ141">
        <v>0</v>
      </c>
      <c r="AK141">
        <v>83.03</v>
      </c>
      <c r="AN141" t="s">
        <v>1998</v>
      </c>
      <c r="AO141">
        <v>14040</v>
      </c>
      <c r="AP141" t="s">
        <v>2015</v>
      </c>
      <c r="AU141">
        <v>0</v>
      </c>
      <c r="AW141" t="s">
        <v>2052</v>
      </c>
      <c r="AX141" t="s">
        <v>2079</v>
      </c>
    </row>
    <row r="142" spans="1:50">
      <c r="A142" s="1">
        <f>HYPERLINK("https://lsnyc.legalserver.org/matter/dynamic-profile/view/1900553","19-1900553")</f>
        <v>0</v>
      </c>
      <c r="B142" t="s">
        <v>52</v>
      </c>
      <c r="C142" t="s">
        <v>118</v>
      </c>
      <c r="D142" t="s">
        <v>124</v>
      </c>
      <c r="F142" t="s">
        <v>346</v>
      </c>
      <c r="G142" t="s">
        <v>615</v>
      </c>
      <c r="H142" t="s">
        <v>774</v>
      </c>
      <c r="I142" t="s">
        <v>1066</v>
      </c>
      <c r="J142" t="s">
        <v>1159</v>
      </c>
      <c r="K142">
        <v>10460</v>
      </c>
      <c r="L142" t="s">
        <v>1175</v>
      </c>
      <c r="M142" t="s">
        <v>1177</v>
      </c>
      <c r="N142" t="s">
        <v>1180</v>
      </c>
      <c r="O142" t="s">
        <v>1282</v>
      </c>
      <c r="P142" t="s">
        <v>1301</v>
      </c>
      <c r="R142" t="s">
        <v>1311</v>
      </c>
      <c r="S142" t="s">
        <v>1175</v>
      </c>
      <c r="U142" t="s">
        <v>1313</v>
      </c>
      <c r="W142" t="s">
        <v>1325</v>
      </c>
      <c r="X142">
        <v>466</v>
      </c>
      <c r="Y142" t="s">
        <v>1328</v>
      </c>
      <c r="Z142" t="s">
        <v>1335</v>
      </c>
      <c r="AB142" t="s">
        <v>1488</v>
      </c>
      <c r="AE142">
        <v>168</v>
      </c>
      <c r="AF142" t="s">
        <v>1982</v>
      </c>
      <c r="AG142" t="s">
        <v>1985</v>
      </c>
      <c r="AH142">
        <v>4</v>
      </c>
      <c r="AI142">
        <v>1</v>
      </c>
      <c r="AJ142">
        <v>0</v>
      </c>
      <c r="AK142">
        <v>83.2</v>
      </c>
      <c r="AN142" t="s">
        <v>1998</v>
      </c>
      <c r="AO142">
        <v>10392</v>
      </c>
      <c r="AU142">
        <v>0</v>
      </c>
      <c r="AW142" t="s">
        <v>2052</v>
      </c>
      <c r="AX142" t="s">
        <v>2079</v>
      </c>
    </row>
    <row r="143" spans="1:50">
      <c r="A143" s="1">
        <f>HYPERLINK("https://lsnyc.legalserver.org/matter/dynamic-profile/view/1902350","19-1902350")</f>
        <v>0</v>
      </c>
      <c r="B143" t="s">
        <v>63</v>
      </c>
      <c r="C143" t="s">
        <v>118</v>
      </c>
      <c r="D143" t="s">
        <v>131</v>
      </c>
      <c r="F143" t="s">
        <v>347</v>
      </c>
      <c r="G143" t="s">
        <v>559</v>
      </c>
      <c r="H143" t="s">
        <v>875</v>
      </c>
      <c r="I143" t="s">
        <v>1084</v>
      </c>
      <c r="J143" t="s">
        <v>1161</v>
      </c>
      <c r="K143">
        <v>10034</v>
      </c>
      <c r="L143" t="s">
        <v>1175</v>
      </c>
      <c r="M143" t="s">
        <v>1177</v>
      </c>
      <c r="P143" t="s">
        <v>1299</v>
      </c>
      <c r="R143" t="s">
        <v>1311</v>
      </c>
      <c r="S143" t="s">
        <v>1176</v>
      </c>
      <c r="U143" t="s">
        <v>1313</v>
      </c>
      <c r="W143" t="s">
        <v>131</v>
      </c>
      <c r="X143">
        <v>865.75</v>
      </c>
      <c r="Y143" t="s">
        <v>1330</v>
      </c>
      <c r="Z143" t="s">
        <v>1338</v>
      </c>
      <c r="AB143" t="s">
        <v>1489</v>
      </c>
      <c r="AD143" t="s">
        <v>1820</v>
      </c>
      <c r="AE143">
        <v>48</v>
      </c>
      <c r="AF143" t="s">
        <v>1974</v>
      </c>
      <c r="AG143" t="s">
        <v>1255</v>
      </c>
      <c r="AH143">
        <v>39</v>
      </c>
      <c r="AI143">
        <v>2</v>
      </c>
      <c r="AJ143">
        <v>0</v>
      </c>
      <c r="AK143">
        <v>83.81</v>
      </c>
      <c r="AN143" t="s">
        <v>2000</v>
      </c>
      <c r="AO143">
        <v>14172</v>
      </c>
      <c r="AU143">
        <v>3.3</v>
      </c>
      <c r="AV143" t="s">
        <v>154</v>
      </c>
      <c r="AW143" t="s">
        <v>2057</v>
      </c>
      <c r="AX143" t="s">
        <v>2079</v>
      </c>
    </row>
    <row r="144" spans="1:50">
      <c r="A144" s="1">
        <f>HYPERLINK("https://lsnyc.legalserver.org/matter/dynamic-profile/view/1902630","19-1902630")</f>
        <v>0</v>
      </c>
      <c r="B144" t="s">
        <v>65</v>
      </c>
      <c r="C144" t="s">
        <v>119</v>
      </c>
      <c r="D144" t="s">
        <v>145</v>
      </c>
      <c r="E144" t="s">
        <v>145</v>
      </c>
      <c r="F144" t="s">
        <v>348</v>
      </c>
      <c r="G144" t="s">
        <v>616</v>
      </c>
      <c r="H144" t="s">
        <v>876</v>
      </c>
      <c r="I144" t="s">
        <v>1085</v>
      </c>
      <c r="J144" t="s">
        <v>1159</v>
      </c>
      <c r="K144">
        <v>10473</v>
      </c>
      <c r="L144" t="s">
        <v>1175</v>
      </c>
      <c r="M144" t="s">
        <v>1177</v>
      </c>
      <c r="N144" t="s">
        <v>1236</v>
      </c>
      <c r="O144" t="s">
        <v>1294</v>
      </c>
      <c r="P144" t="s">
        <v>1302</v>
      </c>
      <c r="Q144" t="s">
        <v>1306</v>
      </c>
      <c r="R144" t="s">
        <v>1311</v>
      </c>
      <c r="S144" t="s">
        <v>1176</v>
      </c>
      <c r="U144" t="s">
        <v>1319</v>
      </c>
      <c r="W144" t="s">
        <v>1325</v>
      </c>
      <c r="X144">
        <v>958</v>
      </c>
      <c r="Y144" t="s">
        <v>1328</v>
      </c>
      <c r="Z144" t="s">
        <v>1335</v>
      </c>
      <c r="AA144" t="s">
        <v>1351</v>
      </c>
      <c r="AB144" t="s">
        <v>1490</v>
      </c>
      <c r="AC144" t="s">
        <v>1705</v>
      </c>
      <c r="AD144" t="s">
        <v>1821</v>
      </c>
      <c r="AE144">
        <v>244</v>
      </c>
      <c r="AF144" t="s">
        <v>1974</v>
      </c>
      <c r="AG144" t="s">
        <v>1987</v>
      </c>
      <c r="AH144">
        <v>46</v>
      </c>
      <c r="AI144">
        <v>1</v>
      </c>
      <c r="AJ144">
        <v>0</v>
      </c>
      <c r="AK144">
        <v>84.08</v>
      </c>
      <c r="AN144" t="s">
        <v>1998</v>
      </c>
      <c r="AO144">
        <v>10501</v>
      </c>
      <c r="AU144">
        <v>1</v>
      </c>
      <c r="AV144" t="s">
        <v>206</v>
      </c>
      <c r="AW144" t="s">
        <v>112</v>
      </c>
      <c r="AX144" t="s">
        <v>2079</v>
      </c>
    </row>
    <row r="145" spans="1:50">
      <c r="A145" s="1">
        <f>HYPERLINK("https://lsnyc.legalserver.org/matter/dynamic-profile/view/1901417","19-1901417")</f>
        <v>0</v>
      </c>
      <c r="B145" t="s">
        <v>56</v>
      </c>
      <c r="C145" t="s">
        <v>118</v>
      </c>
      <c r="D145" t="s">
        <v>148</v>
      </c>
      <c r="F145" t="s">
        <v>349</v>
      </c>
      <c r="G145" t="s">
        <v>617</v>
      </c>
      <c r="H145" t="s">
        <v>809</v>
      </c>
      <c r="I145" t="s">
        <v>1003</v>
      </c>
      <c r="J145" t="s">
        <v>1159</v>
      </c>
      <c r="K145">
        <v>10452</v>
      </c>
      <c r="L145" t="s">
        <v>1175</v>
      </c>
      <c r="M145" t="s">
        <v>1177</v>
      </c>
      <c r="O145" t="s">
        <v>1283</v>
      </c>
      <c r="P145" t="s">
        <v>1298</v>
      </c>
      <c r="R145" t="s">
        <v>1311</v>
      </c>
      <c r="S145" t="s">
        <v>1175</v>
      </c>
      <c r="U145" t="s">
        <v>1313</v>
      </c>
      <c r="W145" t="s">
        <v>1325</v>
      </c>
      <c r="X145">
        <v>1200</v>
      </c>
      <c r="Y145" t="s">
        <v>1328</v>
      </c>
      <c r="Z145" t="s">
        <v>1340</v>
      </c>
      <c r="AB145" t="s">
        <v>1491</v>
      </c>
      <c r="AE145">
        <v>52</v>
      </c>
      <c r="AF145" t="s">
        <v>1974</v>
      </c>
      <c r="AG145" t="s">
        <v>1989</v>
      </c>
      <c r="AH145">
        <v>1</v>
      </c>
      <c r="AI145">
        <v>1</v>
      </c>
      <c r="AJ145">
        <v>0</v>
      </c>
      <c r="AK145">
        <v>85.03</v>
      </c>
      <c r="AN145" t="s">
        <v>1998</v>
      </c>
      <c r="AO145">
        <v>10620</v>
      </c>
      <c r="AU145">
        <v>0</v>
      </c>
      <c r="AW145" t="s">
        <v>112</v>
      </c>
      <c r="AX145" t="s">
        <v>2079</v>
      </c>
    </row>
    <row r="146" spans="1:50">
      <c r="A146" s="1">
        <f>HYPERLINK("https://lsnyc.legalserver.org/matter/dynamic-profile/view/1885738","18-1885738")</f>
        <v>0</v>
      </c>
      <c r="B146" t="s">
        <v>52</v>
      </c>
      <c r="C146" t="s">
        <v>118</v>
      </c>
      <c r="D146" t="s">
        <v>183</v>
      </c>
      <c r="F146" t="s">
        <v>280</v>
      </c>
      <c r="G146" t="s">
        <v>523</v>
      </c>
      <c r="H146" t="s">
        <v>774</v>
      </c>
      <c r="I146" t="s">
        <v>1028</v>
      </c>
      <c r="J146" t="s">
        <v>1159</v>
      </c>
      <c r="K146">
        <v>10460</v>
      </c>
      <c r="L146" t="s">
        <v>1175</v>
      </c>
      <c r="M146" t="s">
        <v>1175</v>
      </c>
      <c r="N146" t="s">
        <v>1237</v>
      </c>
      <c r="O146" t="s">
        <v>1285</v>
      </c>
      <c r="P146" t="s">
        <v>1298</v>
      </c>
      <c r="R146" t="s">
        <v>1311</v>
      </c>
      <c r="S146" t="s">
        <v>1175</v>
      </c>
      <c r="U146" t="s">
        <v>1313</v>
      </c>
      <c r="W146" t="s">
        <v>1325</v>
      </c>
      <c r="X146">
        <v>1621</v>
      </c>
      <c r="Y146" t="s">
        <v>1328</v>
      </c>
      <c r="Z146" t="s">
        <v>1336</v>
      </c>
      <c r="AB146" t="s">
        <v>1412</v>
      </c>
      <c r="AE146">
        <v>0</v>
      </c>
      <c r="AF146" t="s">
        <v>1683</v>
      </c>
      <c r="AG146" t="s">
        <v>1985</v>
      </c>
      <c r="AH146">
        <v>2</v>
      </c>
      <c r="AI146">
        <v>2</v>
      </c>
      <c r="AJ146">
        <v>0</v>
      </c>
      <c r="AK146">
        <v>85.3</v>
      </c>
      <c r="AN146" t="s">
        <v>1998</v>
      </c>
      <c r="AO146">
        <v>14040</v>
      </c>
      <c r="AU146">
        <v>0</v>
      </c>
      <c r="AW146" t="s">
        <v>2052</v>
      </c>
      <c r="AX146" t="s">
        <v>2079</v>
      </c>
    </row>
    <row r="147" spans="1:50">
      <c r="A147" s="1">
        <f>HYPERLINK("https://lsnyc.legalserver.org/matter/dynamic-profile/view/1902208","19-1902208")</f>
        <v>0</v>
      </c>
      <c r="B147" t="s">
        <v>98</v>
      </c>
      <c r="C147" t="s">
        <v>119</v>
      </c>
      <c r="D147" t="s">
        <v>184</v>
      </c>
      <c r="E147" t="s">
        <v>121</v>
      </c>
      <c r="F147" t="s">
        <v>350</v>
      </c>
      <c r="G147" t="s">
        <v>618</v>
      </c>
      <c r="H147" t="s">
        <v>877</v>
      </c>
      <c r="I147" t="s">
        <v>1086</v>
      </c>
      <c r="J147" t="s">
        <v>1161</v>
      </c>
      <c r="K147">
        <v>10033</v>
      </c>
      <c r="L147" t="s">
        <v>1175</v>
      </c>
      <c r="M147" t="s">
        <v>1177</v>
      </c>
      <c r="O147" t="s">
        <v>1294</v>
      </c>
      <c r="P147" t="s">
        <v>1302</v>
      </c>
      <c r="Q147" t="s">
        <v>1305</v>
      </c>
      <c r="R147" t="s">
        <v>1311</v>
      </c>
      <c r="S147" t="s">
        <v>1176</v>
      </c>
      <c r="U147" t="s">
        <v>1313</v>
      </c>
      <c r="W147" t="s">
        <v>184</v>
      </c>
      <c r="X147">
        <v>1478.3</v>
      </c>
      <c r="Y147" t="s">
        <v>1330</v>
      </c>
      <c r="Z147" t="s">
        <v>1335</v>
      </c>
      <c r="AA147" t="s">
        <v>1346</v>
      </c>
      <c r="AB147" t="s">
        <v>1492</v>
      </c>
      <c r="AD147" t="s">
        <v>1822</v>
      </c>
      <c r="AE147">
        <v>480</v>
      </c>
      <c r="AF147" t="s">
        <v>1974</v>
      </c>
      <c r="AG147" t="s">
        <v>1255</v>
      </c>
      <c r="AH147">
        <v>19</v>
      </c>
      <c r="AI147">
        <v>2</v>
      </c>
      <c r="AJ147">
        <v>0</v>
      </c>
      <c r="AK147">
        <v>85.58</v>
      </c>
      <c r="AN147" t="s">
        <v>1998</v>
      </c>
      <c r="AO147">
        <v>14472</v>
      </c>
      <c r="AU147">
        <v>0.9</v>
      </c>
      <c r="AV147" t="s">
        <v>121</v>
      </c>
      <c r="AW147" t="s">
        <v>2057</v>
      </c>
      <c r="AX147" t="s">
        <v>2079</v>
      </c>
    </row>
    <row r="148" spans="1:50">
      <c r="A148" s="1">
        <f>HYPERLINK("https://lsnyc.legalserver.org/matter/dynamic-profile/view/1902063","19-1902063")</f>
        <v>0</v>
      </c>
      <c r="B148" t="s">
        <v>99</v>
      </c>
      <c r="C148" t="s">
        <v>118</v>
      </c>
      <c r="D148" t="s">
        <v>132</v>
      </c>
      <c r="F148" t="s">
        <v>351</v>
      </c>
      <c r="G148" t="s">
        <v>497</v>
      </c>
      <c r="H148" t="s">
        <v>878</v>
      </c>
      <c r="I148" t="s">
        <v>1033</v>
      </c>
      <c r="J148" t="s">
        <v>1161</v>
      </c>
      <c r="K148">
        <v>10024</v>
      </c>
      <c r="L148" t="s">
        <v>1175</v>
      </c>
      <c r="M148" t="s">
        <v>1177</v>
      </c>
      <c r="O148" t="s">
        <v>1282</v>
      </c>
      <c r="P148" t="s">
        <v>1303</v>
      </c>
      <c r="R148" t="s">
        <v>1311</v>
      </c>
      <c r="S148" t="s">
        <v>1175</v>
      </c>
      <c r="U148" t="s">
        <v>1313</v>
      </c>
      <c r="V148" t="s">
        <v>1321</v>
      </c>
      <c r="W148" t="s">
        <v>132</v>
      </c>
      <c r="X148">
        <v>437</v>
      </c>
      <c r="Y148" t="s">
        <v>1330</v>
      </c>
      <c r="Z148" t="s">
        <v>1341</v>
      </c>
      <c r="AB148" t="s">
        <v>1493</v>
      </c>
      <c r="AD148" t="s">
        <v>1823</v>
      </c>
      <c r="AE148">
        <v>24</v>
      </c>
      <c r="AF148" t="s">
        <v>1975</v>
      </c>
      <c r="AG148" t="s">
        <v>1255</v>
      </c>
      <c r="AH148">
        <v>53</v>
      </c>
      <c r="AI148">
        <v>1</v>
      </c>
      <c r="AJ148">
        <v>0</v>
      </c>
      <c r="AK148">
        <v>85.89</v>
      </c>
      <c r="AN148" t="s">
        <v>1998</v>
      </c>
      <c r="AO148">
        <v>10728</v>
      </c>
      <c r="AU148">
        <v>4.5</v>
      </c>
      <c r="AV148" t="s">
        <v>157</v>
      </c>
      <c r="AW148" t="s">
        <v>2066</v>
      </c>
      <c r="AX148" t="s">
        <v>2079</v>
      </c>
    </row>
    <row r="149" spans="1:50">
      <c r="A149" s="1">
        <f>HYPERLINK("https://lsnyc.legalserver.org/matter/dynamic-profile/view/1902439","19-1902439")</f>
        <v>0</v>
      </c>
      <c r="B149" t="s">
        <v>100</v>
      </c>
      <c r="C149" t="s">
        <v>118</v>
      </c>
      <c r="D149" t="s">
        <v>164</v>
      </c>
      <c r="F149" t="s">
        <v>352</v>
      </c>
      <c r="G149" t="s">
        <v>619</v>
      </c>
      <c r="H149" t="s">
        <v>879</v>
      </c>
      <c r="I149">
        <v>1</v>
      </c>
      <c r="J149" t="s">
        <v>1161</v>
      </c>
      <c r="K149">
        <v>10032</v>
      </c>
      <c r="L149" t="s">
        <v>1175</v>
      </c>
      <c r="M149" t="s">
        <v>1177</v>
      </c>
      <c r="N149" t="s">
        <v>1238</v>
      </c>
      <c r="O149" t="s">
        <v>1281</v>
      </c>
      <c r="P149" t="s">
        <v>1303</v>
      </c>
      <c r="R149" t="s">
        <v>1311</v>
      </c>
      <c r="S149" t="s">
        <v>1176</v>
      </c>
      <c r="U149" t="s">
        <v>1313</v>
      </c>
      <c r="W149" t="s">
        <v>164</v>
      </c>
      <c r="X149">
        <v>1308</v>
      </c>
      <c r="Y149" t="s">
        <v>1330</v>
      </c>
      <c r="Z149" t="s">
        <v>1332</v>
      </c>
      <c r="AB149" t="s">
        <v>1494</v>
      </c>
      <c r="AD149" t="s">
        <v>1824</v>
      </c>
      <c r="AE149">
        <v>0</v>
      </c>
      <c r="AF149" t="s">
        <v>1974</v>
      </c>
      <c r="AG149" t="s">
        <v>1985</v>
      </c>
      <c r="AH149">
        <v>48</v>
      </c>
      <c r="AI149">
        <v>1</v>
      </c>
      <c r="AJ149">
        <v>0</v>
      </c>
      <c r="AK149">
        <v>86.47</v>
      </c>
      <c r="AN149" t="s">
        <v>1998</v>
      </c>
      <c r="AO149">
        <v>10800</v>
      </c>
      <c r="AU149">
        <v>3.15</v>
      </c>
      <c r="AV149" t="s">
        <v>223</v>
      </c>
      <c r="AW149" t="s">
        <v>2069</v>
      </c>
      <c r="AX149" t="s">
        <v>2079</v>
      </c>
    </row>
    <row r="150" spans="1:50">
      <c r="A150" s="1">
        <f>HYPERLINK("https://lsnyc.legalserver.org/matter/dynamic-profile/view/1898112","19-1898112")</f>
        <v>0</v>
      </c>
      <c r="B150" t="s">
        <v>56</v>
      </c>
      <c r="C150" t="s">
        <v>118</v>
      </c>
      <c r="D150" t="s">
        <v>128</v>
      </c>
      <c r="F150" t="s">
        <v>353</v>
      </c>
      <c r="G150" t="s">
        <v>620</v>
      </c>
      <c r="H150" t="s">
        <v>880</v>
      </c>
      <c r="I150" t="s">
        <v>1021</v>
      </c>
      <c r="J150" t="s">
        <v>1159</v>
      </c>
      <c r="K150">
        <v>10452</v>
      </c>
      <c r="L150" t="s">
        <v>1175</v>
      </c>
      <c r="M150" t="s">
        <v>1175</v>
      </c>
      <c r="O150" t="s">
        <v>1282</v>
      </c>
      <c r="P150" t="s">
        <v>1301</v>
      </c>
      <c r="R150" t="s">
        <v>1311</v>
      </c>
      <c r="S150" t="s">
        <v>1175</v>
      </c>
      <c r="U150" t="s">
        <v>1313</v>
      </c>
      <c r="W150" t="s">
        <v>1325</v>
      </c>
      <c r="X150">
        <v>831.73</v>
      </c>
      <c r="Y150" t="s">
        <v>1328</v>
      </c>
      <c r="Z150" t="s">
        <v>1336</v>
      </c>
      <c r="AB150" t="s">
        <v>1495</v>
      </c>
      <c r="AC150">
        <v>86252178934</v>
      </c>
      <c r="AD150" t="s">
        <v>1825</v>
      </c>
      <c r="AE150">
        <v>60</v>
      </c>
      <c r="AF150" t="s">
        <v>1974</v>
      </c>
      <c r="AG150" t="s">
        <v>1255</v>
      </c>
      <c r="AH150">
        <v>0</v>
      </c>
      <c r="AI150">
        <v>1</v>
      </c>
      <c r="AJ150">
        <v>0</v>
      </c>
      <c r="AK150">
        <v>86.51000000000001</v>
      </c>
      <c r="AN150" t="s">
        <v>1998</v>
      </c>
      <c r="AO150">
        <v>10804.8</v>
      </c>
      <c r="AU150">
        <v>0</v>
      </c>
      <c r="AW150" t="s">
        <v>2052</v>
      </c>
      <c r="AX150" t="s">
        <v>2079</v>
      </c>
    </row>
    <row r="151" spans="1:50">
      <c r="A151" s="1">
        <f>HYPERLINK("https://lsnyc.legalserver.org/matter/dynamic-profile/view/1899187","19-1899187")</f>
        <v>0</v>
      </c>
      <c r="B151" t="s">
        <v>87</v>
      </c>
      <c r="C151" t="s">
        <v>118</v>
      </c>
      <c r="D151" t="s">
        <v>158</v>
      </c>
      <c r="F151" t="s">
        <v>354</v>
      </c>
      <c r="G151" t="s">
        <v>621</v>
      </c>
      <c r="H151" t="s">
        <v>881</v>
      </c>
      <c r="I151" t="s">
        <v>1087</v>
      </c>
      <c r="J151" t="s">
        <v>1159</v>
      </c>
      <c r="K151">
        <v>10458</v>
      </c>
      <c r="L151" t="s">
        <v>1175</v>
      </c>
      <c r="M151" t="s">
        <v>1177</v>
      </c>
      <c r="P151" t="s">
        <v>1299</v>
      </c>
      <c r="R151" t="s">
        <v>1311</v>
      </c>
      <c r="S151" t="s">
        <v>1176</v>
      </c>
      <c r="U151" t="s">
        <v>1313</v>
      </c>
      <c r="W151" t="s">
        <v>120</v>
      </c>
      <c r="X151">
        <v>1585.54</v>
      </c>
      <c r="Y151" t="s">
        <v>1328</v>
      </c>
      <c r="Z151" t="s">
        <v>1336</v>
      </c>
      <c r="AB151" t="s">
        <v>1496</v>
      </c>
      <c r="AD151" t="s">
        <v>1826</v>
      </c>
      <c r="AE151">
        <v>53</v>
      </c>
      <c r="AF151" t="s">
        <v>1974</v>
      </c>
      <c r="AG151" t="s">
        <v>1988</v>
      </c>
      <c r="AH151">
        <v>20</v>
      </c>
      <c r="AI151">
        <v>1</v>
      </c>
      <c r="AJ151">
        <v>0</v>
      </c>
      <c r="AK151">
        <v>87.91</v>
      </c>
      <c r="AN151" t="s">
        <v>2000</v>
      </c>
      <c r="AO151">
        <v>10980</v>
      </c>
      <c r="AU151">
        <v>0.5</v>
      </c>
      <c r="AV151" t="s">
        <v>120</v>
      </c>
      <c r="AW151" t="s">
        <v>2053</v>
      </c>
      <c r="AX151" t="s">
        <v>2079</v>
      </c>
    </row>
    <row r="152" spans="1:50">
      <c r="A152" s="1">
        <f>HYPERLINK("https://lsnyc.legalserver.org/matter/dynamic-profile/view/1903017","19-1903017")</f>
        <v>0</v>
      </c>
      <c r="B152" t="s">
        <v>97</v>
      </c>
      <c r="C152" t="s">
        <v>118</v>
      </c>
      <c r="D152" t="s">
        <v>185</v>
      </c>
      <c r="F152" t="s">
        <v>227</v>
      </c>
      <c r="G152" t="s">
        <v>622</v>
      </c>
      <c r="H152" t="s">
        <v>882</v>
      </c>
      <c r="I152">
        <v>409</v>
      </c>
      <c r="J152" t="s">
        <v>1161</v>
      </c>
      <c r="K152">
        <v>10029</v>
      </c>
      <c r="L152" t="s">
        <v>1175</v>
      </c>
      <c r="M152" t="s">
        <v>1177</v>
      </c>
      <c r="O152" t="s">
        <v>1285</v>
      </c>
      <c r="P152" t="s">
        <v>1298</v>
      </c>
      <c r="R152" t="s">
        <v>1311</v>
      </c>
      <c r="S152" t="s">
        <v>1175</v>
      </c>
      <c r="U152" t="s">
        <v>1313</v>
      </c>
      <c r="V152" t="s">
        <v>1321</v>
      </c>
      <c r="W152" t="s">
        <v>160</v>
      </c>
      <c r="X152">
        <v>271</v>
      </c>
      <c r="Y152" t="s">
        <v>1330</v>
      </c>
      <c r="Z152" t="s">
        <v>1335</v>
      </c>
      <c r="AB152" t="s">
        <v>1497</v>
      </c>
      <c r="AD152" t="s">
        <v>1827</v>
      </c>
      <c r="AE152">
        <v>108</v>
      </c>
      <c r="AF152" t="s">
        <v>1976</v>
      </c>
      <c r="AG152" t="s">
        <v>1985</v>
      </c>
      <c r="AH152">
        <v>30</v>
      </c>
      <c r="AI152">
        <v>1</v>
      </c>
      <c r="AJ152">
        <v>0</v>
      </c>
      <c r="AK152">
        <v>88.39</v>
      </c>
      <c r="AN152" t="s">
        <v>2000</v>
      </c>
      <c r="AO152">
        <v>11040</v>
      </c>
      <c r="AU152">
        <v>0.25</v>
      </c>
      <c r="AV152" t="s">
        <v>222</v>
      </c>
      <c r="AW152" t="s">
        <v>2066</v>
      </c>
      <c r="AX152" t="s">
        <v>2079</v>
      </c>
    </row>
    <row r="153" spans="1:50">
      <c r="A153" s="1">
        <f>HYPERLINK("https://lsnyc.legalserver.org/matter/dynamic-profile/view/1898073","19-1898073")</f>
        <v>0</v>
      </c>
      <c r="B153" t="s">
        <v>56</v>
      </c>
      <c r="C153" t="s">
        <v>118</v>
      </c>
      <c r="D153" t="s">
        <v>128</v>
      </c>
      <c r="F153" t="s">
        <v>355</v>
      </c>
      <c r="G153" t="s">
        <v>623</v>
      </c>
      <c r="H153" t="s">
        <v>778</v>
      </c>
      <c r="I153" t="s">
        <v>1088</v>
      </c>
      <c r="J153" t="s">
        <v>1159</v>
      </c>
      <c r="K153">
        <v>10452</v>
      </c>
      <c r="L153" t="s">
        <v>1175</v>
      </c>
      <c r="M153" t="s">
        <v>1175</v>
      </c>
      <c r="O153" t="s">
        <v>1282</v>
      </c>
      <c r="P153" t="s">
        <v>1301</v>
      </c>
      <c r="R153" t="s">
        <v>1311</v>
      </c>
      <c r="S153" t="s">
        <v>1175</v>
      </c>
      <c r="U153" t="s">
        <v>1313</v>
      </c>
      <c r="W153" t="s">
        <v>1325</v>
      </c>
      <c r="X153">
        <v>360</v>
      </c>
      <c r="Y153" t="s">
        <v>1328</v>
      </c>
      <c r="Z153" t="s">
        <v>1336</v>
      </c>
      <c r="AB153" t="s">
        <v>1498</v>
      </c>
      <c r="AE153">
        <v>60</v>
      </c>
      <c r="AF153" t="s">
        <v>1974</v>
      </c>
      <c r="AG153" t="s">
        <v>1987</v>
      </c>
      <c r="AH153">
        <v>50</v>
      </c>
      <c r="AI153">
        <v>2</v>
      </c>
      <c r="AJ153">
        <v>0</v>
      </c>
      <c r="AK153">
        <v>89.41</v>
      </c>
      <c r="AN153" t="s">
        <v>2000</v>
      </c>
      <c r="AO153">
        <v>15120</v>
      </c>
      <c r="AU153">
        <v>0</v>
      </c>
      <c r="AW153" t="s">
        <v>2052</v>
      </c>
      <c r="AX153" t="s">
        <v>2079</v>
      </c>
    </row>
    <row r="154" spans="1:50">
      <c r="A154" s="1">
        <f>HYPERLINK("https://lsnyc.legalserver.org/matter/dynamic-profile/view/1899798","19-1899798")</f>
        <v>0</v>
      </c>
      <c r="B154" t="s">
        <v>52</v>
      </c>
      <c r="C154" t="s">
        <v>118</v>
      </c>
      <c r="D154" t="s">
        <v>143</v>
      </c>
      <c r="F154" t="s">
        <v>356</v>
      </c>
      <c r="G154" t="s">
        <v>624</v>
      </c>
      <c r="H154" t="s">
        <v>774</v>
      </c>
      <c r="I154" t="s">
        <v>1089</v>
      </c>
      <c r="J154" t="s">
        <v>1159</v>
      </c>
      <c r="K154">
        <v>10460</v>
      </c>
      <c r="L154" t="s">
        <v>1175</v>
      </c>
      <c r="M154" t="s">
        <v>1177</v>
      </c>
      <c r="N154" t="s">
        <v>1180</v>
      </c>
      <c r="O154" t="s">
        <v>1282</v>
      </c>
      <c r="P154" t="s">
        <v>1301</v>
      </c>
      <c r="R154" t="s">
        <v>1311</v>
      </c>
      <c r="S154" t="s">
        <v>1175</v>
      </c>
      <c r="U154" t="s">
        <v>1313</v>
      </c>
      <c r="W154" t="s">
        <v>1325</v>
      </c>
      <c r="X154">
        <v>262</v>
      </c>
      <c r="Y154" t="s">
        <v>1328</v>
      </c>
      <c r="Z154" t="s">
        <v>1336</v>
      </c>
      <c r="AB154" t="s">
        <v>1499</v>
      </c>
      <c r="AD154" t="s">
        <v>1828</v>
      </c>
      <c r="AE154">
        <v>168</v>
      </c>
      <c r="AF154" t="s">
        <v>1981</v>
      </c>
      <c r="AG154" t="s">
        <v>1985</v>
      </c>
      <c r="AH154">
        <v>27</v>
      </c>
      <c r="AI154">
        <v>1</v>
      </c>
      <c r="AJ154">
        <v>0</v>
      </c>
      <c r="AK154">
        <v>89.67</v>
      </c>
      <c r="AN154" t="s">
        <v>1998</v>
      </c>
      <c r="AO154">
        <v>11199.96</v>
      </c>
      <c r="AU154">
        <v>0</v>
      </c>
      <c r="AW154" t="s">
        <v>2053</v>
      </c>
      <c r="AX154" t="s">
        <v>2079</v>
      </c>
    </row>
    <row r="155" spans="1:50">
      <c r="A155" s="1">
        <f>HYPERLINK("https://lsnyc.legalserver.org/matter/dynamic-profile/view/1899191","19-1899191")</f>
        <v>0</v>
      </c>
      <c r="B155" t="s">
        <v>87</v>
      </c>
      <c r="C155" t="s">
        <v>118</v>
      </c>
      <c r="D155" t="s">
        <v>158</v>
      </c>
      <c r="F155" t="s">
        <v>300</v>
      </c>
      <c r="G155" t="s">
        <v>625</v>
      </c>
      <c r="H155" t="s">
        <v>883</v>
      </c>
      <c r="I155" t="s">
        <v>1090</v>
      </c>
      <c r="J155" t="s">
        <v>1159</v>
      </c>
      <c r="K155">
        <v>10456</v>
      </c>
      <c r="L155" t="s">
        <v>1175</v>
      </c>
      <c r="M155" t="s">
        <v>1177</v>
      </c>
      <c r="P155" t="s">
        <v>1302</v>
      </c>
      <c r="R155" t="s">
        <v>1311</v>
      </c>
      <c r="S155" t="s">
        <v>1176</v>
      </c>
      <c r="U155" t="s">
        <v>1313</v>
      </c>
      <c r="W155" t="s">
        <v>160</v>
      </c>
      <c r="X155">
        <v>690.4</v>
      </c>
      <c r="Y155" t="s">
        <v>1328</v>
      </c>
      <c r="Z155" t="s">
        <v>1336</v>
      </c>
      <c r="AB155" t="s">
        <v>1500</v>
      </c>
      <c r="AD155" t="s">
        <v>1829</v>
      </c>
      <c r="AE155">
        <v>30</v>
      </c>
      <c r="AF155" t="s">
        <v>1975</v>
      </c>
      <c r="AG155" t="s">
        <v>1987</v>
      </c>
      <c r="AH155">
        <v>43</v>
      </c>
      <c r="AI155">
        <v>2</v>
      </c>
      <c r="AJ155">
        <v>0</v>
      </c>
      <c r="AK155">
        <v>90.55</v>
      </c>
      <c r="AN155" t="s">
        <v>2000</v>
      </c>
      <c r="AO155">
        <v>15312</v>
      </c>
      <c r="AU155">
        <v>0.5</v>
      </c>
      <c r="AV155" t="s">
        <v>120</v>
      </c>
      <c r="AW155" t="s">
        <v>2053</v>
      </c>
      <c r="AX155" t="s">
        <v>2079</v>
      </c>
    </row>
    <row r="156" spans="1:50">
      <c r="A156" s="1">
        <f>HYPERLINK("https://lsnyc.legalserver.org/matter/dynamic-profile/view/1898095","19-1898095")</f>
        <v>0</v>
      </c>
      <c r="B156" t="s">
        <v>56</v>
      </c>
      <c r="C156" t="s">
        <v>118</v>
      </c>
      <c r="D156" t="s">
        <v>128</v>
      </c>
      <c r="F156" t="s">
        <v>357</v>
      </c>
      <c r="G156" t="s">
        <v>626</v>
      </c>
      <c r="H156" t="s">
        <v>778</v>
      </c>
      <c r="I156" t="s">
        <v>1091</v>
      </c>
      <c r="J156" t="s">
        <v>1159</v>
      </c>
      <c r="K156">
        <v>10452</v>
      </c>
      <c r="L156" t="s">
        <v>1175</v>
      </c>
      <c r="M156" t="s">
        <v>1175</v>
      </c>
      <c r="O156" t="s">
        <v>1282</v>
      </c>
      <c r="P156" t="s">
        <v>1301</v>
      </c>
      <c r="R156" t="s">
        <v>1311</v>
      </c>
      <c r="S156" t="s">
        <v>1175</v>
      </c>
      <c r="U156" t="s">
        <v>1313</v>
      </c>
      <c r="W156" t="s">
        <v>1325</v>
      </c>
      <c r="X156">
        <v>460.75</v>
      </c>
      <c r="Y156" t="s">
        <v>1328</v>
      </c>
      <c r="Z156" t="s">
        <v>1336</v>
      </c>
      <c r="AB156" t="s">
        <v>1501</v>
      </c>
      <c r="AD156" t="s">
        <v>1830</v>
      </c>
      <c r="AE156">
        <v>60</v>
      </c>
      <c r="AF156" t="s">
        <v>1974</v>
      </c>
      <c r="AG156" t="s">
        <v>1987</v>
      </c>
      <c r="AH156">
        <v>39</v>
      </c>
      <c r="AI156">
        <v>1</v>
      </c>
      <c r="AJ156">
        <v>0</v>
      </c>
      <c r="AK156">
        <v>91.18000000000001</v>
      </c>
      <c r="AN156" t="s">
        <v>1998</v>
      </c>
      <c r="AO156">
        <v>11388</v>
      </c>
      <c r="AU156">
        <v>0</v>
      </c>
      <c r="AW156" t="s">
        <v>2052</v>
      </c>
      <c r="AX156" t="s">
        <v>2079</v>
      </c>
    </row>
    <row r="157" spans="1:50">
      <c r="A157" s="1">
        <f>HYPERLINK("https://lsnyc.legalserver.org/matter/dynamic-profile/view/1899060","19-1899060")</f>
        <v>0</v>
      </c>
      <c r="B157" t="s">
        <v>66</v>
      </c>
      <c r="C157" t="s">
        <v>118</v>
      </c>
      <c r="D157" t="s">
        <v>140</v>
      </c>
      <c r="F157" t="s">
        <v>358</v>
      </c>
      <c r="G157" t="s">
        <v>627</v>
      </c>
      <c r="H157" t="s">
        <v>884</v>
      </c>
      <c r="I157">
        <v>1</v>
      </c>
      <c r="J157" t="s">
        <v>1159</v>
      </c>
      <c r="K157">
        <v>10456</v>
      </c>
      <c r="L157" t="s">
        <v>1175</v>
      </c>
      <c r="M157" t="s">
        <v>1177</v>
      </c>
      <c r="N157" t="s">
        <v>1239</v>
      </c>
      <c r="O157" t="s">
        <v>1284</v>
      </c>
      <c r="P157" t="s">
        <v>1298</v>
      </c>
      <c r="R157" t="s">
        <v>1311</v>
      </c>
      <c r="S157" t="s">
        <v>1176</v>
      </c>
      <c r="U157" t="s">
        <v>1313</v>
      </c>
      <c r="V157" t="s">
        <v>1321</v>
      </c>
      <c r="W157" t="s">
        <v>1325</v>
      </c>
      <c r="X157">
        <v>0</v>
      </c>
      <c r="Y157" t="s">
        <v>1328</v>
      </c>
      <c r="Z157" t="s">
        <v>1336</v>
      </c>
      <c r="AB157" t="s">
        <v>1502</v>
      </c>
      <c r="AD157" t="s">
        <v>1831</v>
      </c>
      <c r="AE157">
        <v>2</v>
      </c>
      <c r="AF157" t="s">
        <v>1683</v>
      </c>
      <c r="AG157" t="s">
        <v>1985</v>
      </c>
      <c r="AH157">
        <v>20</v>
      </c>
      <c r="AI157">
        <v>2</v>
      </c>
      <c r="AJ157">
        <v>1</v>
      </c>
      <c r="AK157">
        <v>91.77</v>
      </c>
      <c r="AN157" t="s">
        <v>1998</v>
      </c>
      <c r="AO157">
        <v>19574</v>
      </c>
      <c r="AU157">
        <v>33.8</v>
      </c>
      <c r="AV157" t="s">
        <v>221</v>
      </c>
      <c r="AW157" t="s">
        <v>2052</v>
      </c>
      <c r="AX157" t="s">
        <v>2079</v>
      </c>
    </row>
    <row r="158" spans="1:50">
      <c r="A158" s="1">
        <f>HYPERLINK("https://lsnyc.legalserver.org/matter/dynamic-profile/view/1900606","19-1900606")</f>
        <v>0</v>
      </c>
      <c r="B158" t="s">
        <v>52</v>
      </c>
      <c r="C158" t="s">
        <v>118</v>
      </c>
      <c r="D158" t="s">
        <v>124</v>
      </c>
      <c r="F158" t="s">
        <v>359</v>
      </c>
      <c r="G158" t="s">
        <v>628</v>
      </c>
      <c r="H158" t="s">
        <v>774</v>
      </c>
      <c r="I158" t="s">
        <v>1092</v>
      </c>
      <c r="J158" t="s">
        <v>1159</v>
      </c>
      <c r="K158">
        <v>10460</v>
      </c>
      <c r="L158" t="s">
        <v>1175</v>
      </c>
      <c r="M158" t="s">
        <v>1177</v>
      </c>
      <c r="O158" t="s">
        <v>1282</v>
      </c>
      <c r="P158" t="s">
        <v>1301</v>
      </c>
      <c r="R158" t="s">
        <v>1311</v>
      </c>
      <c r="S158" t="s">
        <v>1175</v>
      </c>
      <c r="U158" t="s">
        <v>1313</v>
      </c>
      <c r="W158" t="s">
        <v>1325</v>
      </c>
      <c r="X158">
        <v>287</v>
      </c>
      <c r="Y158" t="s">
        <v>1328</v>
      </c>
      <c r="Z158" t="s">
        <v>1335</v>
      </c>
      <c r="AB158" t="s">
        <v>1503</v>
      </c>
      <c r="AD158" t="s">
        <v>1832</v>
      </c>
      <c r="AE158">
        <v>168</v>
      </c>
      <c r="AF158" t="s">
        <v>1975</v>
      </c>
      <c r="AG158" t="s">
        <v>1985</v>
      </c>
      <c r="AH158">
        <v>19</v>
      </c>
      <c r="AI158">
        <v>1</v>
      </c>
      <c r="AJ158">
        <v>0</v>
      </c>
      <c r="AK158">
        <v>91.84999999999999</v>
      </c>
      <c r="AN158" t="s">
        <v>1998</v>
      </c>
      <c r="AO158">
        <v>11472</v>
      </c>
      <c r="AU158">
        <v>0</v>
      </c>
      <c r="AW158" t="s">
        <v>2052</v>
      </c>
      <c r="AX158" t="s">
        <v>2079</v>
      </c>
    </row>
    <row r="159" spans="1:50">
      <c r="A159" s="1">
        <f>HYPERLINK("https://lsnyc.legalserver.org/matter/dynamic-profile/view/1899837","19-1899837")</f>
        <v>0</v>
      </c>
      <c r="B159" t="s">
        <v>52</v>
      </c>
      <c r="C159" t="s">
        <v>118</v>
      </c>
      <c r="D159" t="s">
        <v>143</v>
      </c>
      <c r="F159" t="s">
        <v>360</v>
      </c>
      <c r="G159" t="s">
        <v>629</v>
      </c>
      <c r="H159" t="s">
        <v>774</v>
      </c>
      <c r="I159" t="s">
        <v>1093</v>
      </c>
      <c r="J159" t="s">
        <v>1159</v>
      </c>
      <c r="K159">
        <v>10460</v>
      </c>
      <c r="L159" t="s">
        <v>1175</v>
      </c>
      <c r="M159" t="s">
        <v>1177</v>
      </c>
      <c r="N159" t="s">
        <v>1180</v>
      </c>
      <c r="O159" t="s">
        <v>1282</v>
      </c>
      <c r="P159" t="s">
        <v>1301</v>
      </c>
      <c r="R159" t="s">
        <v>1311</v>
      </c>
      <c r="S159" t="s">
        <v>1175</v>
      </c>
      <c r="U159" t="s">
        <v>1313</v>
      </c>
      <c r="W159" t="s">
        <v>1325</v>
      </c>
      <c r="X159">
        <v>1543</v>
      </c>
      <c r="Y159" t="s">
        <v>1328</v>
      </c>
      <c r="Z159" t="s">
        <v>1336</v>
      </c>
      <c r="AB159" t="s">
        <v>1504</v>
      </c>
      <c r="AD159" t="s">
        <v>1833</v>
      </c>
      <c r="AE159">
        <v>168</v>
      </c>
      <c r="AF159" t="s">
        <v>1974</v>
      </c>
      <c r="AG159" t="s">
        <v>1985</v>
      </c>
      <c r="AH159">
        <v>24</v>
      </c>
      <c r="AI159">
        <v>2</v>
      </c>
      <c r="AJ159">
        <v>0</v>
      </c>
      <c r="AK159">
        <v>92.25</v>
      </c>
      <c r="AN159" t="s">
        <v>1998</v>
      </c>
      <c r="AO159">
        <v>15600</v>
      </c>
      <c r="AU159">
        <v>0</v>
      </c>
      <c r="AW159" t="s">
        <v>2053</v>
      </c>
      <c r="AX159" t="s">
        <v>2079</v>
      </c>
    </row>
    <row r="160" spans="1:50">
      <c r="A160" s="1">
        <f>HYPERLINK("https://lsnyc.legalserver.org/matter/dynamic-profile/view/1902486","19-1902486")</f>
        <v>0</v>
      </c>
      <c r="B160" t="s">
        <v>88</v>
      </c>
      <c r="C160" t="s">
        <v>118</v>
      </c>
      <c r="D160" t="s">
        <v>164</v>
      </c>
      <c r="F160" t="s">
        <v>342</v>
      </c>
      <c r="G160" t="s">
        <v>630</v>
      </c>
      <c r="H160" t="s">
        <v>885</v>
      </c>
      <c r="I160" t="s">
        <v>1094</v>
      </c>
      <c r="J160" t="s">
        <v>1162</v>
      </c>
      <c r="K160">
        <v>11239</v>
      </c>
      <c r="L160" t="s">
        <v>1175</v>
      </c>
      <c r="M160" t="s">
        <v>1177</v>
      </c>
      <c r="N160" t="s">
        <v>1229</v>
      </c>
      <c r="O160" t="s">
        <v>1282</v>
      </c>
      <c r="R160" t="s">
        <v>1311</v>
      </c>
      <c r="S160" t="s">
        <v>1176</v>
      </c>
      <c r="U160" t="s">
        <v>1313</v>
      </c>
      <c r="V160" t="s">
        <v>1321</v>
      </c>
      <c r="W160" t="s">
        <v>160</v>
      </c>
      <c r="X160">
        <v>898.5</v>
      </c>
      <c r="Y160" t="s">
        <v>1331</v>
      </c>
      <c r="Z160" t="s">
        <v>1339</v>
      </c>
      <c r="AB160" t="s">
        <v>1505</v>
      </c>
      <c r="AC160" t="s">
        <v>1706</v>
      </c>
      <c r="AD160" t="s">
        <v>1834</v>
      </c>
      <c r="AE160">
        <v>84</v>
      </c>
      <c r="AF160" t="s">
        <v>1976</v>
      </c>
      <c r="AG160" t="s">
        <v>1255</v>
      </c>
      <c r="AH160">
        <v>1</v>
      </c>
      <c r="AI160">
        <v>1</v>
      </c>
      <c r="AJ160">
        <v>0</v>
      </c>
      <c r="AK160">
        <v>93.19</v>
      </c>
      <c r="AN160" t="s">
        <v>1998</v>
      </c>
      <c r="AO160">
        <v>11640</v>
      </c>
      <c r="AU160">
        <v>3.75</v>
      </c>
      <c r="AV160" t="s">
        <v>222</v>
      </c>
      <c r="AW160" t="s">
        <v>2072</v>
      </c>
      <c r="AX160" t="s">
        <v>2079</v>
      </c>
    </row>
    <row r="161" spans="1:50">
      <c r="A161" s="1">
        <f>HYPERLINK("https://lsnyc.legalserver.org/matter/dynamic-profile/view/1903309","19-1903309")</f>
        <v>0</v>
      </c>
      <c r="B161" t="s">
        <v>101</v>
      </c>
      <c r="C161" t="s">
        <v>119</v>
      </c>
      <c r="D161" t="s">
        <v>121</v>
      </c>
      <c r="E161" t="s">
        <v>121</v>
      </c>
      <c r="F161" t="s">
        <v>361</v>
      </c>
      <c r="G161" t="s">
        <v>631</v>
      </c>
      <c r="H161" t="s">
        <v>886</v>
      </c>
      <c r="I161" t="s">
        <v>1026</v>
      </c>
      <c r="J161" t="s">
        <v>1161</v>
      </c>
      <c r="K161">
        <v>10034</v>
      </c>
      <c r="L161" t="s">
        <v>1175</v>
      </c>
      <c r="M161" t="s">
        <v>1177</v>
      </c>
      <c r="O161" t="s">
        <v>1291</v>
      </c>
      <c r="P161" t="s">
        <v>1299</v>
      </c>
      <c r="Q161" t="s">
        <v>1305</v>
      </c>
      <c r="R161" t="s">
        <v>1311</v>
      </c>
      <c r="S161" t="s">
        <v>1176</v>
      </c>
      <c r="U161" t="s">
        <v>1313</v>
      </c>
      <c r="W161" t="s">
        <v>121</v>
      </c>
      <c r="X161">
        <v>0</v>
      </c>
      <c r="Y161" t="s">
        <v>1330</v>
      </c>
      <c r="Z161" t="s">
        <v>1338</v>
      </c>
      <c r="AA161" t="s">
        <v>1346</v>
      </c>
      <c r="AB161" t="s">
        <v>1506</v>
      </c>
      <c r="AD161" t="s">
        <v>1835</v>
      </c>
      <c r="AE161">
        <v>30</v>
      </c>
      <c r="AF161" t="s">
        <v>1974</v>
      </c>
      <c r="AG161" t="s">
        <v>1255</v>
      </c>
      <c r="AH161">
        <v>6</v>
      </c>
      <c r="AI161">
        <v>1</v>
      </c>
      <c r="AJ161">
        <v>0</v>
      </c>
      <c r="AK161">
        <v>93.29000000000001</v>
      </c>
      <c r="AN161" t="s">
        <v>1998</v>
      </c>
      <c r="AO161">
        <v>11652</v>
      </c>
      <c r="AU161">
        <v>0.1</v>
      </c>
      <c r="AV161" t="s">
        <v>121</v>
      </c>
      <c r="AW161" t="s">
        <v>2057</v>
      </c>
      <c r="AX161" t="s">
        <v>2079</v>
      </c>
    </row>
    <row r="162" spans="1:50">
      <c r="A162" s="1">
        <f>HYPERLINK("https://lsnyc.legalserver.org/matter/dynamic-profile/view/1900594","19-1900594")</f>
        <v>0</v>
      </c>
      <c r="B162" t="s">
        <v>70</v>
      </c>
      <c r="C162" t="s">
        <v>118</v>
      </c>
      <c r="D162" t="s">
        <v>124</v>
      </c>
      <c r="F162" t="s">
        <v>362</v>
      </c>
      <c r="G162" t="s">
        <v>632</v>
      </c>
      <c r="H162" t="s">
        <v>887</v>
      </c>
      <c r="I162" t="s">
        <v>1012</v>
      </c>
      <c r="J162" t="s">
        <v>1171</v>
      </c>
      <c r="K162">
        <v>11369</v>
      </c>
      <c r="L162" t="s">
        <v>1175</v>
      </c>
      <c r="M162" t="s">
        <v>1177</v>
      </c>
      <c r="N162" t="s">
        <v>1240</v>
      </c>
      <c r="O162" t="s">
        <v>1284</v>
      </c>
      <c r="P162" t="s">
        <v>1298</v>
      </c>
      <c r="R162" t="s">
        <v>1311</v>
      </c>
      <c r="S162" t="s">
        <v>1176</v>
      </c>
      <c r="U162" t="s">
        <v>1313</v>
      </c>
      <c r="V162" t="s">
        <v>1321</v>
      </c>
      <c r="W162" t="s">
        <v>122</v>
      </c>
      <c r="X162">
        <v>1600</v>
      </c>
      <c r="Y162" t="s">
        <v>1327</v>
      </c>
      <c r="Z162" t="s">
        <v>1332</v>
      </c>
      <c r="AB162" t="s">
        <v>1507</v>
      </c>
      <c r="AD162" t="s">
        <v>1836</v>
      </c>
      <c r="AE162">
        <v>2</v>
      </c>
      <c r="AF162" t="s">
        <v>1683</v>
      </c>
      <c r="AG162" t="s">
        <v>1255</v>
      </c>
      <c r="AH162">
        <v>22</v>
      </c>
      <c r="AI162">
        <v>3</v>
      </c>
      <c r="AJ162">
        <v>0</v>
      </c>
      <c r="AK162">
        <v>93.76000000000001</v>
      </c>
      <c r="AN162" t="s">
        <v>1998</v>
      </c>
      <c r="AO162">
        <v>20000</v>
      </c>
      <c r="AU162">
        <v>6.55</v>
      </c>
      <c r="AV162" t="s">
        <v>222</v>
      </c>
      <c r="AW162" t="s">
        <v>2061</v>
      </c>
      <c r="AX162" t="s">
        <v>2079</v>
      </c>
    </row>
    <row r="163" spans="1:50">
      <c r="A163" s="1">
        <f>HYPERLINK("https://lsnyc.legalserver.org/matter/dynamic-profile/view/1903788","19-1903788")</f>
        <v>0</v>
      </c>
      <c r="B163" t="s">
        <v>50</v>
      </c>
      <c r="C163" t="s">
        <v>118</v>
      </c>
      <c r="D163" t="s">
        <v>152</v>
      </c>
      <c r="F163" t="s">
        <v>363</v>
      </c>
      <c r="G163" t="s">
        <v>633</v>
      </c>
      <c r="H163" t="s">
        <v>816</v>
      </c>
      <c r="I163" t="s">
        <v>1007</v>
      </c>
      <c r="J163" t="s">
        <v>1158</v>
      </c>
      <c r="K163">
        <v>11354</v>
      </c>
      <c r="L163" t="s">
        <v>1175</v>
      </c>
      <c r="M163" t="s">
        <v>1177</v>
      </c>
      <c r="N163" t="s">
        <v>1179</v>
      </c>
      <c r="O163" t="s">
        <v>1283</v>
      </c>
      <c r="P163" t="s">
        <v>1300</v>
      </c>
      <c r="R163" t="s">
        <v>1311</v>
      </c>
      <c r="S163" t="s">
        <v>1175</v>
      </c>
      <c r="U163" t="s">
        <v>1313</v>
      </c>
      <c r="V163" t="s">
        <v>1321</v>
      </c>
      <c r="W163" t="s">
        <v>123</v>
      </c>
      <c r="X163">
        <v>598.66</v>
      </c>
      <c r="Y163" t="s">
        <v>1327</v>
      </c>
      <c r="Z163" t="s">
        <v>1334</v>
      </c>
      <c r="AB163" t="s">
        <v>1508</v>
      </c>
      <c r="AE163">
        <v>91</v>
      </c>
      <c r="AF163" t="s">
        <v>1974</v>
      </c>
      <c r="AG163" t="s">
        <v>1985</v>
      </c>
      <c r="AH163">
        <v>45</v>
      </c>
      <c r="AI163">
        <v>1</v>
      </c>
      <c r="AJ163">
        <v>0</v>
      </c>
      <c r="AK163">
        <v>96.08</v>
      </c>
      <c r="AN163" t="s">
        <v>1998</v>
      </c>
      <c r="AO163">
        <v>12000</v>
      </c>
      <c r="AU163">
        <v>0.15</v>
      </c>
      <c r="AV163" t="s">
        <v>152</v>
      </c>
      <c r="AW163" t="s">
        <v>50</v>
      </c>
      <c r="AX163" t="s">
        <v>2079</v>
      </c>
    </row>
    <row r="164" spans="1:50">
      <c r="A164" s="1">
        <f>HYPERLINK("https://lsnyc.legalserver.org/matter/dynamic-profile/view/1900969","19-1900969")</f>
        <v>0</v>
      </c>
      <c r="B164" t="s">
        <v>68</v>
      </c>
      <c r="C164" t="s">
        <v>119</v>
      </c>
      <c r="D164" t="s">
        <v>137</v>
      </c>
      <c r="E164" t="s">
        <v>216</v>
      </c>
      <c r="F164" t="s">
        <v>364</v>
      </c>
      <c r="G164" t="s">
        <v>634</v>
      </c>
      <c r="H164" t="s">
        <v>888</v>
      </c>
      <c r="I164" t="s">
        <v>1095</v>
      </c>
      <c r="J164" t="s">
        <v>1159</v>
      </c>
      <c r="K164">
        <v>10452</v>
      </c>
      <c r="L164" t="s">
        <v>1175</v>
      </c>
      <c r="M164" t="s">
        <v>1177</v>
      </c>
      <c r="N164" t="s">
        <v>1241</v>
      </c>
      <c r="O164" t="s">
        <v>1281</v>
      </c>
      <c r="P164" t="s">
        <v>1302</v>
      </c>
      <c r="Q164" t="s">
        <v>1306</v>
      </c>
      <c r="R164" t="s">
        <v>1311</v>
      </c>
      <c r="S164" t="s">
        <v>1176</v>
      </c>
      <c r="U164" t="s">
        <v>1313</v>
      </c>
      <c r="V164" t="s">
        <v>1321</v>
      </c>
      <c r="W164" t="s">
        <v>215</v>
      </c>
      <c r="X164">
        <v>1191</v>
      </c>
      <c r="Y164" t="s">
        <v>1328</v>
      </c>
      <c r="Z164" t="s">
        <v>1340</v>
      </c>
      <c r="AA164" t="s">
        <v>1352</v>
      </c>
      <c r="AB164" t="s">
        <v>1509</v>
      </c>
      <c r="AD164" t="s">
        <v>1837</v>
      </c>
      <c r="AE164">
        <v>64</v>
      </c>
      <c r="AF164" t="s">
        <v>1974</v>
      </c>
      <c r="AH164">
        <v>20</v>
      </c>
      <c r="AI164">
        <v>1</v>
      </c>
      <c r="AJ164">
        <v>0</v>
      </c>
      <c r="AK164">
        <v>96.08</v>
      </c>
      <c r="AN164" t="s">
        <v>1998</v>
      </c>
      <c r="AO164">
        <v>12000</v>
      </c>
      <c r="AU164">
        <v>0.5</v>
      </c>
      <c r="AV164" t="s">
        <v>132</v>
      </c>
      <c r="AW164" t="s">
        <v>112</v>
      </c>
      <c r="AX164" t="s">
        <v>2079</v>
      </c>
    </row>
    <row r="165" spans="1:50">
      <c r="A165" s="1">
        <f>HYPERLINK("https://lsnyc.legalserver.org/matter/dynamic-profile/view/1904439","19-1904439")</f>
        <v>0</v>
      </c>
      <c r="B165" t="s">
        <v>102</v>
      </c>
      <c r="C165" t="s">
        <v>118</v>
      </c>
      <c r="D165" t="s">
        <v>178</v>
      </c>
      <c r="F165" t="s">
        <v>365</v>
      </c>
      <c r="G165" t="s">
        <v>635</v>
      </c>
      <c r="H165" t="s">
        <v>889</v>
      </c>
      <c r="I165" t="s">
        <v>1023</v>
      </c>
      <c r="J165" t="s">
        <v>1161</v>
      </c>
      <c r="K165">
        <v>10024</v>
      </c>
      <c r="L165" t="s">
        <v>1175</v>
      </c>
      <c r="M165" t="s">
        <v>1177</v>
      </c>
      <c r="O165" t="s">
        <v>1285</v>
      </c>
      <c r="P165" t="s">
        <v>1303</v>
      </c>
      <c r="R165" t="s">
        <v>1311</v>
      </c>
      <c r="S165" t="s">
        <v>1175</v>
      </c>
      <c r="U165" t="s">
        <v>1313</v>
      </c>
      <c r="V165" t="s">
        <v>1321</v>
      </c>
      <c r="W165" t="s">
        <v>157</v>
      </c>
      <c r="X165">
        <v>670</v>
      </c>
      <c r="Y165" t="s">
        <v>1330</v>
      </c>
      <c r="AB165" t="s">
        <v>1510</v>
      </c>
      <c r="AD165" t="s">
        <v>1838</v>
      </c>
      <c r="AE165">
        <v>12</v>
      </c>
      <c r="AF165" t="s">
        <v>1975</v>
      </c>
      <c r="AG165" t="s">
        <v>1255</v>
      </c>
      <c r="AH165">
        <v>48</v>
      </c>
      <c r="AI165">
        <v>1</v>
      </c>
      <c r="AJ165">
        <v>0</v>
      </c>
      <c r="AK165">
        <v>96.08</v>
      </c>
      <c r="AN165" t="s">
        <v>1998</v>
      </c>
      <c r="AO165">
        <v>12000</v>
      </c>
      <c r="AU165">
        <v>8</v>
      </c>
      <c r="AV165" t="s">
        <v>163</v>
      </c>
      <c r="AW165" t="s">
        <v>2066</v>
      </c>
      <c r="AX165" t="s">
        <v>2079</v>
      </c>
    </row>
    <row r="166" spans="1:50">
      <c r="A166" s="1">
        <f>HYPERLINK("https://lsnyc.legalserver.org/matter/dynamic-profile/view/1898939","19-1898939")</f>
        <v>0</v>
      </c>
      <c r="B166" t="s">
        <v>71</v>
      </c>
      <c r="C166" t="s">
        <v>119</v>
      </c>
      <c r="D166" t="s">
        <v>136</v>
      </c>
      <c r="E166" t="s">
        <v>215</v>
      </c>
      <c r="F166" t="s">
        <v>366</v>
      </c>
      <c r="G166" t="s">
        <v>636</v>
      </c>
      <c r="H166" t="s">
        <v>890</v>
      </c>
      <c r="I166">
        <v>3</v>
      </c>
      <c r="J166" t="s">
        <v>1159</v>
      </c>
      <c r="K166">
        <v>10462</v>
      </c>
      <c r="L166" t="s">
        <v>1175</v>
      </c>
      <c r="M166" t="s">
        <v>1177</v>
      </c>
      <c r="P166" t="s">
        <v>1299</v>
      </c>
      <c r="Q166" t="s">
        <v>1305</v>
      </c>
      <c r="R166" t="s">
        <v>1311</v>
      </c>
      <c r="S166" t="s">
        <v>1176</v>
      </c>
      <c r="U166" t="s">
        <v>1313</v>
      </c>
      <c r="W166" t="s">
        <v>1325</v>
      </c>
      <c r="X166">
        <v>850</v>
      </c>
      <c r="Y166" t="s">
        <v>1328</v>
      </c>
      <c r="Z166" t="s">
        <v>1336</v>
      </c>
      <c r="AA166" t="s">
        <v>1346</v>
      </c>
      <c r="AB166" t="s">
        <v>1511</v>
      </c>
      <c r="AD166" t="s">
        <v>1839</v>
      </c>
      <c r="AE166">
        <v>2</v>
      </c>
      <c r="AF166" t="s">
        <v>1683</v>
      </c>
      <c r="AG166" t="s">
        <v>1991</v>
      </c>
      <c r="AH166">
        <v>1</v>
      </c>
      <c r="AI166">
        <v>1</v>
      </c>
      <c r="AJ166">
        <v>0</v>
      </c>
      <c r="AK166">
        <v>96.16</v>
      </c>
      <c r="AN166" t="s">
        <v>1998</v>
      </c>
      <c r="AO166">
        <v>12010.68</v>
      </c>
      <c r="AU166">
        <v>4.1</v>
      </c>
      <c r="AV166" t="s">
        <v>184</v>
      </c>
      <c r="AW166" t="s">
        <v>2052</v>
      </c>
      <c r="AX166" t="s">
        <v>2079</v>
      </c>
    </row>
    <row r="167" spans="1:50">
      <c r="A167" s="1">
        <f>HYPERLINK("https://lsnyc.legalserver.org/matter/dynamic-profile/view/1899592","19-1899592")</f>
        <v>0</v>
      </c>
      <c r="B167" t="s">
        <v>80</v>
      </c>
      <c r="C167" t="s">
        <v>118</v>
      </c>
      <c r="D167" t="s">
        <v>147</v>
      </c>
      <c r="F167" t="s">
        <v>367</v>
      </c>
      <c r="G167" t="s">
        <v>628</v>
      </c>
      <c r="H167" t="s">
        <v>891</v>
      </c>
      <c r="I167" t="s">
        <v>1009</v>
      </c>
      <c r="J167" t="s">
        <v>1159</v>
      </c>
      <c r="K167">
        <v>10468</v>
      </c>
      <c r="L167" t="s">
        <v>1175</v>
      </c>
      <c r="M167" t="s">
        <v>1177</v>
      </c>
      <c r="O167" t="s">
        <v>1282</v>
      </c>
      <c r="P167" t="s">
        <v>1299</v>
      </c>
      <c r="R167" t="s">
        <v>1311</v>
      </c>
      <c r="S167" t="s">
        <v>1176</v>
      </c>
      <c r="U167" t="s">
        <v>1313</v>
      </c>
      <c r="W167" t="s">
        <v>215</v>
      </c>
      <c r="X167">
        <v>340</v>
      </c>
      <c r="Y167" t="s">
        <v>1328</v>
      </c>
      <c r="Z167" t="s">
        <v>1344</v>
      </c>
      <c r="AB167" t="s">
        <v>1512</v>
      </c>
      <c r="AC167" t="s">
        <v>1707</v>
      </c>
      <c r="AD167" t="s">
        <v>1840</v>
      </c>
      <c r="AE167">
        <v>0</v>
      </c>
      <c r="AF167" t="s">
        <v>1974</v>
      </c>
      <c r="AG167" t="s">
        <v>1985</v>
      </c>
      <c r="AH167">
        <v>3</v>
      </c>
      <c r="AI167">
        <v>2</v>
      </c>
      <c r="AJ167">
        <v>0</v>
      </c>
      <c r="AK167">
        <v>97.29000000000001</v>
      </c>
      <c r="AN167" t="s">
        <v>1998</v>
      </c>
      <c r="AO167">
        <v>16452</v>
      </c>
      <c r="AU167">
        <v>2.9</v>
      </c>
      <c r="AV167" t="s">
        <v>138</v>
      </c>
      <c r="AW167" t="s">
        <v>80</v>
      </c>
      <c r="AX167" t="s">
        <v>2080</v>
      </c>
    </row>
    <row r="168" spans="1:50">
      <c r="A168" s="1">
        <f>HYPERLINK("https://lsnyc.legalserver.org/matter/dynamic-profile/view/1899885","19-1899885")</f>
        <v>0</v>
      </c>
      <c r="B168" t="s">
        <v>52</v>
      </c>
      <c r="C168" t="s">
        <v>118</v>
      </c>
      <c r="D168" t="s">
        <v>143</v>
      </c>
      <c r="F168" t="s">
        <v>368</v>
      </c>
      <c r="G168" t="s">
        <v>637</v>
      </c>
      <c r="H168" t="s">
        <v>774</v>
      </c>
      <c r="I168" t="s">
        <v>1096</v>
      </c>
      <c r="J168" t="s">
        <v>1159</v>
      </c>
      <c r="K168">
        <v>10460</v>
      </c>
      <c r="L168" t="s">
        <v>1175</v>
      </c>
      <c r="M168" t="s">
        <v>1177</v>
      </c>
      <c r="N168" t="s">
        <v>1180</v>
      </c>
      <c r="O168" t="s">
        <v>1282</v>
      </c>
      <c r="P168" t="s">
        <v>1301</v>
      </c>
      <c r="R168" t="s">
        <v>1311</v>
      </c>
      <c r="S168" t="s">
        <v>1175</v>
      </c>
      <c r="U168" t="s">
        <v>1313</v>
      </c>
      <c r="W168" t="s">
        <v>1325</v>
      </c>
      <c r="X168">
        <v>397</v>
      </c>
      <c r="Y168" t="s">
        <v>1328</v>
      </c>
      <c r="Z168" t="s">
        <v>1336</v>
      </c>
      <c r="AB168" t="s">
        <v>1513</v>
      </c>
      <c r="AD168" t="s">
        <v>1841</v>
      </c>
      <c r="AE168">
        <v>168</v>
      </c>
      <c r="AF168" t="s">
        <v>1974</v>
      </c>
      <c r="AG168" t="s">
        <v>1985</v>
      </c>
      <c r="AH168">
        <v>5</v>
      </c>
      <c r="AI168">
        <v>1</v>
      </c>
      <c r="AJ168">
        <v>0</v>
      </c>
      <c r="AK168">
        <v>98.19</v>
      </c>
      <c r="AN168" t="s">
        <v>2000</v>
      </c>
      <c r="AO168">
        <v>12264</v>
      </c>
      <c r="AU168">
        <v>0</v>
      </c>
      <c r="AW168" t="s">
        <v>2063</v>
      </c>
      <c r="AX168" t="s">
        <v>2079</v>
      </c>
    </row>
    <row r="169" spans="1:50">
      <c r="A169" s="1">
        <f>HYPERLINK("https://lsnyc.legalserver.org/matter/dynamic-profile/view/1901495","19-1901495")</f>
        <v>0</v>
      </c>
      <c r="B169" t="s">
        <v>93</v>
      </c>
      <c r="C169" t="s">
        <v>118</v>
      </c>
      <c r="D169" t="s">
        <v>148</v>
      </c>
      <c r="F169" t="s">
        <v>369</v>
      </c>
      <c r="G169" t="s">
        <v>638</v>
      </c>
      <c r="H169" t="s">
        <v>892</v>
      </c>
      <c r="I169">
        <v>31</v>
      </c>
      <c r="J169" t="s">
        <v>1161</v>
      </c>
      <c r="K169">
        <v>10033</v>
      </c>
      <c r="L169" t="s">
        <v>1175</v>
      </c>
      <c r="M169" t="s">
        <v>1177</v>
      </c>
      <c r="O169" t="s">
        <v>1291</v>
      </c>
      <c r="P169" t="s">
        <v>1298</v>
      </c>
      <c r="R169" t="s">
        <v>1311</v>
      </c>
      <c r="S169" t="s">
        <v>1176</v>
      </c>
      <c r="U169" t="s">
        <v>1313</v>
      </c>
      <c r="W169" t="s">
        <v>148</v>
      </c>
      <c r="X169">
        <v>1251.22</v>
      </c>
      <c r="Y169" t="s">
        <v>1330</v>
      </c>
      <c r="Z169" t="s">
        <v>1338</v>
      </c>
      <c r="AB169" t="s">
        <v>1514</v>
      </c>
      <c r="AD169" t="s">
        <v>1842</v>
      </c>
      <c r="AE169">
        <v>20</v>
      </c>
      <c r="AF169" t="s">
        <v>1974</v>
      </c>
      <c r="AG169" t="s">
        <v>1987</v>
      </c>
      <c r="AH169">
        <v>19</v>
      </c>
      <c r="AI169">
        <v>1</v>
      </c>
      <c r="AJ169">
        <v>0</v>
      </c>
      <c r="AK169">
        <v>99.70999999999999</v>
      </c>
      <c r="AN169" t="s">
        <v>2000</v>
      </c>
      <c r="AO169">
        <v>12454</v>
      </c>
      <c r="AU169">
        <v>2.3</v>
      </c>
      <c r="AV169" t="s">
        <v>120</v>
      </c>
      <c r="AW169" t="s">
        <v>2057</v>
      </c>
      <c r="AX169" t="s">
        <v>2079</v>
      </c>
    </row>
    <row r="170" spans="1:50">
      <c r="A170" s="1">
        <f>HYPERLINK("https://lsnyc.legalserver.org/matter/dynamic-profile/view/1891269","19-1891269")</f>
        <v>0</v>
      </c>
      <c r="B170" t="s">
        <v>53</v>
      </c>
      <c r="C170" t="s">
        <v>118</v>
      </c>
      <c r="D170" t="s">
        <v>186</v>
      </c>
      <c r="F170" t="s">
        <v>232</v>
      </c>
      <c r="G170" t="s">
        <v>557</v>
      </c>
      <c r="H170" t="s">
        <v>807</v>
      </c>
      <c r="I170" t="s">
        <v>1097</v>
      </c>
      <c r="J170" t="s">
        <v>1159</v>
      </c>
      <c r="K170">
        <v>10453</v>
      </c>
      <c r="L170" t="s">
        <v>1175</v>
      </c>
      <c r="M170" t="s">
        <v>1176</v>
      </c>
      <c r="N170" t="s">
        <v>1242</v>
      </c>
      <c r="O170" t="s">
        <v>1281</v>
      </c>
      <c r="P170" t="s">
        <v>1298</v>
      </c>
      <c r="R170" t="s">
        <v>1311</v>
      </c>
      <c r="S170" t="s">
        <v>1176</v>
      </c>
      <c r="U170" t="s">
        <v>1313</v>
      </c>
      <c r="V170" t="s">
        <v>1321</v>
      </c>
      <c r="W170" t="s">
        <v>206</v>
      </c>
      <c r="X170">
        <v>856.46</v>
      </c>
      <c r="Y170" t="s">
        <v>1328</v>
      </c>
      <c r="Z170" t="s">
        <v>1335</v>
      </c>
      <c r="AB170" t="s">
        <v>1515</v>
      </c>
      <c r="AD170" t="s">
        <v>1843</v>
      </c>
      <c r="AE170">
        <v>167</v>
      </c>
      <c r="AF170" t="s">
        <v>1974</v>
      </c>
      <c r="AG170" t="s">
        <v>1988</v>
      </c>
      <c r="AH170">
        <v>18</v>
      </c>
      <c r="AI170">
        <v>2</v>
      </c>
      <c r="AJ170">
        <v>2</v>
      </c>
      <c r="AK170">
        <v>99.91</v>
      </c>
      <c r="AN170" t="s">
        <v>2000</v>
      </c>
      <c r="AO170">
        <v>25727</v>
      </c>
      <c r="AP170" t="s">
        <v>2016</v>
      </c>
      <c r="AU170">
        <v>11.55</v>
      </c>
      <c r="AV170" t="s">
        <v>166</v>
      </c>
      <c r="AW170" t="s">
        <v>2052</v>
      </c>
      <c r="AX170" t="s">
        <v>2079</v>
      </c>
    </row>
    <row r="171" spans="1:50">
      <c r="A171" s="1">
        <f>HYPERLINK("https://lsnyc.legalserver.org/matter/dynamic-profile/view/1901398","19-1901398")</f>
        <v>0</v>
      </c>
      <c r="B171" t="s">
        <v>63</v>
      </c>
      <c r="C171" t="s">
        <v>118</v>
      </c>
      <c r="D171" t="s">
        <v>129</v>
      </c>
      <c r="F171" t="s">
        <v>370</v>
      </c>
      <c r="G171" t="s">
        <v>639</v>
      </c>
      <c r="H171" t="s">
        <v>893</v>
      </c>
      <c r="I171" t="s">
        <v>1066</v>
      </c>
      <c r="J171" t="s">
        <v>1161</v>
      </c>
      <c r="K171">
        <v>10032</v>
      </c>
      <c r="L171" t="s">
        <v>1175</v>
      </c>
      <c r="M171" t="s">
        <v>1177</v>
      </c>
      <c r="P171" t="s">
        <v>1301</v>
      </c>
      <c r="R171" t="s">
        <v>1311</v>
      </c>
      <c r="S171" t="s">
        <v>1176</v>
      </c>
      <c r="U171" t="s">
        <v>1313</v>
      </c>
      <c r="W171" t="s">
        <v>129</v>
      </c>
      <c r="X171">
        <v>858.16</v>
      </c>
      <c r="Y171" t="s">
        <v>1330</v>
      </c>
      <c r="AB171" t="s">
        <v>1516</v>
      </c>
      <c r="AE171">
        <v>42</v>
      </c>
      <c r="AF171" t="s">
        <v>1974</v>
      </c>
      <c r="AG171" t="s">
        <v>1255</v>
      </c>
      <c r="AH171">
        <v>35</v>
      </c>
      <c r="AI171">
        <v>1</v>
      </c>
      <c r="AJ171">
        <v>1</v>
      </c>
      <c r="AK171">
        <v>100.25</v>
      </c>
      <c r="AN171" t="s">
        <v>2000</v>
      </c>
      <c r="AO171">
        <v>16952</v>
      </c>
      <c r="AU171">
        <v>18.25</v>
      </c>
      <c r="AV171" t="s">
        <v>216</v>
      </c>
      <c r="AW171" t="s">
        <v>2057</v>
      </c>
      <c r="AX171" t="s">
        <v>2079</v>
      </c>
    </row>
    <row r="172" spans="1:50">
      <c r="A172" s="1">
        <f>HYPERLINK("https://lsnyc.legalserver.org/matter/dynamic-profile/view/1896282","19-1896282")</f>
        <v>0</v>
      </c>
      <c r="B172" t="s">
        <v>57</v>
      </c>
      <c r="C172" t="s">
        <v>119</v>
      </c>
      <c r="D172" t="s">
        <v>187</v>
      </c>
      <c r="E172" t="s">
        <v>124</v>
      </c>
      <c r="F172" t="s">
        <v>371</v>
      </c>
      <c r="G172" t="s">
        <v>640</v>
      </c>
      <c r="H172" t="s">
        <v>894</v>
      </c>
      <c r="I172" t="s">
        <v>1098</v>
      </c>
      <c r="J172" t="s">
        <v>1159</v>
      </c>
      <c r="K172">
        <v>10467</v>
      </c>
      <c r="L172" t="s">
        <v>1175</v>
      </c>
      <c r="M172" t="s">
        <v>1175</v>
      </c>
      <c r="O172" t="s">
        <v>1294</v>
      </c>
      <c r="P172" t="s">
        <v>1302</v>
      </c>
      <c r="Q172" t="s">
        <v>1306</v>
      </c>
      <c r="R172" t="s">
        <v>1311</v>
      </c>
      <c r="S172" t="s">
        <v>1176</v>
      </c>
      <c r="U172" t="s">
        <v>1319</v>
      </c>
      <c r="W172" t="s">
        <v>1325</v>
      </c>
      <c r="X172">
        <v>600</v>
      </c>
      <c r="Y172" t="s">
        <v>1328</v>
      </c>
      <c r="Z172" t="s">
        <v>1343</v>
      </c>
      <c r="AA172" t="s">
        <v>1351</v>
      </c>
      <c r="AB172" t="s">
        <v>1517</v>
      </c>
      <c r="AD172" t="s">
        <v>1844</v>
      </c>
      <c r="AE172">
        <v>59</v>
      </c>
      <c r="AF172" t="s">
        <v>1974</v>
      </c>
      <c r="AG172" t="s">
        <v>1987</v>
      </c>
      <c r="AH172">
        <v>37</v>
      </c>
      <c r="AI172">
        <v>1</v>
      </c>
      <c r="AJ172">
        <v>0</v>
      </c>
      <c r="AK172">
        <v>100.28</v>
      </c>
      <c r="AN172" t="s">
        <v>1998</v>
      </c>
      <c r="AO172">
        <v>12525</v>
      </c>
      <c r="AU172">
        <v>3.5</v>
      </c>
      <c r="AV172" t="s">
        <v>124</v>
      </c>
      <c r="AW172" t="s">
        <v>57</v>
      </c>
      <c r="AX172" t="s">
        <v>2079</v>
      </c>
    </row>
    <row r="173" spans="1:50">
      <c r="A173" s="1">
        <f>HYPERLINK("https://lsnyc.legalserver.org/matter/dynamic-profile/view/1903490","19-1903490")</f>
        <v>0</v>
      </c>
      <c r="B173" t="s">
        <v>50</v>
      </c>
      <c r="C173" t="s">
        <v>118</v>
      </c>
      <c r="D173" t="s">
        <v>123</v>
      </c>
      <c r="F173" t="s">
        <v>315</v>
      </c>
      <c r="G173" t="s">
        <v>641</v>
      </c>
      <c r="H173" t="s">
        <v>773</v>
      </c>
      <c r="I173" t="s">
        <v>1099</v>
      </c>
      <c r="J173" t="s">
        <v>1158</v>
      </c>
      <c r="K173">
        <v>11354</v>
      </c>
      <c r="L173" t="s">
        <v>1175</v>
      </c>
      <c r="M173" t="s">
        <v>1177</v>
      </c>
      <c r="N173" t="s">
        <v>1179</v>
      </c>
      <c r="O173" t="s">
        <v>1283</v>
      </c>
      <c r="P173" t="s">
        <v>1300</v>
      </c>
      <c r="R173" t="s">
        <v>1311</v>
      </c>
      <c r="S173" t="s">
        <v>1175</v>
      </c>
      <c r="U173" t="s">
        <v>1313</v>
      </c>
      <c r="V173" t="s">
        <v>1321</v>
      </c>
      <c r="W173" t="s">
        <v>123</v>
      </c>
      <c r="X173">
        <v>1044.47</v>
      </c>
      <c r="Y173" t="s">
        <v>1327</v>
      </c>
      <c r="Z173" t="s">
        <v>1340</v>
      </c>
      <c r="AB173" t="s">
        <v>1518</v>
      </c>
      <c r="AE173">
        <v>91</v>
      </c>
      <c r="AF173" t="s">
        <v>1974</v>
      </c>
      <c r="AG173" t="s">
        <v>1255</v>
      </c>
      <c r="AH173">
        <v>17</v>
      </c>
      <c r="AI173">
        <v>2</v>
      </c>
      <c r="AJ173">
        <v>0</v>
      </c>
      <c r="AK173">
        <v>100.53</v>
      </c>
      <c r="AN173" t="s">
        <v>2000</v>
      </c>
      <c r="AO173">
        <v>17000</v>
      </c>
      <c r="AU173">
        <v>0.15</v>
      </c>
      <c r="AV173" t="s">
        <v>123</v>
      </c>
      <c r="AW173" t="s">
        <v>50</v>
      </c>
      <c r="AX173" t="s">
        <v>2079</v>
      </c>
    </row>
    <row r="174" spans="1:50">
      <c r="A174" s="1">
        <f>HYPERLINK("https://lsnyc.legalserver.org/matter/dynamic-profile/view/1900608","19-1900608")</f>
        <v>0</v>
      </c>
      <c r="B174" t="s">
        <v>52</v>
      </c>
      <c r="C174" t="s">
        <v>118</v>
      </c>
      <c r="D174" t="s">
        <v>124</v>
      </c>
      <c r="F174" t="s">
        <v>372</v>
      </c>
      <c r="G174" t="s">
        <v>642</v>
      </c>
      <c r="H174" t="s">
        <v>774</v>
      </c>
      <c r="I174" t="s">
        <v>1027</v>
      </c>
      <c r="J174" t="s">
        <v>1159</v>
      </c>
      <c r="K174">
        <v>10460</v>
      </c>
      <c r="L174" t="s">
        <v>1175</v>
      </c>
      <c r="M174" t="s">
        <v>1177</v>
      </c>
      <c r="N174" t="s">
        <v>1180</v>
      </c>
      <c r="O174" t="s">
        <v>1282</v>
      </c>
      <c r="P174" t="s">
        <v>1301</v>
      </c>
      <c r="R174" t="s">
        <v>1311</v>
      </c>
      <c r="S174" t="s">
        <v>1175</v>
      </c>
      <c r="U174" t="s">
        <v>1313</v>
      </c>
      <c r="W174" t="s">
        <v>1325</v>
      </c>
      <c r="X174">
        <v>517</v>
      </c>
      <c r="Y174" t="s">
        <v>1328</v>
      </c>
      <c r="Z174" t="s">
        <v>1335</v>
      </c>
      <c r="AB174" t="s">
        <v>1519</v>
      </c>
      <c r="AE174">
        <v>168</v>
      </c>
      <c r="AF174" t="s">
        <v>1683</v>
      </c>
      <c r="AG174" t="s">
        <v>1985</v>
      </c>
      <c r="AH174">
        <v>24</v>
      </c>
      <c r="AI174">
        <v>2</v>
      </c>
      <c r="AJ174">
        <v>0</v>
      </c>
      <c r="AK174">
        <v>100.53</v>
      </c>
      <c r="AN174" t="s">
        <v>1998</v>
      </c>
      <c r="AO174">
        <v>17000</v>
      </c>
      <c r="AU174">
        <v>0</v>
      </c>
      <c r="AW174" t="s">
        <v>2052</v>
      </c>
      <c r="AX174" t="s">
        <v>2079</v>
      </c>
    </row>
    <row r="175" spans="1:50">
      <c r="A175" s="1">
        <f>HYPERLINK("https://lsnyc.legalserver.org/matter/dynamic-profile/view/1899842","19-1899842")</f>
        <v>0</v>
      </c>
      <c r="B175" t="s">
        <v>52</v>
      </c>
      <c r="C175" t="s">
        <v>118</v>
      </c>
      <c r="D175" t="s">
        <v>143</v>
      </c>
      <c r="F175" t="s">
        <v>373</v>
      </c>
      <c r="G175" t="s">
        <v>643</v>
      </c>
      <c r="H175" t="s">
        <v>774</v>
      </c>
      <c r="I175" t="s">
        <v>1056</v>
      </c>
      <c r="J175" t="s">
        <v>1159</v>
      </c>
      <c r="K175">
        <v>10460</v>
      </c>
      <c r="L175" t="s">
        <v>1175</v>
      </c>
      <c r="M175" t="s">
        <v>1177</v>
      </c>
      <c r="N175" t="s">
        <v>1180</v>
      </c>
      <c r="O175" t="s">
        <v>1282</v>
      </c>
      <c r="P175" t="s">
        <v>1301</v>
      </c>
      <c r="R175" t="s">
        <v>1311</v>
      </c>
      <c r="S175" t="s">
        <v>1175</v>
      </c>
      <c r="U175" t="s">
        <v>1313</v>
      </c>
      <c r="W175" t="s">
        <v>1325</v>
      </c>
      <c r="X175">
        <v>304</v>
      </c>
      <c r="Y175" t="s">
        <v>1328</v>
      </c>
      <c r="Z175" t="s">
        <v>1336</v>
      </c>
      <c r="AB175" t="s">
        <v>1520</v>
      </c>
      <c r="AD175" t="s">
        <v>1845</v>
      </c>
      <c r="AE175">
        <v>168</v>
      </c>
      <c r="AF175" t="s">
        <v>1974</v>
      </c>
      <c r="AG175" t="s">
        <v>1985</v>
      </c>
      <c r="AH175">
        <v>1</v>
      </c>
      <c r="AI175">
        <v>1</v>
      </c>
      <c r="AJ175">
        <v>0</v>
      </c>
      <c r="AK175">
        <v>100.88</v>
      </c>
      <c r="AN175" t="s">
        <v>1998</v>
      </c>
      <c r="AO175">
        <v>12600</v>
      </c>
      <c r="AU175">
        <v>0</v>
      </c>
      <c r="AW175" t="s">
        <v>2063</v>
      </c>
      <c r="AX175" t="s">
        <v>2079</v>
      </c>
    </row>
    <row r="176" spans="1:50">
      <c r="A176" s="1">
        <f>HYPERLINK("https://lsnyc.legalserver.org/matter/dynamic-profile/view/1898161","19-1898161")</f>
        <v>0</v>
      </c>
      <c r="B176" t="s">
        <v>65</v>
      </c>
      <c r="C176" t="s">
        <v>119</v>
      </c>
      <c r="D176" t="s">
        <v>128</v>
      </c>
      <c r="E176" t="s">
        <v>218</v>
      </c>
      <c r="F176" t="s">
        <v>374</v>
      </c>
      <c r="G176" t="s">
        <v>644</v>
      </c>
      <c r="H176" t="s">
        <v>895</v>
      </c>
      <c r="I176" t="s">
        <v>1100</v>
      </c>
      <c r="J176" t="s">
        <v>1159</v>
      </c>
      <c r="K176">
        <v>10456</v>
      </c>
      <c r="L176" t="s">
        <v>1175</v>
      </c>
      <c r="M176" t="s">
        <v>1175</v>
      </c>
      <c r="O176" t="s">
        <v>1282</v>
      </c>
      <c r="P176" t="s">
        <v>1299</v>
      </c>
      <c r="Q176" t="s">
        <v>1305</v>
      </c>
      <c r="R176" t="s">
        <v>1311</v>
      </c>
      <c r="S176" t="s">
        <v>1176</v>
      </c>
      <c r="U176" t="s">
        <v>1313</v>
      </c>
      <c r="W176" t="s">
        <v>1325</v>
      </c>
      <c r="X176">
        <v>510</v>
      </c>
      <c r="Y176" t="s">
        <v>1328</v>
      </c>
      <c r="Z176" t="s">
        <v>1336</v>
      </c>
      <c r="AA176" t="s">
        <v>1346</v>
      </c>
      <c r="AB176" t="s">
        <v>1521</v>
      </c>
      <c r="AD176" t="s">
        <v>1846</v>
      </c>
      <c r="AE176">
        <v>0</v>
      </c>
      <c r="AF176" t="s">
        <v>1683</v>
      </c>
      <c r="AG176" t="s">
        <v>1255</v>
      </c>
      <c r="AH176">
        <v>9</v>
      </c>
      <c r="AI176">
        <v>1</v>
      </c>
      <c r="AJ176">
        <v>3</v>
      </c>
      <c r="AK176">
        <v>100.97</v>
      </c>
      <c r="AN176" t="s">
        <v>1998</v>
      </c>
      <c r="AO176">
        <v>26000</v>
      </c>
      <c r="AU176">
        <v>0.3</v>
      </c>
      <c r="AV176" t="s">
        <v>128</v>
      </c>
      <c r="AW176" t="s">
        <v>112</v>
      </c>
      <c r="AX176" t="s">
        <v>2079</v>
      </c>
    </row>
    <row r="177" spans="1:50">
      <c r="A177" s="1">
        <f>HYPERLINK("https://lsnyc.legalserver.org/matter/dynamic-profile/view/1892367","19-1892367")</f>
        <v>0</v>
      </c>
      <c r="B177" t="s">
        <v>71</v>
      </c>
      <c r="C177" t="s">
        <v>118</v>
      </c>
      <c r="D177" t="s">
        <v>161</v>
      </c>
      <c r="F177" t="s">
        <v>375</v>
      </c>
      <c r="G177" t="s">
        <v>645</v>
      </c>
      <c r="H177" t="s">
        <v>896</v>
      </c>
      <c r="I177" t="s">
        <v>1095</v>
      </c>
      <c r="J177" t="s">
        <v>1159</v>
      </c>
      <c r="K177">
        <v>10453</v>
      </c>
      <c r="L177" t="s">
        <v>1175</v>
      </c>
      <c r="M177" t="s">
        <v>1175</v>
      </c>
      <c r="O177" t="s">
        <v>1283</v>
      </c>
      <c r="P177" t="s">
        <v>1300</v>
      </c>
      <c r="R177" t="s">
        <v>1311</v>
      </c>
      <c r="S177" t="s">
        <v>1175</v>
      </c>
      <c r="U177" t="s">
        <v>1313</v>
      </c>
      <c r="W177" t="s">
        <v>206</v>
      </c>
      <c r="X177">
        <v>1026.68</v>
      </c>
      <c r="Y177" t="s">
        <v>1328</v>
      </c>
      <c r="Z177" t="s">
        <v>1340</v>
      </c>
      <c r="AB177" t="s">
        <v>1522</v>
      </c>
      <c r="AE177">
        <v>170</v>
      </c>
      <c r="AF177" t="s">
        <v>1974</v>
      </c>
      <c r="AG177" t="s">
        <v>1255</v>
      </c>
      <c r="AH177">
        <v>9</v>
      </c>
      <c r="AI177">
        <v>2</v>
      </c>
      <c r="AJ177">
        <v>2</v>
      </c>
      <c r="AK177">
        <v>100.97</v>
      </c>
      <c r="AN177" t="s">
        <v>2000</v>
      </c>
      <c r="AO177">
        <v>26000</v>
      </c>
      <c r="AU177">
        <v>0</v>
      </c>
      <c r="AW177" t="s">
        <v>112</v>
      </c>
      <c r="AX177" t="s">
        <v>2079</v>
      </c>
    </row>
    <row r="178" spans="1:50">
      <c r="A178" s="1">
        <f>HYPERLINK("https://lsnyc.legalserver.org/matter/dynamic-profile/view/1890039","19-1890039")</f>
        <v>0</v>
      </c>
      <c r="B178" t="s">
        <v>71</v>
      </c>
      <c r="C178" t="s">
        <v>118</v>
      </c>
      <c r="D178" t="s">
        <v>144</v>
      </c>
      <c r="F178" t="s">
        <v>278</v>
      </c>
      <c r="G178" t="s">
        <v>646</v>
      </c>
      <c r="H178" t="s">
        <v>807</v>
      </c>
      <c r="I178" t="s">
        <v>1034</v>
      </c>
      <c r="J178" t="s">
        <v>1159</v>
      </c>
      <c r="K178">
        <v>10453</v>
      </c>
      <c r="L178" t="s">
        <v>1175</v>
      </c>
      <c r="M178" t="s">
        <v>1175</v>
      </c>
      <c r="O178" t="s">
        <v>1283</v>
      </c>
      <c r="P178" t="s">
        <v>1300</v>
      </c>
      <c r="R178" t="s">
        <v>1311</v>
      </c>
      <c r="S178" t="s">
        <v>1175</v>
      </c>
      <c r="U178" t="s">
        <v>1313</v>
      </c>
      <c r="W178" t="s">
        <v>206</v>
      </c>
      <c r="X178">
        <v>880.27</v>
      </c>
      <c r="Y178" t="s">
        <v>1328</v>
      </c>
      <c r="Z178" t="s">
        <v>1336</v>
      </c>
      <c r="AB178" t="s">
        <v>1523</v>
      </c>
      <c r="AD178" t="s">
        <v>1847</v>
      </c>
      <c r="AE178">
        <v>170</v>
      </c>
      <c r="AF178" t="s">
        <v>1974</v>
      </c>
      <c r="AG178" t="s">
        <v>1255</v>
      </c>
      <c r="AH178">
        <v>20</v>
      </c>
      <c r="AI178">
        <v>2</v>
      </c>
      <c r="AJ178">
        <v>4</v>
      </c>
      <c r="AK178">
        <v>101.93</v>
      </c>
      <c r="AN178" t="s">
        <v>1998</v>
      </c>
      <c r="AO178">
        <v>34392</v>
      </c>
      <c r="AU178">
        <v>0</v>
      </c>
      <c r="AW178" t="s">
        <v>112</v>
      </c>
      <c r="AX178" t="s">
        <v>2079</v>
      </c>
    </row>
    <row r="179" spans="1:50">
      <c r="A179" s="1">
        <f>HYPERLINK("https://lsnyc.legalserver.org/matter/dynamic-profile/view/1901607","19-1901607")</f>
        <v>0</v>
      </c>
      <c r="B179" t="s">
        <v>53</v>
      </c>
      <c r="C179" t="s">
        <v>119</v>
      </c>
      <c r="D179" t="s">
        <v>125</v>
      </c>
      <c r="E179" t="s">
        <v>142</v>
      </c>
      <c r="F179" t="s">
        <v>324</v>
      </c>
      <c r="G179" t="s">
        <v>607</v>
      </c>
      <c r="H179" t="s">
        <v>897</v>
      </c>
      <c r="I179" t="s">
        <v>1101</v>
      </c>
      <c r="J179" t="s">
        <v>1159</v>
      </c>
      <c r="K179">
        <v>10457</v>
      </c>
      <c r="L179" t="s">
        <v>1175</v>
      </c>
      <c r="M179" t="s">
        <v>1177</v>
      </c>
      <c r="N179" t="s">
        <v>1180</v>
      </c>
      <c r="O179" t="s">
        <v>1284</v>
      </c>
      <c r="P179" t="s">
        <v>1299</v>
      </c>
      <c r="Q179" t="s">
        <v>1305</v>
      </c>
      <c r="R179" t="s">
        <v>1311</v>
      </c>
      <c r="S179" t="s">
        <v>1176</v>
      </c>
      <c r="U179" t="s">
        <v>1313</v>
      </c>
      <c r="W179" t="s">
        <v>1325</v>
      </c>
      <c r="X179">
        <v>1476.04</v>
      </c>
      <c r="Y179" t="s">
        <v>1328</v>
      </c>
      <c r="Z179" t="s">
        <v>1336</v>
      </c>
      <c r="AA179" t="s">
        <v>1346</v>
      </c>
      <c r="AB179" t="s">
        <v>1524</v>
      </c>
      <c r="AD179" t="s">
        <v>1848</v>
      </c>
      <c r="AE179">
        <v>222</v>
      </c>
      <c r="AF179" t="s">
        <v>1974</v>
      </c>
      <c r="AG179" t="s">
        <v>1255</v>
      </c>
      <c r="AH179">
        <v>8</v>
      </c>
      <c r="AI179">
        <v>4</v>
      </c>
      <c r="AJ179">
        <v>1</v>
      </c>
      <c r="AK179">
        <v>103.41</v>
      </c>
      <c r="AN179" t="s">
        <v>2000</v>
      </c>
      <c r="AO179">
        <v>31200</v>
      </c>
      <c r="AU179">
        <v>0.5</v>
      </c>
      <c r="AV179" t="s">
        <v>125</v>
      </c>
      <c r="AW179" t="s">
        <v>2053</v>
      </c>
      <c r="AX179" t="s">
        <v>2079</v>
      </c>
    </row>
    <row r="180" spans="1:50">
      <c r="A180" s="1">
        <f>HYPERLINK("https://lsnyc.legalserver.org/matter/dynamic-profile/view/1902959","19-1902959")</f>
        <v>0</v>
      </c>
      <c r="B180" t="s">
        <v>66</v>
      </c>
      <c r="C180" t="s">
        <v>118</v>
      </c>
      <c r="D180" t="s">
        <v>185</v>
      </c>
      <c r="F180" t="s">
        <v>376</v>
      </c>
      <c r="G180" t="s">
        <v>647</v>
      </c>
      <c r="H180" t="s">
        <v>898</v>
      </c>
      <c r="I180" t="s">
        <v>1102</v>
      </c>
      <c r="J180" t="s">
        <v>1159</v>
      </c>
      <c r="K180">
        <v>10459</v>
      </c>
      <c r="L180" t="s">
        <v>1175</v>
      </c>
      <c r="M180" t="s">
        <v>1177</v>
      </c>
      <c r="N180" t="s">
        <v>1243</v>
      </c>
      <c r="O180" t="s">
        <v>1281</v>
      </c>
      <c r="P180" t="s">
        <v>1298</v>
      </c>
      <c r="R180" t="s">
        <v>1311</v>
      </c>
      <c r="S180" t="s">
        <v>1176</v>
      </c>
      <c r="U180" t="s">
        <v>1313</v>
      </c>
      <c r="V180" t="s">
        <v>1321</v>
      </c>
      <c r="W180" t="s">
        <v>1325</v>
      </c>
      <c r="X180">
        <v>1166</v>
      </c>
      <c r="Y180" t="s">
        <v>1328</v>
      </c>
      <c r="Z180" t="s">
        <v>1332</v>
      </c>
      <c r="AB180" t="s">
        <v>1525</v>
      </c>
      <c r="AC180" t="s">
        <v>1708</v>
      </c>
      <c r="AD180" t="s">
        <v>1849</v>
      </c>
      <c r="AE180">
        <v>56</v>
      </c>
      <c r="AF180" t="s">
        <v>1974</v>
      </c>
      <c r="AG180" t="s">
        <v>1986</v>
      </c>
      <c r="AH180">
        <v>1</v>
      </c>
      <c r="AI180">
        <v>1</v>
      </c>
      <c r="AJ180">
        <v>2</v>
      </c>
      <c r="AK180">
        <v>104.59</v>
      </c>
      <c r="AN180" t="s">
        <v>1998</v>
      </c>
      <c r="AO180">
        <v>22308</v>
      </c>
      <c r="AU180">
        <v>7.8</v>
      </c>
      <c r="AV180" t="s">
        <v>223</v>
      </c>
      <c r="AW180" t="s">
        <v>2052</v>
      </c>
      <c r="AX180" t="s">
        <v>2079</v>
      </c>
    </row>
    <row r="181" spans="1:50">
      <c r="A181" s="1">
        <f>HYPERLINK("https://lsnyc.legalserver.org/matter/dynamic-profile/view/1895962","19-1895962")</f>
        <v>0</v>
      </c>
      <c r="B181" t="s">
        <v>55</v>
      </c>
      <c r="C181" t="s">
        <v>118</v>
      </c>
      <c r="D181" t="s">
        <v>169</v>
      </c>
      <c r="F181" t="s">
        <v>377</v>
      </c>
      <c r="G181" t="s">
        <v>648</v>
      </c>
      <c r="H181" t="s">
        <v>844</v>
      </c>
      <c r="I181" t="s">
        <v>1103</v>
      </c>
      <c r="J181" t="s">
        <v>1159</v>
      </c>
      <c r="K181">
        <v>10452</v>
      </c>
      <c r="L181" t="s">
        <v>1175</v>
      </c>
      <c r="M181" t="s">
        <v>1175</v>
      </c>
      <c r="N181" t="s">
        <v>1180</v>
      </c>
      <c r="O181" t="s">
        <v>1282</v>
      </c>
      <c r="P181" t="s">
        <v>1299</v>
      </c>
      <c r="R181" t="s">
        <v>1311</v>
      </c>
      <c r="S181" t="s">
        <v>1176</v>
      </c>
      <c r="U181" t="s">
        <v>1314</v>
      </c>
      <c r="W181" t="s">
        <v>1325</v>
      </c>
      <c r="X181">
        <v>390</v>
      </c>
      <c r="Y181" t="s">
        <v>1328</v>
      </c>
      <c r="Z181" t="s">
        <v>1338</v>
      </c>
      <c r="AB181" t="s">
        <v>1526</v>
      </c>
      <c r="AD181" t="s">
        <v>1850</v>
      </c>
      <c r="AE181">
        <v>0</v>
      </c>
      <c r="AF181" t="s">
        <v>1976</v>
      </c>
      <c r="AG181" t="s">
        <v>1985</v>
      </c>
      <c r="AH181">
        <v>27</v>
      </c>
      <c r="AI181">
        <v>2</v>
      </c>
      <c r="AJ181">
        <v>0</v>
      </c>
      <c r="AK181">
        <v>105.42</v>
      </c>
      <c r="AN181" t="s">
        <v>1998</v>
      </c>
      <c r="AO181">
        <v>17826</v>
      </c>
      <c r="AU181">
        <v>0.1</v>
      </c>
      <c r="AV181" t="s">
        <v>157</v>
      </c>
      <c r="AW181" t="s">
        <v>55</v>
      </c>
      <c r="AX181" t="s">
        <v>2079</v>
      </c>
    </row>
    <row r="182" spans="1:50">
      <c r="A182" s="1">
        <f>HYPERLINK("https://lsnyc.legalserver.org/matter/dynamic-profile/view/1902483","19-1902483")</f>
        <v>0</v>
      </c>
      <c r="B182" t="s">
        <v>91</v>
      </c>
      <c r="C182" t="s">
        <v>118</v>
      </c>
      <c r="D182" t="s">
        <v>164</v>
      </c>
      <c r="F182" t="s">
        <v>378</v>
      </c>
      <c r="G182" t="s">
        <v>649</v>
      </c>
      <c r="H182" t="s">
        <v>899</v>
      </c>
      <c r="I182">
        <v>6</v>
      </c>
      <c r="J182" t="s">
        <v>1161</v>
      </c>
      <c r="K182">
        <v>10012</v>
      </c>
      <c r="L182" t="s">
        <v>1175</v>
      </c>
      <c r="M182" t="s">
        <v>1177</v>
      </c>
      <c r="N182" t="s">
        <v>1244</v>
      </c>
      <c r="O182" t="s">
        <v>1281</v>
      </c>
      <c r="P182" t="s">
        <v>1303</v>
      </c>
      <c r="R182" t="s">
        <v>1311</v>
      </c>
      <c r="S182" t="s">
        <v>1176</v>
      </c>
      <c r="U182" t="s">
        <v>1313</v>
      </c>
      <c r="W182" t="s">
        <v>164</v>
      </c>
      <c r="X182">
        <v>207.16</v>
      </c>
      <c r="Y182" t="s">
        <v>1330</v>
      </c>
      <c r="AB182" t="s">
        <v>1527</v>
      </c>
      <c r="AD182" t="s">
        <v>1851</v>
      </c>
      <c r="AE182">
        <v>0</v>
      </c>
      <c r="AF182" t="s">
        <v>1974</v>
      </c>
      <c r="AG182" t="s">
        <v>1987</v>
      </c>
      <c r="AH182">
        <v>37</v>
      </c>
      <c r="AI182">
        <v>1</v>
      </c>
      <c r="AJ182">
        <v>0</v>
      </c>
      <c r="AK182">
        <v>106.65</v>
      </c>
      <c r="AO182">
        <v>13320</v>
      </c>
      <c r="AU182">
        <v>2</v>
      </c>
      <c r="AV182" t="s">
        <v>178</v>
      </c>
      <c r="AW182" t="s">
        <v>2073</v>
      </c>
    </row>
    <row r="183" spans="1:50">
      <c r="A183" s="1">
        <f>HYPERLINK("https://lsnyc.legalserver.org/matter/dynamic-profile/view/1898119","19-1898119")</f>
        <v>0</v>
      </c>
      <c r="B183" t="s">
        <v>56</v>
      </c>
      <c r="C183" t="s">
        <v>118</v>
      </c>
      <c r="D183" t="s">
        <v>128</v>
      </c>
      <c r="F183" t="s">
        <v>300</v>
      </c>
      <c r="G183" t="s">
        <v>650</v>
      </c>
      <c r="H183" t="s">
        <v>778</v>
      </c>
      <c r="I183" t="s">
        <v>1104</v>
      </c>
      <c r="J183" t="s">
        <v>1159</v>
      </c>
      <c r="K183">
        <v>10452</v>
      </c>
      <c r="L183" t="s">
        <v>1175</v>
      </c>
      <c r="M183" t="s">
        <v>1175</v>
      </c>
      <c r="O183" t="s">
        <v>1282</v>
      </c>
      <c r="P183" t="s">
        <v>1301</v>
      </c>
      <c r="R183" t="s">
        <v>1311</v>
      </c>
      <c r="S183" t="s">
        <v>1175</v>
      </c>
      <c r="U183" t="s">
        <v>1313</v>
      </c>
      <c r="W183" t="s">
        <v>1325</v>
      </c>
      <c r="X183">
        <v>926.15</v>
      </c>
      <c r="Y183" t="s">
        <v>1328</v>
      </c>
      <c r="Z183" t="s">
        <v>1336</v>
      </c>
      <c r="AB183" t="s">
        <v>1528</v>
      </c>
      <c r="AC183" t="s">
        <v>1709</v>
      </c>
      <c r="AD183" t="s">
        <v>1852</v>
      </c>
      <c r="AE183">
        <v>60</v>
      </c>
      <c r="AF183" t="s">
        <v>1974</v>
      </c>
      <c r="AG183" t="s">
        <v>1255</v>
      </c>
      <c r="AH183">
        <v>17</v>
      </c>
      <c r="AI183">
        <v>1</v>
      </c>
      <c r="AJ183">
        <v>0</v>
      </c>
      <c r="AK183">
        <v>107.35</v>
      </c>
      <c r="AN183" t="s">
        <v>2000</v>
      </c>
      <c r="AO183">
        <v>13408.4</v>
      </c>
      <c r="AU183">
        <v>2.2</v>
      </c>
      <c r="AV183" t="s">
        <v>129</v>
      </c>
      <c r="AW183" t="s">
        <v>2052</v>
      </c>
      <c r="AX183" t="s">
        <v>2079</v>
      </c>
    </row>
    <row r="184" spans="1:50">
      <c r="A184" s="1">
        <f>HYPERLINK("https://lsnyc.legalserver.org/matter/dynamic-profile/view/1902471","19-1902471")</f>
        <v>0</v>
      </c>
      <c r="B184" t="s">
        <v>100</v>
      </c>
      <c r="C184" t="s">
        <v>118</v>
      </c>
      <c r="D184" t="s">
        <v>164</v>
      </c>
      <c r="F184" t="s">
        <v>379</v>
      </c>
      <c r="G184" t="s">
        <v>651</v>
      </c>
      <c r="H184" t="s">
        <v>900</v>
      </c>
      <c r="I184">
        <v>11</v>
      </c>
      <c r="J184" t="s">
        <v>1161</v>
      </c>
      <c r="K184">
        <v>10009</v>
      </c>
      <c r="L184" t="s">
        <v>1175</v>
      </c>
      <c r="M184" t="s">
        <v>1177</v>
      </c>
      <c r="N184" t="s">
        <v>1245</v>
      </c>
      <c r="O184" t="s">
        <v>1284</v>
      </c>
      <c r="P184" t="s">
        <v>1303</v>
      </c>
      <c r="R184" t="s">
        <v>1311</v>
      </c>
      <c r="S184" t="s">
        <v>1176</v>
      </c>
      <c r="U184" t="s">
        <v>1313</v>
      </c>
      <c r="W184" t="s">
        <v>164</v>
      </c>
      <c r="X184">
        <v>2400</v>
      </c>
      <c r="Y184" t="s">
        <v>1330</v>
      </c>
      <c r="Z184" t="s">
        <v>1336</v>
      </c>
      <c r="AB184" t="s">
        <v>1529</v>
      </c>
      <c r="AD184" t="s">
        <v>1853</v>
      </c>
      <c r="AE184">
        <v>0</v>
      </c>
      <c r="AF184" t="s">
        <v>1983</v>
      </c>
      <c r="AG184" t="s">
        <v>1255</v>
      </c>
      <c r="AH184">
        <v>1</v>
      </c>
      <c r="AI184">
        <v>1</v>
      </c>
      <c r="AJ184">
        <v>0</v>
      </c>
      <c r="AK184">
        <v>108.09</v>
      </c>
      <c r="AN184" t="s">
        <v>1998</v>
      </c>
      <c r="AO184">
        <v>13500</v>
      </c>
      <c r="AU184">
        <v>0</v>
      </c>
      <c r="AW184" t="s">
        <v>2069</v>
      </c>
      <c r="AX184" t="s">
        <v>2079</v>
      </c>
    </row>
    <row r="185" spans="1:50">
      <c r="A185" s="1">
        <f>HYPERLINK("https://lsnyc.legalserver.org/matter/dynamic-profile/view/1901697","19-1901697")</f>
        <v>0</v>
      </c>
      <c r="B185" t="s">
        <v>103</v>
      </c>
      <c r="C185" t="s">
        <v>118</v>
      </c>
      <c r="D185" t="s">
        <v>122</v>
      </c>
      <c r="F185" t="s">
        <v>380</v>
      </c>
      <c r="G185" t="s">
        <v>652</v>
      </c>
      <c r="H185" t="s">
        <v>901</v>
      </c>
      <c r="I185" t="s">
        <v>1006</v>
      </c>
      <c r="J185" t="s">
        <v>1160</v>
      </c>
      <c r="K185">
        <v>10305</v>
      </c>
      <c r="L185" t="s">
        <v>1175</v>
      </c>
      <c r="M185" t="s">
        <v>1177</v>
      </c>
      <c r="N185" t="s">
        <v>1246</v>
      </c>
      <c r="O185" t="s">
        <v>1284</v>
      </c>
      <c r="P185" t="s">
        <v>1303</v>
      </c>
      <c r="R185" t="s">
        <v>1312</v>
      </c>
      <c r="S185" t="s">
        <v>1176</v>
      </c>
      <c r="U185" t="s">
        <v>1313</v>
      </c>
      <c r="V185" t="s">
        <v>1321</v>
      </c>
      <c r="W185" t="s">
        <v>188</v>
      </c>
      <c r="X185">
        <v>1700</v>
      </c>
      <c r="Y185" t="s">
        <v>1329</v>
      </c>
      <c r="Z185" t="s">
        <v>1333</v>
      </c>
      <c r="AB185" t="s">
        <v>1530</v>
      </c>
      <c r="AD185" t="s">
        <v>1854</v>
      </c>
      <c r="AE185">
        <v>2</v>
      </c>
      <c r="AH185">
        <v>5</v>
      </c>
      <c r="AI185">
        <v>1</v>
      </c>
      <c r="AJ185">
        <v>3</v>
      </c>
      <c r="AK185">
        <v>111.07</v>
      </c>
      <c r="AL185" t="s">
        <v>1993</v>
      </c>
      <c r="AM185" t="s">
        <v>1994</v>
      </c>
      <c r="AN185" t="s">
        <v>1998</v>
      </c>
      <c r="AO185">
        <v>28600</v>
      </c>
      <c r="AU185">
        <v>7</v>
      </c>
      <c r="AV185" t="s">
        <v>123</v>
      </c>
      <c r="AW185" t="s">
        <v>103</v>
      </c>
      <c r="AX185" t="s">
        <v>2079</v>
      </c>
    </row>
    <row r="186" spans="1:50">
      <c r="A186" s="1">
        <f>HYPERLINK("https://lsnyc.legalserver.org/matter/dynamic-profile/view/1900159","19-1900159")</f>
        <v>0</v>
      </c>
      <c r="B186" t="s">
        <v>65</v>
      </c>
      <c r="C186" t="s">
        <v>119</v>
      </c>
      <c r="D186" t="s">
        <v>130</v>
      </c>
      <c r="E186" t="s">
        <v>173</v>
      </c>
      <c r="F186" t="s">
        <v>381</v>
      </c>
      <c r="G186" t="s">
        <v>653</v>
      </c>
      <c r="H186" t="s">
        <v>902</v>
      </c>
      <c r="I186" t="s">
        <v>1105</v>
      </c>
      <c r="J186" t="s">
        <v>1159</v>
      </c>
      <c r="K186">
        <v>10452</v>
      </c>
      <c r="L186" t="s">
        <v>1175</v>
      </c>
      <c r="M186" t="s">
        <v>1177</v>
      </c>
      <c r="O186" t="s">
        <v>1285</v>
      </c>
      <c r="P186" t="s">
        <v>1299</v>
      </c>
      <c r="Q186" t="s">
        <v>1305</v>
      </c>
      <c r="R186" t="s">
        <v>1311</v>
      </c>
      <c r="S186" t="s">
        <v>1176</v>
      </c>
      <c r="U186" t="s">
        <v>1313</v>
      </c>
      <c r="V186" t="s">
        <v>1321</v>
      </c>
      <c r="W186" t="s">
        <v>160</v>
      </c>
      <c r="X186">
        <v>812.14</v>
      </c>
      <c r="Y186" t="s">
        <v>1328</v>
      </c>
      <c r="Z186" t="s">
        <v>1336</v>
      </c>
      <c r="AA186" t="s">
        <v>1346</v>
      </c>
      <c r="AB186" t="s">
        <v>1531</v>
      </c>
      <c r="AD186" t="s">
        <v>1855</v>
      </c>
      <c r="AE186">
        <v>0</v>
      </c>
      <c r="AF186" t="s">
        <v>1974</v>
      </c>
      <c r="AG186" t="s">
        <v>1987</v>
      </c>
      <c r="AH186">
        <v>28</v>
      </c>
      <c r="AI186">
        <v>1</v>
      </c>
      <c r="AJ186">
        <v>0</v>
      </c>
      <c r="AK186">
        <v>111.64</v>
      </c>
      <c r="AN186" t="s">
        <v>1998</v>
      </c>
      <c r="AO186">
        <v>13944</v>
      </c>
      <c r="AU186">
        <v>1</v>
      </c>
      <c r="AV186" t="s">
        <v>173</v>
      </c>
      <c r="AW186" t="s">
        <v>65</v>
      </c>
      <c r="AX186" t="s">
        <v>2079</v>
      </c>
    </row>
    <row r="187" spans="1:50">
      <c r="A187" s="1">
        <f>HYPERLINK("https://lsnyc.legalserver.org/matter/dynamic-profile/view/1897335","19-1897335")</f>
        <v>0</v>
      </c>
      <c r="B187" t="s">
        <v>56</v>
      </c>
      <c r="C187" t="s">
        <v>118</v>
      </c>
      <c r="D187" t="s">
        <v>130</v>
      </c>
      <c r="F187" t="s">
        <v>227</v>
      </c>
      <c r="G187" t="s">
        <v>536</v>
      </c>
      <c r="H187" t="s">
        <v>903</v>
      </c>
      <c r="I187">
        <v>1</v>
      </c>
      <c r="J187" t="s">
        <v>1159</v>
      </c>
      <c r="K187">
        <v>10468</v>
      </c>
      <c r="L187" t="s">
        <v>1175</v>
      </c>
      <c r="M187" t="s">
        <v>1177</v>
      </c>
      <c r="R187" t="s">
        <v>1311</v>
      </c>
      <c r="U187" t="s">
        <v>1313</v>
      </c>
      <c r="W187" t="s">
        <v>160</v>
      </c>
      <c r="X187">
        <v>0</v>
      </c>
      <c r="Y187" t="s">
        <v>1328</v>
      </c>
      <c r="AD187" t="s">
        <v>1856</v>
      </c>
      <c r="AE187">
        <v>0</v>
      </c>
      <c r="AH187">
        <v>0</v>
      </c>
      <c r="AI187">
        <v>3</v>
      </c>
      <c r="AJ187">
        <v>2</v>
      </c>
      <c r="AK187">
        <v>112.03</v>
      </c>
      <c r="AN187" t="s">
        <v>2000</v>
      </c>
      <c r="AO187">
        <v>33800</v>
      </c>
      <c r="AU187">
        <v>3</v>
      </c>
      <c r="AV187" t="s">
        <v>2043</v>
      </c>
      <c r="AW187" t="s">
        <v>56</v>
      </c>
      <c r="AX187" t="s">
        <v>2079</v>
      </c>
    </row>
    <row r="188" spans="1:50">
      <c r="A188" s="1">
        <f>HYPERLINK("https://lsnyc.legalserver.org/matter/dynamic-profile/view/1901624","19-1901624")</f>
        <v>0</v>
      </c>
      <c r="B188" t="s">
        <v>104</v>
      </c>
      <c r="C188" t="s">
        <v>118</v>
      </c>
      <c r="D188" t="s">
        <v>188</v>
      </c>
      <c r="F188" t="s">
        <v>382</v>
      </c>
      <c r="G188" t="s">
        <v>654</v>
      </c>
      <c r="H188" t="s">
        <v>904</v>
      </c>
      <c r="J188" t="s">
        <v>1162</v>
      </c>
      <c r="K188">
        <v>11213</v>
      </c>
      <c r="L188" t="s">
        <v>1175</v>
      </c>
      <c r="M188" t="s">
        <v>1177</v>
      </c>
      <c r="O188" t="s">
        <v>1284</v>
      </c>
      <c r="P188" t="s">
        <v>1298</v>
      </c>
      <c r="R188" t="s">
        <v>1311</v>
      </c>
      <c r="S188" t="s">
        <v>1176</v>
      </c>
      <c r="U188" t="s">
        <v>1313</v>
      </c>
      <c r="W188" t="s">
        <v>188</v>
      </c>
      <c r="X188">
        <v>999.11</v>
      </c>
      <c r="Y188" t="s">
        <v>1331</v>
      </c>
      <c r="AB188" t="s">
        <v>1532</v>
      </c>
      <c r="AD188" t="s">
        <v>1857</v>
      </c>
      <c r="AE188">
        <v>0</v>
      </c>
      <c r="AH188">
        <v>13</v>
      </c>
      <c r="AI188">
        <v>2</v>
      </c>
      <c r="AJ188">
        <v>0</v>
      </c>
      <c r="AK188">
        <v>112.36</v>
      </c>
      <c r="AN188" t="s">
        <v>1998</v>
      </c>
      <c r="AO188">
        <v>19000</v>
      </c>
      <c r="AU188">
        <v>0</v>
      </c>
      <c r="AW188" t="s">
        <v>2064</v>
      </c>
      <c r="AX188" t="s">
        <v>2079</v>
      </c>
    </row>
    <row r="189" spans="1:50">
      <c r="A189" s="1">
        <f>HYPERLINK("https://lsnyc.legalserver.org/matter/dynamic-profile/view/1903813","19-1903813")</f>
        <v>0</v>
      </c>
      <c r="B189" t="s">
        <v>104</v>
      </c>
      <c r="C189" t="s">
        <v>118</v>
      </c>
      <c r="D189" t="s">
        <v>163</v>
      </c>
      <c r="F189" t="s">
        <v>383</v>
      </c>
      <c r="G189" t="s">
        <v>655</v>
      </c>
      <c r="H189" t="s">
        <v>905</v>
      </c>
      <c r="I189" t="s">
        <v>1039</v>
      </c>
      <c r="J189" t="s">
        <v>1162</v>
      </c>
      <c r="K189">
        <v>11220</v>
      </c>
      <c r="L189" t="s">
        <v>1175</v>
      </c>
      <c r="M189" t="s">
        <v>1177</v>
      </c>
      <c r="R189" t="s">
        <v>1311</v>
      </c>
      <c r="S189" t="s">
        <v>1175</v>
      </c>
      <c r="U189" t="s">
        <v>1313</v>
      </c>
      <c r="W189" t="s">
        <v>215</v>
      </c>
      <c r="X189">
        <v>0</v>
      </c>
      <c r="Y189" t="s">
        <v>1331</v>
      </c>
      <c r="AB189" t="s">
        <v>1533</v>
      </c>
      <c r="AD189" t="s">
        <v>1858</v>
      </c>
      <c r="AE189">
        <v>0</v>
      </c>
      <c r="AH189">
        <v>0</v>
      </c>
      <c r="AI189">
        <v>2</v>
      </c>
      <c r="AJ189">
        <v>0</v>
      </c>
      <c r="AK189">
        <v>112.48</v>
      </c>
      <c r="AN189" t="s">
        <v>1998</v>
      </c>
      <c r="AO189">
        <v>19020</v>
      </c>
      <c r="AU189">
        <v>0.3</v>
      </c>
      <c r="AV189" t="s">
        <v>163</v>
      </c>
      <c r="AW189" t="s">
        <v>92</v>
      </c>
    </row>
    <row r="190" spans="1:50">
      <c r="A190" s="1">
        <f>HYPERLINK("https://lsnyc.legalserver.org/matter/dynamic-profile/view/1902767","19-1902767")</f>
        <v>0</v>
      </c>
      <c r="B190" t="s">
        <v>65</v>
      </c>
      <c r="C190" t="s">
        <v>119</v>
      </c>
      <c r="D190" t="s">
        <v>120</v>
      </c>
      <c r="E190" t="s">
        <v>120</v>
      </c>
      <c r="F190" t="s">
        <v>384</v>
      </c>
      <c r="G190" t="s">
        <v>656</v>
      </c>
      <c r="H190" t="s">
        <v>906</v>
      </c>
      <c r="I190">
        <v>56</v>
      </c>
      <c r="J190" t="s">
        <v>1159</v>
      </c>
      <c r="K190">
        <v>10468</v>
      </c>
      <c r="L190" t="s">
        <v>1175</v>
      </c>
      <c r="M190" t="s">
        <v>1177</v>
      </c>
      <c r="N190" t="s">
        <v>1247</v>
      </c>
      <c r="O190" t="s">
        <v>1295</v>
      </c>
      <c r="P190" t="s">
        <v>1299</v>
      </c>
      <c r="Q190" t="s">
        <v>1305</v>
      </c>
      <c r="R190" t="s">
        <v>1311</v>
      </c>
      <c r="S190" t="s">
        <v>1176</v>
      </c>
      <c r="U190" t="s">
        <v>1313</v>
      </c>
      <c r="W190" t="s">
        <v>1325</v>
      </c>
      <c r="X190">
        <v>1104.03</v>
      </c>
      <c r="Y190" t="s">
        <v>1328</v>
      </c>
      <c r="Z190" t="s">
        <v>1336</v>
      </c>
      <c r="AA190" t="s">
        <v>1346</v>
      </c>
      <c r="AD190" t="s">
        <v>1859</v>
      </c>
      <c r="AE190">
        <v>0</v>
      </c>
      <c r="AF190" t="s">
        <v>1974</v>
      </c>
      <c r="AG190" t="s">
        <v>1341</v>
      </c>
      <c r="AH190">
        <v>40</v>
      </c>
      <c r="AI190">
        <v>1</v>
      </c>
      <c r="AJ190">
        <v>0</v>
      </c>
      <c r="AK190">
        <v>112.89</v>
      </c>
      <c r="AN190" t="s">
        <v>2000</v>
      </c>
      <c r="AO190">
        <v>14100</v>
      </c>
      <c r="AU190">
        <v>1</v>
      </c>
      <c r="AV190" t="s">
        <v>132</v>
      </c>
      <c r="AW190" t="s">
        <v>112</v>
      </c>
      <c r="AX190" t="s">
        <v>2080</v>
      </c>
    </row>
    <row r="191" spans="1:50">
      <c r="A191" s="1">
        <f>HYPERLINK("https://lsnyc.legalserver.org/matter/dynamic-profile/view/1900025","19-1900025")</f>
        <v>0</v>
      </c>
      <c r="B191" t="s">
        <v>52</v>
      </c>
      <c r="C191" t="s">
        <v>118</v>
      </c>
      <c r="D191" t="s">
        <v>138</v>
      </c>
      <c r="F191" t="s">
        <v>262</v>
      </c>
      <c r="G191" t="s">
        <v>657</v>
      </c>
      <c r="H191" t="s">
        <v>774</v>
      </c>
      <c r="I191" t="s">
        <v>1106</v>
      </c>
      <c r="J191" t="s">
        <v>1159</v>
      </c>
      <c r="K191">
        <v>10460</v>
      </c>
      <c r="L191" t="s">
        <v>1175</v>
      </c>
      <c r="M191" t="s">
        <v>1177</v>
      </c>
      <c r="O191" t="s">
        <v>1282</v>
      </c>
      <c r="P191" t="s">
        <v>1301</v>
      </c>
      <c r="R191" t="s">
        <v>1311</v>
      </c>
      <c r="S191" t="s">
        <v>1175</v>
      </c>
      <c r="U191" t="s">
        <v>1313</v>
      </c>
      <c r="W191" t="s">
        <v>1325</v>
      </c>
      <c r="X191">
        <v>343</v>
      </c>
      <c r="Y191" t="s">
        <v>1328</v>
      </c>
      <c r="Z191" t="s">
        <v>1336</v>
      </c>
      <c r="AB191" t="s">
        <v>1534</v>
      </c>
      <c r="AD191" t="s">
        <v>1860</v>
      </c>
      <c r="AE191">
        <v>168</v>
      </c>
      <c r="AF191" t="s">
        <v>1974</v>
      </c>
      <c r="AG191" t="s">
        <v>1985</v>
      </c>
      <c r="AH191">
        <v>1</v>
      </c>
      <c r="AI191">
        <v>1</v>
      </c>
      <c r="AJ191">
        <v>0</v>
      </c>
      <c r="AK191">
        <v>112.89</v>
      </c>
      <c r="AN191" t="s">
        <v>2000</v>
      </c>
      <c r="AO191">
        <v>14100</v>
      </c>
      <c r="AU191">
        <v>0</v>
      </c>
      <c r="AW191" t="s">
        <v>112</v>
      </c>
      <c r="AX191" t="s">
        <v>2079</v>
      </c>
    </row>
    <row r="192" spans="1:50">
      <c r="A192" s="1">
        <f>HYPERLINK("https://lsnyc.legalserver.org/matter/dynamic-profile/view/1897578","19-1897578")</f>
        <v>0</v>
      </c>
      <c r="B192" t="s">
        <v>66</v>
      </c>
      <c r="C192" t="s">
        <v>118</v>
      </c>
      <c r="D192" t="s">
        <v>189</v>
      </c>
      <c r="F192" t="s">
        <v>385</v>
      </c>
      <c r="G192" t="s">
        <v>658</v>
      </c>
      <c r="H192" t="s">
        <v>907</v>
      </c>
      <c r="I192" t="s">
        <v>1074</v>
      </c>
      <c r="J192" t="s">
        <v>1159</v>
      </c>
      <c r="K192">
        <v>10452</v>
      </c>
      <c r="L192" t="s">
        <v>1175</v>
      </c>
      <c r="M192" t="s">
        <v>1177</v>
      </c>
      <c r="N192" t="s">
        <v>1248</v>
      </c>
      <c r="O192" t="s">
        <v>1284</v>
      </c>
      <c r="P192" t="s">
        <v>1299</v>
      </c>
      <c r="R192" t="s">
        <v>1311</v>
      </c>
      <c r="S192" t="s">
        <v>1176</v>
      </c>
      <c r="U192" t="s">
        <v>1313</v>
      </c>
      <c r="W192" t="s">
        <v>1325</v>
      </c>
      <c r="X192">
        <v>371.79</v>
      </c>
      <c r="Y192" t="s">
        <v>1328</v>
      </c>
      <c r="Z192" t="s">
        <v>1341</v>
      </c>
      <c r="AB192" t="s">
        <v>1535</v>
      </c>
      <c r="AD192" t="s">
        <v>1861</v>
      </c>
      <c r="AE192">
        <v>8</v>
      </c>
      <c r="AF192" t="s">
        <v>1974</v>
      </c>
      <c r="AG192" t="s">
        <v>1255</v>
      </c>
      <c r="AH192">
        <v>8</v>
      </c>
      <c r="AI192">
        <v>1</v>
      </c>
      <c r="AJ192">
        <v>1</v>
      </c>
      <c r="AK192">
        <v>113.07</v>
      </c>
      <c r="AN192" t="s">
        <v>1998</v>
      </c>
      <c r="AO192">
        <v>19120</v>
      </c>
      <c r="AP192" t="s">
        <v>2017</v>
      </c>
      <c r="AU192">
        <v>2.04</v>
      </c>
      <c r="AV192" t="s">
        <v>163</v>
      </c>
      <c r="AW192" t="s">
        <v>2054</v>
      </c>
      <c r="AX192" t="s">
        <v>2079</v>
      </c>
    </row>
    <row r="193" spans="1:50">
      <c r="A193" s="1">
        <f>HYPERLINK("https://lsnyc.legalserver.org/matter/dynamic-profile/view/1899718","19-1899718")</f>
        <v>0</v>
      </c>
      <c r="B193" t="s">
        <v>87</v>
      </c>
      <c r="C193" t="s">
        <v>118</v>
      </c>
      <c r="D193" t="s">
        <v>158</v>
      </c>
      <c r="F193" t="s">
        <v>386</v>
      </c>
      <c r="G193" t="s">
        <v>659</v>
      </c>
      <c r="H193" t="s">
        <v>908</v>
      </c>
      <c r="I193" t="s">
        <v>1026</v>
      </c>
      <c r="J193" t="s">
        <v>1159</v>
      </c>
      <c r="K193">
        <v>10456</v>
      </c>
      <c r="L193" t="s">
        <v>1175</v>
      </c>
      <c r="M193" t="s">
        <v>1177</v>
      </c>
      <c r="O193" t="s">
        <v>1282</v>
      </c>
      <c r="P193" t="s">
        <v>1299</v>
      </c>
      <c r="R193" t="s">
        <v>1311</v>
      </c>
      <c r="S193" t="s">
        <v>1176</v>
      </c>
      <c r="U193" t="s">
        <v>1313</v>
      </c>
      <c r="W193" t="s">
        <v>160</v>
      </c>
      <c r="X193">
        <v>1511.88</v>
      </c>
      <c r="Y193" t="s">
        <v>1328</v>
      </c>
      <c r="Z193" t="s">
        <v>1336</v>
      </c>
      <c r="AB193" t="s">
        <v>1536</v>
      </c>
      <c r="AD193" t="s">
        <v>1862</v>
      </c>
      <c r="AE193">
        <v>30</v>
      </c>
      <c r="AF193" t="s">
        <v>1974</v>
      </c>
      <c r="AG193" t="s">
        <v>1255</v>
      </c>
      <c r="AH193">
        <v>0</v>
      </c>
      <c r="AI193">
        <v>1</v>
      </c>
      <c r="AJ193">
        <v>1</v>
      </c>
      <c r="AK193">
        <v>113.59</v>
      </c>
      <c r="AN193" t="s">
        <v>1998</v>
      </c>
      <c r="AO193">
        <v>19208.28</v>
      </c>
      <c r="AU193">
        <v>0.5</v>
      </c>
      <c r="AV193" t="s">
        <v>160</v>
      </c>
      <c r="AW193" t="s">
        <v>2053</v>
      </c>
      <c r="AX193" t="s">
        <v>2079</v>
      </c>
    </row>
    <row r="194" spans="1:50">
      <c r="A194" s="1">
        <f>HYPERLINK("https://lsnyc.legalserver.org/matter/dynamic-profile/view/1903566","19-1903566")</f>
        <v>0</v>
      </c>
      <c r="B194" t="s">
        <v>93</v>
      </c>
      <c r="C194" t="s">
        <v>118</v>
      </c>
      <c r="D194" t="s">
        <v>157</v>
      </c>
      <c r="F194" t="s">
        <v>387</v>
      </c>
      <c r="G194" t="s">
        <v>660</v>
      </c>
      <c r="H194" t="s">
        <v>909</v>
      </c>
      <c r="I194">
        <v>21</v>
      </c>
      <c r="J194" t="s">
        <v>1161</v>
      </c>
      <c r="K194">
        <v>10034</v>
      </c>
      <c r="L194" t="s">
        <v>1175</v>
      </c>
      <c r="M194" t="s">
        <v>1177</v>
      </c>
      <c r="P194" t="s">
        <v>1303</v>
      </c>
      <c r="R194" t="s">
        <v>1311</v>
      </c>
      <c r="S194" t="s">
        <v>1175</v>
      </c>
      <c r="U194" t="s">
        <v>1313</v>
      </c>
      <c r="W194" t="s">
        <v>157</v>
      </c>
      <c r="X194">
        <v>1540</v>
      </c>
      <c r="Y194" t="s">
        <v>1330</v>
      </c>
      <c r="Z194" t="s">
        <v>1335</v>
      </c>
      <c r="AB194" t="s">
        <v>1537</v>
      </c>
      <c r="AD194" t="s">
        <v>1863</v>
      </c>
      <c r="AE194">
        <v>20</v>
      </c>
      <c r="AF194" t="s">
        <v>1974</v>
      </c>
      <c r="AG194" t="s">
        <v>1255</v>
      </c>
      <c r="AH194">
        <v>23</v>
      </c>
      <c r="AI194">
        <v>2</v>
      </c>
      <c r="AJ194">
        <v>2</v>
      </c>
      <c r="AK194">
        <v>116.5</v>
      </c>
      <c r="AN194" t="s">
        <v>2000</v>
      </c>
      <c r="AO194">
        <v>30000</v>
      </c>
      <c r="AU194">
        <v>0</v>
      </c>
      <c r="AW194" t="s">
        <v>2057</v>
      </c>
      <c r="AX194" t="s">
        <v>2079</v>
      </c>
    </row>
    <row r="195" spans="1:50">
      <c r="A195" s="1">
        <f>HYPERLINK("https://lsnyc.legalserver.org/matter/dynamic-profile/view/1879874","18-1879874")</f>
        <v>0</v>
      </c>
      <c r="B195" t="s">
        <v>58</v>
      </c>
      <c r="C195" t="s">
        <v>118</v>
      </c>
      <c r="D195" t="s">
        <v>190</v>
      </c>
      <c r="F195" t="s">
        <v>388</v>
      </c>
      <c r="G195" t="s">
        <v>661</v>
      </c>
      <c r="H195" t="s">
        <v>777</v>
      </c>
      <c r="I195" t="s">
        <v>1054</v>
      </c>
      <c r="J195" t="s">
        <v>1159</v>
      </c>
      <c r="K195">
        <v>10453</v>
      </c>
      <c r="L195" t="s">
        <v>1175</v>
      </c>
      <c r="M195" t="s">
        <v>1177</v>
      </c>
      <c r="N195" t="s">
        <v>1249</v>
      </c>
      <c r="O195" t="s">
        <v>1281</v>
      </c>
      <c r="P195" t="s">
        <v>1298</v>
      </c>
      <c r="R195" t="s">
        <v>1311</v>
      </c>
      <c r="S195" t="s">
        <v>1176</v>
      </c>
      <c r="U195" t="s">
        <v>1313</v>
      </c>
      <c r="V195" t="s">
        <v>1321</v>
      </c>
      <c r="W195" t="s">
        <v>1325</v>
      </c>
      <c r="X195">
        <v>2000</v>
      </c>
      <c r="Y195" t="s">
        <v>1328</v>
      </c>
      <c r="AB195" t="s">
        <v>1538</v>
      </c>
      <c r="AD195" t="s">
        <v>1864</v>
      </c>
      <c r="AE195">
        <v>300</v>
      </c>
      <c r="AH195">
        <v>27</v>
      </c>
      <c r="AI195">
        <v>3</v>
      </c>
      <c r="AJ195">
        <v>0</v>
      </c>
      <c r="AK195">
        <v>118.38</v>
      </c>
      <c r="AN195" t="s">
        <v>1998</v>
      </c>
      <c r="AO195">
        <v>24600</v>
      </c>
      <c r="AU195">
        <v>23.7</v>
      </c>
      <c r="AV195" t="s">
        <v>160</v>
      </c>
      <c r="AW195" t="s">
        <v>2074</v>
      </c>
      <c r="AX195" t="s">
        <v>2079</v>
      </c>
    </row>
    <row r="196" spans="1:50">
      <c r="A196" s="1">
        <f>HYPERLINK("https://lsnyc.legalserver.org/matter/dynamic-profile/view/1884481","18-1884481")</f>
        <v>0</v>
      </c>
      <c r="B196" t="s">
        <v>66</v>
      </c>
      <c r="C196" t="s">
        <v>118</v>
      </c>
      <c r="D196" t="s">
        <v>191</v>
      </c>
      <c r="F196" t="s">
        <v>389</v>
      </c>
      <c r="G196" t="s">
        <v>662</v>
      </c>
      <c r="H196" t="s">
        <v>910</v>
      </c>
      <c r="I196" t="s">
        <v>1107</v>
      </c>
      <c r="J196" t="s">
        <v>1159</v>
      </c>
      <c r="K196">
        <v>10452</v>
      </c>
      <c r="L196" t="s">
        <v>1175</v>
      </c>
      <c r="M196" t="s">
        <v>1177</v>
      </c>
      <c r="O196" t="s">
        <v>1291</v>
      </c>
      <c r="P196" t="s">
        <v>1299</v>
      </c>
      <c r="R196" t="s">
        <v>1311</v>
      </c>
      <c r="S196" t="s">
        <v>1176</v>
      </c>
      <c r="U196" t="s">
        <v>1313</v>
      </c>
      <c r="W196" t="s">
        <v>206</v>
      </c>
      <c r="X196">
        <v>1300.04</v>
      </c>
      <c r="Y196" t="s">
        <v>1328</v>
      </c>
      <c r="Z196" t="s">
        <v>1336</v>
      </c>
      <c r="AB196" t="s">
        <v>1539</v>
      </c>
      <c r="AD196" t="s">
        <v>1865</v>
      </c>
      <c r="AE196">
        <v>0</v>
      </c>
      <c r="AF196" t="s">
        <v>1974</v>
      </c>
      <c r="AH196">
        <v>0</v>
      </c>
      <c r="AI196">
        <v>2</v>
      </c>
      <c r="AJ196">
        <v>2</v>
      </c>
      <c r="AK196">
        <v>119.52</v>
      </c>
      <c r="AN196" t="s">
        <v>1998</v>
      </c>
      <c r="AO196">
        <v>30000</v>
      </c>
      <c r="AU196">
        <v>2.3</v>
      </c>
      <c r="AV196" t="s">
        <v>2044</v>
      </c>
      <c r="AW196" t="s">
        <v>2075</v>
      </c>
      <c r="AX196" t="s">
        <v>2079</v>
      </c>
    </row>
    <row r="197" spans="1:50">
      <c r="A197" s="1">
        <f>HYPERLINK("https://lsnyc.legalserver.org/matter/dynamic-profile/view/1903493","19-1903493")</f>
        <v>0</v>
      </c>
      <c r="B197" t="s">
        <v>50</v>
      </c>
      <c r="C197" t="s">
        <v>118</v>
      </c>
      <c r="D197" t="s">
        <v>123</v>
      </c>
      <c r="F197" t="s">
        <v>390</v>
      </c>
      <c r="G197" t="s">
        <v>663</v>
      </c>
      <c r="H197" t="s">
        <v>911</v>
      </c>
      <c r="I197" t="s">
        <v>1007</v>
      </c>
      <c r="J197" t="s">
        <v>1158</v>
      </c>
      <c r="K197">
        <v>11354</v>
      </c>
      <c r="L197" t="s">
        <v>1175</v>
      </c>
      <c r="M197" t="s">
        <v>1177</v>
      </c>
      <c r="N197" t="s">
        <v>1179</v>
      </c>
      <c r="O197" t="s">
        <v>1283</v>
      </c>
      <c r="P197" t="s">
        <v>1300</v>
      </c>
      <c r="R197" t="s">
        <v>1311</v>
      </c>
      <c r="S197" t="s">
        <v>1175</v>
      </c>
      <c r="U197" t="s">
        <v>1313</v>
      </c>
      <c r="V197" t="s">
        <v>1321</v>
      </c>
      <c r="W197" t="s">
        <v>123</v>
      </c>
      <c r="X197">
        <v>1009</v>
      </c>
      <c r="Y197" t="s">
        <v>1327</v>
      </c>
      <c r="Z197" t="s">
        <v>1334</v>
      </c>
      <c r="AB197" t="s">
        <v>1540</v>
      </c>
      <c r="AD197" t="s">
        <v>1866</v>
      </c>
      <c r="AE197">
        <v>91</v>
      </c>
      <c r="AF197" t="s">
        <v>1974</v>
      </c>
      <c r="AG197" t="s">
        <v>1255</v>
      </c>
      <c r="AH197">
        <v>17</v>
      </c>
      <c r="AI197">
        <v>1</v>
      </c>
      <c r="AJ197">
        <v>0</v>
      </c>
      <c r="AK197">
        <v>120.1</v>
      </c>
      <c r="AN197" t="s">
        <v>2000</v>
      </c>
      <c r="AO197">
        <v>15000</v>
      </c>
      <c r="AU197">
        <v>0</v>
      </c>
      <c r="AW197" t="s">
        <v>50</v>
      </c>
      <c r="AX197" t="s">
        <v>2079</v>
      </c>
    </row>
    <row r="198" spans="1:50">
      <c r="A198" s="1">
        <f>HYPERLINK("https://lsnyc.legalserver.org/matter/dynamic-profile/view/1900794","19-1900794")</f>
        <v>0</v>
      </c>
      <c r="B198" t="s">
        <v>88</v>
      </c>
      <c r="C198" t="s">
        <v>118</v>
      </c>
      <c r="D198" t="s">
        <v>192</v>
      </c>
      <c r="F198" t="s">
        <v>391</v>
      </c>
      <c r="G198" t="s">
        <v>664</v>
      </c>
      <c r="H198" t="s">
        <v>912</v>
      </c>
      <c r="I198" t="s">
        <v>1033</v>
      </c>
      <c r="J198" t="s">
        <v>1162</v>
      </c>
      <c r="K198">
        <v>11233</v>
      </c>
      <c r="L198" t="s">
        <v>1175</v>
      </c>
      <c r="M198" t="s">
        <v>1177</v>
      </c>
      <c r="N198" t="s">
        <v>1250</v>
      </c>
      <c r="O198" t="s">
        <v>1296</v>
      </c>
      <c r="P198" t="s">
        <v>1301</v>
      </c>
      <c r="R198" t="s">
        <v>1311</v>
      </c>
      <c r="S198" t="s">
        <v>1176</v>
      </c>
      <c r="U198" t="s">
        <v>1315</v>
      </c>
      <c r="W198" t="s">
        <v>184</v>
      </c>
      <c r="X198">
        <v>901</v>
      </c>
      <c r="Y198" t="s">
        <v>1331</v>
      </c>
      <c r="Z198" t="s">
        <v>1334</v>
      </c>
      <c r="AB198" t="s">
        <v>1541</v>
      </c>
      <c r="AC198" t="s">
        <v>1710</v>
      </c>
      <c r="AD198" t="s">
        <v>1867</v>
      </c>
      <c r="AE198">
        <v>16</v>
      </c>
      <c r="AF198" t="s">
        <v>1984</v>
      </c>
      <c r="AG198" t="s">
        <v>1255</v>
      </c>
      <c r="AH198">
        <v>9</v>
      </c>
      <c r="AI198">
        <v>1</v>
      </c>
      <c r="AJ198">
        <v>2</v>
      </c>
      <c r="AK198">
        <v>121.52</v>
      </c>
      <c r="AN198" t="s">
        <v>1998</v>
      </c>
      <c r="AO198">
        <v>25920</v>
      </c>
      <c r="AU198">
        <v>11.25</v>
      </c>
      <c r="AV198" t="s">
        <v>222</v>
      </c>
      <c r="AW198" t="s">
        <v>2058</v>
      </c>
      <c r="AX198" t="s">
        <v>2079</v>
      </c>
    </row>
    <row r="199" spans="1:50">
      <c r="A199" s="1">
        <f>HYPERLINK("https://lsnyc.legalserver.org/matter/dynamic-profile/view/1895443","19-1895443")</f>
        <v>0</v>
      </c>
      <c r="B199" t="s">
        <v>68</v>
      </c>
      <c r="C199" t="s">
        <v>119</v>
      </c>
      <c r="D199" t="s">
        <v>193</v>
      </c>
      <c r="E199" t="s">
        <v>122</v>
      </c>
      <c r="F199" t="s">
        <v>392</v>
      </c>
      <c r="G199" t="s">
        <v>665</v>
      </c>
      <c r="H199" t="s">
        <v>913</v>
      </c>
      <c r="I199" t="s">
        <v>1108</v>
      </c>
      <c r="J199" t="s">
        <v>1159</v>
      </c>
      <c r="K199">
        <v>10459</v>
      </c>
      <c r="L199" t="s">
        <v>1175</v>
      </c>
      <c r="M199" t="s">
        <v>1175</v>
      </c>
      <c r="P199" t="s">
        <v>1299</v>
      </c>
      <c r="Q199" t="s">
        <v>1305</v>
      </c>
      <c r="R199" t="s">
        <v>1311</v>
      </c>
      <c r="S199" t="s">
        <v>1176</v>
      </c>
      <c r="U199" t="s">
        <v>1313</v>
      </c>
      <c r="V199" t="s">
        <v>1320</v>
      </c>
      <c r="W199" t="s">
        <v>1325</v>
      </c>
      <c r="X199">
        <v>1400</v>
      </c>
      <c r="Y199" t="s">
        <v>1328</v>
      </c>
      <c r="Z199" t="s">
        <v>1339</v>
      </c>
      <c r="AA199" t="s">
        <v>1346</v>
      </c>
      <c r="AB199" t="s">
        <v>1542</v>
      </c>
      <c r="AE199">
        <v>0</v>
      </c>
      <c r="AF199" t="s">
        <v>1973</v>
      </c>
      <c r="AH199">
        <v>17</v>
      </c>
      <c r="AI199">
        <v>2</v>
      </c>
      <c r="AJ199">
        <v>0</v>
      </c>
      <c r="AK199">
        <v>122.7</v>
      </c>
      <c r="AN199" t="s">
        <v>1998</v>
      </c>
      <c r="AO199">
        <v>20748</v>
      </c>
      <c r="AU199">
        <v>2</v>
      </c>
      <c r="AV199" t="s">
        <v>139</v>
      </c>
      <c r="AW199" t="s">
        <v>2076</v>
      </c>
      <c r="AX199" t="s">
        <v>2079</v>
      </c>
    </row>
    <row r="200" spans="1:50">
      <c r="A200" s="1">
        <f>HYPERLINK("https://lsnyc.legalserver.org/matter/dynamic-profile/view/1900520","19-1900520")</f>
        <v>0</v>
      </c>
      <c r="B200" t="s">
        <v>52</v>
      </c>
      <c r="C200" t="s">
        <v>118</v>
      </c>
      <c r="D200" t="s">
        <v>124</v>
      </c>
      <c r="F200" t="s">
        <v>393</v>
      </c>
      <c r="G200" t="s">
        <v>666</v>
      </c>
      <c r="H200" t="s">
        <v>774</v>
      </c>
      <c r="I200" t="s">
        <v>1055</v>
      </c>
      <c r="J200" t="s">
        <v>1159</v>
      </c>
      <c r="K200">
        <v>10460</v>
      </c>
      <c r="L200" t="s">
        <v>1175</v>
      </c>
      <c r="M200" t="s">
        <v>1177</v>
      </c>
      <c r="N200" t="s">
        <v>1180</v>
      </c>
      <c r="O200" t="s">
        <v>1282</v>
      </c>
      <c r="P200" t="s">
        <v>1301</v>
      </c>
      <c r="R200" t="s">
        <v>1311</v>
      </c>
      <c r="S200" t="s">
        <v>1175</v>
      </c>
      <c r="U200" t="s">
        <v>1313</v>
      </c>
      <c r="W200" t="s">
        <v>1325</v>
      </c>
      <c r="X200">
        <v>377</v>
      </c>
      <c r="Y200" t="s">
        <v>1328</v>
      </c>
      <c r="Z200" t="s">
        <v>1335</v>
      </c>
      <c r="AB200" t="s">
        <v>1543</v>
      </c>
      <c r="AD200" t="s">
        <v>1868</v>
      </c>
      <c r="AE200">
        <v>248</v>
      </c>
      <c r="AF200" t="s">
        <v>1683</v>
      </c>
      <c r="AG200" t="s">
        <v>1341</v>
      </c>
      <c r="AH200">
        <v>10</v>
      </c>
      <c r="AI200">
        <v>1</v>
      </c>
      <c r="AJ200">
        <v>0</v>
      </c>
      <c r="AK200">
        <v>123.75</v>
      </c>
      <c r="AN200" t="s">
        <v>1998</v>
      </c>
      <c r="AO200">
        <v>15456</v>
      </c>
      <c r="AU200">
        <v>0</v>
      </c>
      <c r="AW200" t="s">
        <v>2052</v>
      </c>
      <c r="AX200" t="s">
        <v>2079</v>
      </c>
    </row>
    <row r="201" spans="1:50">
      <c r="A201" s="1">
        <f>HYPERLINK("https://lsnyc.legalserver.org/matter/dynamic-profile/view/1900038","19-1900038")</f>
        <v>0</v>
      </c>
      <c r="B201" t="s">
        <v>52</v>
      </c>
      <c r="C201" t="s">
        <v>118</v>
      </c>
      <c r="D201" t="s">
        <v>138</v>
      </c>
      <c r="F201" t="s">
        <v>394</v>
      </c>
      <c r="G201" t="s">
        <v>667</v>
      </c>
      <c r="H201" t="s">
        <v>774</v>
      </c>
      <c r="I201" t="s">
        <v>1109</v>
      </c>
      <c r="J201" t="s">
        <v>1159</v>
      </c>
      <c r="K201">
        <v>10460</v>
      </c>
      <c r="L201" t="s">
        <v>1175</v>
      </c>
      <c r="M201" t="s">
        <v>1177</v>
      </c>
      <c r="O201" t="s">
        <v>1282</v>
      </c>
      <c r="P201" t="s">
        <v>1301</v>
      </c>
      <c r="R201" t="s">
        <v>1311</v>
      </c>
      <c r="S201" t="s">
        <v>1175</v>
      </c>
      <c r="U201" t="s">
        <v>1313</v>
      </c>
      <c r="W201" t="s">
        <v>1325</v>
      </c>
      <c r="X201">
        <v>1600</v>
      </c>
      <c r="Y201" t="s">
        <v>1328</v>
      </c>
      <c r="Z201" t="s">
        <v>1336</v>
      </c>
      <c r="AB201" t="s">
        <v>1544</v>
      </c>
      <c r="AD201" t="s">
        <v>1869</v>
      </c>
      <c r="AE201">
        <v>168</v>
      </c>
      <c r="AF201" t="s">
        <v>1974</v>
      </c>
      <c r="AG201" t="s">
        <v>1255</v>
      </c>
      <c r="AH201">
        <v>18</v>
      </c>
      <c r="AI201">
        <v>1</v>
      </c>
      <c r="AJ201">
        <v>0</v>
      </c>
      <c r="AK201">
        <v>124.9</v>
      </c>
      <c r="AN201" t="s">
        <v>1998</v>
      </c>
      <c r="AO201">
        <v>15600</v>
      </c>
      <c r="AU201">
        <v>1.5</v>
      </c>
      <c r="AV201" t="s">
        <v>2045</v>
      </c>
      <c r="AW201" t="s">
        <v>112</v>
      </c>
      <c r="AX201" t="s">
        <v>2079</v>
      </c>
    </row>
    <row r="202" spans="1:50">
      <c r="A202" s="1">
        <f>HYPERLINK("https://lsnyc.legalserver.org/matter/dynamic-profile/view/1896860","19-1896860")</f>
        <v>0</v>
      </c>
      <c r="B202" t="s">
        <v>71</v>
      </c>
      <c r="C202" t="s">
        <v>119</v>
      </c>
      <c r="D202" t="s">
        <v>194</v>
      </c>
      <c r="E202" t="s">
        <v>218</v>
      </c>
      <c r="F202" t="s">
        <v>267</v>
      </c>
      <c r="G202" t="s">
        <v>668</v>
      </c>
      <c r="H202" t="s">
        <v>914</v>
      </c>
      <c r="I202" t="s">
        <v>1110</v>
      </c>
      <c r="J202" t="s">
        <v>1159</v>
      </c>
      <c r="K202">
        <v>10460</v>
      </c>
      <c r="L202" t="s">
        <v>1175</v>
      </c>
      <c r="M202" t="s">
        <v>1177</v>
      </c>
      <c r="N202" t="s">
        <v>1251</v>
      </c>
      <c r="O202" t="s">
        <v>1281</v>
      </c>
      <c r="P202" t="s">
        <v>1299</v>
      </c>
      <c r="Q202" t="s">
        <v>1305</v>
      </c>
      <c r="R202" t="s">
        <v>1311</v>
      </c>
      <c r="S202" t="s">
        <v>1176</v>
      </c>
      <c r="U202" t="s">
        <v>1313</v>
      </c>
      <c r="V202" t="s">
        <v>1324</v>
      </c>
      <c r="W202" t="s">
        <v>160</v>
      </c>
      <c r="X202">
        <v>600</v>
      </c>
      <c r="Y202" t="s">
        <v>1328</v>
      </c>
      <c r="Z202" t="s">
        <v>1338</v>
      </c>
      <c r="AA202" t="s">
        <v>1346</v>
      </c>
      <c r="AB202" t="s">
        <v>1545</v>
      </c>
      <c r="AD202" t="s">
        <v>1870</v>
      </c>
      <c r="AE202">
        <v>84</v>
      </c>
      <c r="AF202" t="s">
        <v>1974</v>
      </c>
      <c r="AG202" t="s">
        <v>1255</v>
      </c>
      <c r="AH202">
        <v>28</v>
      </c>
      <c r="AI202">
        <v>2</v>
      </c>
      <c r="AJ202">
        <v>1</v>
      </c>
      <c r="AK202">
        <v>127.39</v>
      </c>
      <c r="AN202" t="s">
        <v>1998</v>
      </c>
      <c r="AO202">
        <v>27172</v>
      </c>
      <c r="AU202">
        <v>0.6</v>
      </c>
      <c r="AV202" t="s">
        <v>218</v>
      </c>
      <c r="AW202" t="s">
        <v>2062</v>
      </c>
      <c r="AX202" t="s">
        <v>2079</v>
      </c>
    </row>
    <row r="203" spans="1:50">
      <c r="A203" s="1">
        <f>HYPERLINK("https://lsnyc.legalserver.org/matter/dynamic-profile/view/1895440","19-1895440")</f>
        <v>0</v>
      </c>
      <c r="B203" t="s">
        <v>68</v>
      </c>
      <c r="C203" t="s">
        <v>118</v>
      </c>
      <c r="D203" t="s">
        <v>193</v>
      </c>
      <c r="F203" t="s">
        <v>240</v>
      </c>
      <c r="G203" t="s">
        <v>536</v>
      </c>
      <c r="H203" t="s">
        <v>915</v>
      </c>
      <c r="I203">
        <v>2</v>
      </c>
      <c r="J203" t="s">
        <v>1159</v>
      </c>
      <c r="K203">
        <v>10457</v>
      </c>
      <c r="L203" t="s">
        <v>1175</v>
      </c>
      <c r="M203" t="s">
        <v>1177</v>
      </c>
      <c r="N203" t="s">
        <v>1252</v>
      </c>
      <c r="O203" t="s">
        <v>1290</v>
      </c>
      <c r="P203" t="s">
        <v>1300</v>
      </c>
      <c r="R203" t="s">
        <v>1311</v>
      </c>
      <c r="S203" t="s">
        <v>1176</v>
      </c>
      <c r="U203" t="s">
        <v>1318</v>
      </c>
      <c r="V203" t="s">
        <v>1321</v>
      </c>
      <c r="W203" t="s">
        <v>1326</v>
      </c>
      <c r="X203">
        <v>0.01</v>
      </c>
      <c r="Y203" t="s">
        <v>1328</v>
      </c>
      <c r="Z203" t="s">
        <v>1335</v>
      </c>
      <c r="AB203" t="s">
        <v>1546</v>
      </c>
      <c r="AD203" t="s">
        <v>1871</v>
      </c>
      <c r="AE203">
        <v>1</v>
      </c>
      <c r="AF203" t="s">
        <v>1683</v>
      </c>
      <c r="AG203" t="s">
        <v>1985</v>
      </c>
      <c r="AH203">
        <v>0</v>
      </c>
      <c r="AI203">
        <v>2</v>
      </c>
      <c r="AJ203">
        <v>0</v>
      </c>
      <c r="AK203">
        <v>127.74</v>
      </c>
      <c r="AN203" t="s">
        <v>1998</v>
      </c>
      <c r="AO203">
        <v>21600</v>
      </c>
      <c r="AU203">
        <v>10.5</v>
      </c>
      <c r="AV203" t="s">
        <v>163</v>
      </c>
      <c r="AW203" t="s">
        <v>2052</v>
      </c>
      <c r="AX203" t="s">
        <v>2079</v>
      </c>
    </row>
    <row r="204" spans="1:50">
      <c r="A204" s="1">
        <f>HYPERLINK("https://lsnyc.legalserver.org/matter/dynamic-profile/view/1902666","19-1902666")</f>
        <v>0</v>
      </c>
      <c r="B204" t="s">
        <v>70</v>
      </c>
      <c r="C204" t="s">
        <v>119</v>
      </c>
      <c r="D204" t="s">
        <v>145</v>
      </c>
      <c r="E204" t="s">
        <v>120</v>
      </c>
      <c r="F204" t="s">
        <v>395</v>
      </c>
      <c r="G204" t="s">
        <v>669</v>
      </c>
      <c r="H204" t="s">
        <v>916</v>
      </c>
      <c r="I204" t="s">
        <v>1111</v>
      </c>
      <c r="J204" t="s">
        <v>1172</v>
      </c>
      <c r="K204">
        <v>11104</v>
      </c>
      <c r="L204" t="s">
        <v>1175</v>
      </c>
      <c r="M204" t="s">
        <v>1177</v>
      </c>
      <c r="N204" t="s">
        <v>1229</v>
      </c>
      <c r="O204" t="s">
        <v>1282</v>
      </c>
      <c r="P204" t="s">
        <v>1299</v>
      </c>
      <c r="Q204" t="s">
        <v>1305</v>
      </c>
      <c r="R204" t="s">
        <v>1312</v>
      </c>
      <c r="S204" t="s">
        <v>1176</v>
      </c>
      <c r="U204" t="s">
        <v>1319</v>
      </c>
      <c r="V204" t="s">
        <v>1321</v>
      </c>
      <c r="W204" t="s">
        <v>120</v>
      </c>
      <c r="X204">
        <v>1186.17</v>
      </c>
      <c r="Y204" t="s">
        <v>1327</v>
      </c>
      <c r="Z204" t="s">
        <v>1333</v>
      </c>
      <c r="AA204" t="s">
        <v>1346</v>
      </c>
      <c r="AB204" t="s">
        <v>1547</v>
      </c>
      <c r="AC204" t="s">
        <v>1255</v>
      </c>
      <c r="AD204" t="s">
        <v>1872</v>
      </c>
      <c r="AE204">
        <v>79</v>
      </c>
      <c r="AF204" t="s">
        <v>1974</v>
      </c>
      <c r="AG204" t="s">
        <v>1255</v>
      </c>
      <c r="AH204">
        <v>27</v>
      </c>
      <c r="AI204">
        <v>1</v>
      </c>
      <c r="AJ204">
        <v>0</v>
      </c>
      <c r="AK204">
        <v>128.1</v>
      </c>
      <c r="AL204" t="s">
        <v>1992</v>
      </c>
      <c r="AM204" t="s">
        <v>1994</v>
      </c>
      <c r="AN204" t="s">
        <v>1998</v>
      </c>
      <c r="AO204">
        <v>16000</v>
      </c>
      <c r="AU204">
        <v>1.2</v>
      </c>
      <c r="AV204" t="s">
        <v>120</v>
      </c>
      <c r="AW204" t="s">
        <v>70</v>
      </c>
      <c r="AX204" t="s">
        <v>2079</v>
      </c>
    </row>
    <row r="205" spans="1:50">
      <c r="A205" s="1">
        <f>HYPERLINK("https://lsnyc.legalserver.org/matter/dynamic-profile/view/1890467","18-1890467")</f>
        <v>0</v>
      </c>
      <c r="B205" t="s">
        <v>53</v>
      </c>
      <c r="C205" t="s">
        <v>118</v>
      </c>
      <c r="D205" t="s">
        <v>195</v>
      </c>
      <c r="F205" t="s">
        <v>396</v>
      </c>
      <c r="G205" t="s">
        <v>577</v>
      </c>
      <c r="H205" t="s">
        <v>917</v>
      </c>
      <c r="I205" t="s">
        <v>1079</v>
      </c>
      <c r="J205" t="s">
        <v>1159</v>
      </c>
      <c r="K205">
        <v>10453</v>
      </c>
      <c r="L205" t="s">
        <v>1175</v>
      </c>
      <c r="M205" t="s">
        <v>1175</v>
      </c>
      <c r="O205" t="s">
        <v>1282</v>
      </c>
      <c r="P205" t="s">
        <v>1301</v>
      </c>
      <c r="R205" t="s">
        <v>1311</v>
      </c>
      <c r="S205" t="s">
        <v>1175</v>
      </c>
      <c r="U205" t="s">
        <v>1313</v>
      </c>
      <c r="W205" t="s">
        <v>123</v>
      </c>
      <c r="X205">
        <v>1100</v>
      </c>
      <c r="Y205" t="s">
        <v>1328</v>
      </c>
      <c r="Z205" t="s">
        <v>1336</v>
      </c>
      <c r="AB205" t="s">
        <v>1548</v>
      </c>
      <c r="AD205" t="s">
        <v>1873</v>
      </c>
      <c r="AE205">
        <v>44</v>
      </c>
      <c r="AF205" t="s">
        <v>1974</v>
      </c>
      <c r="AG205" t="s">
        <v>1255</v>
      </c>
      <c r="AH205">
        <v>1</v>
      </c>
      <c r="AI205">
        <v>1</v>
      </c>
      <c r="AJ205">
        <v>0</v>
      </c>
      <c r="AK205">
        <v>128.5</v>
      </c>
      <c r="AN205" t="s">
        <v>1998</v>
      </c>
      <c r="AO205">
        <v>15600</v>
      </c>
      <c r="AU205">
        <v>0</v>
      </c>
      <c r="AW205" t="s">
        <v>2053</v>
      </c>
      <c r="AX205" t="s">
        <v>2079</v>
      </c>
    </row>
    <row r="206" spans="1:50">
      <c r="A206" s="1">
        <f>HYPERLINK("https://lsnyc.legalserver.org/matter/dynamic-profile/view/1883938","18-1883938")</f>
        <v>0</v>
      </c>
      <c r="B206" t="s">
        <v>56</v>
      </c>
      <c r="C206" t="s">
        <v>118</v>
      </c>
      <c r="D206" t="s">
        <v>196</v>
      </c>
      <c r="F206" t="s">
        <v>324</v>
      </c>
      <c r="G206" t="s">
        <v>670</v>
      </c>
      <c r="H206" t="s">
        <v>880</v>
      </c>
      <c r="I206" t="s">
        <v>1090</v>
      </c>
      <c r="J206" t="s">
        <v>1159</v>
      </c>
      <c r="K206">
        <v>10452</v>
      </c>
      <c r="L206" t="s">
        <v>1175</v>
      </c>
      <c r="M206" t="s">
        <v>1175</v>
      </c>
      <c r="O206" t="s">
        <v>1282</v>
      </c>
      <c r="P206" t="s">
        <v>1301</v>
      </c>
      <c r="R206" t="s">
        <v>1311</v>
      </c>
      <c r="S206" t="s">
        <v>1175</v>
      </c>
      <c r="U206" t="s">
        <v>1313</v>
      </c>
      <c r="V206" t="s">
        <v>1321</v>
      </c>
      <c r="W206" t="s">
        <v>1325</v>
      </c>
      <c r="X206">
        <v>961</v>
      </c>
      <c r="Y206" t="s">
        <v>1328</v>
      </c>
      <c r="Z206" t="s">
        <v>1343</v>
      </c>
      <c r="AB206" t="s">
        <v>1549</v>
      </c>
      <c r="AD206" t="s">
        <v>1874</v>
      </c>
      <c r="AE206">
        <v>60</v>
      </c>
      <c r="AF206" t="s">
        <v>1974</v>
      </c>
      <c r="AG206" t="s">
        <v>1987</v>
      </c>
      <c r="AH206">
        <v>50</v>
      </c>
      <c r="AI206">
        <v>2</v>
      </c>
      <c r="AJ206">
        <v>0</v>
      </c>
      <c r="AK206">
        <v>132.1</v>
      </c>
      <c r="AN206" t="s">
        <v>2000</v>
      </c>
      <c r="AO206">
        <v>21744</v>
      </c>
      <c r="AU206">
        <v>0.3</v>
      </c>
      <c r="AV206" t="s">
        <v>178</v>
      </c>
      <c r="AW206" t="s">
        <v>2063</v>
      </c>
      <c r="AX206" t="s">
        <v>2079</v>
      </c>
    </row>
    <row r="207" spans="1:50">
      <c r="A207" s="1">
        <f>HYPERLINK("https://lsnyc.legalserver.org/matter/dynamic-profile/view/1903020","19-1903020")</f>
        <v>0</v>
      </c>
      <c r="B207" t="s">
        <v>97</v>
      </c>
      <c r="C207" t="s">
        <v>118</v>
      </c>
      <c r="D207" t="s">
        <v>185</v>
      </c>
      <c r="F207" t="s">
        <v>397</v>
      </c>
      <c r="G207" t="s">
        <v>637</v>
      </c>
      <c r="H207" t="s">
        <v>882</v>
      </c>
      <c r="I207">
        <v>709</v>
      </c>
      <c r="J207" t="s">
        <v>1161</v>
      </c>
      <c r="K207">
        <v>10029</v>
      </c>
      <c r="L207" t="s">
        <v>1175</v>
      </c>
      <c r="M207" t="s">
        <v>1177</v>
      </c>
      <c r="O207" t="s">
        <v>1285</v>
      </c>
      <c r="P207" t="s">
        <v>1298</v>
      </c>
      <c r="R207" t="s">
        <v>1311</v>
      </c>
      <c r="S207" t="s">
        <v>1175</v>
      </c>
      <c r="U207" t="s">
        <v>1313</v>
      </c>
      <c r="V207" t="s">
        <v>1321</v>
      </c>
      <c r="W207" t="s">
        <v>160</v>
      </c>
      <c r="X207">
        <v>0</v>
      </c>
      <c r="Y207" t="s">
        <v>1330</v>
      </c>
      <c r="Z207" t="s">
        <v>1335</v>
      </c>
      <c r="AB207" t="s">
        <v>1550</v>
      </c>
      <c r="AD207" t="s">
        <v>1875</v>
      </c>
      <c r="AE207">
        <v>108</v>
      </c>
      <c r="AF207" t="s">
        <v>1976</v>
      </c>
      <c r="AG207" t="s">
        <v>1985</v>
      </c>
      <c r="AH207">
        <v>32</v>
      </c>
      <c r="AI207">
        <v>2</v>
      </c>
      <c r="AJ207">
        <v>0</v>
      </c>
      <c r="AK207">
        <v>132.42</v>
      </c>
      <c r="AN207" t="s">
        <v>2000</v>
      </c>
      <c r="AO207">
        <v>22392</v>
      </c>
      <c r="AU207">
        <v>9.5</v>
      </c>
      <c r="AV207" t="s">
        <v>221</v>
      </c>
      <c r="AW207" t="s">
        <v>2066</v>
      </c>
      <c r="AX207" t="s">
        <v>2079</v>
      </c>
    </row>
    <row r="208" spans="1:50">
      <c r="A208" s="1">
        <f>HYPERLINK("https://lsnyc.legalserver.org/matter/dynamic-profile/view/1901500","19-1901500")</f>
        <v>0</v>
      </c>
      <c r="B208" t="s">
        <v>57</v>
      </c>
      <c r="C208" t="s">
        <v>118</v>
      </c>
      <c r="D208" t="s">
        <v>148</v>
      </c>
      <c r="F208" t="s">
        <v>377</v>
      </c>
      <c r="G208" t="s">
        <v>671</v>
      </c>
      <c r="H208" t="s">
        <v>918</v>
      </c>
      <c r="I208" t="s">
        <v>1036</v>
      </c>
      <c r="J208" t="s">
        <v>1159</v>
      </c>
      <c r="K208">
        <v>10451</v>
      </c>
      <c r="L208" t="s">
        <v>1175</v>
      </c>
      <c r="M208" t="s">
        <v>1177</v>
      </c>
      <c r="O208" t="s">
        <v>1282</v>
      </c>
      <c r="P208" t="s">
        <v>1299</v>
      </c>
      <c r="R208" t="s">
        <v>1311</v>
      </c>
      <c r="S208" t="s">
        <v>1176</v>
      </c>
      <c r="U208" t="s">
        <v>1313</v>
      </c>
      <c r="W208" t="s">
        <v>1325</v>
      </c>
      <c r="X208">
        <v>2325</v>
      </c>
      <c r="Y208" t="s">
        <v>1328</v>
      </c>
      <c r="Z208" t="s">
        <v>1336</v>
      </c>
      <c r="AB208" t="s">
        <v>1551</v>
      </c>
      <c r="AE208">
        <v>0</v>
      </c>
      <c r="AF208" t="s">
        <v>1974</v>
      </c>
      <c r="AG208" t="s">
        <v>1255</v>
      </c>
      <c r="AH208">
        <v>5</v>
      </c>
      <c r="AI208">
        <v>1</v>
      </c>
      <c r="AJ208">
        <v>1</v>
      </c>
      <c r="AK208">
        <v>136.01</v>
      </c>
      <c r="AN208" t="s">
        <v>2000</v>
      </c>
      <c r="AO208">
        <v>23000</v>
      </c>
      <c r="AU208">
        <v>1</v>
      </c>
      <c r="AV208" t="s">
        <v>125</v>
      </c>
      <c r="AW208" t="s">
        <v>57</v>
      </c>
      <c r="AX208" t="s">
        <v>2079</v>
      </c>
    </row>
    <row r="209" spans="1:50">
      <c r="A209" s="1">
        <f>HYPERLINK("https://lsnyc.legalserver.org/matter/dynamic-profile/view/1902748","19-1902748")</f>
        <v>0</v>
      </c>
      <c r="B209" t="s">
        <v>105</v>
      </c>
      <c r="C209" t="s">
        <v>118</v>
      </c>
      <c r="D209" t="s">
        <v>120</v>
      </c>
      <c r="F209" t="s">
        <v>398</v>
      </c>
      <c r="G209" t="s">
        <v>672</v>
      </c>
      <c r="H209" t="s">
        <v>919</v>
      </c>
      <c r="I209" t="s">
        <v>1051</v>
      </c>
      <c r="J209" t="s">
        <v>1161</v>
      </c>
      <c r="K209">
        <v>10035</v>
      </c>
      <c r="L209" t="s">
        <v>1175</v>
      </c>
      <c r="M209" t="s">
        <v>1177</v>
      </c>
      <c r="O209" t="s">
        <v>1289</v>
      </c>
      <c r="P209" t="s">
        <v>1303</v>
      </c>
      <c r="R209" t="s">
        <v>1311</v>
      </c>
      <c r="S209" t="s">
        <v>1176</v>
      </c>
      <c r="U209" t="s">
        <v>1317</v>
      </c>
      <c r="V209" t="s">
        <v>1321</v>
      </c>
      <c r="W209" t="s">
        <v>120</v>
      </c>
      <c r="X209">
        <v>847</v>
      </c>
      <c r="Y209" t="s">
        <v>1330</v>
      </c>
      <c r="Z209" t="s">
        <v>1343</v>
      </c>
      <c r="AB209" t="s">
        <v>1552</v>
      </c>
      <c r="AD209" t="s">
        <v>1876</v>
      </c>
      <c r="AE209">
        <v>60</v>
      </c>
      <c r="AF209" t="s">
        <v>1974</v>
      </c>
      <c r="AG209" t="s">
        <v>1985</v>
      </c>
      <c r="AH209">
        <v>14</v>
      </c>
      <c r="AI209">
        <v>1</v>
      </c>
      <c r="AJ209">
        <v>3</v>
      </c>
      <c r="AK209">
        <v>141.36</v>
      </c>
      <c r="AN209" t="s">
        <v>1998</v>
      </c>
      <c r="AO209">
        <v>36400</v>
      </c>
      <c r="AU209">
        <v>13</v>
      </c>
      <c r="AV209" t="s">
        <v>163</v>
      </c>
      <c r="AW209" t="s">
        <v>2066</v>
      </c>
      <c r="AX209" t="s">
        <v>2079</v>
      </c>
    </row>
    <row r="210" spans="1:50">
      <c r="A210" s="1">
        <f>HYPERLINK("https://lsnyc.legalserver.org/matter/dynamic-profile/view/1903544","19-1903544")</f>
        <v>0</v>
      </c>
      <c r="B210" t="s">
        <v>98</v>
      </c>
      <c r="C210" t="s">
        <v>118</v>
      </c>
      <c r="D210" t="s">
        <v>157</v>
      </c>
      <c r="F210" t="s">
        <v>399</v>
      </c>
      <c r="G210" t="s">
        <v>673</v>
      </c>
      <c r="H210" t="s">
        <v>920</v>
      </c>
      <c r="I210">
        <v>5</v>
      </c>
      <c r="J210" t="s">
        <v>1161</v>
      </c>
      <c r="K210">
        <v>10034</v>
      </c>
      <c r="L210" t="s">
        <v>1175</v>
      </c>
      <c r="M210" t="s">
        <v>1177</v>
      </c>
      <c r="O210" t="s">
        <v>1294</v>
      </c>
      <c r="P210" t="s">
        <v>1302</v>
      </c>
      <c r="R210" t="s">
        <v>1311</v>
      </c>
      <c r="S210" t="s">
        <v>1176</v>
      </c>
      <c r="U210" t="s">
        <v>1313</v>
      </c>
      <c r="W210" t="s">
        <v>157</v>
      </c>
      <c r="X210">
        <v>694.16</v>
      </c>
      <c r="Y210" t="s">
        <v>1330</v>
      </c>
      <c r="Z210" t="s">
        <v>1335</v>
      </c>
      <c r="AB210" t="s">
        <v>1553</v>
      </c>
      <c r="AD210" t="s">
        <v>1877</v>
      </c>
      <c r="AE210">
        <v>25</v>
      </c>
      <c r="AG210" t="s">
        <v>1987</v>
      </c>
      <c r="AH210">
        <v>0</v>
      </c>
      <c r="AI210">
        <v>2</v>
      </c>
      <c r="AJ210">
        <v>0</v>
      </c>
      <c r="AK210">
        <v>141.93</v>
      </c>
      <c r="AN210" t="s">
        <v>1998</v>
      </c>
      <c r="AO210">
        <v>24000</v>
      </c>
      <c r="AU210">
        <v>3.3</v>
      </c>
      <c r="AV210" t="s">
        <v>163</v>
      </c>
      <c r="AW210" t="s">
        <v>2057</v>
      </c>
      <c r="AX210" t="s">
        <v>2079</v>
      </c>
    </row>
    <row r="211" spans="1:50">
      <c r="A211" s="1">
        <f>HYPERLINK("https://lsnyc.legalserver.org/matter/dynamic-profile/view/1889819","19-1889819")</f>
        <v>0</v>
      </c>
      <c r="B211" t="s">
        <v>71</v>
      </c>
      <c r="C211" t="s">
        <v>119</v>
      </c>
      <c r="D211" t="s">
        <v>197</v>
      </c>
      <c r="E211" t="s">
        <v>163</v>
      </c>
      <c r="F211" t="s">
        <v>400</v>
      </c>
      <c r="G211" t="s">
        <v>536</v>
      </c>
      <c r="H211" t="s">
        <v>921</v>
      </c>
      <c r="J211" t="s">
        <v>1159</v>
      </c>
      <c r="K211">
        <v>10463</v>
      </c>
      <c r="L211" t="s">
        <v>1175</v>
      </c>
      <c r="M211" t="s">
        <v>1175</v>
      </c>
      <c r="O211" t="s">
        <v>1284</v>
      </c>
      <c r="P211" t="s">
        <v>1299</v>
      </c>
      <c r="Q211" t="s">
        <v>1305</v>
      </c>
      <c r="R211" t="s">
        <v>1311</v>
      </c>
      <c r="S211" t="s">
        <v>1176</v>
      </c>
      <c r="U211" t="s">
        <v>1313</v>
      </c>
      <c r="W211" t="s">
        <v>1325</v>
      </c>
      <c r="X211">
        <v>900</v>
      </c>
      <c r="Y211" t="s">
        <v>1328</v>
      </c>
      <c r="Z211" t="s">
        <v>1336</v>
      </c>
      <c r="AA211" t="s">
        <v>1346</v>
      </c>
      <c r="AB211" t="s">
        <v>1554</v>
      </c>
      <c r="AD211" t="s">
        <v>1878</v>
      </c>
      <c r="AE211">
        <v>61</v>
      </c>
      <c r="AF211" t="s">
        <v>1683</v>
      </c>
      <c r="AG211" t="s">
        <v>1255</v>
      </c>
      <c r="AH211">
        <v>10</v>
      </c>
      <c r="AI211">
        <v>2</v>
      </c>
      <c r="AJ211">
        <v>1</v>
      </c>
      <c r="AK211">
        <v>142.09</v>
      </c>
      <c r="AN211" t="s">
        <v>2000</v>
      </c>
      <c r="AO211">
        <v>30308</v>
      </c>
      <c r="AU211">
        <v>0.1</v>
      </c>
      <c r="AV211" t="s">
        <v>163</v>
      </c>
      <c r="AW211" t="s">
        <v>2052</v>
      </c>
      <c r="AX211" t="s">
        <v>2079</v>
      </c>
    </row>
    <row r="212" spans="1:50">
      <c r="A212" s="1">
        <f>HYPERLINK("https://lsnyc.legalserver.org/matter/dynamic-profile/view/1899812","19-1899812")</f>
        <v>0</v>
      </c>
      <c r="B212" t="s">
        <v>52</v>
      </c>
      <c r="C212" t="s">
        <v>118</v>
      </c>
      <c r="D212" t="s">
        <v>143</v>
      </c>
      <c r="F212" t="s">
        <v>380</v>
      </c>
      <c r="G212" t="s">
        <v>674</v>
      </c>
      <c r="H212" t="s">
        <v>774</v>
      </c>
      <c r="I212" t="s">
        <v>1112</v>
      </c>
      <c r="J212" t="s">
        <v>1159</v>
      </c>
      <c r="K212">
        <v>10460</v>
      </c>
      <c r="L212" t="s">
        <v>1175</v>
      </c>
      <c r="M212" t="s">
        <v>1177</v>
      </c>
      <c r="N212" t="s">
        <v>1180</v>
      </c>
      <c r="O212" t="s">
        <v>1282</v>
      </c>
      <c r="P212" t="s">
        <v>1301</v>
      </c>
      <c r="R212" t="s">
        <v>1311</v>
      </c>
      <c r="S212" t="s">
        <v>1175</v>
      </c>
      <c r="U212" t="s">
        <v>1313</v>
      </c>
      <c r="W212" t="s">
        <v>1325</v>
      </c>
      <c r="X212">
        <v>500</v>
      </c>
      <c r="Y212" t="s">
        <v>1328</v>
      </c>
      <c r="Z212" t="s">
        <v>1336</v>
      </c>
      <c r="AB212" t="s">
        <v>1555</v>
      </c>
      <c r="AD212" t="s">
        <v>1879</v>
      </c>
      <c r="AE212">
        <v>168</v>
      </c>
      <c r="AF212" t="s">
        <v>1683</v>
      </c>
      <c r="AG212" t="s">
        <v>1985</v>
      </c>
      <c r="AH212">
        <v>5</v>
      </c>
      <c r="AI212">
        <v>1</v>
      </c>
      <c r="AJ212">
        <v>0</v>
      </c>
      <c r="AK212">
        <v>144.12</v>
      </c>
      <c r="AN212" t="s">
        <v>1998</v>
      </c>
      <c r="AO212">
        <v>18000</v>
      </c>
      <c r="AU212">
        <v>0</v>
      </c>
      <c r="AW212" t="s">
        <v>2053</v>
      </c>
      <c r="AX212" t="s">
        <v>2079</v>
      </c>
    </row>
    <row r="213" spans="1:50">
      <c r="A213" s="1">
        <f>HYPERLINK("https://lsnyc.legalserver.org/matter/dynamic-profile/view/1898941","19-1898941")</f>
        <v>0</v>
      </c>
      <c r="B213" t="s">
        <v>71</v>
      </c>
      <c r="C213" t="s">
        <v>119</v>
      </c>
      <c r="D213" t="s">
        <v>136</v>
      </c>
      <c r="E213" t="s">
        <v>160</v>
      </c>
      <c r="F213" t="s">
        <v>401</v>
      </c>
      <c r="G213" t="s">
        <v>675</v>
      </c>
      <c r="H213" t="s">
        <v>922</v>
      </c>
      <c r="I213" t="s">
        <v>1113</v>
      </c>
      <c r="J213" t="s">
        <v>1159</v>
      </c>
      <c r="K213">
        <v>10452</v>
      </c>
      <c r="L213" t="s">
        <v>1175</v>
      </c>
      <c r="M213" t="s">
        <v>1177</v>
      </c>
      <c r="P213" t="s">
        <v>1299</v>
      </c>
      <c r="Q213" t="s">
        <v>1305</v>
      </c>
      <c r="R213" t="s">
        <v>1311</v>
      </c>
      <c r="S213" t="s">
        <v>1176</v>
      </c>
      <c r="U213" t="s">
        <v>1313</v>
      </c>
      <c r="W213" t="s">
        <v>160</v>
      </c>
      <c r="X213">
        <v>1375</v>
      </c>
      <c r="Y213" t="s">
        <v>1328</v>
      </c>
      <c r="Z213" t="s">
        <v>1336</v>
      </c>
      <c r="AA213" t="s">
        <v>1346</v>
      </c>
      <c r="AB213" t="s">
        <v>1556</v>
      </c>
      <c r="AD213" t="s">
        <v>1880</v>
      </c>
      <c r="AE213">
        <v>53</v>
      </c>
      <c r="AF213" t="s">
        <v>1683</v>
      </c>
      <c r="AG213" t="s">
        <v>1255</v>
      </c>
      <c r="AH213">
        <v>4</v>
      </c>
      <c r="AI213">
        <v>1</v>
      </c>
      <c r="AJ213">
        <v>0</v>
      </c>
      <c r="AK213">
        <v>145.72</v>
      </c>
      <c r="AN213" t="s">
        <v>2000</v>
      </c>
      <c r="AO213">
        <v>18200</v>
      </c>
      <c r="AU213">
        <v>0.1</v>
      </c>
      <c r="AV213" t="s">
        <v>160</v>
      </c>
      <c r="AW213" t="s">
        <v>2052</v>
      </c>
      <c r="AX213" t="s">
        <v>2079</v>
      </c>
    </row>
    <row r="214" spans="1:50">
      <c r="A214" s="1">
        <f>HYPERLINK("https://lsnyc.legalserver.org/matter/dynamic-profile/view/1900603","19-1900603")</f>
        <v>0</v>
      </c>
      <c r="B214" t="s">
        <v>52</v>
      </c>
      <c r="C214" t="s">
        <v>118</v>
      </c>
      <c r="D214" t="s">
        <v>124</v>
      </c>
      <c r="F214" t="s">
        <v>402</v>
      </c>
      <c r="G214" t="s">
        <v>676</v>
      </c>
      <c r="H214" t="s">
        <v>774</v>
      </c>
      <c r="I214" t="s">
        <v>1017</v>
      </c>
      <c r="J214" t="s">
        <v>1159</v>
      </c>
      <c r="K214">
        <v>10460</v>
      </c>
      <c r="L214" t="s">
        <v>1175</v>
      </c>
      <c r="M214" t="s">
        <v>1177</v>
      </c>
      <c r="O214" t="s">
        <v>1282</v>
      </c>
      <c r="P214" t="s">
        <v>1301</v>
      </c>
      <c r="R214" t="s">
        <v>1311</v>
      </c>
      <c r="S214" t="s">
        <v>1175</v>
      </c>
      <c r="U214" t="s">
        <v>1313</v>
      </c>
      <c r="W214" t="s">
        <v>1325</v>
      </c>
      <c r="X214">
        <v>792</v>
      </c>
      <c r="Y214" t="s">
        <v>1328</v>
      </c>
      <c r="Z214" t="s">
        <v>1336</v>
      </c>
      <c r="AB214" t="s">
        <v>1557</v>
      </c>
      <c r="AE214">
        <v>168</v>
      </c>
      <c r="AF214" t="s">
        <v>1981</v>
      </c>
      <c r="AG214" t="s">
        <v>1341</v>
      </c>
      <c r="AH214">
        <v>3</v>
      </c>
      <c r="AI214">
        <v>1</v>
      </c>
      <c r="AJ214">
        <v>1</v>
      </c>
      <c r="AK214">
        <v>146.04</v>
      </c>
      <c r="AN214" t="s">
        <v>1998</v>
      </c>
      <c r="AO214">
        <v>24696</v>
      </c>
      <c r="AU214">
        <v>0</v>
      </c>
      <c r="AW214" t="s">
        <v>2052</v>
      </c>
      <c r="AX214" t="s">
        <v>2079</v>
      </c>
    </row>
    <row r="215" spans="1:50">
      <c r="A215" s="1">
        <f>HYPERLINK("https://lsnyc.legalserver.org/matter/dynamic-profile/view/1903497","19-1903497")</f>
        <v>0</v>
      </c>
      <c r="B215" t="s">
        <v>50</v>
      </c>
      <c r="C215" t="s">
        <v>118</v>
      </c>
      <c r="D215" t="s">
        <v>152</v>
      </c>
      <c r="F215" t="s">
        <v>403</v>
      </c>
      <c r="G215" t="s">
        <v>677</v>
      </c>
      <c r="H215" t="s">
        <v>816</v>
      </c>
      <c r="I215" t="s">
        <v>1114</v>
      </c>
      <c r="J215" t="s">
        <v>1158</v>
      </c>
      <c r="K215">
        <v>11354</v>
      </c>
      <c r="L215" t="s">
        <v>1175</v>
      </c>
      <c r="M215" t="s">
        <v>1177</v>
      </c>
      <c r="N215" t="s">
        <v>1179</v>
      </c>
      <c r="O215" t="s">
        <v>1283</v>
      </c>
      <c r="P215" t="s">
        <v>1300</v>
      </c>
      <c r="R215" t="s">
        <v>1311</v>
      </c>
      <c r="S215" t="s">
        <v>1175</v>
      </c>
      <c r="U215" t="s">
        <v>1313</v>
      </c>
      <c r="V215" t="s">
        <v>1321</v>
      </c>
      <c r="W215" t="s">
        <v>123</v>
      </c>
      <c r="X215">
        <v>0</v>
      </c>
      <c r="Y215" t="s">
        <v>1327</v>
      </c>
      <c r="Z215" t="s">
        <v>1334</v>
      </c>
      <c r="AB215" t="s">
        <v>1558</v>
      </c>
      <c r="AE215">
        <v>91</v>
      </c>
      <c r="AF215" t="s">
        <v>1974</v>
      </c>
      <c r="AG215" t="s">
        <v>1255</v>
      </c>
      <c r="AH215">
        <v>40</v>
      </c>
      <c r="AI215">
        <v>2</v>
      </c>
      <c r="AJ215">
        <v>0</v>
      </c>
      <c r="AK215">
        <v>147.84</v>
      </c>
      <c r="AN215" t="s">
        <v>2000</v>
      </c>
      <c r="AO215">
        <v>25000</v>
      </c>
      <c r="AU215">
        <v>0.15</v>
      </c>
      <c r="AV215" t="s">
        <v>152</v>
      </c>
      <c r="AW215" t="s">
        <v>50</v>
      </c>
      <c r="AX215" t="s">
        <v>2079</v>
      </c>
    </row>
    <row r="216" spans="1:50">
      <c r="A216" s="1">
        <f>HYPERLINK("https://lsnyc.legalserver.org/matter/dynamic-profile/view/1898099","19-1898099")</f>
        <v>0</v>
      </c>
      <c r="B216" t="s">
        <v>56</v>
      </c>
      <c r="C216" t="s">
        <v>118</v>
      </c>
      <c r="D216" t="s">
        <v>128</v>
      </c>
      <c r="F216" t="s">
        <v>330</v>
      </c>
      <c r="G216" t="s">
        <v>678</v>
      </c>
      <c r="H216" t="s">
        <v>778</v>
      </c>
      <c r="I216" t="s">
        <v>1115</v>
      </c>
      <c r="J216" t="s">
        <v>1159</v>
      </c>
      <c r="K216">
        <v>10452</v>
      </c>
      <c r="L216" t="s">
        <v>1175</v>
      </c>
      <c r="M216" t="s">
        <v>1175</v>
      </c>
      <c r="O216" t="s">
        <v>1282</v>
      </c>
      <c r="P216" t="s">
        <v>1301</v>
      </c>
      <c r="R216" t="s">
        <v>1311</v>
      </c>
      <c r="S216" t="s">
        <v>1175</v>
      </c>
      <c r="U216" t="s">
        <v>1313</v>
      </c>
      <c r="W216" t="s">
        <v>1325</v>
      </c>
      <c r="X216">
        <v>622</v>
      </c>
      <c r="Y216" t="s">
        <v>1328</v>
      </c>
      <c r="Z216" t="s">
        <v>1336</v>
      </c>
      <c r="AB216" t="s">
        <v>1559</v>
      </c>
      <c r="AE216">
        <v>60</v>
      </c>
      <c r="AF216" t="s">
        <v>1974</v>
      </c>
      <c r="AG216" t="s">
        <v>1255</v>
      </c>
      <c r="AH216">
        <v>12</v>
      </c>
      <c r="AI216">
        <v>2</v>
      </c>
      <c r="AJ216">
        <v>0</v>
      </c>
      <c r="AK216">
        <v>147.84</v>
      </c>
      <c r="AN216" t="s">
        <v>2000</v>
      </c>
      <c r="AO216">
        <v>25000</v>
      </c>
      <c r="AU216">
        <v>0</v>
      </c>
      <c r="AW216" t="s">
        <v>2052</v>
      </c>
      <c r="AX216" t="s">
        <v>2079</v>
      </c>
    </row>
    <row r="217" spans="1:50">
      <c r="A217" s="1">
        <f>HYPERLINK("https://lsnyc.legalserver.org/matter/dynamic-profile/view/1902340","19-1902340")</f>
        <v>0</v>
      </c>
      <c r="B217" t="s">
        <v>55</v>
      </c>
      <c r="C217" t="s">
        <v>118</v>
      </c>
      <c r="D217" t="s">
        <v>131</v>
      </c>
      <c r="F217" t="s">
        <v>311</v>
      </c>
      <c r="G217" t="s">
        <v>679</v>
      </c>
      <c r="H217" t="s">
        <v>923</v>
      </c>
      <c r="I217" t="s">
        <v>1116</v>
      </c>
      <c r="J217" t="s">
        <v>1159</v>
      </c>
      <c r="K217">
        <v>10452</v>
      </c>
      <c r="L217" t="s">
        <v>1175</v>
      </c>
      <c r="M217" t="s">
        <v>1177</v>
      </c>
      <c r="N217" t="s">
        <v>1228</v>
      </c>
      <c r="O217" t="s">
        <v>1282</v>
      </c>
      <c r="P217" t="s">
        <v>1299</v>
      </c>
      <c r="R217" t="s">
        <v>1311</v>
      </c>
      <c r="U217" t="s">
        <v>1313</v>
      </c>
      <c r="W217" t="s">
        <v>1325</v>
      </c>
      <c r="X217">
        <v>1329</v>
      </c>
      <c r="Y217" t="s">
        <v>1328</v>
      </c>
      <c r="Z217" t="s">
        <v>1338</v>
      </c>
      <c r="AB217" t="s">
        <v>1560</v>
      </c>
      <c r="AD217" t="s">
        <v>1881</v>
      </c>
      <c r="AE217">
        <v>120</v>
      </c>
      <c r="AF217" t="s">
        <v>1984</v>
      </c>
      <c r="AG217" t="s">
        <v>1255</v>
      </c>
      <c r="AH217">
        <v>7</v>
      </c>
      <c r="AI217">
        <v>2</v>
      </c>
      <c r="AJ217">
        <v>0</v>
      </c>
      <c r="AK217">
        <v>147.84</v>
      </c>
      <c r="AN217" t="s">
        <v>1998</v>
      </c>
      <c r="AO217">
        <v>25000</v>
      </c>
      <c r="AU217">
        <v>1.5</v>
      </c>
      <c r="AV217" t="s">
        <v>160</v>
      </c>
      <c r="AW217" t="s">
        <v>55</v>
      </c>
      <c r="AX217" t="s">
        <v>2079</v>
      </c>
    </row>
    <row r="218" spans="1:50">
      <c r="A218" s="1">
        <f>HYPERLINK("https://lsnyc.legalserver.org/matter/dynamic-profile/view/1899947","19-1899947")</f>
        <v>0</v>
      </c>
      <c r="B218" t="s">
        <v>52</v>
      </c>
      <c r="C218" t="s">
        <v>118</v>
      </c>
      <c r="D218" t="s">
        <v>138</v>
      </c>
      <c r="F218" t="s">
        <v>227</v>
      </c>
      <c r="G218" t="s">
        <v>625</v>
      </c>
      <c r="H218" t="s">
        <v>774</v>
      </c>
      <c r="I218" t="s">
        <v>1117</v>
      </c>
      <c r="J218" t="s">
        <v>1159</v>
      </c>
      <c r="K218">
        <v>10460</v>
      </c>
      <c r="L218" t="s">
        <v>1175</v>
      </c>
      <c r="M218" t="s">
        <v>1177</v>
      </c>
      <c r="O218" t="s">
        <v>1282</v>
      </c>
      <c r="P218" t="s">
        <v>1301</v>
      </c>
      <c r="R218" t="s">
        <v>1311</v>
      </c>
      <c r="S218" t="s">
        <v>1175</v>
      </c>
      <c r="U218" t="s">
        <v>1313</v>
      </c>
      <c r="W218" t="s">
        <v>1325</v>
      </c>
      <c r="X218">
        <v>960</v>
      </c>
      <c r="Y218" t="s">
        <v>1328</v>
      </c>
      <c r="Z218" t="s">
        <v>1336</v>
      </c>
      <c r="AB218" t="s">
        <v>1561</v>
      </c>
      <c r="AD218" t="s">
        <v>1882</v>
      </c>
      <c r="AE218">
        <v>168</v>
      </c>
      <c r="AF218" t="s">
        <v>1974</v>
      </c>
      <c r="AG218" t="s">
        <v>1255</v>
      </c>
      <c r="AH218">
        <v>25</v>
      </c>
      <c r="AI218">
        <v>2</v>
      </c>
      <c r="AJ218">
        <v>0</v>
      </c>
      <c r="AK218">
        <v>149.88</v>
      </c>
      <c r="AN218" t="s">
        <v>2000</v>
      </c>
      <c r="AO218">
        <v>25344</v>
      </c>
      <c r="AU218">
        <v>0</v>
      </c>
      <c r="AW218" t="s">
        <v>112</v>
      </c>
      <c r="AX218" t="s">
        <v>2079</v>
      </c>
    </row>
    <row r="219" spans="1:50">
      <c r="A219" s="1">
        <f>HYPERLINK("https://lsnyc.legalserver.org/matter/dynamic-profile/view/1903424","19-1903424")</f>
        <v>0</v>
      </c>
      <c r="B219" t="s">
        <v>70</v>
      </c>
      <c r="C219" t="s">
        <v>118</v>
      </c>
      <c r="D219" t="s">
        <v>123</v>
      </c>
      <c r="F219" t="s">
        <v>404</v>
      </c>
      <c r="G219" t="s">
        <v>607</v>
      </c>
      <c r="H219" t="s">
        <v>924</v>
      </c>
      <c r="I219" t="s">
        <v>1012</v>
      </c>
      <c r="J219" t="s">
        <v>1169</v>
      </c>
      <c r="K219">
        <v>11435</v>
      </c>
      <c r="L219" t="s">
        <v>1175</v>
      </c>
      <c r="M219" t="s">
        <v>1177</v>
      </c>
      <c r="N219" t="s">
        <v>1253</v>
      </c>
      <c r="O219" t="s">
        <v>1284</v>
      </c>
      <c r="P219" t="s">
        <v>1298</v>
      </c>
      <c r="R219" t="s">
        <v>1311</v>
      </c>
      <c r="S219" t="s">
        <v>1176</v>
      </c>
      <c r="U219" t="s">
        <v>1313</v>
      </c>
      <c r="V219" t="s">
        <v>1321</v>
      </c>
      <c r="W219" t="s">
        <v>123</v>
      </c>
      <c r="X219">
        <v>1100</v>
      </c>
      <c r="Y219" t="s">
        <v>1327</v>
      </c>
      <c r="Z219" t="s">
        <v>1332</v>
      </c>
      <c r="AB219" t="s">
        <v>1562</v>
      </c>
      <c r="AC219" t="s">
        <v>1711</v>
      </c>
      <c r="AD219" t="s">
        <v>1883</v>
      </c>
      <c r="AE219">
        <v>2</v>
      </c>
      <c r="AF219" t="s">
        <v>1973</v>
      </c>
      <c r="AG219" t="s">
        <v>1255</v>
      </c>
      <c r="AH219">
        <v>6</v>
      </c>
      <c r="AI219">
        <v>1</v>
      </c>
      <c r="AJ219">
        <v>2</v>
      </c>
      <c r="AK219">
        <v>150.02</v>
      </c>
      <c r="AN219" t="s">
        <v>2000</v>
      </c>
      <c r="AO219">
        <v>32000</v>
      </c>
      <c r="AU219">
        <v>3.65</v>
      </c>
      <c r="AV219" t="s">
        <v>221</v>
      </c>
      <c r="AW219" t="s">
        <v>2061</v>
      </c>
      <c r="AX219" t="s">
        <v>2079</v>
      </c>
    </row>
    <row r="220" spans="1:50">
      <c r="A220" s="1">
        <f>HYPERLINK("https://lsnyc.legalserver.org/matter/dynamic-profile/view/1902775","19-1902775")</f>
        <v>0</v>
      </c>
      <c r="B220" t="s">
        <v>89</v>
      </c>
      <c r="C220" t="s">
        <v>118</v>
      </c>
      <c r="D220" t="s">
        <v>120</v>
      </c>
      <c r="F220" t="s">
        <v>405</v>
      </c>
      <c r="G220" t="s">
        <v>680</v>
      </c>
      <c r="H220" t="s">
        <v>925</v>
      </c>
      <c r="I220" t="s">
        <v>1044</v>
      </c>
      <c r="J220" t="s">
        <v>1162</v>
      </c>
      <c r="K220">
        <v>11203</v>
      </c>
      <c r="L220" t="s">
        <v>1175</v>
      </c>
      <c r="M220" t="s">
        <v>1177</v>
      </c>
      <c r="O220" t="s">
        <v>1284</v>
      </c>
      <c r="P220" t="s">
        <v>1299</v>
      </c>
      <c r="R220" t="s">
        <v>1311</v>
      </c>
      <c r="S220" t="s">
        <v>1176</v>
      </c>
      <c r="U220" t="s">
        <v>1313</v>
      </c>
      <c r="W220" t="s">
        <v>120</v>
      </c>
      <c r="X220">
        <v>0</v>
      </c>
      <c r="Y220" t="s">
        <v>1331</v>
      </c>
      <c r="AB220" t="s">
        <v>1563</v>
      </c>
      <c r="AD220" t="s">
        <v>1884</v>
      </c>
      <c r="AE220">
        <v>0</v>
      </c>
      <c r="AH220">
        <v>0</v>
      </c>
      <c r="AI220">
        <v>2</v>
      </c>
      <c r="AJ220">
        <v>0</v>
      </c>
      <c r="AK220">
        <v>152.57</v>
      </c>
      <c r="AN220" t="s">
        <v>1998</v>
      </c>
      <c r="AO220">
        <v>25800</v>
      </c>
      <c r="AU220">
        <v>0.4</v>
      </c>
      <c r="AV220" t="s">
        <v>120</v>
      </c>
      <c r="AW220" t="s">
        <v>92</v>
      </c>
    </row>
    <row r="221" spans="1:50">
      <c r="A221" s="1">
        <f>HYPERLINK("https://lsnyc.legalserver.org/matter/dynamic-profile/view/1901820","19-1901820")</f>
        <v>0</v>
      </c>
      <c r="B221" t="s">
        <v>87</v>
      </c>
      <c r="C221" t="s">
        <v>118</v>
      </c>
      <c r="D221" t="s">
        <v>142</v>
      </c>
      <c r="F221" t="s">
        <v>406</v>
      </c>
      <c r="G221" t="s">
        <v>618</v>
      </c>
      <c r="H221" t="s">
        <v>926</v>
      </c>
      <c r="I221" t="s">
        <v>1021</v>
      </c>
      <c r="J221" t="s">
        <v>1159</v>
      </c>
      <c r="K221">
        <v>10452</v>
      </c>
      <c r="L221" t="s">
        <v>1175</v>
      </c>
      <c r="M221" t="s">
        <v>1177</v>
      </c>
      <c r="O221" t="s">
        <v>1282</v>
      </c>
      <c r="P221" t="s">
        <v>1299</v>
      </c>
      <c r="R221" t="s">
        <v>1311</v>
      </c>
      <c r="S221" t="s">
        <v>1176</v>
      </c>
      <c r="U221" t="s">
        <v>1313</v>
      </c>
      <c r="W221" t="s">
        <v>1325</v>
      </c>
      <c r="X221">
        <v>937.48</v>
      </c>
      <c r="Y221" t="s">
        <v>1328</v>
      </c>
      <c r="Z221" t="s">
        <v>1336</v>
      </c>
      <c r="AB221" t="s">
        <v>1564</v>
      </c>
      <c r="AE221">
        <v>59</v>
      </c>
      <c r="AF221" t="s">
        <v>1974</v>
      </c>
      <c r="AG221" t="s">
        <v>1987</v>
      </c>
      <c r="AH221">
        <v>20</v>
      </c>
      <c r="AI221">
        <v>1</v>
      </c>
      <c r="AJ221">
        <v>0</v>
      </c>
      <c r="AK221">
        <v>152.84</v>
      </c>
      <c r="AN221" t="s">
        <v>1998</v>
      </c>
      <c r="AO221">
        <v>19089.6</v>
      </c>
      <c r="AU221">
        <v>0</v>
      </c>
      <c r="AW221" t="s">
        <v>87</v>
      </c>
      <c r="AX221" t="s">
        <v>2080</v>
      </c>
    </row>
    <row r="222" spans="1:50">
      <c r="A222" s="1">
        <f>HYPERLINK("https://lsnyc.legalserver.org/matter/dynamic-profile/view/1902469","19-1902469")</f>
        <v>0</v>
      </c>
      <c r="B222" t="s">
        <v>90</v>
      </c>
      <c r="C222" t="s">
        <v>119</v>
      </c>
      <c r="D222" t="s">
        <v>164</v>
      </c>
      <c r="E222" t="s">
        <v>160</v>
      </c>
      <c r="F222" t="s">
        <v>407</v>
      </c>
      <c r="G222" t="s">
        <v>681</v>
      </c>
      <c r="H222" t="s">
        <v>927</v>
      </c>
      <c r="I222">
        <v>152</v>
      </c>
      <c r="J222" t="s">
        <v>1161</v>
      </c>
      <c r="K222">
        <v>10044</v>
      </c>
      <c r="L222" t="s">
        <v>1175</v>
      </c>
      <c r="M222" t="s">
        <v>1177</v>
      </c>
      <c r="N222" t="s">
        <v>1254</v>
      </c>
      <c r="O222" t="s">
        <v>1281</v>
      </c>
      <c r="P222" t="s">
        <v>1299</v>
      </c>
      <c r="Q222" t="s">
        <v>1305</v>
      </c>
      <c r="R222" t="s">
        <v>1311</v>
      </c>
      <c r="S222" t="s">
        <v>1176</v>
      </c>
      <c r="U222" t="s">
        <v>1313</v>
      </c>
      <c r="V222" t="s">
        <v>1322</v>
      </c>
      <c r="W222" t="s">
        <v>164</v>
      </c>
      <c r="X222">
        <v>1127</v>
      </c>
      <c r="Y222" t="s">
        <v>1330</v>
      </c>
      <c r="Z222" t="s">
        <v>1332</v>
      </c>
      <c r="AA222" t="s">
        <v>1346</v>
      </c>
      <c r="AB222" t="s">
        <v>1565</v>
      </c>
      <c r="AD222" t="s">
        <v>1885</v>
      </c>
      <c r="AE222">
        <v>0</v>
      </c>
      <c r="AF222" t="s">
        <v>1683</v>
      </c>
      <c r="AG222" t="s">
        <v>1985</v>
      </c>
      <c r="AH222">
        <v>10</v>
      </c>
      <c r="AI222">
        <v>1</v>
      </c>
      <c r="AJ222">
        <v>2</v>
      </c>
      <c r="AK222">
        <v>153.25</v>
      </c>
      <c r="AN222" t="s">
        <v>1998</v>
      </c>
      <c r="AO222">
        <v>32688</v>
      </c>
      <c r="AU222">
        <v>1</v>
      </c>
      <c r="AV222" t="s">
        <v>164</v>
      </c>
      <c r="AW222" t="s">
        <v>2073</v>
      </c>
      <c r="AX222" t="s">
        <v>2079</v>
      </c>
    </row>
    <row r="223" spans="1:50">
      <c r="A223" s="1">
        <f>HYPERLINK("https://lsnyc.legalserver.org/matter/dynamic-profile/view/1900604","19-1900604")</f>
        <v>0</v>
      </c>
      <c r="B223" t="s">
        <v>52</v>
      </c>
      <c r="C223" t="s">
        <v>118</v>
      </c>
      <c r="D223" t="s">
        <v>124</v>
      </c>
      <c r="F223" t="s">
        <v>408</v>
      </c>
      <c r="G223" t="s">
        <v>682</v>
      </c>
      <c r="H223" t="s">
        <v>774</v>
      </c>
      <c r="I223" t="s">
        <v>1118</v>
      </c>
      <c r="J223" t="s">
        <v>1159</v>
      </c>
      <c r="K223">
        <v>10460</v>
      </c>
      <c r="L223" t="s">
        <v>1175</v>
      </c>
      <c r="M223" t="s">
        <v>1177</v>
      </c>
      <c r="O223" t="s">
        <v>1282</v>
      </c>
      <c r="P223" t="s">
        <v>1301</v>
      </c>
      <c r="R223" t="s">
        <v>1311</v>
      </c>
      <c r="S223" t="s">
        <v>1175</v>
      </c>
      <c r="U223" t="s">
        <v>1313</v>
      </c>
      <c r="W223" t="s">
        <v>1325</v>
      </c>
      <c r="X223">
        <v>970</v>
      </c>
      <c r="Y223" t="s">
        <v>1328</v>
      </c>
      <c r="Z223" t="s">
        <v>1336</v>
      </c>
      <c r="AB223" t="s">
        <v>1566</v>
      </c>
      <c r="AD223" t="s">
        <v>1886</v>
      </c>
      <c r="AE223">
        <v>168</v>
      </c>
      <c r="AF223" t="s">
        <v>1974</v>
      </c>
      <c r="AG223" t="s">
        <v>1255</v>
      </c>
      <c r="AH223">
        <v>11</v>
      </c>
      <c r="AI223">
        <v>1</v>
      </c>
      <c r="AJ223">
        <v>1</v>
      </c>
      <c r="AK223">
        <v>153.45</v>
      </c>
      <c r="AN223" t="s">
        <v>1998</v>
      </c>
      <c r="AO223">
        <v>25948</v>
      </c>
      <c r="AU223">
        <v>0</v>
      </c>
      <c r="AW223" t="s">
        <v>2052</v>
      </c>
      <c r="AX223" t="s">
        <v>2079</v>
      </c>
    </row>
    <row r="224" spans="1:50">
      <c r="A224" s="1">
        <f>HYPERLINK("https://lsnyc.legalserver.org/matter/dynamic-profile/view/1889928","19-1889928")</f>
        <v>0</v>
      </c>
      <c r="B224" t="s">
        <v>52</v>
      </c>
      <c r="C224" t="s">
        <v>118</v>
      </c>
      <c r="D224" t="s">
        <v>144</v>
      </c>
      <c r="F224" t="s">
        <v>408</v>
      </c>
      <c r="G224" t="s">
        <v>682</v>
      </c>
      <c r="H224" t="s">
        <v>774</v>
      </c>
      <c r="I224" t="s">
        <v>1118</v>
      </c>
      <c r="J224" t="s">
        <v>1159</v>
      </c>
      <c r="K224">
        <v>10460</v>
      </c>
      <c r="L224" t="s">
        <v>1177</v>
      </c>
      <c r="M224" t="s">
        <v>1177</v>
      </c>
      <c r="O224" t="s">
        <v>1281</v>
      </c>
      <c r="P224" t="s">
        <v>1298</v>
      </c>
      <c r="R224" t="s">
        <v>1311</v>
      </c>
      <c r="S224" t="s">
        <v>1176</v>
      </c>
      <c r="U224" t="s">
        <v>1313</v>
      </c>
      <c r="V224" t="s">
        <v>1321</v>
      </c>
      <c r="W224" t="s">
        <v>1325</v>
      </c>
      <c r="X224">
        <v>970</v>
      </c>
      <c r="Y224" t="s">
        <v>1328</v>
      </c>
      <c r="Z224" t="s">
        <v>1335</v>
      </c>
      <c r="AB224" t="s">
        <v>1566</v>
      </c>
      <c r="AD224" t="s">
        <v>1886</v>
      </c>
      <c r="AE224">
        <v>168</v>
      </c>
      <c r="AF224" t="s">
        <v>1974</v>
      </c>
      <c r="AG224" t="s">
        <v>1255</v>
      </c>
      <c r="AH224">
        <v>11</v>
      </c>
      <c r="AI224">
        <v>1</v>
      </c>
      <c r="AJ224">
        <v>1</v>
      </c>
      <c r="AK224">
        <v>153.45</v>
      </c>
      <c r="AN224" t="s">
        <v>1998</v>
      </c>
      <c r="AO224">
        <v>25948</v>
      </c>
      <c r="AP224" t="s">
        <v>2018</v>
      </c>
      <c r="AU224">
        <v>8.300000000000001</v>
      </c>
      <c r="AV224" t="s">
        <v>167</v>
      </c>
      <c r="AW224" t="s">
        <v>2063</v>
      </c>
    </row>
    <row r="225" spans="1:50">
      <c r="A225" s="1">
        <f>HYPERLINK("https://lsnyc.legalserver.org/matter/dynamic-profile/view/1901440","19-1901440")</f>
        <v>0</v>
      </c>
      <c r="B225" t="s">
        <v>93</v>
      </c>
      <c r="C225" t="s">
        <v>118</v>
      </c>
      <c r="D225" t="s">
        <v>148</v>
      </c>
      <c r="F225" t="s">
        <v>262</v>
      </c>
      <c r="G225" t="s">
        <v>683</v>
      </c>
      <c r="H225" t="s">
        <v>928</v>
      </c>
      <c r="I225" t="s">
        <v>1036</v>
      </c>
      <c r="J225" t="s">
        <v>1161</v>
      </c>
      <c r="K225">
        <v>10034</v>
      </c>
      <c r="L225" t="s">
        <v>1175</v>
      </c>
      <c r="M225" t="s">
        <v>1177</v>
      </c>
      <c r="O225" t="s">
        <v>1291</v>
      </c>
      <c r="P225" t="s">
        <v>1303</v>
      </c>
      <c r="R225" t="s">
        <v>1311</v>
      </c>
      <c r="S225" t="s">
        <v>1176</v>
      </c>
      <c r="U225" t="s">
        <v>1313</v>
      </c>
      <c r="W225" t="s">
        <v>148</v>
      </c>
      <c r="X225">
        <v>822.39</v>
      </c>
      <c r="Y225" t="s">
        <v>1330</v>
      </c>
      <c r="Z225" t="s">
        <v>1338</v>
      </c>
      <c r="AB225" t="s">
        <v>1567</v>
      </c>
      <c r="AD225" t="s">
        <v>1887</v>
      </c>
      <c r="AE225">
        <v>43</v>
      </c>
      <c r="AF225" t="s">
        <v>1974</v>
      </c>
      <c r="AG225" t="s">
        <v>1255</v>
      </c>
      <c r="AH225">
        <v>3</v>
      </c>
      <c r="AI225">
        <v>1</v>
      </c>
      <c r="AJ225">
        <v>0</v>
      </c>
      <c r="AK225">
        <v>153.72</v>
      </c>
      <c r="AN225" t="s">
        <v>2000</v>
      </c>
      <c r="AO225">
        <v>19200</v>
      </c>
      <c r="AU225">
        <v>2.45</v>
      </c>
      <c r="AV225" t="s">
        <v>152</v>
      </c>
      <c r="AW225" t="s">
        <v>2057</v>
      </c>
      <c r="AX225" t="s">
        <v>2079</v>
      </c>
    </row>
    <row r="226" spans="1:50">
      <c r="A226" s="1">
        <f>HYPERLINK("https://lsnyc.legalserver.org/matter/dynamic-profile/view/1901481","19-1901481")</f>
        <v>0</v>
      </c>
      <c r="B226" t="s">
        <v>57</v>
      </c>
      <c r="C226" t="s">
        <v>118</v>
      </c>
      <c r="D226" t="s">
        <v>148</v>
      </c>
      <c r="F226" t="s">
        <v>235</v>
      </c>
      <c r="G226" t="s">
        <v>684</v>
      </c>
      <c r="H226" t="s">
        <v>929</v>
      </c>
      <c r="I226">
        <v>315</v>
      </c>
      <c r="J226" t="s">
        <v>1159</v>
      </c>
      <c r="K226">
        <v>10457</v>
      </c>
      <c r="L226" t="s">
        <v>1175</v>
      </c>
      <c r="M226" t="s">
        <v>1177</v>
      </c>
      <c r="O226" t="s">
        <v>1282</v>
      </c>
      <c r="P226" t="s">
        <v>1302</v>
      </c>
      <c r="R226" t="s">
        <v>1311</v>
      </c>
      <c r="S226" t="s">
        <v>1176</v>
      </c>
      <c r="U226" t="s">
        <v>1313</v>
      </c>
      <c r="W226" t="s">
        <v>1325</v>
      </c>
      <c r="X226">
        <v>1257</v>
      </c>
      <c r="Y226" t="s">
        <v>1328</v>
      </c>
      <c r="Z226" t="s">
        <v>1336</v>
      </c>
      <c r="AB226" t="s">
        <v>1568</v>
      </c>
      <c r="AE226">
        <v>0</v>
      </c>
      <c r="AF226" t="s">
        <v>1974</v>
      </c>
      <c r="AG226" t="s">
        <v>1255</v>
      </c>
      <c r="AH226">
        <v>8</v>
      </c>
      <c r="AI226">
        <v>1</v>
      </c>
      <c r="AJ226">
        <v>1</v>
      </c>
      <c r="AK226">
        <v>153.76</v>
      </c>
      <c r="AN226" t="s">
        <v>2000</v>
      </c>
      <c r="AO226">
        <v>26000</v>
      </c>
      <c r="AU226">
        <v>1</v>
      </c>
      <c r="AV226" t="s">
        <v>125</v>
      </c>
      <c r="AW226" t="s">
        <v>57</v>
      </c>
      <c r="AX226" t="s">
        <v>2079</v>
      </c>
    </row>
    <row r="227" spans="1:50">
      <c r="A227" s="1">
        <f>HYPERLINK("https://lsnyc.legalserver.org/matter/dynamic-profile/view/1901604","19-1901604")</f>
        <v>0</v>
      </c>
      <c r="B227" t="s">
        <v>53</v>
      </c>
      <c r="C227" t="s">
        <v>119</v>
      </c>
      <c r="D227" t="s">
        <v>125</v>
      </c>
      <c r="E227" t="s">
        <v>142</v>
      </c>
      <c r="F227" t="s">
        <v>409</v>
      </c>
      <c r="G227" t="s">
        <v>536</v>
      </c>
      <c r="H227" t="s">
        <v>930</v>
      </c>
      <c r="I227" t="s">
        <v>1119</v>
      </c>
      <c r="J227" t="s">
        <v>1159</v>
      </c>
      <c r="K227">
        <v>10460</v>
      </c>
      <c r="L227" t="s">
        <v>1175</v>
      </c>
      <c r="M227" t="s">
        <v>1177</v>
      </c>
      <c r="N227" t="s">
        <v>1180</v>
      </c>
      <c r="P227" t="s">
        <v>1299</v>
      </c>
      <c r="Q227" t="s">
        <v>1305</v>
      </c>
      <c r="R227" t="s">
        <v>1311</v>
      </c>
      <c r="S227" t="s">
        <v>1176</v>
      </c>
      <c r="U227" t="s">
        <v>1313</v>
      </c>
      <c r="W227" t="s">
        <v>1325</v>
      </c>
      <c r="X227">
        <v>1060</v>
      </c>
      <c r="Y227" t="s">
        <v>1328</v>
      </c>
      <c r="Z227" t="s">
        <v>1336</v>
      </c>
      <c r="AA227" t="s">
        <v>1346</v>
      </c>
      <c r="AB227" t="s">
        <v>1569</v>
      </c>
      <c r="AD227" t="s">
        <v>1888</v>
      </c>
      <c r="AE227">
        <v>102</v>
      </c>
      <c r="AF227" t="s">
        <v>1974</v>
      </c>
      <c r="AG227" t="s">
        <v>1985</v>
      </c>
      <c r="AH227">
        <v>30</v>
      </c>
      <c r="AI227">
        <v>3</v>
      </c>
      <c r="AJ227">
        <v>1</v>
      </c>
      <c r="AK227">
        <v>153.93</v>
      </c>
      <c r="AN227" t="s">
        <v>1998</v>
      </c>
      <c r="AO227">
        <v>39636</v>
      </c>
      <c r="AU227">
        <v>0.5</v>
      </c>
      <c r="AV227" t="s">
        <v>142</v>
      </c>
      <c r="AW227" t="s">
        <v>2053</v>
      </c>
      <c r="AX227" t="s">
        <v>2079</v>
      </c>
    </row>
    <row r="228" spans="1:50">
      <c r="A228" s="1">
        <f>HYPERLINK("https://lsnyc.legalserver.org/matter/dynamic-profile/view/1880078","18-1880078")</f>
        <v>0</v>
      </c>
      <c r="B228" t="s">
        <v>81</v>
      </c>
      <c r="C228" t="s">
        <v>118</v>
      </c>
      <c r="D228" t="s">
        <v>198</v>
      </c>
      <c r="F228" t="s">
        <v>240</v>
      </c>
      <c r="G228" t="s">
        <v>685</v>
      </c>
      <c r="H228" t="s">
        <v>931</v>
      </c>
      <c r="I228" t="s">
        <v>1048</v>
      </c>
      <c r="J228" t="s">
        <v>1162</v>
      </c>
      <c r="K228">
        <v>11225</v>
      </c>
      <c r="L228" t="s">
        <v>1175</v>
      </c>
      <c r="M228" t="s">
        <v>1175</v>
      </c>
      <c r="R228" t="s">
        <v>1311</v>
      </c>
      <c r="U228" t="s">
        <v>1313</v>
      </c>
      <c r="W228" t="s">
        <v>1326</v>
      </c>
      <c r="X228">
        <v>813.54</v>
      </c>
      <c r="Y228" t="s">
        <v>1331</v>
      </c>
      <c r="AB228" t="s">
        <v>1570</v>
      </c>
      <c r="AD228" t="s">
        <v>1889</v>
      </c>
      <c r="AE228">
        <v>8</v>
      </c>
      <c r="AH228">
        <v>26</v>
      </c>
      <c r="AI228">
        <v>3</v>
      </c>
      <c r="AJ228">
        <v>0</v>
      </c>
      <c r="AK228">
        <v>153.99</v>
      </c>
      <c r="AN228" t="s">
        <v>1998</v>
      </c>
      <c r="AO228">
        <v>32000</v>
      </c>
      <c r="AU228">
        <v>2.3</v>
      </c>
      <c r="AV228" t="s">
        <v>2046</v>
      </c>
      <c r="AW228" t="s">
        <v>2077</v>
      </c>
      <c r="AX228" t="s">
        <v>2079</v>
      </c>
    </row>
    <row r="229" spans="1:50">
      <c r="A229" s="1">
        <f>HYPERLINK("https://lsnyc.legalserver.org/matter/dynamic-profile/view/1904076","19-1904076")</f>
        <v>0</v>
      </c>
      <c r="B229" t="s">
        <v>80</v>
      </c>
      <c r="C229" t="s">
        <v>118</v>
      </c>
      <c r="D229" t="s">
        <v>157</v>
      </c>
      <c r="F229" t="s">
        <v>410</v>
      </c>
      <c r="G229" t="s">
        <v>523</v>
      </c>
      <c r="H229" t="s">
        <v>932</v>
      </c>
      <c r="I229" t="s">
        <v>1048</v>
      </c>
      <c r="J229" t="s">
        <v>1159</v>
      </c>
      <c r="K229">
        <v>10452</v>
      </c>
      <c r="L229" t="s">
        <v>1175</v>
      </c>
      <c r="M229" t="s">
        <v>1177</v>
      </c>
      <c r="O229" t="s">
        <v>1282</v>
      </c>
      <c r="P229" t="s">
        <v>1302</v>
      </c>
      <c r="R229" t="s">
        <v>1311</v>
      </c>
      <c r="S229" t="s">
        <v>1176</v>
      </c>
      <c r="U229" t="s">
        <v>1313</v>
      </c>
      <c r="W229" t="s">
        <v>1325</v>
      </c>
      <c r="X229">
        <v>1637.27</v>
      </c>
      <c r="Y229" t="s">
        <v>1328</v>
      </c>
      <c r="Z229" t="s">
        <v>1336</v>
      </c>
      <c r="AB229" t="s">
        <v>1571</v>
      </c>
      <c r="AD229" t="s">
        <v>1890</v>
      </c>
      <c r="AE229">
        <v>0</v>
      </c>
      <c r="AF229" t="s">
        <v>1974</v>
      </c>
      <c r="AG229" t="s">
        <v>1255</v>
      </c>
      <c r="AH229">
        <v>11</v>
      </c>
      <c r="AI229">
        <v>3</v>
      </c>
      <c r="AJ229">
        <v>0</v>
      </c>
      <c r="AK229">
        <v>154.71</v>
      </c>
      <c r="AN229" t="s">
        <v>2000</v>
      </c>
      <c r="AO229">
        <v>33000</v>
      </c>
      <c r="AU229">
        <v>2.9</v>
      </c>
      <c r="AV229" t="s">
        <v>223</v>
      </c>
      <c r="AW229" t="s">
        <v>80</v>
      </c>
      <c r="AX229" t="s">
        <v>2079</v>
      </c>
    </row>
    <row r="230" spans="1:50">
      <c r="A230" s="1">
        <f>HYPERLINK("https://lsnyc.legalserver.org/matter/dynamic-profile/view/1902990","19-1902990")</f>
        <v>0</v>
      </c>
      <c r="B230" t="s">
        <v>70</v>
      </c>
      <c r="C230" t="s">
        <v>118</v>
      </c>
      <c r="D230" t="s">
        <v>185</v>
      </c>
      <c r="F230" t="s">
        <v>411</v>
      </c>
      <c r="G230" t="s">
        <v>686</v>
      </c>
      <c r="H230" t="s">
        <v>933</v>
      </c>
      <c r="I230" t="s">
        <v>1120</v>
      </c>
      <c r="J230" t="s">
        <v>1158</v>
      </c>
      <c r="K230">
        <v>11354</v>
      </c>
      <c r="L230" t="s">
        <v>1175</v>
      </c>
      <c r="M230" t="s">
        <v>1177</v>
      </c>
      <c r="N230" t="s">
        <v>1255</v>
      </c>
      <c r="O230" t="s">
        <v>1282</v>
      </c>
      <c r="P230" t="s">
        <v>1302</v>
      </c>
      <c r="R230" t="s">
        <v>1311</v>
      </c>
      <c r="S230" t="s">
        <v>1176</v>
      </c>
      <c r="U230" t="s">
        <v>1313</v>
      </c>
      <c r="V230" t="s">
        <v>1321</v>
      </c>
      <c r="W230" t="s">
        <v>120</v>
      </c>
      <c r="X230">
        <v>1658</v>
      </c>
      <c r="Y230" t="s">
        <v>1327</v>
      </c>
      <c r="Z230" t="s">
        <v>1332</v>
      </c>
      <c r="AB230" t="s">
        <v>1572</v>
      </c>
      <c r="AC230" t="s">
        <v>1255</v>
      </c>
      <c r="AD230" t="s">
        <v>1891</v>
      </c>
      <c r="AE230">
        <v>42</v>
      </c>
      <c r="AF230" t="s">
        <v>1973</v>
      </c>
      <c r="AG230" t="s">
        <v>1255</v>
      </c>
      <c r="AH230">
        <v>2</v>
      </c>
      <c r="AI230">
        <v>2</v>
      </c>
      <c r="AJ230">
        <v>0</v>
      </c>
      <c r="AK230">
        <v>156.12</v>
      </c>
      <c r="AN230" t="s">
        <v>1998</v>
      </c>
      <c r="AO230">
        <v>26400</v>
      </c>
      <c r="AR230" t="s">
        <v>1341</v>
      </c>
      <c r="AS230" t="s">
        <v>2035</v>
      </c>
      <c r="AT230" t="s">
        <v>2040</v>
      </c>
      <c r="AU230">
        <v>1.6</v>
      </c>
      <c r="AV230" t="s">
        <v>215</v>
      </c>
      <c r="AW230" t="s">
        <v>70</v>
      </c>
      <c r="AX230" t="s">
        <v>2079</v>
      </c>
    </row>
    <row r="231" spans="1:50">
      <c r="A231" s="1">
        <f>HYPERLINK("https://lsnyc.legalserver.org/matter/dynamic-profile/view/1902038","19-1902038")</f>
        <v>0</v>
      </c>
      <c r="B231" t="s">
        <v>61</v>
      </c>
      <c r="C231" t="s">
        <v>118</v>
      </c>
      <c r="D231" t="s">
        <v>132</v>
      </c>
      <c r="F231" t="s">
        <v>412</v>
      </c>
      <c r="G231" t="s">
        <v>536</v>
      </c>
      <c r="H231" t="s">
        <v>934</v>
      </c>
      <c r="I231" t="s">
        <v>1042</v>
      </c>
      <c r="J231" t="s">
        <v>1161</v>
      </c>
      <c r="K231">
        <v>10034</v>
      </c>
      <c r="L231" t="s">
        <v>1175</v>
      </c>
      <c r="M231" t="s">
        <v>1177</v>
      </c>
      <c r="O231" t="s">
        <v>1282</v>
      </c>
      <c r="P231" t="s">
        <v>1302</v>
      </c>
      <c r="R231" t="s">
        <v>1311</v>
      </c>
      <c r="S231" t="s">
        <v>1176</v>
      </c>
      <c r="U231" t="s">
        <v>1313</v>
      </c>
      <c r="W231" t="s">
        <v>132</v>
      </c>
      <c r="X231">
        <v>156</v>
      </c>
      <c r="Y231" t="s">
        <v>1330</v>
      </c>
      <c r="Z231" t="s">
        <v>1338</v>
      </c>
      <c r="AB231" t="s">
        <v>1573</v>
      </c>
      <c r="AD231" t="s">
        <v>1892</v>
      </c>
      <c r="AE231">
        <v>126</v>
      </c>
      <c r="AF231" t="s">
        <v>1974</v>
      </c>
      <c r="AG231" t="s">
        <v>1255</v>
      </c>
      <c r="AH231">
        <v>7</v>
      </c>
      <c r="AI231">
        <v>2</v>
      </c>
      <c r="AJ231">
        <v>1</v>
      </c>
      <c r="AK231">
        <v>157.69</v>
      </c>
      <c r="AN231" t="s">
        <v>1998</v>
      </c>
      <c r="AO231">
        <v>33636</v>
      </c>
      <c r="AU231">
        <v>9.800000000000001</v>
      </c>
      <c r="AV231" t="s">
        <v>216</v>
      </c>
      <c r="AW231" t="s">
        <v>2057</v>
      </c>
      <c r="AX231" t="s">
        <v>1255</v>
      </c>
    </row>
    <row r="232" spans="1:50">
      <c r="A232" s="1">
        <f>HYPERLINK("https://lsnyc.legalserver.org/matter/dynamic-profile/view/1899225","19-1899225")</f>
        <v>0</v>
      </c>
      <c r="B232" t="s">
        <v>106</v>
      </c>
      <c r="C232" t="s">
        <v>118</v>
      </c>
      <c r="D232" t="s">
        <v>199</v>
      </c>
      <c r="F232" t="s">
        <v>413</v>
      </c>
      <c r="G232" t="s">
        <v>687</v>
      </c>
      <c r="H232" t="s">
        <v>935</v>
      </c>
      <c r="I232" t="s">
        <v>1121</v>
      </c>
      <c r="J232" t="s">
        <v>1159</v>
      </c>
      <c r="K232">
        <v>10467</v>
      </c>
      <c r="L232" t="s">
        <v>1175</v>
      </c>
      <c r="M232" t="s">
        <v>1177</v>
      </c>
      <c r="O232" t="s">
        <v>1294</v>
      </c>
      <c r="P232" t="s">
        <v>1301</v>
      </c>
      <c r="R232" t="s">
        <v>1311</v>
      </c>
      <c r="S232" t="s">
        <v>1176</v>
      </c>
      <c r="U232" t="s">
        <v>1319</v>
      </c>
      <c r="W232" t="s">
        <v>1325</v>
      </c>
      <c r="X232">
        <v>1238.17</v>
      </c>
      <c r="Y232" t="s">
        <v>1328</v>
      </c>
      <c r="Z232" t="s">
        <v>1343</v>
      </c>
      <c r="AB232" t="s">
        <v>1574</v>
      </c>
      <c r="AD232" t="s">
        <v>1893</v>
      </c>
      <c r="AE232">
        <v>26</v>
      </c>
      <c r="AF232" t="s">
        <v>1974</v>
      </c>
      <c r="AG232" t="s">
        <v>1255</v>
      </c>
      <c r="AH232">
        <v>4</v>
      </c>
      <c r="AI232">
        <v>2</v>
      </c>
      <c r="AJ232">
        <v>0</v>
      </c>
      <c r="AK232">
        <v>158.58</v>
      </c>
      <c r="AN232" t="s">
        <v>1998</v>
      </c>
      <c r="AO232">
        <v>26816.52</v>
      </c>
      <c r="AP232" t="s">
        <v>2019</v>
      </c>
      <c r="AU232">
        <v>1</v>
      </c>
      <c r="AV232" t="s">
        <v>140</v>
      </c>
      <c r="AW232" t="s">
        <v>2063</v>
      </c>
      <c r="AX232" t="s">
        <v>2079</v>
      </c>
    </row>
    <row r="233" spans="1:50">
      <c r="A233" s="1">
        <f>HYPERLINK("https://lsnyc.legalserver.org/matter/dynamic-profile/view/1904446","19-1904446")</f>
        <v>0</v>
      </c>
      <c r="B233" t="s">
        <v>57</v>
      </c>
      <c r="C233" t="s">
        <v>118</v>
      </c>
      <c r="D233" t="s">
        <v>178</v>
      </c>
      <c r="F233" t="s">
        <v>414</v>
      </c>
      <c r="G233" t="s">
        <v>688</v>
      </c>
      <c r="H233" t="s">
        <v>774</v>
      </c>
      <c r="I233" t="s">
        <v>1047</v>
      </c>
      <c r="J233" t="s">
        <v>1159</v>
      </c>
      <c r="K233">
        <v>10460</v>
      </c>
      <c r="L233" t="s">
        <v>1175</v>
      </c>
      <c r="M233" t="s">
        <v>1177</v>
      </c>
      <c r="O233" t="s">
        <v>1282</v>
      </c>
      <c r="P233" t="s">
        <v>1301</v>
      </c>
      <c r="R233" t="s">
        <v>1311</v>
      </c>
      <c r="S233" t="s">
        <v>1175</v>
      </c>
      <c r="U233" t="s">
        <v>1313</v>
      </c>
      <c r="W233" t="s">
        <v>1325</v>
      </c>
      <c r="X233">
        <v>485</v>
      </c>
      <c r="Y233" t="s">
        <v>1328</v>
      </c>
      <c r="Z233" t="s">
        <v>1336</v>
      </c>
      <c r="AB233" t="s">
        <v>1575</v>
      </c>
      <c r="AD233" t="s">
        <v>1894</v>
      </c>
      <c r="AE233">
        <v>248</v>
      </c>
      <c r="AF233" t="s">
        <v>1974</v>
      </c>
      <c r="AG233" t="s">
        <v>1985</v>
      </c>
      <c r="AH233">
        <v>12</v>
      </c>
      <c r="AI233">
        <v>1</v>
      </c>
      <c r="AJ233">
        <v>1</v>
      </c>
      <c r="AK233">
        <v>159.91</v>
      </c>
      <c r="AN233" t="s">
        <v>1998</v>
      </c>
      <c r="AO233">
        <v>27040</v>
      </c>
      <c r="AU233">
        <v>0</v>
      </c>
      <c r="AW233" t="s">
        <v>57</v>
      </c>
      <c r="AX233" t="s">
        <v>2079</v>
      </c>
    </row>
    <row r="234" spans="1:50">
      <c r="A234" s="1">
        <f>HYPERLINK("https://lsnyc.legalserver.org/matter/dynamic-profile/view/1902749","19-1902749")</f>
        <v>0</v>
      </c>
      <c r="B234" t="s">
        <v>65</v>
      </c>
      <c r="C234" t="s">
        <v>119</v>
      </c>
      <c r="D234" t="s">
        <v>120</v>
      </c>
      <c r="E234" t="s">
        <v>120</v>
      </c>
      <c r="F234" t="s">
        <v>415</v>
      </c>
      <c r="G234" t="s">
        <v>689</v>
      </c>
      <c r="H234" t="s">
        <v>936</v>
      </c>
      <c r="J234" t="s">
        <v>1159</v>
      </c>
      <c r="K234">
        <v>10458</v>
      </c>
      <c r="L234" t="s">
        <v>1175</v>
      </c>
      <c r="M234" t="s">
        <v>1177</v>
      </c>
      <c r="N234" t="s">
        <v>1180</v>
      </c>
      <c r="O234" t="s">
        <v>1281</v>
      </c>
      <c r="P234" t="s">
        <v>1299</v>
      </c>
      <c r="Q234" t="s">
        <v>1305</v>
      </c>
      <c r="R234" t="s">
        <v>1311</v>
      </c>
      <c r="S234" t="s">
        <v>1176</v>
      </c>
      <c r="U234" t="s">
        <v>1313</v>
      </c>
      <c r="V234" t="s">
        <v>1321</v>
      </c>
      <c r="W234" t="s">
        <v>120</v>
      </c>
      <c r="X234">
        <v>1500</v>
      </c>
      <c r="Y234" t="s">
        <v>1328</v>
      </c>
      <c r="Z234" t="s">
        <v>1336</v>
      </c>
      <c r="AA234" t="s">
        <v>1346</v>
      </c>
      <c r="AB234" t="s">
        <v>1576</v>
      </c>
      <c r="AD234" t="s">
        <v>1895</v>
      </c>
      <c r="AE234">
        <v>0</v>
      </c>
      <c r="AF234" t="s">
        <v>1974</v>
      </c>
      <c r="AG234" t="s">
        <v>1255</v>
      </c>
      <c r="AH234">
        <v>2</v>
      </c>
      <c r="AI234">
        <v>1</v>
      </c>
      <c r="AJ234">
        <v>0</v>
      </c>
      <c r="AK234">
        <v>160.13</v>
      </c>
      <c r="AN234" t="s">
        <v>2000</v>
      </c>
      <c r="AO234">
        <v>20000</v>
      </c>
      <c r="AU234">
        <v>1</v>
      </c>
      <c r="AV234" t="s">
        <v>132</v>
      </c>
      <c r="AW234" t="s">
        <v>112</v>
      </c>
      <c r="AX234" t="s">
        <v>2079</v>
      </c>
    </row>
    <row r="235" spans="1:50">
      <c r="A235" s="1">
        <f>HYPERLINK("https://lsnyc.legalserver.org/matter/dynamic-profile/view/1902440","19-1902440")</f>
        <v>0</v>
      </c>
      <c r="B235" t="s">
        <v>61</v>
      </c>
      <c r="C235" t="s">
        <v>118</v>
      </c>
      <c r="D235" t="s">
        <v>164</v>
      </c>
      <c r="F235" t="s">
        <v>416</v>
      </c>
      <c r="G235" t="s">
        <v>690</v>
      </c>
      <c r="H235" t="s">
        <v>937</v>
      </c>
      <c r="I235" t="s">
        <v>1079</v>
      </c>
      <c r="J235" t="s">
        <v>1161</v>
      </c>
      <c r="K235">
        <v>10033</v>
      </c>
      <c r="L235" t="s">
        <v>1175</v>
      </c>
      <c r="M235" t="s">
        <v>1177</v>
      </c>
      <c r="O235" t="s">
        <v>1291</v>
      </c>
      <c r="P235" t="s">
        <v>1303</v>
      </c>
      <c r="R235" t="s">
        <v>1311</v>
      </c>
      <c r="S235" t="s">
        <v>1176</v>
      </c>
      <c r="U235" t="s">
        <v>1313</v>
      </c>
      <c r="W235" t="s">
        <v>164</v>
      </c>
      <c r="X235">
        <v>1595</v>
      </c>
      <c r="Y235" t="s">
        <v>1330</v>
      </c>
      <c r="Z235" t="s">
        <v>1338</v>
      </c>
      <c r="AB235" t="s">
        <v>1577</v>
      </c>
      <c r="AD235" t="s">
        <v>1896</v>
      </c>
      <c r="AE235">
        <v>43</v>
      </c>
      <c r="AF235" t="s">
        <v>1974</v>
      </c>
      <c r="AG235" t="s">
        <v>1255</v>
      </c>
      <c r="AH235">
        <v>1</v>
      </c>
      <c r="AI235">
        <v>1</v>
      </c>
      <c r="AJ235">
        <v>0</v>
      </c>
      <c r="AK235">
        <v>160.13</v>
      </c>
      <c r="AN235" t="s">
        <v>1998</v>
      </c>
      <c r="AO235">
        <v>20000</v>
      </c>
      <c r="AU235">
        <v>1.5</v>
      </c>
      <c r="AV235" t="s">
        <v>164</v>
      </c>
      <c r="AW235" t="s">
        <v>2057</v>
      </c>
      <c r="AX235" t="s">
        <v>2079</v>
      </c>
    </row>
    <row r="236" spans="1:50">
      <c r="A236" s="1">
        <f>HYPERLINK("https://lsnyc.legalserver.org/matter/dynamic-profile/view/1889730","19-1889730")</f>
        <v>0</v>
      </c>
      <c r="B236" t="s">
        <v>55</v>
      </c>
      <c r="C236" t="s">
        <v>118</v>
      </c>
      <c r="D236" t="s">
        <v>197</v>
      </c>
      <c r="F236" t="s">
        <v>417</v>
      </c>
      <c r="G236" t="s">
        <v>691</v>
      </c>
      <c r="H236" t="s">
        <v>938</v>
      </c>
      <c r="I236" t="s">
        <v>1053</v>
      </c>
      <c r="J236" t="s">
        <v>1159</v>
      </c>
      <c r="K236">
        <v>10453</v>
      </c>
      <c r="L236" t="s">
        <v>1175</v>
      </c>
      <c r="M236" t="s">
        <v>1177</v>
      </c>
      <c r="N236" t="s">
        <v>1256</v>
      </c>
      <c r="O236" t="s">
        <v>1281</v>
      </c>
      <c r="P236" t="s">
        <v>1298</v>
      </c>
      <c r="R236" t="s">
        <v>1311</v>
      </c>
      <c r="S236" t="s">
        <v>1176</v>
      </c>
      <c r="U236" t="s">
        <v>1313</v>
      </c>
      <c r="V236" t="s">
        <v>1320</v>
      </c>
      <c r="W236" t="s">
        <v>1325</v>
      </c>
      <c r="X236">
        <v>868</v>
      </c>
      <c r="Y236" t="s">
        <v>1328</v>
      </c>
      <c r="Z236" t="s">
        <v>1335</v>
      </c>
      <c r="AB236" t="s">
        <v>1578</v>
      </c>
      <c r="AC236" t="s">
        <v>1712</v>
      </c>
      <c r="AD236" t="s">
        <v>1897</v>
      </c>
      <c r="AE236">
        <v>87</v>
      </c>
      <c r="AF236" t="s">
        <v>1984</v>
      </c>
      <c r="AG236" t="s">
        <v>1255</v>
      </c>
      <c r="AH236">
        <v>15</v>
      </c>
      <c r="AI236">
        <v>2</v>
      </c>
      <c r="AJ236">
        <v>1</v>
      </c>
      <c r="AK236">
        <v>162.06</v>
      </c>
      <c r="AN236" t="s">
        <v>1998</v>
      </c>
      <c r="AO236">
        <v>34568</v>
      </c>
      <c r="AU236">
        <v>33.9</v>
      </c>
      <c r="AV236" t="s">
        <v>215</v>
      </c>
      <c r="AW236" t="s">
        <v>2063</v>
      </c>
      <c r="AX236" t="s">
        <v>2079</v>
      </c>
    </row>
    <row r="237" spans="1:50">
      <c r="A237" s="1">
        <f>HYPERLINK("https://lsnyc.legalserver.org/matter/dynamic-profile/view/1901723","19-1901723")</f>
        <v>0</v>
      </c>
      <c r="B237" t="s">
        <v>107</v>
      </c>
      <c r="C237" t="s">
        <v>118</v>
      </c>
      <c r="D237" t="s">
        <v>142</v>
      </c>
      <c r="F237" t="s">
        <v>389</v>
      </c>
      <c r="G237" t="s">
        <v>692</v>
      </c>
      <c r="H237" t="s">
        <v>939</v>
      </c>
      <c r="I237" t="s">
        <v>1122</v>
      </c>
      <c r="J237" t="s">
        <v>1162</v>
      </c>
      <c r="K237">
        <v>11208</v>
      </c>
      <c r="L237" t="s">
        <v>1175</v>
      </c>
      <c r="M237" t="s">
        <v>1177</v>
      </c>
      <c r="N237" t="s">
        <v>1257</v>
      </c>
      <c r="O237" t="s">
        <v>1281</v>
      </c>
      <c r="P237" t="s">
        <v>1298</v>
      </c>
      <c r="R237" t="s">
        <v>1311</v>
      </c>
      <c r="S237" t="s">
        <v>1176</v>
      </c>
      <c r="U237" t="s">
        <v>1313</v>
      </c>
      <c r="V237" t="s">
        <v>1321</v>
      </c>
      <c r="W237" t="s">
        <v>142</v>
      </c>
      <c r="X237">
        <v>875</v>
      </c>
      <c r="Y237" t="s">
        <v>1331</v>
      </c>
      <c r="Z237" t="s">
        <v>1335</v>
      </c>
      <c r="AB237" t="s">
        <v>1579</v>
      </c>
      <c r="AD237" t="s">
        <v>1898</v>
      </c>
      <c r="AE237">
        <v>322</v>
      </c>
      <c r="AF237" t="s">
        <v>1974</v>
      </c>
      <c r="AG237" t="s">
        <v>1255</v>
      </c>
      <c r="AH237">
        <v>6</v>
      </c>
      <c r="AI237">
        <v>1</v>
      </c>
      <c r="AJ237">
        <v>0</v>
      </c>
      <c r="AK237">
        <v>162.37</v>
      </c>
      <c r="AN237" t="s">
        <v>1998</v>
      </c>
      <c r="AO237">
        <v>20280</v>
      </c>
      <c r="AU237">
        <v>1.5</v>
      </c>
      <c r="AV237" t="s">
        <v>121</v>
      </c>
      <c r="AW237" t="s">
        <v>2058</v>
      </c>
      <c r="AX237" t="s">
        <v>2079</v>
      </c>
    </row>
    <row r="238" spans="1:50">
      <c r="A238" s="1">
        <f>HYPERLINK("https://lsnyc.legalserver.org/matter/dynamic-profile/view/1889877","19-1889877")</f>
        <v>0</v>
      </c>
      <c r="B238" t="s">
        <v>52</v>
      </c>
      <c r="C238" t="s">
        <v>118</v>
      </c>
      <c r="D238" t="s">
        <v>144</v>
      </c>
      <c r="F238" t="s">
        <v>418</v>
      </c>
      <c r="G238" t="s">
        <v>693</v>
      </c>
      <c r="H238" t="s">
        <v>774</v>
      </c>
      <c r="I238" t="s">
        <v>1123</v>
      </c>
      <c r="J238" t="s">
        <v>1159</v>
      </c>
      <c r="K238">
        <v>10460</v>
      </c>
      <c r="L238" t="s">
        <v>1175</v>
      </c>
      <c r="M238" t="s">
        <v>1177</v>
      </c>
      <c r="O238" t="s">
        <v>1281</v>
      </c>
      <c r="P238" t="s">
        <v>1298</v>
      </c>
      <c r="R238" t="s">
        <v>1311</v>
      </c>
      <c r="S238" t="s">
        <v>1176</v>
      </c>
      <c r="U238" t="s">
        <v>1313</v>
      </c>
      <c r="W238" t="s">
        <v>1325</v>
      </c>
      <c r="X238">
        <v>1967</v>
      </c>
      <c r="Y238" t="s">
        <v>1328</v>
      </c>
      <c r="Z238" t="s">
        <v>1335</v>
      </c>
      <c r="AB238" t="s">
        <v>1580</v>
      </c>
      <c r="AD238" t="s">
        <v>1899</v>
      </c>
      <c r="AE238">
        <v>169</v>
      </c>
      <c r="AF238" t="s">
        <v>1977</v>
      </c>
      <c r="AG238" t="s">
        <v>1985</v>
      </c>
      <c r="AH238">
        <v>3</v>
      </c>
      <c r="AI238">
        <v>2</v>
      </c>
      <c r="AJ238">
        <v>0</v>
      </c>
      <c r="AK238">
        <v>163.22</v>
      </c>
      <c r="AN238" t="s">
        <v>1998</v>
      </c>
      <c r="AO238">
        <v>27600</v>
      </c>
      <c r="AP238" t="s">
        <v>2020</v>
      </c>
      <c r="AU238">
        <v>41.5</v>
      </c>
      <c r="AV238" t="s">
        <v>2047</v>
      </c>
      <c r="AW238" t="s">
        <v>2063</v>
      </c>
      <c r="AX238" t="s">
        <v>2079</v>
      </c>
    </row>
    <row r="239" spans="1:50">
      <c r="A239" s="1">
        <f>HYPERLINK("https://lsnyc.legalserver.org/matter/dynamic-profile/view/1902423","19-1902423")</f>
        <v>0</v>
      </c>
      <c r="B239" t="s">
        <v>61</v>
      </c>
      <c r="C239" t="s">
        <v>119</v>
      </c>
      <c r="D239" t="s">
        <v>164</v>
      </c>
      <c r="E239" t="s">
        <v>157</v>
      </c>
      <c r="F239" t="s">
        <v>419</v>
      </c>
      <c r="G239" t="s">
        <v>694</v>
      </c>
      <c r="H239" t="s">
        <v>940</v>
      </c>
      <c r="I239" t="s">
        <v>1059</v>
      </c>
      <c r="J239" t="s">
        <v>1161</v>
      </c>
      <c r="K239">
        <v>10034</v>
      </c>
      <c r="L239" t="s">
        <v>1175</v>
      </c>
      <c r="M239" t="s">
        <v>1177</v>
      </c>
      <c r="O239" t="s">
        <v>1291</v>
      </c>
      <c r="P239" t="s">
        <v>1299</v>
      </c>
      <c r="Q239" t="s">
        <v>1305</v>
      </c>
      <c r="R239" t="s">
        <v>1311</v>
      </c>
      <c r="S239" t="s">
        <v>1176</v>
      </c>
      <c r="U239" t="s">
        <v>1313</v>
      </c>
      <c r="W239" t="s">
        <v>164</v>
      </c>
      <c r="X239">
        <v>660</v>
      </c>
      <c r="Y239" t="s">
        <v>1330</v>
      </c>
      <c r="Z239" t="s">
        <v>1338</v>
      </c>
      <c r="AA239" t="s">
        <v>1346</v>
      </c>
      <c r="AB239" t="s">
        <v>1581</v>
      </c>
      <c r="AD239" t="s">
        <v>1900</v>
      </c>
      <c r="AE239">
        <v>47</v>
      </c>
      <c r="AF239" t="s">
        <v>1974</v>
      </c>
      <c r="AG239" t="s">
        <v>1255</v>
      </c>
      <c r="AH239">
        <v>49</v>
      </c>
      <c r="AI239">
        <v>2</v>
      </c>
      <c r="AJ239">
        <v>0</v>
      </c>
      <c r="AK239">
        <v>163.22</v>
      </c>
      <c r="AN239" t="s">
        <v>1998</v>
      </c>
      <c r="AO239">
        <v>27600</v>
      </c>
      <c r="AU239">
        <v>0.6</v>
      </c>
      <c r="AV239" t="s">
        <v>121</v>
      </c>
      <c r="AW239" t="s">
        <v>2057</v>
      </c>
      <c r="AX239" t="s">
        <v>2079</v>
      </c>
    </row>
    <row r="240" spans="1:50">
      <c r="A240" s="1">
        <f>HYPERLINK("https://lsnyc.legalserver.org/matter/dynamic-profile/view/1899588","19-1899588")</f>
        <v>0</v>
      </c>
      <c r="B240" t="s">
        <v>80</v>
      </c>
      <c r="C240" t="s">
        <v>118</v>
      </c>
      <c r="D240" t="s">
        <v>147</v>
      </c>
      <c r="F240" t="s">
        <v>420</v>
      </c>
      <c r="G240" t="s">
        <v>315</v>
      </c>
      <c r="H240" t="s">
        <v>941</v>
      </c>
      <c r="J240" t="s">
        <v>1159</v>
      </c>
      <c r="K240">
        <v>10462</v>
      </c>
      <c r="L240" t="s">
        <v>1175</v>
      </c>
      <c r="M240" t="s">
        <v>1177</v>
      </c>
      <c r="O240" t="s">
        <v>1282</v>
      </c>
      <c r="P240" t="s">
        <v>1299</v>
      </c>
      <c r="R240" t="s">
        <v>1311</v>
      </c>
      <c r="S240" t="s">
        <v>1176</v>
      </c>
      <c r="U240" t="s">
        <v>1313</v>
      </c>
      <c r="W240" t="s">
        <v>215</v>
      </c>
      <c r="X240">
        <v>920</v>
      </c>
      <c r="Y240" t="s">
        <v>1328</v>
      </c>
      <c r="Z240" t="s">
        <v>1336</v>
      </c>
      <c r="AB240" t="s">
        <v>1582</v>
      </c>
      <c r="AD240" t="s">
        <v>1901</v>
      </c>
      <c r="AE240">
        <v>0</v>
      </c>
      <c r="AF240" t="s">
        <v>1974</v>
      </c>
      <c r="AG240" t="s">
        <v>1987</v>
      </c>
      <c r="AH240">
        <v>14</v>
      </c>
      <c r="AI240">
        <v>1</v>
      </c>
      <c r="AJ240">
        <v>0</v>
      </c>
      <c r="AK240">
        <v>163.91</v>
      </c>
      <c r="AN240" t="s">
        <v>2000</v>
      </c>
      <c r="AO240">
        <v>20472</v>
      </c>
      <c r="AU240">
        <v>2.3</v>
      </c>
      <c r="AV240" t="s">
        <v>147</v>
      </c>
      <c r="AW240" t="s">
        <v>80</v>
      </c>
      <c r="AX240" t="s">
        <v>2079</v>
      </c>
    </row>
    <row r="241" spans="1:50">
      <c r="A241" s="1">
        <f>HYPERLINK("https://lsnyc.legalserver.org/matter/dynamic-profile/view/1901450","19-1901450")</f>
        <v>0</v>
      </c>
      <c r="B241" t="s">
        <v>92</v>
      </c>
      <c r="C241" t="s">
        <v>118</v>
      </c>
      <c r="D241" t="s">
        <v>148</v>
      </c>
      <c r="F241" t="s">
        <v>421</v>
      </c>
      <c r="G241" t="s">
        <v>695</v>
      </c>
      <c r="H241" t="s">
        <v>846</v>
      </c>
      <c r="I241" t="s">
        <v>1039</v>
      </c>
      <c r="J241" t="s">
        <v>1162</v>
      </c>
      <c r="K241">
        <v>11206</v>
      </c>
      <c r="L241" t="s">
        <v>1175</v>
      </c>
      <c r="M241" t="s">
        <v>1177</v>
      </c>
      <c r="R241" t="s">
        <v>1311</v>
      </c>
      <c r="U241" t="s">
        <v>1313</v>
      </c>
      <c r="W241" t="s">
        <v>148</v>
      </c>
      <c r="X241">
        <v>0</v>
      </c>
      <c r="Y241" t="s">
        <v>1331</v>
      </c>
      <c r="AB241" t="s">
        <v>1583</v>
      </c>
      <c r="AE241">
        <v>0</v>
      </c>
      <c r="AH241">
        <v>0</v>
      </c>
      <c r="AI241">
        <v>2</v>
      </c>
      <c r="AJ241">
        <v>1</v>
      </c>
      <c r="AK241">
        <v>164.09</v>
      </c>
      <c r="AN241" t="s">
        <v>1998</v>
      </c>
      <c r="AO241">
        <v>35000</v>
      </c>
      <c r="AU241">
        <v>0.2</v>
      </c>
      <c r="AV241" t="s">
        <v>148</v>
      </c>
      <c r="AW241" t="s">
        <v>92</v>
      </c>
    </row>
    <row r="242" spans="1:50">
      <c r="A242" s="1">
        <f>HYPERLINK("https://lsnyc.legalserver.org/matter/dynamic-profile/view/1903614","19-1903614")</f>
        <v>0</v>
      </c>
      <c r="B242" t="s">
        <v>108</v>
      </c>
      <c r="C242" t="s">
        <v>118</v>
      </c>
      <c r="D242" t="s">
        <v>154</v>
      </c>
      <c r="F242" t="s">
        <v>422</v>
      </c>
      <c r="G242" t="s">
        <v>696</v>
      </c>
      <c r="H242" t="s">
        <v>942</v>
      </c>
      <c r="I242" t="s">
        <v>1124</v>
      </c>
      <c r="J242" t="s">
        <v>1161</v>
      </c>
      <c r="K242">
        <v>10017</v>
      </c>
      <c r="L242" t="s">
        <v>1175</v>
      </c>
      <c r="M242" t="s">
        <v>1177</v>
      </c>
      <c r="N242" t="s">
        <v>1258</v>
      </c>
      <c r="O242" t="s">
        <v>1281</v>
      </c>
      <c r="P242" t="s">
        <v>1303</v>
      </c>
      <c r="R242" t="s">
        <v>1311</v>
      </c>
      <c r="S242" t="s">
        <v>1176</v>
      </c>
      <c r="U242" t="s">
        <v>1313</v>
      </c>
      <c r="V242" t="s">
        <v>1321</v>
      </c>
      <c r="W242" t="s">
        <v>154</v>
      </c>
      <c r="X242">
        <v>1420.95</v>
      </c>
      <c r="Y242" t="s">
        <v>1330</v>
      </c>
      <c r="Z242" t="s">
        <v>1332</v>
      </c>
      <c r="AB242" t="s">
        <v>1584</v>
      </c>
      <c r="AD242" t="s">
        <v>1902</v>
      </c>
      <c r="AE242">
        <v>28</v>
      </c>
      <c r="AF242" t="s">
        <v>1975</v>
      </c>
      <c r="AG242" t="s">
        <v>1255</v>
      </c>
      <c r="AH242">
        <v>51</v>
      </c>
      <c r="AI242">
        <v>1</v>
      </c>
      <c r="AJ242">
        <v>0</v>
      </c>
      <c r="AK242">
        <v>165.49</v>
      </c>
      <c r="AN242" t="s">
        <v>1998</v>
      </c>
      <c r="AO242">
        <v>20670</v>
      </c>
      <c r="AU242">
        <v>0.1</v>
      </c>
      <c r="AV242" t="s">
        <v>154</v>
      </c>
      <c r="AW242" t="s">
        <v>2066</v>
      </c>
      <c r="AX242" t="s">
        <v>2079</v>
      </c>
    </row>
    <row r="243" spans="1:50">
      <c r="A243" s="1">
        <f>HYPERLINK("https://lsnyc.legalserver.org/matter/dynamic-profile/view/1902312","19-1902312")</f>
        <v>0</v>
      </c>
      <c r="B243" t="s">
        <v>86</v>
      </c>
      <c r="C243" t="s">
        <v>118</v>
      </c>
      <c r="D243" t="s">
        <v>131</v>
      </c>
      <c r="F243" t="s">
        <v>423</v>
      </c>
      <c r="G243" t="s">
        <v>697</v>
      </c>
      <c r="H243" t="s">
        <v>943</v>
      </c>
      <c r="I243" t="s">
        <v>1125</v>
      </c>
      <c r="J243" t="s">
        <v>1173</v>
      </c>
      <c r="K243">
        <v>11361</v>
      </c>
      <c r="L243" t="s">
        <v>1175</v>
      </c>
      <c r="M243" t="s">
        <v>1177</v>
      </c>
      <c r="N243" t="s">
        <v>1259</v>
      </c>
      <c r="O243" t="s">
        <v>1284</v>
      </c>
      <c r="P243" t="s">
        <v>1298</v>
      </c>
      <c r="R243" t="s">
        <v>1311</v>
      </c>
      <c r="S243" t="s">
        <v>1176</v>
      </c>
      <c r="U243" t="s">
        <v>1313</v>
      </c>
      <c r="W243" t="s">
        <v>131</v>
      </c>
      <c r="X243">
        <v>2150</v>
      </c>
      <c r="Y243" t="s">
        <v>1327</v>
      </c>
      <c r="Z243" t="s">
        <v>1332</v>
      </c>
      <c r="AB243" t="s">
        <v>1585</v>
      </c>
      <c r="AD243" t="s">
        <v>1903</v>
      </c>
      <c r="AE243">
        <v>26</v>
      </c>
      <c r="AF243" t="s">
        <v>1683</v>
      </c>
      <c r="AG243" t="s">
        <v>1255</v>
      </c>
      <c r="AH243">
        <v>8</v>
      </c>
      <c r="AI243">
        <v>1</v>
      </c>
      <c r="AJ243">
        <v>1</v>
      </c>
      <c r="AK243">
        <v>165.58</v>
      </c>
      <c r="AN243" t="s">
        <v>1998</v>
      </c>
      <c r="AO243">
        <v>28000</v>
      </c>
      <c r="AU243">
        <v>1.55</v>
      </c>
      <c r="AV243" t="s">
        <v>157</v>
      </c>
      <c r="AW243" t="s">
        <v>2061</v>
      </c>
      <c r="AX243" t="s">
        <v>2079</v>
      </c>
    </row>
    <row r="244" spans="1:50">
      <c r="A244" s="1">
        <f>HYPERLINK("https://lsnyc.legalserver.org/matter/dynamic-profile/view/1900567","19-1900567")</f>
        <v>0</v>
      </c>
      <c r="B244" t="s">
        <v>109</v>
      </c>
      <c r="C244" t="s">
        <v>119</v>
      </c>
      <c r="D244" t="s">
        <v>124</v>
      </c>
      <c r="E244" t="s">
        <v>157</v>
      </c>
      <c r="F244" t="s">
        <v>313</v>
      </c>
      <c r="G244" t="s">
        <v>698</v>
      </c>
      <c r="H244" t="s">
        <v>944</v>
      </c>
      <c r="I244" t="s">
        <v>1126</v>
      </c>
      <c r="J244" t="s">
        <v>1162</v>
      </c>
      <c r="K244">
        <v>11208</v>
      </c>
      <c r="L244" t="s">
        <v>1175</v>
      </c>
      <c r="M244" t="s">
        <v>1177</v>
      </c>
      <c r="N244" t="s">
        <v>1260</v>
      </c>
      <c r="O244" t="s">
        <v>1284</v>
      </c>
      <c r="P244" t="s">
        <v>1298</v>
      </c>
      <c r="Q244" t="s">
        <v>1305</v>
      </c>
      <c r="R244" t="s">
        <v>1311</v>
      </c>
      <c r="U244" t="s">
        <v>1313</v>
      </c>
      <c r="W244" t="s">
        <v>1326</v>
      </c>
      <c r="X244">
        <v>0</v>
      </c>
      <c r="Y244" t="s">
        <v>1331</v>
      </c>
      <c r="AA244" t="s">
        <v>1346</v>
      </c>
      <c r="AB244" t="s">
        <v>1586</v>
      </c>
      <c r="AD244" t="s">
        <v>1904</v>
      </c>
      <c r="AE244">
        <v>0</v>
      </c>
      <c r="AH244">
        <v>0</v>
      </c>
      <c r="AI244">
        <v>1</v>
      </c>
      <c r="AJ244">
        <v>0</v>
      </c>
      <c r="AK244">
        <v>166.53</v>
      </c>
      <c r="AN244" t="s">
        <v>1998</v>
      </c>
      <c r="AO244">
        <v>20800</v>
      </c>
      <c r="AU244">
        <v>1</v>
      </c>
      <c r="AV244" t="s">
        <v>124</v>
      </c>
      <c r="AW244" t="s">
        <v>2072</v>
      </c>
      <c r="AX244" t="s">
        <v>2079</v>
      </c>
    </row>
    <row r="245" spans="1:50">
      <c r="A245" s="1">
        <f>HYPERLINK("https://lsnyc.legalserver.org/matter/dynamic-profile/view/1890618","19-1890618")</f>
        <v>0</v>
      </c>
      <c r="B245" t="s">
        <v>53</v>
      </c>
      <c r="C245" t="s">
        <v>118</v>
      </c>
      <c r="D245" t="s">
        <v>200</v>
      </c>
      <c r="F245" t="s">
        <v>424</v>
      </c>
      <c r="G245" t="s">
        <v>699</v>
      </c>
      <c r="H245" t="s">
        <v>852</v>
      </c>
      <c r="I245">
        <v>610</v>
      </c>
      <c r="J245" t="s">
        <v>1159</v>
      </c>
      <c r="K245">
        <v>10459</v>
      </c>
      <c r="L245" t="s">
        <v>1175</v>
      </c>
      <c r="M245" t="s">
        <v>1177</v>
      </c>
      <c r="N245" t="s">
        <v>1261</v>
      </c>
      <c r="O245" t="s">
        <v>1281</v>
      </c>
      <c r="P245" t="s">
        <v>1298</v>
      </c>
      <c r="R245" t="s">
        <v>1311</v>
      </c>
      <c r="S245" t="s">
        <v>1176</v>
      </c>
      <c r="U245" t="s">
        <v>1313</v>
      </c>
      <c r="W245" t="s">
        <v>1325</v>
      </c>
      <c r="X245">
        <v>1220.06</v>
      </c>
      <c r="Y245" t="s">
        <v>1328</v>
      </c>
      <c r="Z245" t="s">
        <v>1338</v>
      </c>
      <c r="AB245" t="s">
        <v>1587</v>
      </c>
      <c r="AD245" t="s">
        <v>1905</v>
      </c>
      <c r="AE245">
        <v>135</v>
      </c>
      <c r="AF245" t="s">
        <v>1974</v>
      </c>
      <c r="AH245">
        <v>2</v>
      </c>
      <c r="AI245">
        <v>2</v>
      </c>
      <c r="AJ245">
        <v>0</v>
      </c>
      <c r="AK245">
        <v>167.13</v>
      </c>
      <c r="AN245" t="s">
        <v>1998</v>
      </c>
      <c r="AO245">
        <v>28262</v>
      </c>
      <c r="AU245">
        <v>10.05</v>
      </c>
      <c r="AV245" t="s">
        <v>2048</v>
      </c>
      <c r="AW245" t="s">
        <v>2062</v>
      </c>
      <c r="AX245" t="s">
        <v>2079</v>
      </c>
    </row>
    <row r="246" spans="1:50">
      <c r="A246" s="1">
        <f>HYPERLINK("https://lsnyc.legalserver.org/matter/dynamic-profile/view/1899161","19-1899161")</f>
        <v>0</v>
      </c>
      <c r="B246" t="s">
        <v>110</v>
      </c>
      <c r="C246" t="s">
        <v>119</v>
      </c>
      <c r="D246" t="s">
        <v>140</v>
      </c>
      <c r="E246" t="s">
        <v>221</v>
      </c>
      <c r="F246" t="s">
        <v>425</v>
      </c>
      <c r="G246" t="s">
        <v>700</v>
      </c>
      <c r="H246" t="s">
        <v>945</v>
      </c>
      <c r="I246" t="s">
        <v>1040</v>
      </c>
      <c r="J246" t="s">
        <v>1159</v>
      </c>
      <c r="K246">
        <v>10467</v>
      </c>
      <c r="L246" t="s">
        <v>1175</v>
      </c>
      <c r="M246" t="s">
        <v>1177</v>
      </c>
      <c r="O246" t="s">
        <v>1294</v>
      </c>
      <c r="P246" t="s">
        <v>1300</v>
      </c>
      <c r="Q246" t="s">
        <v>1309</v>
      </c>
      <c r="R246" t="s">
        <v>1311</v>
      </c>
      <c r="S246" t="s">
        <v>1176</v>
      </c>
      <c r="U246" t="s">
        <v>1314</v>
      </c>
      <c r="W246" t="s">
        <v>1325</v>
      </c>
      <c r="X246">
        <v>885</v>
      </c>
      <c r="Y246" t="s">
        <v>1328</v>
      </c>
      <c r="AA246" t="s">
        <v>1353</v>
      </c>
      <c r="AB246" t="s">
        <v>1588</v>
      </c>
      <c r="AD246" t="s">
        <v>1906</v>
      </c>
      <c r="AE246">
        <v>0</v>
      </c>
      <c r="AF246" t="s">
        <v>1974</v>
      </c>
      <c r="AH246">
        <v>20</v>
      </c>
      <c r="AI246">
        <v>2</v>
      </c>
      <c r="AJ246">
        <v>0</v>
      </c>
      <c r="AK246">
        <v>167.72</v>
      </c>
      <c r="AN246" t="s">
        <v>1998</v>
      </c>
      <c r="AO246">
        <v>28362</v>
      </c>
      <c r="AU246">
        <v>11.75</v>
      </c>
      <c r="AV246" t="s">
        <v>154</v>
      </c>
      <c r="AW246" t="s">
        <v>2078</v>
      </c>
      <c r="AX246" t="s">
        <v>2079</v>
      </c>
    </row>
    <row r="247" spans="1:50">
      <c r="A247" s="1">
        <f>HYPERLINK("https://lsnyc.legalserver.org/matter/dynamic-profile/view/1901968","19-1901968")</f>
        <v>0</v>
      </c>
      <c r="B247" t="s">
        <v>98</v>
      </c>
      <c r="C247" t="s">
        <v>118</v>
      </c>
      <c r="D247" t="s">
        <v>132</v>
      </c>
      <c r="F247" t="s">
        <v>426</v>
      </c>
      <c r="G247" t="s">
        <v>607</v>
      </c>
      <c r="H247" t="s">
        <v>946</v>
      </c>
      <c r="I247" t="s">
        <v>1079</v>
      </c>
      <c r="J247" t="s">
        <v>1161</v>
      </c>
      <c r="K247">
        <v>10034</v>
      </c>
      <c r="L247" t="s">
        <v>1175</v>
      </c>
      <c r="M247" t="s">
        <v>1177</v>
      </c>
      <c r="O247" t="s">
        <v>1294</v>
      </c>
      <c r="P247" t="s">
        <v>1302</v>
      </c>
      <c r="R247" t="s">
        <v>1311</v>
      </c>
      <c r="S247" t="s">
        <v>1176</v>
      </c>
      <c r="U247" t="s">
        <v>1313</v>
      </c>
      <c r="W247" t="s">
        <v>132</v>
      </c>
      <c r="X247">
        <v>1194.97</v>
      </c>
      <c r="Y247" t="s">
        <v>1330</v>
      </c>
      <c r="Z247" t="s">
        <v>1338</v>
      </c>
      <c r="AB247" t="s">
        <v>1589</v>
      </c>
      <c r="AD247" t="s">
        <v>1907</v>
      </c>
      <c r="AE247">
        <v>48</v>
      </c>
      <c r="AF247" t="s">
        <v>1974</v>
      </c>
      <c r="AG247" t="s">
        <v>1987</v>
      </c>
      <c r="AH247">
        <v>24</v>
      </c>
      <c r="AI247">
        <v>1</v>
      </c>
      <c r="AJ247">
        <v>0</v>
      </c>
      <c r="AK247">
        <v>168.07</v>
      </c>
      <c r="AN247" t="s">
        <v>2000</v>
      </c>
      <c r="AO247">
        <v>20991.6</v>
      </c>
      <c r="AU247">
        <v>2.6</v>
      </c>
      <c r="AV247" t="s">
        <v>216</v>
      </c>
      <c r="AW247" t="s">
        <v>2057</v>
      </c>
      <c r="AX247" t="s">
        <v>2079</v>
      </c>
    </row>
    <row r="248" spans="1:50">
      <c r="A248" s="1">
        <f>HYPERLINK("https://lsnyc.legalserver.org/matter/dynamic-profile/view/1899923","19-1899923")</f>
        <v>0</v>
      </c>
      <c r="B248" t="s">
        <v>52</v>
      </c>
      <c r="C248" t="s">
        <v>118</v>
      </c>
      <c r="D248" t="s">
        <v>143</v>
      </c>
      <c r="F248" t="s">
        <v>427</v>
      </c>
      <c r="G248" t="s">
        <v>701</v>
      </c>
      <c r="H248" t="s">
        <v>774</v>
      </c>
      <c r="I248" t="s">
        <v>1127</v>
      </c>
      <c r="J248" t="s">
        <v>1159</v>
      </c>
      <c r="K248">
        <v>10460</v>
      </c>
      <c r="L248" t="s">
        <v>1175</v>
      </c>
      <c r="M248" t="s">
        <v>1177</v>
      </c>
      <c r="N248" t="s">
        <v>1180</v>
      </c>
      <c r="O248" t="s">
        <v>1282</v>
      </c>
      <c r="P248" t="s">
        <v>1301</v>
      </c>
      <c r="R248" t="s">
        <v>1311</v>
      </c>
      <c r="S248" t="s">
        <v>1175</v>
      </c>
      <c r="U248" t="s">
        <v>1313</v>
      </c>
      <c r="W248" t="s">
        <v>1325</v>
      </c>
      <c r="X248">
        <v>751</v>
      </c>
      <c r="Y248" t="s">
        <v>1328</v>
      </c>
      <c r="Z248" t="s">
        <v>1336</v>
      </c>
      <c r="AB248" t="s">
        <v>1590</v>
      </c>
      <c r="AD248" t="s">
        <v>1908</v>
      </c>
      <c r="AE248">
        <v>168</v>
      </c>
      <c r="AF248" t="s">
        <v>1974</v>
      </c>
      <c r="AG248" t="s">
        <v>1985</v>
      </c>
      <c r="AH248">
        <v>15</v>
      </c>
      <c r="AI248">
        <v>2</v>
      </c>
      <c r="AJ248">
        <v>1</v>
      </c>
      <c r="AK248">
        <v>169.95</v>
      </c>
      <c r="AN248" t="s">
        <v>1998</v>
      </c>
      <c r="AO248">
        <v>36250</v>
      </c>
      <c r="AU248">
        <v>0</v>
      </c>
      <c r="AW248" t="s">
        <v>2063</v>
      </c>
      <c r="AX248" t="s">
        <v>2079</v>
      </c>
    </row>
    <row r="249" spans="1:50">
      <c r="A249" s="1">
        <f>HYPERLINK("https://lsnyc.legalserver.org/matter/dynamic-profile/view/1893585","19-1893585")</f>
        <v>0</v>
      </c>
      <c r="B249" t="s">
        <v>58</v>
      </c>
      <c r="C249" t="s">
        <v>118</v>
      </c>
      <c r="D249" t="s">
        <v>155</v>
      </c>
      <c r="F249" t="s">
        <v>427</v>
      </c>
      <c r="G249" t="s">
        <v>701</v>
      </c>
      <c r="H249" t="s">
        <v>774</v>
      </c>
      <c r="I249" t="s">
        <v>1127</v>
      </c>
      <c r="J249" t="s">
        <v>1159</v>
      </c>
      <c r="K249">
        <v>10460</v>
      </c>
      <c r="L249" t="s">
        <v>1175</v>
      </c>
      <c r="M249" t="s">
        <v>1175</v>
      </c>
      <c r="N249" t="s">
        <v>1262</v>
      </c>
      <c r="O249" t="s">
        <v>1281</v>
      </c>
      <c r="P249" t="s">
        <v>1298</v>
      </c>
      <c r="R249" t="s">
        <v>1311</v>
      </c>
      <c r="S249" t="s">
        <v>1176</v>
      </c>
      <c r="U249" t="s">
        <v>1313</v>
      </c>
      <c r="W249" t="s">
        <v>1325</v>
      </c>
      <c r="X249">
        <v>751</v>
      </c>
      <c r="Y249" t="s">
        <v>1328</v>
      </c>
      <c r="Z249" t="s">
        <v>1336</v>
      </c>
      <c r="AB249" t="s">
        <v>1590</v>
      </c>
      <c r="AD249" t="s">
        <v>1908</v>
      </c>
      <c r="AE249">
        <v>169</v>
      </c>
      <c r="AF249" t="s">
        <v>1683</v>
      </c>
      <c r="AG249" t="s">
        <v>1985</v>
      </c>
      <c r="AH249">
        <v>15</v>
      </c>
      <c r="AI249">
        <v>2</v>
      </c>
      <c r="AJ249">
        <v>1</v>
      </c>
      <c r="AK249">
        <v>169.95</v>
      </c>
      <c r="AN249" t="s">
        <v>1998</v>
      </c>
      <c r="AO249">
        <v>36250</v>
      </c>
      <c r="AU249">
        <v>14.8</v>
      </c>
      <c r="AV249" t="s">
        <v>121</v>
      </c>
      <c r="AW249" t="s">
        <v>2053</v>
      </c>
      <c r="AX249" t="s">
        <v>2079</v>
      </c>
    </row>
    <row r="250" spans="1:50">
      <c r="A250" s="1">
        <f>HYPERLINK("https://lsnyc.legalserver.org/matter/dynamic-profile/view/1902194","19-1902194")</f>
        <v>0</v>
      </c>
      <c r="B250" t="s">
        <v>63</v>
      </c>
      <c r="C250" t="s">
        <v>118</v>
      </c>
      <c r="D250" t="s">
        <v>184</v>
      </c>
      <c r="F250" t="s">
        <v>327</v>
      </c>
      <c r="G250" t="s">
        <v>702</v>
      </c>
      <c r="H250" t="s">
        <v>947</v>
      </c>
      <c r="I250">
        <v>33</v>
      </c>
      <c r="J250" t="s">
        <v>1161</v>
      </c>
      <c r="K250">
        <v>10033</v>
      </c>
      <c r="L250" t="s">
        <v>1175</v>
      </c>
      <c r="M250" t="s">
        <v>1177</v>
      </c>
      <c r="P250" t="s">
        <v>1302</v>
      </c>
      <c r="R250" t="s">
        <v>1311</v>
      </c>
      <c r="S250" t="s">
        <v>1176</v>
      </c>
      <c r="U250" t="s">
        <v>1313</v>
      </c>
      <c r="W250" t="s">
        <v>184</v>
      </c>
      <c r="X250">
        <v>1548.25</v>
      </c>
      <c r="Y250" t="s">
        <v>1330</v>
      </c>
      <c r="Z250" t="s">
        <v>1338</v>
      </c>
      <c r="AB250" t="s">
        <v>1591</v>
      </c>
      <c r="AE250">
        <v>55</v>
      </c>
      <c r="AF250" t="s">
        <v>1974</v>
      </c>
      <c r="AG250" t="s">
        <v>1255</v>
      </c>
      <c r="AH250">
        <v>12</v>
      </c>
      <c r="AI250">
        <v>2</v>
      </c>
      <c r="AJ250">
        <v>0</v>
      </c>
      <c r="AK250">
        <v>171.5</v>
      </c>
      <c r="AN250" t="s">
        <v>1998</v>
      </c>
      <c r="AO250">
        <v>29000</v>
      </c>
      <c r="AU250">
        <v>0.4</v>
      </c>
      <c r="AV250" t="s">
        <v>131</v>
      </c>
      <c r="AW250" t="s">
        <v>2057</v>
      </c>
      <c r="AX250" t="s">
        <v>2079</v>
      </c>
    </row>
    <row r="251" spans="1:50">
      <c r="A251" s="1">
        <f>HYPERLINK("https://lsnyc.legalserver.org/matter/dynamic-profile/view/1900813","19-1900813")</f>
        <v>0</v>
      </c>
      <c r="B251" t="s">
        <v>57</v>
      </c>
      <c r="C251" t="s">
        <v>118</v>
      </c>
      <c r="D251" t="s">
        <v>192</v>
      </c>
      <c r="F251" t="s">
        <v>428</v>
      </c>
      <c r="G251" t="s">
        <v>703</v>
      </c>
      <c r="H251" t="s">
        <v>948</v>
      </c>
      <c r="I251" t="s">
        <v>1079</v>
      </c>
      <c r="J251" t="s">
        <v>1159</v>
      </c>
      <c r="K251">
        <v>10457</v>
      </c>
      <c r="L251" t="s">
        <v>1175</v>
      </c>
      <c r="M251" t="s">
        <v>1177</v>
      </c>
      <c r="O251" t="s">
        <v>1282</v>
      </c>
      <c r="P251" t="s">
        <v>1299</v>
      </c>
      <c r="R251" t="s">
        <v>1311</v>
      </c>
      <c r="S251" t="s">
        <v>1176</v>
      </c>
      <c r="U251" t="s">
        <v>1313</v>
      </c>
      <c r="W251" t="s">
        <v>1325</v>
      </c>
      <c r="X251">
        <v>1360</v>
      </c>
      <c r="Y251" t="s">
        <v>1328</v>
      </c>
      <c r="Z251" t="s">
        <v>1336</v>
      </c>
      <c r="AB251" t="s">
        <v>1592</v>
      </c>
      <c r="AD251" t="s">
        <v>1909</v>
      </c>
      <c r="AE251">
        <v>70</v>
      </c>
      <c r="AF251" t="s">
        <v>1974</v>
      </c>
      <c r="AG251" t="s">
        <v>1255</v>
      </c>
      <c r="AH251">
        <v>22</v>
      </c>
      <c r="AI251">
        <v>1</v>
      </c>
      <c r="AJ251">
        <v>0</v>
      </c>
      <c r="AK251">
        <v>175.63</v>
      </c>
      <c r="AN251" t="s">
        <v>2000</v>
      </c>
      <c r="AO251">
        <v>21936</v>
      </c>
      <c r="AU251">
        <v>1.5</v>
      </c>
      <c r="AV251" t="s">
        <v>125</v>
      </c>
      <c r="AW251" t="s">
        <v>2062</v>
      </c>
      <c r="AX251" t="s">
        <v>2079</v>
      </c>
    </row>
    <row r="252" spans="1:50">
      <c r="A252" s="1">
        <f>HYPERLINK("https://lsnyc.legalserver.org/matter/dynamic-profile/view/1903496","19-1903496")</f>
        <v>0</v>
      </c>
      <c r="B252" t="s">
        <v>50</v>
      </c>
      <c r="C252" t="s">
        <v>118</v>
      </c>
      <c r="D252" t="s">
        <v>157</v>
      </c>
      <c r="F252" t="s">
        <v>429</v>
      </c>
      <c r="G252" t="s">
        <v>704</v>
      </c>
      <c r="H252" t="s">
        <v>816</v>
      </c>
      <c r="I252" t="s">
        <v>1128</v>
      </c>
      <c r="J252" t="s">
        <v>1158</v>
      </c>
      <c r="K252">
        <v>11354</v>
      </c>
      <c r="L252" t="s">
        <v>1175</v>
      </c>
      <c r="M252" t="s">
        <v>1177</v>
      </c>
      <c r="N252" t="s">
        <v>1179</v>
      </c>
      <c r="O252" t="s">
        <v>1283</v>
      </c>
      <c r="P252" t="s">
        <v>1300</v>
      </c>
      <c r="R252" t="s">
        <v>1311</v>
      </c>
      <c r="S252" t="s">
        <v>1175</v>
      </c>
      <c r="U252" t="s">
        <v>1313</v>
      </c>
      <c r="V252" t="s">
        <v>1321</v>
      </c>
      <c r="W252" t="s">
        <v>157</v>
      </c>
      <c r="X252">
        <v>1666.84</v>
      </c>
      <c r="Y252" t="s">
        <v>1327</v>
      </c>
      <c r="Z252" t="s">
        <v>1334</v>
      </c>
      <c r="AE252">
        <v>91</v>
      </c>
      <c r="AF252" t="s">
        <v>1974</v>
      </c>
      <c r="AG252" t="s">
        <v>1255</v>
      </c>
      <c r="AH252">
        <v>7</v>
      </c>
      <c r="AI252">
        <v>2</v>
      </c>
      <c r="AJ252">
        <v>0</v>
      </c>
      <c r="AK252">
        <v>177.41</v>
      </c>
      <c r="AN252" t="s">
        <v>2000</v>
      </c>
      <c r="AO252">
        <v>30000</v>
      </c>
      <c r="AU252">
        <v>0.15</v>
      </c>
      <c r="AV252" t="s">
        <v>157</v>
      </c>
      <c r="AW252" t="s">
        <v>50</v>
      </c>
      <c r="AX252" t="s">
        <v>2079</v>
      </c>
    </row>
    <row r="253" spans="1:50">
      <c r="A253" s="1">
        <f>HYPERLINK("https://lsnyc.legalserver.org/matter/dynamic-profile/view/1902199","19-1902199")</f>
        <v>0</v>
      </c>
      <c r="B253" t="s">
        <v>63</v>
      </c>
      <c r="C253" t="s">
        <v>118</v>
      </c>
      <c r="D253" t="s">
        <v>184</v>
      </c>
      <c r="F253" t="s">
        <v>344</v>
      </c>
      <c r="G253" t="s">
        <v>705</v>
      </c>
      <c r="H253" t="s">
        <v>949</v>
      </c>
      <c r="I253">
        <v>55</v>
      </c>
      <c r="J253" t="s">
        <v>1161</v>
      </c>
      <c r="K253">
        <v>10033</v>
      </c>
      <c r="L253" t="s">
        <v>1175</v>
      </c>
      <c r="M253" t="s">
        <v>1177</v>
      </c>
      <c r="P253" t="s">
        <v>1302</v>
      </c>
      <c r="R253" t="s">
        <v>1311</v>
      </c>
      <c r="S253" t="s">
        <v>1176</v>
      </c>
      <c r="U253" t="s">
        <v>1313</v>
      </c>
      <c r="W253" t="s">
        <v>184</v>
      </c>
      <c r="X253">
        <v>2275</v>
      </c>
      <c r="Y253" t="s">
        <v>1330</v>
      </c>
      <c r="Z253" t="s">
        <v>1338</v>
      </c>
      <c r="AB253" t="s">
        <v>1362</v>
      </c>
      <c r="AE253">
        <v>32</v>
      </c>
      <c r="AF253" t="s">
        <v>1974</v>
      </c>
      <c r="AG253" t="s">
        <v>1255</v>
      </c>
      <c r="AH253">
        <v>5</v>
      </c>
      <c r="AI253">
        <v>2</v>
      </c>
      <c r="AJ253">
        <v>0</v>
      </c>
      <c r="AK253">
        <v>177.41</v>
      </c>
      <c r="AN253" t="s">
        <v>1998</v>
      </c>
      <c r="AO253">
        <v>30000</v>
      </c>
      <c r="AU253">
        <v>0.4</v>
      </c>
      <c r="AV253" t="s">
        <v>121</v>
      </c>
      <c r="AW253" t="s">
        <v>2057</v>
      </c>
      <c r="AX253" t="s">
        <v>2079</v>
      </c>
    </row>
    <row r="254" spans="1:50">
      <c r="A254" s="1">
        <f>HYPERLINK("https://lsnyc.legalserver.org/matter/dynamic-profile/view/1890431","18-1890431")</f>
        <v>0</v>
      </c>
      <c r="B254" t="s">
        <v>53</v>
      </c>
      <c r="C254" t="s">
        <v>118</v>
      </c>
      <c r="D254" t="s">
        <v>201</v>
      </c>
      <c r="F254" t="s">
        <v>227</v>
      </c>
      <c r="G254" t="s">
        <v>557</v>
      </c>
      <c r="H254" t="s">
        <v>917</v>
      </c>
      <c r="I254" t="s">
        <v>1090</v>
      </c>
      <c r="J254" t="s">
        <v>1159</v>
      </c>
      <c r="K254">
        <v>10453</v>
      </c>
      <c r="L254" t="s">
        <v>1175</v>
      </c>
      <c r="M254" t="s">
        <v>1175</v>
      </c>
      <c r="O254" t="s">
        <v>1282</v>
      </c>
      <c r="P254" t="s">
        <v>1301</v>
      </c>
      <c r="R254" t="s">
        <v>1311</v>
      </c>
      <c r="S254" t="s">
        <v>1175</v>
      </c>
      <c r="U254" t="s">
        <v>1313</v>
      </c>
      <c r="W254" t="s">
        <v>123</v>
      </c>
      <c r="X254">
        <v>692.88</v>
      </c>
      <c r="Y254" t="s">
        <v>1328</v>
      </c>
      <c r="Z254" t="s">
        <v>1336</v>
      </c>
      <c r="AB254" t="s">
        <v>1593</v>
      </c>
      <c r="AD254" t="s">
        <v>1910</v>
      </c>
      <c r="AE254">
        <v>44</v>
      </c>
      <c r="AF254" t="s">
        <v>1974</v>
      </c>
      <c r="AG254" t="s">
        <v>1255</v>
      </c>
      <c r="AH254">
        <v>27</v>
      </c>
      <c r="AI254">
        <v>2</v>
      </c>
      <c r="AJ254">
        <v>0</v>
      </c>
      <c r="AK254">
        <v>182.26</v>
      </c>
      <c r="AN254" t="s">
        <v>1998</v>
      </c>
      <c r="AO254">
        <v>30000</v>
      </c>
      <c r="AU254">
        <v>0</v>
      </c>
      <c r="AW254" t="s">
        <v>2053</v>
      </c>
      <c r="AX254" t="s">
        <v>2079</v>
      </c>
    </row>
    <row r="255" spans="1:50">
      <c r="A255" s="1">
        <f>HYPERLINK("https://lsnyc.legalserver.org/matter/dynamic-profile/view/1902014","19-1902014")</f>
        <v>0</v>
      </c>
      <c r="B255" t="s">
        <v>61</v>
      </c>
      <c r="C255" t="s">
        <v>118</v>
      </c>
      <c r="D255" t="s">
        <v>132</v>
      </c>
      <c r="F255" t="s">
        <v>357</v>
      </c>
      <c r="G255" t="s">
        <v>706</v>
      </c>
      <c r="H255" t="s">
        <v>950</v>
      </c>
      <c r="I255" t="s">
        <v>1039</v>
      </c>
      <c r="J255" t="s">
        <v>1161</v>
      </c>
      <c r="K255">
        <v>10040</v>
      </c>
      <c r="L255" t="s">
        <v>1175</v>
      </c>
      <c r="M255" t="s">
        <v>1177</v>
      </c>
      <c r="P255" t="s">
        <v>1302</v>
      </c>
      <c r="R255" t="s">
        <v>1311</v>
      </c>
      <c r="S255" t="s">
        <v>1176</v>
      </c>
      <c r="U255" t="s">
        <v>1313</v>
      </c>
      <c r="W255" t="s">
        <v>132</v>
      </c>
      <c r="X255">
        <v>1164</v>
      </c>
      <c r="Y255" t="s">
        <v>1330</v>
      </c>
      <c r="Z255" t="s">
        <v>1338</v>
      </c>
      <c r="AB255" t="s">
        <v>1594</v>
      </c>
      <c r="AD255" t="s">
        <v>1911</v>
      </c>
      <c r="AE255">
        <v>48</v>
      </c>
      <c r="AF255" t="s">
        <v>1974</v>
      </c>
      <c r="AG255" t="s">
        <v>1986</v>
      </c>
      <c r="AH255">
        <v>24</v>
      </c>
      <c r="AI255">
        <v>2</v>
      </c>
      <c r="AJ255">
        <v>1</v>
      </c>
      <c r="AK255">
        <v>185.28</v>
      </c>
      <c r="AN255" t="s">
        <v>2000</v>
      </c>
      <c r="AO255">
        <v>39520</v>
      </c>
      <c r="AU255">
        <v>1</v>
      </c>
      <c r="AV255" t="s">
        <v>142</v>
      </c>
      <c r="AW255" t="s">
        <v>2057</v>
      </c>
      <c r="AX255" t="s">
        <v>2079</v>
      </c>
    </row>
    <row r="256" spans="1:50">
      <c r="A256" s="1">
        <f>HYPERLINK("https://lsnyc.legalserver.org/matter/dynamic-profile/view/1884294","18-1884294")</f>
        <v>0</v>
      </c>
      <c r="B256" t="s">
        <v>87</v>
      </c>
      <c r="C256" t="s">
        <v>118</v>
      </c>
      <c r="D256" t="s">
        <v>202</v>
      </c>
      <c r="F256" t="s">
        <v>430</v>
      </c>
      <c r="G256" t="s">
        <v>707</v>
      </c>
      <c r="H256" t="s">
        <v>951</v>
      </c>
      <c r="I256" t="s">
        <v>1129</v>
      </c>
      <c r="J256" t="s">
        <v>1159</v>
      </c>
      <c r="K256">
        <v>10452</v>
      </c>
      <c r="L256" t="s">
        <v>1175</v>
      </c>
      <c r="M256" t="s">
        <v>1177</v>
      </c>
      <c r="O256" t="s">
        <v>1281</v>
      </c>
      <c r="P256" t="s">
        <v>1298</v>
      </c>
      <c r="R256" t="s">
        <v>1311</v>
      </c>
      <c r="S256" t="s">
        <v>1176</v>
      </c>
      <c r="U256" t="s">
        <v>1313</v>
      </c>
      <c r="W256" t="s">
        <v>1325</v>
      </c>
      <c r="X256">
        <v>1031</v>
      </c>
      <c r="Y256" t="s">
        <v>1328</v>
      </c>
      <c r="Z256" t="s">
        <v>1339</v>
      </c>
      <c r="AB256" t="s">
        <v>1595</v>
      </c>
      <c r="AD256" t="s">
        <v>1912</v>
      </c>
      <c r="AE256">
        <v>49</v>
      </c>
      <c r="AF256" t="s">
        <v>1974</v>
      </c>
      <c r="AG256" t="s">
        <v>1255</v>
      </c>
      <c r="AH256">
        <v>5</v>
      </c>
      <c r="AI256">
        <v>2</v>
      </c>
      <c r="AJ256">
        <v>2</v>
      </c>
      <c r="AK256">
        <v>186.45</v>
      </c>
      <c r="AN256" t="s">
        <v>1998</v>
      </c>
      <c r="AO256">
        <v>46800</v>
      </c>
      <c r="AU256">
        <v>48.6</v>
      </c>
      <c r="AV256" t="s">
        <v>135</v>
      </c>
      <c r="AW256" t="s">
        <v>2053</v>
      </c>
      <c r="AX256" t="s">
        <v>2079</v>
      </c>
    </row>
    <row r="257" spans="1:50">
      <c r="A257" s="1">
        <f>HYPERLINK("https://lsnyc.legalserver.org/matter/dynamic-profile/view/1901133","19-1901133")</f>
        <v>0</v>
      </c>
      <c r="B257" t="s">
        <v>70</v>
      </c>
      <c r="C257" t="s">
        <v>118</v>
      </c>
      <c r="D257" t="s">
        <v>125</v>
      </c>
      <c r="F257" t="s">
        <v>431</v>
      </c>
      <c r="G257" t="s">
        <v>708</v>
      </c>
      <c r="H257" t="s">
        <v>952</v>
      </c>
      <c r="I257">
        <v>3</v>
      </c>
      <c r="J257" t="s">
        <v>1167</v>
      </c>
      <c r="K257">
        <v>11418</v>
      </c>
      <c r="L257" t="s">
        <v>1175</v>
      </c>
      <c r="M257" t="s">
        <v>1177</v>
      </c>
      <c r="N257" t="s">
        <v>1263</v>
      </c>
      <c r="O257" t="s">
        <v>1281</v>
      </c>
      <c r="P257" t="s">
        <v>1298</v>
      </c>
      <c r="R257" t="s">
        <v>1311</v>
      </c>
      <c r="S257" t="s">
        <v>1176</v>
      </c>
      <c r="U257" t="s">
        <v>1313</v>
      </c>
      <c r="V257" t="s">
        <v>1321</v>
      </c>
      <c r="W257" t="s">
        <v>122</v>
      </c>
      <c r="X257">
        <v>1500</v>
      </c>
      <c r="Y257" t="s">
        <v>1327</v>
      </c>
      <c r="Z257" t="s">
        <v>1332</v>
      </c>
      <c r="AB257" t="s">
        <v>1596</v>
      </c>
      <c r="AD257" t="s">
        <v>1913</v>
      </c>
      <c r="AE257">
        <v>2</v>
      </c>
      <c r="AF257" t="s">
        <v>1973</v>
      </c>
      <c r="AG257" t="s">
        <v>1255</v>
      </c>
      <c r="AH257">
        <v>6</v>
      </c>
      <c r="AI257">
        <v>1</v>
      </c>
      <c r="AJ257">
        <v>2</v>
      </c>
      <c r="AK257">
        <v>187.23</v>
      </c>
      <c r="AN257" t="s">
        <v>1998</v>
      </c>
      <c r="AO257">
        <v>39936</v>
      </c>
      <c r="AU257">
        <v>17.3</v>
      </c>
      <c r="AV257" t="s">
        <v>178</v>
      </c>
      <c r="AW257" t="s">
        <v>2051</v>
      </c>
      <c r="AX257" t="s">
        <v>2079</v>
      </c>
    </row>
    <row r="258" spans="1:50">
      <c r="A258" s="1">
        <f>HYPERLINK("https://lsnyc.legalserver.org/matter/dynamic-profile/view/1903704","19-1903704")</f>
        <v>0</v>
      </c>
      <c r="B258" t="s">
        <v>50</v>
      </c>
      <c r="C258" t="s">
        <v>118</v>
      </c>
      <c r="D258" t="s">
        <v>152</v>
      </c>
      <c r="F258" t="s">
        <v>432</v>
      </c>
      <c r="G258" t="s">
        <v>709</v>
      </c>
      <c r="H258" t="s">
        <v>773</v>
      </c>
      <c r="I258" t="s">
        <v>1130</v>
      </c>
      <c r="J258" t="s">
        <v>1158</v>
      </c>
      <c r="K258">
        <v>11354</v>
      </c>
      <c r="L258" t="s">
        <v>1175</v>
      </c>
      <c r="M258" t="s">
        <v>1177</v>
      </c>
      <c r="N258" t="s">
        <v>1179</v>
      </c>
      <c r="O258" t="s">
        <v>1283</v>
      </c>
      <c r="P258" t="s">
        <v>1300</v>
      </c>
      <c r="R258" t="s">
        <v>1311</v>
      </c>
      <c r="S258" t="s">
        <v>1175</v>
      </c>
      <c r="U258" t="s">
        <v>1313</v>
      </c>
      <c r="V258" t="s">
        <v>1321</v>
      </c>
      <c r="W258" t="s">
        <v>123</v>
      </c>
      <c r="X258">
        <v>1032</v>
      </c>
      <c r="Y258" t="s">
        <v>1327</v>
      </c>
      <c r="Z258" t="s">
        <v>1334</v>
      </c>
      <c r="AB258" t="s">
        <v>1597</v>
      </c>
      <c r="AD258" t="s">
        <v>1914</v>
      </c>
      <c r="AE258">
        <v>91</v>
      </c>
      <c r="AF258" t="s">
        <v>1974</v>
      </c>
      <c r="AG258" t="s">
        <v>1255</v>
      </c>
      <c r="AH258">
        <v>23</v>
      </c>
      <c r="AI258">
        <v>3</v>
      </c>
      <c r="AJ258">
        <v>0</v>
      </c>
      <c r="AK258">
        <v>188.47</v>
      </c>
      <c r="AN258" t="s">
        <v>1998</v>
      </c>
      <c r="AO258">
        <v>40200</v>
      </c>
      <c r="AU258">
        <v>0</v>
      </c>
      <c r="AW258" t="s">
        <v>50</v>
      </c>
      <c r="AX258" t="s">
        <v>2079</v>
      </c>
    </row>
    <row r="259" spans="1:50">
      <c r="A259" s="1">
        <f>HYPERLINK("https://lsnyc.legalserver.org/matter/dynamic-profile/view/1902477","19-1902477")</f>
        <v>0</v>
      </c>
      <c r="B259" t="s">
        <v>91</v>
      </c>
      <c r="C259" t="s">
        <v>119</v>
      </c>
      <c r="D259" t="s">
        <v>164</v>
      </c>
      <c r="E259" t="s">
        <v>154</v>
      </c>
      <c r="F259" t="s">
        <v>433</v>
      </c>
      <c r="G259" t="s">
        <v>710</v>
      </c>
      <c r="H259" t="s">
        <v>953</v>
      </c>
      <c r="I259" t="s">
        <v>1060</v>
      </c>
      <c r="J259" t="s">
        <v>1161</v>
      </c>
      <c r="K259">
        <v>10028</v>
      </c>
      <c r="L259" t="s">
        <v>1175</v>
      </c>
      <c r="M259" t="s">
        <v>1177</v>
      </c>
      <c r="N259" t="s">
        <v>1264</v>
      </c>
      <c r="O259" t="s">
        <v>1284</v>
      </c>
      <c r="P259" t="s">
        <v>1299</v>
      </c>
      <c r="Q259" t="s">
        <v>1305</v>
      </c>
      <c r="R259" t="s">
        <v>1311</v>
      </c>
      <c r="S259" t="s">
        <v>1176</v>
      </c>
      <c r="U259" t="s">
        <v>1313</v>
      </c>
      <c r="W259" t="s">
        <v>164</v>
      </c>
      <c r="X259">
        <v>0</v>
      </c>
      <c r="Y259" t="s">
        <v>1330</v>
      </c>
      <c r="Z259" t="s">
        <v>1332</v>
      </c>
      <c r="AA259" t="s">
        <v>1346</v>
      </c>
      <c r="AB259" t="s">
        <v>1598</v>
      </c>
      <c r="AD259" t="s">
        <v>1915</v>
      </c>
      <c r="AE259">
        <v>0</v>
      </c>
      <c r="AF259" t="s">
        <v>1683</v>
      </c>
      <c r="AG259" t="s">
        <v>1255</v>
      </c>
      <c r="AH259">
        <v>3</v>
      </c>
      <c r="AI259">
        <v>2</v>
      </c>
      <c r="AJ259">
        <v>2</v>
      </c>
      <c r="AK259">
        <v>190.29</v>
      </c>
      <c r="AN259" t="s">
        <v>2002</v>
      </c>
      <c r="AO259">
        <v>49000</v>
      </c>
      <c r="AU259">
        <v>1</v>
      </c>
      <c r="AV259" t="s">
        <v>164</v>
      </c>
      <c r="AW259" t="s">
        <v>2069</v>
      </c>
      <c r="AX259" t="s">
        <v>2079</v>
      </c>
    </row>
    <row r="260" spans="1:50">
      <c r="A260" s="1">
        <f>HYPERLINK("https://lsnyc.legalserver.org/matter/dynamic-profile/view/1903393","19-1903393")</f>
        <v>0</v>
      </c>
      <c r="B260" t="s">
        <v>73</v>
      </c>
      <c r="C260" t="s">
        <v>118</v>
      </c>
      <c r="D260" t="s">
        <v>123</v>
      </c>
      <c r="F260" t="s">
        <v>316</v>
      </c>
      <c r="G260" t="s">
        <v>711</v>
      </c>
      <c r="H260" t="s">
        <v>954</v>
      </c>
      <c r="I260" t="s">
        <v>1131</v>
      </c>
      <c r="J260" t="s">
        <v>1174</v>
      </c>
      <c r="K260">
        <v>11375</v>
      </c>
      <c r="L260" t="s">
        <v>1175</v>
      </c>
      <c r="M260" t="s">
        <v>1177</v>
      </c>
      <c r="N260" t="s">
        <v>1265</v>
      </c>
      <c r="O260" t="s">
        <v>1281</v>
      </c>
      <c r="P260" t="s">
        <v>1298</v>
      </c>
      <c r="R260" t="s">
        <v>1311</v>
      </c>
      <c r="S260" t="s">
        <v>1176</v>
      </c>
      <c r="U260" t="s">
        <v>1313</v>
      </c>
      <c r="W260" t="s">
        <v>123</v>
      </c>
      <c r="X260">
        <v>890</v>
      </c>
      <c r="Y260" t="s">
        <v>1327</v>
      </c>
      <c r="Z260" t="s">
        <v>1332</v>
      </c>
      <c r="AB260" t="s">
        <v>1599</v>
      </c>
      <c r="AD260" t="s">
        <v>1916</v>
      </c>
      <c r="AE260">
        <v>33</v>
      </c>
      <c r="AF260" t="s">
        <v>1683</v>
      </c>
      <c r="AG260" t="s">
        <v>1255</v>
      </c>
      <c r="AH260">
        <v>40</v>
      </c>
      <c r="AI260">
        <v>1</v>
      </c>
      <c r="AJ260">
        <v>0</v>
      </c>
      <c r="AK260">
        <v>192.15</v>
      </c>
      <c r="AN260" t="s">
        <v>1998</v>
      </c>
      <c r="AO260">
        <v>24000</v>
      </c>
      <c r="AQ260" t="s">
        <v>2031</v>
      </c>
      <c r="AR260" t="s">
        <v>1341</v>
      </c>
      <c r="AS260" t="s">
        <v>2036</v>
      </c>
      <c r="AT260" t="s">
        <v>2037</v>
      </c>
      <c r="AU260">
        <v>1.3</v>
      </c>
      <c r="AV260" t="s">
        <v>216</v>
      </c>
      <c r="AW260" t="s">
        <v>2061</v>
      </c>
      <c r="AX260" t="s">
        <v>2079</v>
      </c>
    </row>
    <row r="261" spans="1:50">
      <c r="A261" s="1">
        <f>HYPERLINK("https://lsnyc.legalserver.org/matter/dynamic-profile/view/1903011","19-1903011")</f>
        <v>0</v>
      </c>
      <c r="B261" t="s">
        <v>97</v>
      </c>
      <c r="C261" t="s">
        <v>118</v>
      </c>
      <c r="D261" t="s">
        <v>185</v>
      </c>
      <c r="F261" t="s">
        <v>434</v>
      </c>
      <c r="G261" t="s">
        <v>712</v>
      </c>
      <c r="H261" t="s">
        <v>882</v>
      </c>
      <c r="I261">
        <v>509</v>
      </c>
      <c r="J261" t="s">
        <v>1161</v>
      </c>
      <c r="K261">
        <v>10029</v>
      </c>
      <c r="L261" t="s">
        <v>1175</v>
      </c>
      <c r="M261" t="s">
        <v>1177</v>
      </c>
      <c r="O261" t="s">
        <v>1285</v>
      </c>
      <c r="P261" t="s">
        <v>1298</v>
      </c>
      <c r="R261" t="s">
        <v>1311</v>
      </c>
      <c r="S261" t="s">
        <v>1175</v>
      </c>
      <c r="U261" t="s">
        <v>1313</v>
      </c>
      <c r="V261" t="s">
        <v>1321</v>
      </c>
      <c r="W261" t="s">
        <v>160</v>
      </c>
      <c r="X261">
        <v>905</v>
      </c>
      <c r="Y261" t="s">
        <v>1330</v>
      </c>
      <c r="Z261" t="s">
        <v>1335</v>
      </c>
      <c r="AB261" t="s">
        <v>1600</v>
      </c>
      <c r="AD261" t="s">
        <v>1917</v>
      </c>
      <c r="AE261">
        <v>108</v>
      </c>
      <c r="AF261" t="s">
        <v>1976</v>
      </c>
      <c r="AG261" t="s">
        <v>1985</v>
      </c>
      <c r="AH261">
        <v>7</v>
      </c>
      <c r="AI261">
        <v>1</v>
      </c>
      <c r="AJ261">
        <v>2</v>
      </c>
      <c r="AK261">
        <v>192.22</v>
      </c>
      <c r="AN261" t="s">
        <v>1998</v>
      </c>
      <c r="AO261">
        <v>41000</v>
      </c>
      <c r="AP261" t="s">
        <v>2021</v>
      </c>
      <c r="AU261">
        <v>7</v>
      </c>
      <c r="AV261" t="s">
        <v>222</v>
      </c>
      <c r="AW261" t="s">
        <v>2066</v>
      </c>
      <c r="AX261" t="s">
        <v>2079</v>
      </c>
    </row>
    <row r="262" spans="1:50">
      <c r="A262" s="1">
        <f>HYPERLINK("https://lsnyc.legalserver.org/matter/dynamic-profile/view/1902651","19-1902651")</f>
        <v>0</v>
      </c>
      <c r="B262" t="s">
        <v>64</v>
      </c>
      <c r="C262" t="s">
        <v>118</v>
      </c>
      <c r="D262" t="s">
        <v>145</v>
      </c>
      <c r="F262" t="s">
        <v>346</v>
      </c>
      <c r="G262" t="s">
        <v>654</v>
      </c>
      <c r="H262" t="s">
        <v>955</v>
      </c>
      <c r="I262" t="s">
        <v>1033</v>
      </c>
      <c r="J262" t="s">
        <v>1161</v>
      </c>
      <c r="K262">
        <v>10040</v>
      </c>
      <c r="L262" t="s">
        <v>1175</v>
      </c>
      <c r="M262" t="s">
        <v>1177</v>
      </c>
      <c r="N262" t="s">
        <v>1266</v>
      </c>
      <c r="O262" t="s">
        <v>1281</v>
      </c>
      <c r="P262" t="s">
        <v>1298</v>
      </c>
      <c r="R262" t="s">
        <v>1311</v>
      </c>
      <c r="S262" t="s">
        <v>1175</v>
      </c>
      <c r="U262" t="s">
        <v>1313</v>
      </c>
      <c r="V262" t="s">
        <v>1321</v>
      </c>
      <c r="W262" t="s">
        <v>145</v>
      </c>
      <c r="X262">
        <v>1353.32</v>
      </c>
      <c r="Y262" t="s">
        <v>1330</v>
      </c>
      <c r="Z262" t="s">
        <v>1335</v>
      </c>
      <c r="AB262" t="s">
        <v>1601</v>
      </c>
      <c r="AD262" t="s">
        <v>1918</v>
      </c>
      <c r="AE262">
        <v>45</v>
      </c>
      <c r="AF262" t="s">
        <v>1974</v>
      </c>
      <c r="AH262">
        <v>28</v>
      </c>
      <c r="AI262">
        <v>4</v>
      </c>
      <c r="AJ262">
        <v>0</v>
      </c>
      <c r="AK262">
        <v>192.62</v>
      </c>
      <c r="AM262" t="s">
        <v>1995</v>
      </c>
      <c r="AN262" t="s">
        <v>2000</v>
      </c>
      <c r="AO262">
        <v>49600</v>
      </c>
      <c r="AU262">
        <v>3</v>
      </c>
      <c r="AV262" t="s">
        <v>120</v>
      </c>
      <c r="AW262" t="s">
        <v>64</v>
      </c>
      <c r="AX262" t="s">
        <v>2079</v>
      </c>
    </row>
    <row r="263" spans="1:50">
      <c r="A263" s="1">
        <f>HYPERLINK("https://lsnyc.legalserver.org/matter/dynamic-profile/view/1899976","19-1899976")</f>
        <v>0</v>
      </c>
      <c r="B263" t="s">
        <v>52</v>
      </c>
      <c r="C263" t="s">
        <v>118</v>
      </c>
      <c r="D263" t="s">
        <v>138</v>
      </c>
      <c r="F263" t="s">
        <v>435</v>
      </c>
      <c r="G263" t="s">
        <v>713</v>
      </c>
      <c r="H263" t="s">
        <v>774</v>
      </c>
      <c r="I263" t="s">
        <v>997</v>
      </c>
      <c r="J263" t="s">
        <v>1159</v>
      </c>
      <c r="K263">
        <v>10460</v>
      </c>
      <c r="L263" t="s">
        <v>1175</v>
      </c>
      <c r="M263" t="s">
        <v>1177</v>
      </c>
      <c r="O263" t="s">
        <v>1282</v>
      </c>
      <c r="P263" t="s">
        <v>1301</v>
      </c>
      <c r="R263" t="s">
        <v>1311</v>
      </c>
      <c r="S263" t="s">
        <v>1175</v>
      </c>
      <c r="U263" t="s">
        <v>1313</v>
      </c>
      <c r="W263" t="s">
        <v>1325</v>
      </c>
      <c r="X263">
        <v>1018</v>
      </c>
      <c r="Y263" t="s">
        <v>1328</v>
      </c>
      <c r="Z263" t="s">
        <v>1336</v>
      </c>
      <c r="AB263" t="s">
        <v>1602</v>
      </c>
      <c r="AD263" t="s">
        <v>1919</v>
      </c>
      <c r="AE263">
        <v>168</v>
      </c>
      <c r="AF263" t="s">
        <v>1974</v>
      </c>
      <c r="AG263" t="s">
        <v>1985</v>
      </c>
      <c r="AH263">
        <v>14</v>
      </c>
      <c r="AI263">
        <v>1</v>
      </c>
      <c r="AJ263">
        <v>1</v>
      </c>
      <c r="AK263">
        <v>195.88</v>
      </c>
      <c r="AN263" t="s">
        <v>1998</v>
      </c>
      <c r="AO263">
        <v>33124</v>
      </c>
      <c r="AU263">
        <v>0</v>
      </c>
      <c r="AW263" t="s">
        <v>2063</v>
      </c>
      <c r="AX263" t="s">
        <v>2079</v>
      </c>
    </row>
    <row r="264" spans="1:50">
      <c r="A264" s="1">
        <f>HYPERLINK("https://lsnyc.legalserver.org/matter/dynamic-profile/view/1900037","19-1900037")</f>
        <v>0</v>
      </c>
      <c r="B264" t="s">
        <v>52</v>
      </c>
      <c r="C264" t="s">
        <v>118</v>
      </c>
      <c r="D264" t="s">
        <v>138</v>
      </c>
      <c r="F264" t="s">
        <v>436</v>
      </c>
      <c r="G264" t="s">
        <v>714</v>
      </c>
      <c r="H264" t="s">
        <v>774</v>
      </c>
      <c r="I264" t="s">
        <v>1003</v>
      </c>
      <c r="J264" t="s">
        <v>1159</v>
      </c>
      <c r="K264">
        <v>10460</v>
      </c>
      <c r="L264" t="s">
        <v>1175</v>
      </c>
      <c r="M264" t="s">
        <v>1177</v>
      </c>
      <c r="O264" t="s">
        <v>1282</v>
      </c>
      <c r="P264" t="s">
        <v>1301</v>
      </c>
      <c r="R264" t="s">
        <v>1311</v>
      </c>
      <c r="S264" t="s">
        <v>1175</v>
      </c>
      <c r="U264" t="s">
        <v>1313</v>
      </c>
      <c r="W264" t="s">
        <v>1325</v>
      </c>
      <c r="X264">
        <v>582</v>
      </c>
      <c r="Y264" t="s">
        <v>1328</v>
      </c>
      <c r="Z264" t="s">
        <v>1336</v>
      </c>
      <c r="AB264" t="s">
        <v>1603</v>
      </c>
      <c r="AE264">
        <v>168</v>
      </c>
      <c r="AF264" t="s">
        <v>1974</v>
      </c>
      <c r="AG264" t="s">
        <v>1985</v>
      </c>
      <c r="AH264">
        <v>3</v>
      </c>
      <c r="AI264">
        <v>1</v>
      </c>
      <c r="AJ264">
        <v>0</v>
      </c>
      <c r="AK264">
        <v>196.77</v>
      </c>
      <c r="AN264" t="s">
        <v>1998</v>
      </c>
      <c r="AO264">
        <v>24576</v>
      </c>
      <c r="AU264">
        <v>0</v>
      </c>
      <c r="AW264" t="s">
        <v>2063</v>
      </c>
      <c r="AX264" t="s">
        <v>2079</v>
      </c>
    </row>
    <row r="265" spans="1:50">
      <c r="A265" s="1">
        <f>HYPERLINK("https://lsnyc.legalserver.org/matter/dynamic-profile/view/1882836","18-1882836")</f>
        <v>0</v>
      </c>
      <c r="B265" t="s">
        <v>65</v>
      </c>
      <c r="C265" t="s">
        <v>118</v>
      </c>
      <c r="D265" t="s">
        <v>179</v>
      </c>
      <c r="F265" t="s">
        <v>261</v>
      </c>
      <c r="G265" t="s">
        <v>690</v>
      </c>
      <c r="H265" t="s">
        <v>865</v>
      </c>
      <c r="I265" t="s">
        <v>1132</v>
      </c>
      <c r="J265" t="s">
        <v>1159</v>
      </c>
      <c r="K265">
        <v>10458</v>
      </c>
      <c r="L265" t="s">
        <v>1175</v>
      </c>
      <c r="M265" t="s">
        <v>1175</v>
      </c>
      <c r="N265" t="s">
        <v>1267</v>
      </c>
      <c r="O265" t="s">
        <v>1285</v>
      </c>
      <c r="P265" t="s">
        <v>1298</v>
      </c>
      <c r="R265" t="s">
        <v>1311</v>
      </c>
      <c r="S265" t="s">
        <v>1175</v>
      </c>
      <c r="U265" t="s">
        <v>1313</v>
      </c>
      <c r="W265" t="s">
        <v>1325</v>
      </c>
      <c r="X265">
        <v>1129.54</v>
      </c>
      <c r="Y265" t="s">
        <v>1328</v>
      </c>
      <c r="Z265" t="s">
        <v>1336</v>
      </c>
      <c r="AB265" t="s">
        <v>1604</v>
      </c>
      <c r="AD265" t="s">
        <v>1920</v>
      </c>
      <c r="AE265">
        <v>0</v>
      </c>
      <c r="AF265" t="s">
        <v>1974</v>
      </c>
      <c r="AG265" t="s">
        <v>1255</v>
      </c>
      <c r="AH265">
        <v>4</v>
      </c>
      <c r="AI265">
        <v>1</v>
      </c>
      <c r="AJ265">
        <v>0</v>
      </c>
      <c r="AK265">
        <v>197.69</v>
      </c>
      <c r="AN265" t="s">
        <v>1998</v>
      </c>
      <c r="AO265">
        <v>24000</v>
      </c>
      <c r="AU265">
        <v>0.5</v>
      </c>
      <c r="AV265" t="s">
        <v>207</v>
      </c>
      <c r="AW265" t="s">
        <v>2053</v>
      </c>
      <c r="AX265" t="s">
        <v>2079</v>
      </c>
    </row>
    <row r="266" spans="1:50">
      <c r="A266" s="1">
        <f>HYPERLINK("https://lsnyc.legalserver.org/matter/dynamic-profile/view/1902417","19-1902417")</f>
        <v>0</v>
      </c>
      <c r="B266" t="s">
        <v>90</v>
      </c>
      <c r="C266" t="s">
        <v>118</v>
      </c>
      <c r="D266" t="s">
        <v>164</v>
      </c>
      <c r="F266" t="s">
        <v>437</v>
      </c>
      <c r="G266" t="s">
        <v>715</v>
      </c>
      <c r="H266" t="s">
        <v>956</v>
      </c>
      <c r="I266" t="s">
        <v>1056</v>
      </c>
      <c r="J266" t="s">
        <v>1161</v>
      </c>
      <c r="K266">
        <v>10029</v>
      </c>
      <c r="L266" t="s">
        <v>1175</v>
      </c>
      <c r="M266" t="s">
        <v>1177</v>
      </c>
      <c r="N266" t="s">
        <v>1268</v>
      </c>
      <c r="O266" t="s">
        <v>1284</v>
      </c>
      <c r="P266" t="s">
        <v>1303</v>
      </c>
      <c r="R266" t="s">
        <v>1311</v>
      </c>
      <c r="S266" t="s">
        <v>1176</v>
      </c>
      <c r="U266" t="s">
        <v>1314</v>
      </c>
      <c r="W266" t="s">
        <v>164</v>
      </c>
      <c r="X266">
        <v>1124</v>
      </c>
      <c r="Y266" t="s">
        <v>1330</v>
      </c>
      <c r="AB266" t="s">
        <v>1605</v>
      </c>
      <c r="AD266" t="s">
        <v>1921</v>
      </c>
      <c r="AE266">
        <v>0</v>
      </c>
      <c r="AF266" t="s">
        <v>1976</v>
      </c>
      <c r="AG266" t="s">
        <v>1985</v>
      </c>
      <c r="AH266">
        <v>2</v>
      </c>
      <c r="AI266">
        <v>1</v>
      </c>
      <c r="AJ266">
        <v>0</v>
      </c>
      <c r="AK266">
        <v>200.16</v>
      </c>
      <c r="AN266" t="s">
        <v>1998</v>
      </c>
      <c r="AO266">
        <v>25000</v>
      </c>
      <c r="AU266">
        <v>1.7</v>
      </c>
      <c r="AV266" t="s">
        <v>215</v>
      </c>
      <c r="AW266" t="s">
        <v>2073</v>
      </c>
      <c r="AX266" t="s">
        <v>2079</v>
      </c>
    </row>
    <row r="267" spans="1:50">
      <c r="A267" s="1">
        <f>HYPERLINK("https://lsnyc.legalserver.org/matter/dynamic-profile/view/1900996","19-1900996")</f>
        <v>0</v>
      </c>
      <c r="B267" t="s">
        <v>68</v>
      </c>
      <c r="C267" t="s">
        <v>119</v>
      </c>
      <c r="D267" t="s">
        <v>137</v>
      </c>
      <c r="E267" t="s">
        <v>122</v>
      </c>
      <c r="F267" t="s">
        <v>438</v>
      </c>
      <c r="G267" t="s">
        <v>716</v>
      </c>
      <c r="H267" t="s">
        <v>957</v>
      </c>
      <c r="I267" t="s">
        <v>1056</v>
      </c>
      <c r="J267" t="s">
        <v>1159</v>
      </c>
      <c r="K267">
        <v>10452</v>
      </c>
      <c r="L267" t="s">
        <v>1175</v>
      </c>
      <c r="M267" t="s">
        <v>1177</v>
      </c>
      <c r="O267" t="s">
        <v>1282</v>
      </c>
      <c r="P267" t="s">
        <v>1299</v>
      </c>
      <c r="Q267" t="s">
        <v>1305</v>
      </c>
      <c r="R267" t="s">
        <v>1311</v>
      </c>
      <c r="S267" t="s">
        <v>1176</v>
      </c>
      <c r="U267" t="s">
        <v>1313</v>
      </c>
      <c r="W267" t="s">
        <v>215</v>
      </c>
      <c r="X267">
        <v>1085</v>
      </c>
      <c r="Y267" t="s">
        <v>1328</v>
      </c>
      <c r="Z267" t="s">
        <v>1340</v>
      </c>
      <c r="AA267" t="s">
        <v>1346</v>
      </c>
      <c r="AB267" t="s">
        <v>1606</v>
      </c>
      <c r="AD267" t="s">
        <v>1922</v>
      </c>
      <c r="AE267">
        <v>39</v>
      </c>
      <c r="AG267" t="s">
        <v>1255</v>
      </c>
      <c r="AH267">
        <v>20</v>
      </c>
      <c r="AI267">
        <v>1</v>
      </c>
      <c r="AJ267">
        <v>0</v>
      </c>
      <c r="AK267">
        <v>200.32</v>
      </c>
      <c r="AN267" t="s">
        <v>1998</v>
      </c>
      <c r="AO267">
        <v>25020</v>
      </c>
      <c r="AU267">
        <v>1</v>
      </c>
      <c r="AV267" t="s">
        <v>125</v>
      </c>
      <c r="AW267" t="s">
        <v>112</v>
      </c>
      <c r="AX267" t="s">
        <v>2079</v>
      </c>
    </row>
    <row r="268" spans="1:50">
      <c r="A268" s="1">
        <f>HYPERLINK("https://lsnyc.legalserver.org/matter/dynamic-profile/view/1899509","19-1899509")</f>
        <v>0</v>
      </c>
      <c r="B268" t="s">
        <v>87</v>
      </c>
      <c r="C268" t="s">
        <v>118</v>
      </c>
      <c r="D268" t="s">
        <v>158</v>
      </c>
      <c r="F268" t="s">
        <v>367</v>
      </c>
      <c r="G268" t="s">
        <v>717</v>
      </c>
      <c r="H268" t="s">
        <v>958</v>
      </c>
      <c r="I268" t="s">
        <v>1056</v>
      </c>
      <c r="J268" t="s">
        <v>1159</v>
      </c>
      <c r="K268">
        <v>10452</v>
      </c>
      <c r="L268" t="s">
        <v>1175</v>
      </c>
      <c r="M268" t="s">
        <v>1177</v>
      </c>
      <c r="O268" t="s">
        <v>1282</v>
      </c>
      <c r="P268" t="s">
        <v>1299</v>
      </c>
      <c r="R268" t="s">
        <v>1311</v>
      </c>
      <c r="S268" t="s">
        <v>1176</v>
      </c>
      <c r="U268" t="s">
        <v>1313</v>
      </c>
      <c r="W268" t="s">
        <v>1325</v>
      </c>
      <c r="X268">
        <v>1153</v>
      </c>
      <c r="Y268" t="s">
        <v>1328</v>
      </c>
      <c r="Z268" t="s">
        <v>1336</v>
      </c>
      <c r="AB268" t="s">
        <v>1607</v>
      </c>
      <c r="AD268" t="s">
        <v>1923</v>
      </c>
      <c r="AE268">
        <v>61</v>
      </c>
      <c r="AF268" t="s">
        <v>1683</v>
      </c>
      <c r="AG268" t="s">
        <v>1985</v>
      </c>
      <c r="AH268">
        <v>4</v>
      </c>
      <c r="AI268">
        <v>1</v>
      </c>
      <c r="AJ268">
        <v>0</v>
      </c>
      <c r="AK268">
        <v>200.62</v>
      </c>
      <c r="AN268" t="s">
        <v>2000</v>
      </c>
      <c r="AO268">
        <v>25057.2</v>
      </c>
      <c r="AP268" t="s">
        <v>2022</v>
      </c>
      <c r="AU268">
        <v>0.5</v>
      </c>
      <c r="AV268" t="s">
        <v>160</v>
      </c>
      <c r="AW268" t="s">
        <v>2053</v>
      </c>
      <c r="AX268" t="s">
        <v>2079</v>
      </c>
    </row>
    <row r="269" spans="1:50">
      <c r="A269" s="1">
        <f>HYPERLINK("https://lsnyc.legalserver.org/matter/dynamic-profile/view/1901441","19-1901441")</f>
        <v>0</v>
      </c>
      <c r="B269" t="s">
        <v>56</v>
      </c>
      <c r="C269" t="s">
        <v>118</v>
      </c>
      <c r="D269" t="s">
        <v>148</v>
      </c>
      <c r="F269" t="s">
        <v>439</v>
      </c>
      <c r="G269" t="s">
        <v>592</v>
      </c>
      <c r="H269" t="s">
        <v>809</v>
      </c>
      <c r="I269" t="s">
        <v>1124</v>
      </c>
      <c r="J269" t="s">
        <v>1159</v>
      </c>
      <c r="K269">
        <v>10452</v>
      </c>
      <c r="L269" t="s">
        <v>1175</v>
      </c>
      <c r="M269" t="s">
        <v>1177</v>
      </c>
      <c r="O269" t="s">
        <v>1283</v>
      </c>
      <c r="P269" t="s">
        <v>1300</v>
      </c>
      <c r="R269" t="s">
        <v>1311</v>
      </c>
      <c r="S269" t="s">
        <v>1175</v>
      </c>
      <c r="U269" t="s">
        <v>1313</v>
      </c>
      <c r="W269" t="s">
        <v>1325</v>
      </c>
      <c r="X269">
        <v>1151.46</v>
      </c>
      <c r="Y269" t="s">
        <v>1328</v>
      </c>
      <c r="Z269" t="s">
        <v>1336</v>
      </c>
      <c r="AB269" t="s">
        <v>1608</v>
      </c>
      <c r="AD269" t="s">
        <v>1924</v>
      </c>
      <c r="AE269">
        <v>52</v>
      </c>
      <c r="AF269" t="s">
        <v>1974</v>
      </c>
      <c r="AG269" t="s">
        <v>1255</v>
      </c>
      <c r="AH269">
        <v>7</v>
      </c>
      <c r="AI269">
        <v>1</v>
      </c>
      <c r="AJ269">
        <v>0</v>
      </c>
      <c r="AK269">
        <v>201.7</v>
      </c>
      <c r="AN269" t="s">
        <v>1998</v>
      </c>
      <c r="AO269">
        <v>25192</v>
      </c>
      <c r="AU269">
        <v>0</v>
      </c>
      <c r="AW269" t="s">
        <v>112</v>
      </c>
      <c r="AX269" t="s">
        <v>2079</v>
      </c>
    </row>
    <row r="270" spans="1:50">
      <c r="A270" s="1">
        <f>HYPERLINK("https://lsnyc.legalserver.org/matter/dynamic-profile/view/1901677","19-1901677")</f>
        <v>0</v>
      </c>
      <c r="B270" t="s">
        <v>111</v>
      </c>
      <c r="C270" t="s">
        <v>118</v>
      </c>
      <c r="D270" t="s">
        <v>142</v>
      </c>
      <c r="F270" t="s">
        <v>440</v>
      </c>
      <c r="G270" t="s">
        <v>718</v>
      </c>
      <c r="H270" t="s">
        <v>959</v>
      </c>
      <c r="I270" t="s">
        <v>1042</v>
      </c>
      <c r="J270" t="s">
        <v>1162</v>
      </c>
      <c r="K270">
        <v>11207</v>
      </c>
      <c r="L270" t="s">
        <v>1175</v>
      </c>
      <c r="M270" t="s">
        <v>1177</v>
      </c>
      <c r="N270" t="s">
        <v>1255</v>
      </c>
      <c r="O270" t="s">
        <v>1282</v>
      </c>
      <c r="R270" t="s">
        <v>1311</v>
      </c>
      <c r="S270" t="s">
        <v>1176</v>
      </c>
      <c r="U270" t="s">
        <v>1313</v>
      </c>
      <c r="V270" t="s">
        <v>1321</v>
      </c>
      <c r="W270" t="s">
        <v>145</v>
      </c>
      <c r="X270">
        <v>846.5</v>
      </c>
      <c r="Y270" t="s">
        <v>1331</v>
      </c>
      <c r="Z270" t="s">
        <v>1337</v>
      </c>
      <c r="AB270" t="s">
        <v>1609</v>
      </c>
      <c r="AC270" t="s">
        <v>1255</v>
      </c>
      <c r="AD270" t="s">
        <v>1925</v>
      </c>
      <c r="AE270">
        <v>241</v>
      </c>
      <c r="AF270" t="s">
        <v>1974</v>
      </c>
      <c r="AG270" t="s">
        <v>1255</v>
      </c>
      <c r="AH270">
        <v>1</v>
      </c>
      <c r="AI270">
        <v>1</v>
      </c>
      <c r="AJ270">
        <v>0</v>
      </c>
      <c r="AK270">
        <v>201.76</v>
      </c>
      <c r="AM270" t="s">
        <v>1996</v>
      </c>
      <c r="AN270" t="s">
        <v>1998</v>
      </c>
      <c r="AO270">
        <v>25200</v>
      </c>
      <c r="AP270" t="s">
        <v>2023</v>
      </c>
      <c r="AU270">
        <v>4.1</v>
      </c>
      <c r="AV270" t="s">
        <v>160</v>
      </c>
      <c r="AW270" t="s">
        <v>2067</v>
      </c>
      <c r="AX270" t="s">
        <v>2079</v>
      </c>
    </row>
    <row r="271" spans="1:50">
      <c r="A271" s="1">
        <f>HYPERLINK("https://lsnyc.legalserver.org/matter/dynamic-profile/view/1900001","19-1900001")</f>
        <v>0</v>
      </c>
      <c r="B271" t="s">
        <v>52</v>
      </c>
      <c r="C271" t="s">
        <v>118</v>
      </c>
      <c r="D271" t="s">
        <v>138</v>
      </c>
      <c r="F271" t="s">
        <v>441</v>
      </c>
      <c r="G271" t="s">
        <v>719</v>
      </c>
      <c r="H271" t="s">
        <v>774</v>
      </c>
      <c r="I271" t="s">
        <v>1133</v>
      </c>
      <c r="J271" t="s">
        <v>1159</v>
      </c>
      <c r="K271">
        <v>10460</v>
      </c>
      <c r="L271" t="s">
        <v>1175</v>
      </c>
      <c r="M271" t="s">
        <v>1177</v>
      </c>
      <c r="O271" t="s">
        <v>1282</v>
      </c>
      <c r="P271" t="s">
        <v>1301</v>
      </c>
      <c r="R271" t="s">
        <v>1311</v>
      </c>
      <c r="S271" t="s">
        <v>1175</v>
      </c>
      <c r="U271" t="s">
        <v>1313</v>
      </c>
      <c r="W271" t="s">
        <v>1325</v>
      </c>
      <c r="X271">
        <v>1960</v>
      </c>
      <c r="Y271" t="s">
        <v>1328</v>
      </c>
      <c r="Z271" t="s">
        <v>1336</v>
      </c>
      <c r="AB271" t="s">
        <v>1610</v>
      </c>
      <c r="AD271" t="s">
        <v>1926</v>
      </c>
      <c r="AE271">
        <v>168</v>
      </c>
      <c r="AF271" t="s">
        <v>1976</v>
      </c>
      <c r="AG271" t="s">
        <v>1985</v>
      </c>
      <c r="AH271">
        <v>11</v>
      </c>
      <c r="AI271">
        <v>1</v>
      </c>
      <c r="AJ271">
        <v>1</v>
      </c>
      <c r="AK271">
        <v>206.98</v>
      </c>
      <c r="AN271" t="s">
        <v>1998</v>
      </c>
      <c r="AO271">
        <v>35000</v>
      </c>
      <c r="AU271">
        <v>0</v>
      </c>
      <c r="AW271" t="s">
        <v>112</v>
      </c>
      <c r="AX271" t="s">
        <v>2079</v>
      </c>
    </row>
    <row r="272" spans="1:50">
      <c r="A272" s="1">
        <f>HYPERLINK("https://lsnyc.legalserver.org/matter/dynamic-profile/view/1900007","19-1900007")</f>
        <v>0</v>
      </c>
      <c r="B272" t="s">
        <v>112</v>
      </c>
      <c r="C272" t="s">
        <v>118</v>
      </c>
      <c r="D272" t="s">
        <v>138</v>
      </c>
      <c r="F272" t="s">
        <v>442</v>
      </c>
      <c r="G272" t="s">
        <v>720</v>
      </c>
      <c r="H272" t="s">
        <v>774</v>
      </c>
      <c r="I272" t="s">
        <v>1134</v>
      </c>
      <c r="J272" t="s">
        <v>1159</v>
      </c>
      <c r="K272">
        <v>10460</v>
      </c>
      <c r="L272" t="s">
        <v>1175</v>
      </c>
      <c r="M272" t="s">
        <v>1177</v>
      </c>
      <c r="O272" t="s">
        <v>1282</v>
      </c>
      <c r="P272" t="s">
        <v>1301</v>
      </c>
      <c r="R272" t="s">
        <v>1311</v>
      </c>
      <c r="S272" t="s">
        <v>1175</v>
      </c>
      <c r="U272" t="s">
        <v>1313</v>
      </c>
      <c r="W272" t="s">
        <v>1325</v>
      </c>
      <c r="X272">
        <v>1169</v>
      </c>
      <c r="Y272" t="s">
        <v>1328</v>
      </c>
      <c r="Z272" t="s">
        <v>1336</v>
      </c>
      <c r="AB272" t="s">
        <v>1611</v>
      </c>
      <c r="AE272">
        <v>168</v>
      </c>
      <c r="AF272" t="s">
        <v>1974</v>
      </c>
      <c r="AG272" t="s">
        <v>1985</v>
      </c>
      <c r="AH272">
        <v>-1</v>
      </c>
      <c r="AI272">
        <v>2</v>
      </c>
      <c r="AJ272">
        <v>0</v>
      </c>
      <c r="AK272">
        <v>206.98</v>
      </c>
      <c r="AN272" t="s">
        <v>1998</v>
      </c>
      <c r="AO272">
        <v>35000</v>
      </c>
      <c r="AU272">
        <v>0</v>
      </c>
      <c r="AW272" t="s">
        <v>112</v>
      </c>
      <c r="AX272" t="s">
        <v>2079</v>
      </c>
    </row>
    <row r="273" spans="1:50">
      <c r="A273" s="1">
        <f>HYPERLINK("https://lsnyc.legalserver.org/matter/dynamic-profile/view/1903053","19-1903053")</f>
        <v>0</v>
      </c>
      <c r="B273" t="s">
        <v>66</v>
      </c>
      <c r="C273" t="s">
        <v>118</v>
      </c>
      <c r="D273" t="s">
        <v>185</v>
      </c>
      <c r="F273" t="s">
        <v>443</v>
      </c>
      <c r="G273" t="s">
        <v>626</v>
      </c>
      <c r="H273" t="s">
        <v>826</v>
      </c>
      <c r="I273" t="s">
        <v>1040</v>
      </c>
      <c r="J273" t="s">
        <v>1159</v>
      </c>
      <c r="K273">
        <v>10463</v>
      </c>
      <c r="L273" t="s">
        <v>1175</v>
      </c>
      <c r="M273" t="s">
        <v>1177</v>
      </c>
      <c r="N273" t="s">
        <v>1269</v>
      </c>
      <c r="O273" t="s">
        <v>1281</v>
      </c>
      <c r="P273" t="s">
        <v>1298</v>
      </c>
      <c r="R273" t="s">
        <v>1311</v>
      </c>
      <c r="S273" t="s">
        <v>1176</v>
      </c>
      <c r="U273" t="s">
        <v>1313</v>
      </c>
      <c r="W273" t="s">
        <v>185</v>
      </c>
      <c r="X273">
        <v>948</v>
      </c>
      <c r="Y273" t="s">
        <v>1328</v>
      </c>
      <c r="Z273" t="s">
        <v>1336</v>
      </c>
      <c r="AB273" t="s">
        <v>1612</v>
      </c>
      <c r="AD273" t="s">
        <v>1927</v>
      </c>
      <c r="AE273">
        <v>55</v>
      </c>
      <c r="AF273" t="s">
        <v>1974</v>
      </c>
      <c r="AG273" t="s">
        <v>1255</v>
      </c>
      <c r="AH273">
        <v>10</v>
      </c>
      <c r="AI273">
        <v>1</v>
      </c>
      <c r="AJ273">
        <v>0</v>
      </c>
      <c r="AK273">
        <v>208.17</v>
      </c>
      <c r="AN273" t="s">
        <v>2000</v>
      </c>
      <c r="AO273">
        <v>26000</v>
      </c>
      <c r="AP273" t="s">
        <v>2024</v>
      </c>
      <c r="AU273">
        <v>2.1</v>
      </c>
      <c r="AV273" t="s">
        <v>163</v>
      </c>
      <c r="AW273" t="s">
        <v>112</v>
      </c>
      <c r="AX273" t="s">
        <v>2079</v>
      </c>
    </row>
    <row r="274" spans="1:50">
      <c r="A274" s="1">
        <f>HYPERLINK("https://lsnyc.legalserver.org/matter/dynamic-profile/view/1903247","19-1903247")</f>
        <v>0</v>
      </c>
      <c r="B274" t="s">
        <v>97</v>
      </c>
      <c r="C274" t="s">
        <v>118</v>
      </c>
      <c r="D274" t="s">
        <v>121</v>
      </c>
      <c r="F274" t="s">
        <v>311</v>
      </c>
      <c r="G274" t="s">
        <v>721</v>
      </c>
      <c r="H274" t="s">
        <v>960</v>
      </c>
      <c r="I274">
        <v>34</v>
      </c>
      <c r="J274" t="s">
        <v>1161</v>
      </c>
      <c r="K274">
        <v>10039</v>
      </c>
      <c r="L274" t="s">
        <v>1175</v>
      </c>
      <c r="M274" t="s">
        <v>1177</v>
      </c>
      <c r="N274" t="s">
        <v>1270</v>
      </c>
      <c r="O274" t="s">
        <v>1297</v>
      </c>
      <c r="P274" t="s">
        <v>1298</v>
      </c>
      <c r="R274" t="s">
        <v>1311</v>
      </c>
      <c r="S274" t="s">
        <v>1175</v>
      </c>
      <c r="U274" t="s">
        <v>1313</v>
      </c>
      <c r="V274" t="s">
        <v>1321</v>
      </c>
      <c r="W274" t="s">
        <v>121</v>
      </c>
      <c r="X274">
        <v>1600</v>
      </c>
      <c r="Y274" t="s">
        <v>1330</v>
      </c>
      <c r="Z274" t="s">
        <v>1335</v>
      </c>
      <c r="AB274" t="s">
        <v>1613</v>
      </c>
      <c r="AD274" t="s">
        <v>1928</v>
      </c>
      <c r="AE274">
        <v>34</v>
      </c>
      <c r="AF274" t="s">
        <v>1973</v>
      </c>
      <c r="AG274" t="s">
        <v>1255</v>
      </c>
      <c r="AH274">
        <v>4</v>
      </c>
      <c r="AI274">
        <v>1</v>
      </c>
      <c r="AJ274">
        <v>0</v>
      </c>
      <c r="AK274">
        <v>215.69</v>
      </c>
      <c r="AN274" t="s">
        <v>1998</v>
      </c>
      <c r="AO274">
        <v>26940</v>
      </c>
      <c r="AU274">
        <v>2.5</v>
      </c>
      <c r="AV274" t="s">
        <v>163</v>
      </c>
      <c r="AW274" t="s">
        <v>2066</v>
      </c>
      <c r="AX274" t="s">
        <v>2079</v>
      </c>
    </row>
    <row r="275" spans="1:50">
      <c r="A275" s="1">
        <f>HYPERLINK("https://lsnyc.legalserver.org/matter/dynamic-profile/view/1892621","19-1892621")</f>
        <v>0</v>
      </c>
      <c r="B275" t="s">
        <v>71</v>
      </c>
      <c r="C275" t="s">
        <v>118</v>
      </c>
      <c r="D275" t="s">
        <v>203</v>
      </c>
      <c r="F275" t="s">
        <v>444</v>
      </c>
      <c r="G275" t="s">
        <v>722</v>
      </c>
      <c r="H275" t="s">
        <v>807</v>
      </c>
      <c r="I275" t="s">
        <v>1135</v>
      </c>
      <c r="J275" t="s">
        <v>1159</v>
      </c>
      <c r="K275">
        <v>10453</v>
      </c>
      <c r="L275" t="s">
        <v>1175</v>
      </c>
      <c r="M275" t="s">
        <v>1175</v>
      </c>
      <c r="O275" t="s">
        <v>1283</v>
      </c>
      <c r="P275" t="s">
        <v>1300</v>
      </c>
      <c r="R275" t="s">
        <v>1311</v>
      </c>
      <c r="S275" t="s">
        <v>1175</v>
      </c>
      <c r="U275" t="s">
        <v>1313</v>
      </c>
      <c r="W275" t="s">
        <v>206</v>
      </c>
      <c r="X275">
        <v>1317</v>
      </c>
      <c r="Y275" t="s">
        <v>1328</v>
      </c>
      <c r="Z275" t="s">
        <v>1336</v>
      </c>
      <c r="AB275" t="s">
        <v>1614</v>
      </c>
      <c r="AE275">
        <v>170</v>
      </c>
      <c r="AF275" t="s">
        <v>1974</v>
      </c>
      <c r="AG275" t="s">
        <v>1255</v>
      </c>
      <c r="AH275">
        <v>3</v>
      </c>
      <c r="AI275">
        <v>2</v>
      </c>
      <c r="AJ275">
        <v>0</v>
      </c>
      <c r="AK275">
        <v>223.54</v>
      </c>
      <c r="AN275" t="s">
        <v>2000</v>
      </c>
      <c r="AO275">
        <v>37800</v>
      </c>
      <c r="AU275">
        <v>0</v>
      </c>
      <c r="AW275" t="s">
        <v>2063</v>
      </c>
      <c r="AX275" t="s">
        <v>2079</v>
      </c>
    </row>
    <row r="276" spans="1:50">
      <c r="A276" s="1">
        <f>HYPERLINK("https://lsnyc.legalserver.org/matter/dynamic-profile/view/1892615","19-1892615")</f>
        <v>0</v>
      </c>
      <c r="B276" t="s">
        <v>71</v>
      </c>
      <c r="C276" t="s">
        <v>118</v>
      </c>
      <c r="D276" t="s">
        <v>203</v>
      </c>
      <c r="F276" t="s">
        <v>444</v>
      </c>
      <c r="G276" t="s">
        <v>722</v>
      </c>
      <c r="H276" t="s">
        <v>807</v>
      </c>
      <c r="I276" t="s">
        <v>1135</v>
      </c>
      <c r="J276" t="s">
        <v>1159</v>
      </c>
      <c r="K276">
        <v>10453</v>
      </c>
      <c r="L276" t="s">
        <v>1175</v>
      </c>
      <c r="M276" t="s">
        <v>1175</v>
      </c>
      <c r="N276" t="s">
        <v>1271</v>
      </c>
      <c r="O276" t="s">
        <v>1285</v>
      </c>
      <c r="P276" t="s">
        <v>1298</v>
      </c>
      <c r="R276" t="s">
        <v>1311</v>
      </c>
      <c r="S276" t="s">
        <v>1175</v>
      </c>
      <c r="U276" t="s">
        <v>1313</v>
      </c>
      <c r="W276" t="s">
        <v>206</v>
      </c>
      <c r="X276">
        <v>1317</v>
      </c>
      <c r="Y276" t="s">
        <v>1328</v>
      </c>
      <c r="Z276" t="s">
        <v>1336</v>
      </c>
      <c r="AB276" t="s">
        <v>1614</v>
      </c>
      <c r="AE276">
        <v>170</v>
      </c>
      <c r="AF276" t="s">
        <v>1974</v>
      </c>
      <c r="AG276" t="s">
        <v>1255</v>
      </c>
      <c r="AH276">
        <v>3</v>
      </c>
      <c r="AI276">
        <v>2</v>
      </c>
      <c r="AJ276">
        <v>0</v>
      </c>
      <c r="AK276">
        <v>223.54</v>
      </c>
      <c r="AN276" t="s">
        <v>2000</v>
      </c>
      <c r="AO276">
        <v>37800</v>
      </c>
      <c r="AU276">
        <v>0</v>
      </c>
      <c r="AW276" t="s">
        <v>2063</v>
      </c>
      <c r="AX276" t="s">
        <v>2079</v>
      </c>
    </row>
    <row r="277" spans="1:50">
      <c r="A277" s="1">
        <f>HYPERLINK("https://lsnyc.legalserver.org/matter/dynamic-profile/view/1898952","19-1898952")</f>
        <v>0</v>
      </c>
      <c r="B277" t="s">
        <v>71</v>
      </c>
      <c r="C277" t="s">
        <v>119</v>
      </c>
      <c r="D277" t="s">
        <v>136</v>
      </c>
      <c r="E277" t="s">
        <v>199</v>
      </c>
      <c r="F277" t="s">
        <v>262</v>
      </c>
      <c r="G277" t="s">
        <v>699</v>
      </c>
      <c r="H277" t="s">
        <v>961</v>
      </c>
      <c r="I277" t="s">
        <v>1090</v>
      </c>
      <c r="J277" t="s">
        <v>1159</v>
      </c>
      <c r="K277">
        <v>10453</v>
      </c>
      <c r="L277" t="s">
        <v>1175</v>
      </c>
      <c r="M277" t="s">
        <v>1177</v>
      </c>
      <c r="N277" t="s">
        <v>1272</v>
      </c>
      <c r="O277" t="s">
        <v>1284</v>
      </c>
      <c r="P277" t="s">
        <v>1299</v>
      </c>
      <c r="Q277" t="s">
        <v>1305</v>
      </c>
      <c r="R277" t="s">
        <v>1311</v>
      </c>
      <c r="S277" t="s">
        <v>1176</v>
      </c>
      <c r="U277" t="s">
        <v>1313</v>
      </c>
      <c r="V277" t="s">
        <v>1321</v>
      </c>
      <c r="W277" t="s">
        <v>160</v>
      </c>
      <c r="X277">
        <v>835</v>
      </c>
      <c r="Y277" t="s">
        <v>1328</v>
      </c>
      <c r="Z277" t="s">
        <v>1336</v>
      </c>
      <c r="AA277" t="s">
        <v>1346</v>
      </c>
      <c r="AB277" t="s">
        <v>1615</v>
      </c>
      <c r="AD277" t="s">
        <v>1929</v>
      </c>
      <c r="AE277">
        <v>42</v>
      </c>
      <c r="AF277" t="s">
        <v>1683</v>
      </c>
      <c r="AG277" t="s">
        <v>1255</v>
      </c>
      <c r="AH277">
        <v>2</v>
      </c>
      <c r="AI277">
        <v>1</v>
      </c>
      <c r="AJ277">
        <v>0</v>
      </c>
      <c r="AK277">
        <v>224.18</v>
      </c>
      <c r="AN277" t="s">
        <v>1998</v>
      </c>
      <c r="AO277">
        <v>28000</v>
      </c>
      <c r="AU277">
        <v>0.6</v>
      </c>
      <c r="AV277" t="s">
        <v>199</v>
      </c>
      <c r="AW277" t="s">
        <v>2052</v>
      </c>
      <c r="AX277" t="s">
        <v>2079</v>
      </c>
    </row>
    <row r="278" spans="1:50">
      <c r="A278" s="1">
        <f>HYPERLINK("https://lsnyc.legalserver.org/matter/dynamic-profile/view/1902040","19-1902040")</f>
        <v>0</v>
      </c>
      <c r="B278" t="s">
        <v>101</v>
      </c>
      <c r="C278" t="s">
        <v>118</v>
      </c>
      <c r="D278" t="s">
        <v>132</v>
      </c>
      <c r="F278" t="s">
        <v>227</v>
      </c>
      <c r="G278" t="s">
        <v>723</v>
      </c>
      <c r="H278" t="s">
        <v>934</v>
      </c>
      <c r="I278" t="s">
        <v>1048</v>
      </c>
      <c r="J278" t="s">
        <v>1161</v>
      </c>
      <c r="K278">
        <v>10034</v>
      </c>
      <c r="L278" t="s">
        <v>1175</v>
      </c>
      <c r="M278" t="s">
        <v>1177</v>
      </c>
      <c r="P278" t="s">
        <v>1302</v>
      </c>
      <c r="R278" t="s">
        <v>1311</v>
      </c>
      <c r="U278" t="s">
        <v>1313</v>
      </c>
      <c r="W278" t="s">
        <v>132</v>
      </c>
      <c r="X278">
        <v>2084</v>
      </c>
      <c r="Y278" t="s">
        <v>1330</v>
      </c>
      <c r="Z278" t="s">
        <v>1338</v>
      </c>
      <c r="AB278" t="s">
        <v>1616</v>
      </c>
      <c r="AD278" t="s">
        <v>1930</v>
      </c>
      <c r="AE278">
        <v>126</v>
      </c>
      <c r="AF278" t="s">
        <v>1974</v>
      </c>
      <c r="AG278" t="s">
        <v>1985</v>
      </c>
      <c r="AH278">
        <v>38</v>
      </c>
      <c r="AI278">
        <v>2</v>
      </c>
      <c r="AJ278">
        <v>1</v>
      </c>
      <c r="AK278">
        <v>227.85</v>
      </c>
      <c r="AN278" t="s">
        <v>2000</v>
      </c>
      <c r="AO278">
        <v>48600</v>
      </c>
      <c r="AU278">
        <v>1.55</v>
      </c>
      <c r="AV278" t="s">
        <v>157</v>
      </c>
      <c r="AW278" t="s">
        <v>2057</v>
      </c>
      <c r="AX278" t="s">
        <v>2079</v>
      </c>
    </row>
    <row r="279" spans="1:50">
      <c r="A279" s="1">
        <f>HYPERLINK("https://lsnyc.legalserver.org/matter/dynamic-profile/view/1899056","19-1899056")</f>
        <v>0</v>
      </c>
      <c r="B279" t="s">
        <v>66</v>
      </c>
      <c r="C279" t="s">
        <v>118</v>
      </c>
      <c r="D279" t="s">
        <v>140</v>
      </c>
      <c r="F279" t="s">
        <v>445</v>
      </c>
      <c r="G279" t="s">
        <v>536</v>
      </c>
      <c r="H279" t="s">
        <v>884</v>
      </c>
      <c r="I279">
        <v>2</v>
      </c>
      <c r="J279" t="s">
        <v>1159</v>
      </c>
      <c r="K279">
        <v>10456</v>
      </c>
      <c r="L279" t="s">
        <v>1175</v>
      </c>
      <c r="M279" t="s">
        <v>1177</v>
      </c>
      <c r="O279" t="s">
        <v>1284</v>
      </c>
      <c r="P279" t="s">
        <v>1299</v>
      </c>
      <c r="R279" t="s">
        <v>1311</v>
      </c>
      <c r="S279" t="s">
        <v>1176</v>
      </c>
      <c r="U279" t="s">
        <v>1313</v>
      </c>
      <c r="V279" t="s">
        <v>1321</v>
      </c>
      <c r="W279" t="s">
        <v>1325</v>
      </c>
      <c r="X279">
        <v>0</v>
      </c>
      <c r="Y279" t="s">
        <v>1328</v>
      </c>
      <c r="Z279" t="s">
        <v>1336</v>
      </c>
      <c r="AB279" t="s">
        <v>1617</v>
      </c>
      <c r="AD279" t="s">
        <v>1931</v>
      </c>
      <c r="AE279">
        <v>2</v>
      </c>
      <c r="AF279" t="s">
        <v>1683</v>
      </c>
      <c r="AG279" t="s">
        <v>1988</v>
      </c>
      <c r="AH279">
        <v>7</v>
      </c>
      <c r="AI279">
        <v>3</v>
      </c>
      <c r="AJ279">
        <v>1</v>
      </c>
      <c r="AK279">
        <v>232.96</v>
      </c>
      <c r="AN279" t="s">
        <v>1998</v>
      </c>
      <c r="AO279">
        <v>59988</v>
      </c>
      <c r="AU279">
        <v>0.1</v>
      </c>
      <c r="AV279" t="s">
        <v>140</v>
      </c>
      <c r="AW279" t="s">
        <v>2052</v>
      </c>
      <c r="AX279" t="s">
        <v>2079</v>
      </c>
    </row>
    <row r="280" spans="1:50">
      <c r="A280" s="1">
        <f>HYPERLINK("https://lsnyc.legalserver.org/matter/dynamic-profile/view/1873245","18-1873245")</f>
        <v>0</v>
      </c>
      <c r="B280" t="s">
        <v>52</v>
      </c>
      <c r="C280" t="s">
        <v>119</v>
      </c>
      <c r="D280" t="s">
        <v>204</v>
      </c>
      <c r="E280" t="s">
        <v>214</v>
      </c>
      <c r="F280" t="s">
        <v>432</v>
      </c>
      <c r="G280" t="s">
        <v>724</v>
      </c>
      <c r="H280" t="s">
        <v>962</v>
      </c>
      <c r="I280">
        <v>15</v>
      </c>
      <c r="J280" t="s">
        <v>1159</v>
      </c>
      <c r="K280">
        <v>10460</v>
      </c>
      <c r="L280" t="s">
        <v>1175</v>
      </c>
      <c r="M280" t="s">
        <v>1177</v>
      </c>
      <c r="N280" t="s">
        <v>1273</v>
      </c>
      <c r="O280" t="s">
        <v>1281</v>
      </c>
      <c r="P280" t="s">
        <v>1298</v>
      </c>
      <c r="Q280" t="s">
        <v>1308</v>
      </c>
      <c r="R280" t="s">
        <v>1311</v>
      </c>
      <c r="S280" t="s">
        <v>1176</v>
      </c>
      <c r="U280" t="s">
        <v>1313</v>
      </c>
      <c r="V280" t="s">
        <v>1321</v>
      </c>
      <c r="W280" t="s">
        <v>1325</v>
      </c>
      <c r="X280">
        <v>1007</v>
      </c>
      <c r="Y280" t="s">
        <v>1328</v>
      </c>
      <c r="Z280" t="s">
        <v>1339</v>
      </c>
      <c r="AA280" t="s">
        <v>1348</v>
      </c>
      <c r="AB280" t="s">
        <v>1618</v>
      </c>
      <c r="AD280" t="s">
        <v>1932</v>
      </c>
      <c r="AE280">
        <v>30</v>
      </c>
      <c r="AF280" t="s">
        <v>1974</v>
      </c>
      <c r="AG280" t="s">
        <v>1255</v>
      </c>
      <c r="AH280">
        <v>18</v>
      </c>
      <c r="AI280">
        <v>1</v>
      </c>
      <c r="AJ280">
        <v>1</v>
      </c>
      <c r="AK280">
        <v>233.29</v>
      </c>
      <c r="AN280" t="s">
        <v>1998</v>
      </c>
      <c r="AO280">
        <v>38400</v>
      </c>
      <c r="AP280" t="s">
        <v>2025</v>
      </c>
      <c r="AS280" t="s">
        <v>2035</v>
      </c>
      <c r="AT280" t="s">
        <v>2041</v>
      </c>
      <c r="AU280">
        <v>4.5</v>
      </c>
      <c r="AV280" t="s">
        <v>196</v>
      </c>
      <c r="AW280" t="s">
        <v>2053</v>
      </c>
      <c r="AX280" t="s">
        <v>2079</v>
      </c>
    </row>
    <row r="281" spans="1:50">
      <c r="A281" s="1">
        <f>HYPERLINK("https://lsnyc.legalserver.org/matter/dynamic-profile/view/1898954","19-1898954")</f>
        <v>0</v>
      </c>
      <c r="B281" t="s">
        <v>71</v>
      </c>
      <c r="C281" t="s">
        <v>119</v>
      </c>
      <c r="D281" t="s">
        <v>136</v>
      </c>
      <c r="E281" t="s">
        <v>160</v>
      </c>
      <c r="F281" t="s">
        <v>284</v>
      </c>
      <c r="G281" t="s">
        <v>549</v>
      </c>
      <c r="H281" t="s">
        <v>824</v>
      </c>
      <c r="I281">
        <v>205</v>
      </c>
      <c r="J281" t="s">
        <v>1159</v>
      </c>
      <c r="K281">
        <v>10457</v>
      </c>
      <c r="L281" t="s">
        <v>1175</v>
      </c>
      <c r="M281" t="s">
        <v>1177</v>
      </c>
      <c r="P281" t="s">
        <v>1299</v>
      </c>
      <c r="Q281" t="s">
        <v>1305</v>
      </c>
      <c r="R281" t="s">
        <v>1311</v>
      </c>
      <c r="S281" t="s">
        <v>1176</v>
      </c>
      <c r="U281" t="s">
        <v>1313</v>
      </c>
      <c r="W281" t="s">
        <v>1325</v>
      </c>
      <c r="X281">
        <v>530</v>
      </c>
      <c r="Y281" t="s">
        <v>1328</v>
      </c>
      <c r="Z281" t="s">
        <v>1336</v>
      </c>
      <c r="AA281" t="s">
        <v>1346</v>
      </c>
      <c r="AB281" t="s">
        <v>1619</v>
      </c>
      <c r="AD281" t="s">
        <v>1933</v>
      </c>
      <c r="AE281">
        <v>2</v>
      </c>
      <c r="AF281" t="s">
        <v>1683</v>
      </c>
      <c r="AG281" t="s">
        <v>1985</v>
      </c>
      <c r="AH281">
        <v>1</v>
      </c>
      <c r="AI281">
        <v>2</v>
      </c>
      <c r="AJ281">
        <v>0</v>
      </c>
      <c r="AK281">
        <v>236.64</v>
      </c>
      <c r="AN281" t="s">
        <v>1998</v>
      </c>
      <c r="AO281">
        <v>40016</v>
      </c>
      <c r="AU281">
        <v>0.1</v>
      </c>
      <c r="AV281" t="s">
        <v>160</v>
      </c>
      <c r="AW281" t="s">
        <v>2052</v>
      </c>
      <c r="AX281" t="s">
        <v>2079</v>
      </c>
    </row>
    <row r="282" spans="1:50">
      <c r="A282" s="1">
        <f>HYPERLINK("https://lsnyc.legalserver.org/matter/dynamic-profile/view/1903821","19-1903821")</f>
        <v>0</v>
      </c>
      <c r="B282" t="s">
        <v>104</v>
      </c>
      <c r="C282" t="s">
        <v>118</v>
      </c>
      <c r="D282" t="s">
        <v>163</v>
      </c>
      <c r="F282" t="s">
        <v>446</v>
      </c>
      <c r="G282" t="s">
        <v>725</v>
      </c>
      <c r="H282" t="s">
        <v>905</v>
      </c>
      <c r="I282" t="s">
        <v>1136</v>
      </c>
      <c r="J282" t="s">
        <v>1162</v>
      </c>
      <c r="K282">
        <v>11220</v>
      </c>
      <c r="L282" t="s">
        <v>1175</v>
      </c>
      <c r="M282" t="s">
        <v>1177</v>
      </c>
      <c r="R282" t="s">
        <v>1311</v>
      </c>
      <c r="S282" t="s">
        <v>1175</v>
      </c>
      <c r="U282" t="s">
        <v>1313</v>
      </c>
      <c r="W282" t="s">
        <v>215</v>
      </c>
      <c r="X282">
        <v>0</v>
      </c>
      <c r="Y282" t="s">
        <v>1331</v>
      </c>
      <c r="AB282" t="s">
        <v>1620</v>
      </c>
      <c r="AD282" t="s">
        <v>1934</v>
      </c>
      <c r="AE282">
        <v>0</v>
      </c>
      <c r="AH282">
        <v>0</v>
      </c>
      <c r="AI282">
        <v>1</v>
      </c>
      <c r="AJ282">
        <v>0</v>
      </c>
      <c r="AK282">
        <v>240.19</v>
      </c>
      <c r="AN282" t="s">
        <v>1998</v>
      </c>
      <c r="AO282">
        <v>30000</v>
      </c>
      <c r="AU282">
        <v>0.3</v>
      </c>
      <c r="AV282" t="s">
        <v>163</v>
      </c>
      <c r="AW282" t="s">
        <v>92</v>
      </c>
    </row>
    <row r="283" spans="1:50">
      <c r="A283" s="1">
        <f>HYPERLINK("https://lsnyc.legalserver.org/matter/dynamic-profile/view/1903822","19-1903822")</f>
        <v>0</v>
      </c>
      <c r="B283" t="s">
        <v>104</v>
      </c>
      <c r="C283" t="s">
        <v>118</v>
      </c>
      <c r="D283" t="s">
        <v>163</v>
      </c>
      <c r="F283" t="s">
        <v>447</v>
      </c>
      <c r="G283" t="s">
        <v>511</v>
      </c>
      <c r="H283" t="s">
        <v>905</v>
      </c>
      <c r="I283" t="s">
        <v>1036</v>
      </c>
      <c r="J283" t="s">
        <v>1162</v>
      </c>
      <c r="K283">
        <v>11220</v>
      </c>
      <c r="L283" t="s">
        <v>1175</v>
      </c>
      <c r="M283" t="s">
        <v>1177</v>
      </c>
      <c r="R283" t="s">
        <v>1311</v>
      </c>
      <c r="S283" t="s">
        <v>1175</v>
      </c>
      <c r="U283" t="s">
        <v>1313</v>
      </c>
      <c r="W283" t="s">
        <v>215</v>
      </c>
      <c r="X283">
        <v>0</v>
      </c>
      <c r="Y283" t="s">
        <v>1331</v>
      </c>
      <c r="AE283">
        <v>0</v>
      </c>
      <c r="AH283">
        <v>0</v>
      </c>
      <c r="AI283">
        <v>1</v>
      </c>
      <c r="AJ283">
        <v>0</v>
      </c>
      <c r="AK283">
        <v>240.19</v>
      </c>
      <c r="AN283" t="s">
        <v>2000</v>
      </c>
      <c r="AO283">
        <v>30000</v>
      </c>
      <c r="AU283">
        <v>0.3</v>
      </c>
      <c r="AV283" t="s">
        <v>163</v>
      </c>
      <c r="AW283" t="s">
        <v>92</v>
      </c>
    </row>
    <row r="284" spans="1:50">
      <c r="A284" s="1">
        <f>HYPERLINK("https://lsnyc.legalserver.org/matter/dynamic-profile/view/1901322","19-1901322")</f>
        <v>0</v>
      </c>
      <c r="B284" t="s">
        <v>113</v>
      </c>
      <c r="C284" t="s">
        <v>118</v>
      </c>
      <c r="D284" t="s">
        <v>148</v>
      </c>
      <c r="F284" t="s">
        <v>391</v>
      </c>
      <c r="G284" t="s">
        <v>726</v>
      </c>
      <c r="H284" t="s">
        <v>963</v>
      </c>
      <c r="I284">
        <v>53</v>
      </c>
      <c r="J284" t="s">
        <v>1161</v>
      </c>
      <c r="K284">
        <v>10033</v>
      </c>
      <c r="L284" t="s">
        <v>1175</v>
      </c>
      <c r="M284" t="s">
        <v>1177</v>
      </c>
      <c r="O284" t="s">
        <v>1291</v>
      </c>
      <c r="P284" t="s">
        <v>1302</v>
      </c>
      <c r="R284" t="s">
        <v>1311</v>
      </c>
      <c r="S284" t="s">
        <v>1176</v>
      </c>
      <c r="U284" t="s">
        <v>1313</v>
      </c>
      <c r="W284" t="s">
        <v>148</v>
      </c>
      <c r="X284">
        <v>2050</v>
      </c>
      <c r="Y284" t="s">
        <v>1330</v>
      </c>
      <c r="Z284" t="s">
        <v>1338</v>
      </c>
      <c r="AB284" t="s">
        <v>1621</v>
      </c>
      <c r="AD284" t="s">
        <v>1935</v>
      </c>
      <c r="AE284">
        <v>58</v>
      </c>
      <c r="AF284" t="s">
        <v>1974</v>
      </c>
      <c r="AG284" t="s">
        <v>1255</v>
      </c>
      <c r="AH284">
        <v>8</v>
      </c>
      <c r="AI284">
        <v>1</v>
      </c>
      <c r="AJ284">
        <v>0</v>
      </c>
      <c r="AK284">
        <v>240.19</v>
      </c>
      <c r="AN284" t="s">
        <v>1998</v>
      </c>
      <c r="AO284">
        <v>30000</v>
      </c>
      <c r="AU284">
        <v>0.25</v>
      </c>
      <c r="AV284" t="s">
        <v>145</v>
      </c>
      <c r="AW284" t="s">
        <v>2057</v>
      </c>
      <c r="AX284" t="s">
        <v>2079</v>
      </c>
    </row>
    <row r="285" spans="1:50">
      <c r="A285" s="1">
        <f>HYPERLINK("https://lsnyc.legalserver.org/matter/dynamic-profile/view/1902989","19-1902989")</f>
        <v>0</v>
      </c>
      <c r="B285" t="s">
        <v>57</v>
      </c>
      <c r="C285" t="s">
        <v>118</v>
      </c>
      <c r="D285" t="s">
        <v>185</v>
      </c>
      <c r="F285" t="s">
        <v>448</v>
      </c>
      <c r="G285" t="s">
        <v>727</v>
      </c>
      <c r="H285" t="s">
        <v>964</v>
      </c>
      <c r="I285" t="s">
        <v>1137</v>
      </c>
      <c r="J285" t="s">
        <v>1159</v>
      </c>
      <c r="K285">
        <v>10458</v>
      </c>
      <c r="L285" t="s">
        <v>1175</v>
      </c>
      <c r="M285" t="s">
        <v>1177</v>
      </c>
      <c r="O285" t="s">
        <v>1282</v>
      </c>
      <c r="P285" t="s">
        <v>1302</v>
      </c>
      <c r="R285" t="s">
        <v>1311</v>
      </c>
      <c r="S285" t="s">
        <v>1176</v>
      </c>
      <c r="U285" t="s">
        <v>1313</v>
      </c>
      <c r="W285" t="s">
        <v>1325</v>
      </c>
      <c r="X285">
        <v>1950</v>
      </c>
      <c r="Y285" t="s">
        <v>1328</v>
      </c>
      <c r="Z285" t="s">
        <v>1336</v>
      </c>
      <c r="AB285" t="s">
        <v>1622</v>
      </c>
      <c r="AE285">
        <v>0</v>
      </c>
      <c r="AF285" t="s">
        <v>1974</v>
      </c>
      <c r="AG285" t="s">
        <v>1255</v>
      </c>
      <c r="AH285">
        <v>1</v>
      </c>
      <c r="AI285">
        <v>1</v>
      </c>
      <c r="AJ285">
        <v>1</v>
      </c>
      <c r="AK285">
        <v>248.37</v>
      </c>
      <c r="AN285" t="s">
        <v>1998</v>
      </c>
      <c r="AO285">
        <v>42000</v>
      </c>
      <c r="AU285">
        <v>1.5</v>
      </c>
      <c r="AV285" t="s">
        <v>160</v>
      </c>
      <c r="AW285" t="s">
        <v>57</v>
      </c>
      <c r="AX285" t="s">
        <v>2079</v>
      </c>
    </row>
    <row r="286" spans="1:50">
      <c r="A286" s="1">
        <f>HYPERLINK("https://lsnyc.legalserver.org/matter/dynamic-profile/view/1901285","19-1901285")</f>
        <v>0</v>
      </c>
      <c r="B286" t="s">
        <v>94</v>
      </c>
      <c r="C286" t="s">
        <v>118</v>
      </c>
      <c r="D286" t="s">
        <v>132</v>
      </c>
      <c r="F286" t="s">
        <v>449</v>
      </c>
      <c r="G286" t="s">
        <v>728</v>
      </c>
      <c r="H286" t="s">
        <v>965</v>
      </c>
      <c r="I286" t="s">
        <v>1048</v>
      </c>
      <c r="J286" t="s">
        <v>1162</v>
      </c>
      <c r="K286">
        <v>11226</v>
      </c>
      <c r="L286" t="s">
        <v>1175</v>
      </c>
      <c r="M286" t="s">
        <v>1177</v>
      </c>
      <c r="P286" t="s">
        <v>1298</v>
      </c>
      <c r="R286" t="s">
        <v>1311</v>
      </c>
      <c r="S286" t="s">
        <v>1175</v>
      </c>
      <c r="U286" t="s">
        <v>1313</v>
      </c>
      <c r="W286" t="s">
        <v>132</v>
      </c>
      <c r="X286">
        <v>988.01</v>
      </c>
      <c r="Y286" t="s">
        <v>1331</v>
      </c>
      <c r="AB286" t="s">
        <v>1623</v>
      </c>
      <c r="AE286">
        <v>0</v>
      </c>
      <c r="AH286">
        <v>30</v>
      </c>
      <c r="AI286">
        <v>4</v>
      </c>
      <c r="AJ286">
        <v>0</v>
      </c>
      <c r="AK286">
        <v>248.54</v>
      </c>
      <c r="AN286" t="s">
        <v>1998</v>
      </c>
      <c r="AO286">
        <v>64000</v>
      </c>
      <c r="AU286">
        <v>0</v>
      </c>
      <c r="AW286" t="s">
        <v>2064</v>
      </c>
      <c r="AX286" t="s">
        <v>2079</v>
      </c>
    </row>
    <row r="287" spans="1:50">
      <c r="A287" s="1">
        <f>HYPERLINK("https://lsnyc.legalserver.org/matter/dynamic-profile/view/1901330","19-1901330")</f>
        <v>0</v>
      </c>
      <c r="B287" t="s">
        <v>94</v>
      </c>
      <c r="C287" t="s">
        <v>118</v>
      </c>
      <c r="D287" t="s">
        <v>129</v>
      </c>
      <c r="F287" t="s">
        <v>449</v>
      </c>
      <c r="G287" t="s">
        <v>728</v>
      </c>
      <c r="H287" t="s">
        <v>965</v>
      </c>
      <c r="I287" t="s">
        <v>1048</v>
      </c>
      <c r="J287" t="s">
        <v>1162</v>
      </c>
      <c r="K287">
        <v>11226</v>
      </c>
      <c r="L287" t="s">
        <v>1175</v>
      </c>
      <c r="M287" t="s">
        <v>1177</v>
      </c>
      <c r="P287" t="s">
        <v>1298</v>
      </c>
      <c r="R287" t="s">
        <v>1311</v>
      </c>
      <c r="S287" t="s">
        <v>1175</v>
      </c>
      <c r="U287" t="s">
        <v>1313</v>
      </c>
      <c r="W287" t="s">
        <v>129</v>
      </c>
      <c r="X287">
        <v>988.01</v>
      </c>
      <c r="Y287" t="s">
        <v>1331</v>
      </c>
      <c r="AB287" t="s">
        <v>1623</v>
      </c>
      <c r="AE287">
        <v>0</v>
      </c>
      <c r="AH287">
        <v>30</v>
      </c>
      <c r="AI287">
        <v>4</v>
      </c>
      <c r="AJ287">
        <v>0</v>
      </c>
      <c r="AK287">
        <v>248.54</v>
      </c>
      <c r="AN287" t="s">
        <v>1998</v>
      </c>
      <c r="AO287">
        <v>64000</v>
      </c>
      <c r="AU287">
        <v>0.1</v>
      </c>
      <c r="AV287" t="s">
        <v>131</v>
      </c>
      <c r="AW287" t="s">
        <v>2064</v>
      </c>
      <c r="AX287" t="s">
        <v>2079</v>
      </c>
    </row>
    <row r="288" spans="1:50">
      <c r="A288" s="1">
        <f>HYPERLINK("https://lsnyc.legalserver.org/matter/dynamic-profile/view/1900023","19-1900023")</f>
        <v>0</v>
      </c>
      <c r="B288" t="s">
        <v>52</v>
      </c>
      <c r="C288" t="s">
        <v>118</v>
      </c>
      <c r="D288" t="s">
        <v>138</v>
      </c>
      <c r="F288" t="s">
        <v>450</v>
      </c>
      <c r="G288" t="s">
        <v>729</v>
      </c>
      <c r="H288" t="s">
        <v>774</v>
      </c>
      <c r="I288" t="s">
        <v>1138</v>
      </c>
      <c r="J288" t="s">
        <v>1159</v>
      </c>
      <c r="K288">
        <v>10460</v>
      </c>
      <c r="L288" t="s">
        <v>1175</v>
      </c>
      <c r="M288" t="s">
        <v>1177</v>
      </c>
      <c r="O288" t="s">
        <v>1282</v>
      </c>
      <c r="P288" t="s">
        <v>1301</v>
      </c>
      <c r="R288" t="s">
        <v>1311</v>
      </c>
      <c r="S288" t="s">
        <v>1175</v>
      </c>
      <c r="U288" t="s">
        <v>1313</v>
      </c>
      <c r="W288" t="s">
        <v>1325</v>
      </c>
      <c r="X288">
        <v>955</v>
      </c>
      <c r="Y288" t="s">
        <v>1328</v>
      </c>
      <c r="Z288" t="s">
        <v>1336</v>
      </c>
      <c r="AB288" t="s">
        <v>1624</v>
      </c>
      <c r="AD288" t="s">
        <v>1936</v>
      </c>
      <c r="AE288">
        <v>168</v>
      </c>
      <c r="AF288" t="s">
        <v>1974</v>
      </c>
      <c r="AG288" t="s">
        <v>1985</v>
      </c>
      <c r="AH288">
        <v>34</v>
      </c>
      <c r="AI288">
        <v>1</v>
      </c>
      <c r="AJ288">
        <v>0</v>
      </c>
      <c r="AK288">
        <v>249.8</v>
      </c>
      <c r="AN288" t="s">
        <v>1998</v>
      </c>
      <c r="AO288">
        <v>31200</v>
      </c>
      <c r="AU288">
        <v>0</v>
      </c>
      <c r="AW288" t="s">
        <v>112</v>
      </c>
      <c r="AX288" t="s">
        <v>2079</v>
      </c>
    </row>
    <row r="289" spans="1:50">
      <c r="A289" s="1">
        <f>HYPERLINK("https://lsnyc.legalserver.org/matter/dynamic-profile/view/1899854","19-1899854")</f>
        <v>0</v>
      </c>
      <c r="B289" t="s">
        <v>52</v>
      </c>
      <c r="C289" t="s">
        <v>118</v>
      </c>
      <c r="D289" t="s">
        <v>143</v>
      </c>
      <c r="F289" t="s">
        <v>451</v>
      </c>
      <c r="G289" t="s">
        <v>730</v>
      </c>
      <c r="H289" t="s">
        <v>774</v>
      </c>
      <c r="I289" t="s">
        <v>1139</v>
      </c>
      <c r="J289" t="s">
        <v>1159</v>
      </c>
      <c r="K289">
        <v>10460</v>
      </c>
      <c r="L289" t="s">
        <v>1175</v>
      </c>
      <c r="M289" t="s">
        <v>1177</v>
      </c>
      <c r="N289" t="s">
        <v>1180</v>
      </c>
      <c r="O289" t="s">
        <v>1282</v>
      </c>
      <c r="P289" t="s">
        <v>1301</v>
      </c>
      <c r="R289" t="s">
        <v>1311</v>
      </c>
      <c r="S289" t="s">
        <v>1175</v>
      </c>
      <c r="U289" t="s">
        <v>1313</v>
      </c>
      <c r="W289" t="s">
        <v>1325</v>
      </c>
      <c r="X289">
        <v>895</v>
      </c>
      <c r="Y289" t="s">
        <v>1328</v>
      </c>
      <c r="Z289" t="s">
        <v>1336</v>
      </c>
      <c r="AB289" t="s">
        <v>1625</v>
      </c>
      <c r="AE289">
        <v>168</v>
      </c>
      <c r="AF289" t="s">
        <v>1974</v>
      </c>
      <c r="AG289" t="s">
        <v>1985</v>
      </c>
      <c r="AH289">
        <v>5</v>
      </c>
      <c r="AI289">
        <v>1</v>
      </c>
      <c r="AJ289">
        <v>0</v>
      </c>
      <c r="AK289">
        <v>252.2</v>
      </c>
      <c r="AN289" t="s">
        <v>1998</v>
      </c>
      <c r="AO289">
        <v>31500</v>
      </c>
      <c r="AU289">
        <v>0</v>
      </c>
      <c r="AW289" t="s">
        <v>2053</v>
      </c>
      <c r="AX289" t="s">
        <v>2079</v>
      </c>
    </row>
    <row r="290" spans="1:50">
      <c r="A290" s="1">
        <f>HYPERLINK("https://lsnyc.legalserver.org/matter/dynamic-profile/view/1886623","18-1886623")</f>
        <v>0</v>
      </c>
      <c r="B290" t="s">
        <v>52</v>
      </c>
      <c r="C290" t="s">
        <v>119</v>
      </c>
      <c r="D290" t="s">
        <v>205</v>
      </c>
      <c r="E290" t="s">
        <v>185</v>
      </c>
      <c r="F290" t="s">
        <v>452</v>
      </c>
      <c r="G290" t="s">
        <v>731</v>
      </c>
      <c r="H290" t="s">
        <v>910</v>
      </c>
      <c r="I290" t="s">
        <v>1140</v>
      </c>
      <c r="J290" t="s">
        <v>1159</v>
      </c>
      <c r="K290">
        <v>10452</v>
      </c>
      <c r="L290" t="s">
        <v>1175</v>
      </c>
      <c r="M290" t="s">
        <v>1177</v>
      </c>
      <c r="N290" t="s">
        <v>1274</v>
      </c>
      <c r="O290" t="s">
        <v>1281</v>
      </c>
      <c r="P290" t="s">
        <v>1299</v>
      </c>
      <c r="Q290" t="s">
        <v>1305</v>
      </c>
      <c r="R290" t="s">
        <v>1311</v>
      </c>
      <c r="U290" t="s">
        <v>1313</v>
      </c>
      <c r="W290" t="s">
        <v>121</v>
      </c>
      <c r="X290">
        <v>0</v>
      </c>
      <c r="Y290" t="s">
        <v>1328</v>
      </c>
      <c r="Z290" t="s">
        <v>1336</v>
      </c>
      <c r="AA290" t="s">
        <v>1354</v>
      </c>
      <c r="AB290" t="s">
        <v>1626</v>
      </c>
      <c r="AD290" t="s">
        <v>1937</v>
      </c>
      <c r="AE290">
        <v>0</v>
      </c>
      <c r="AF290" t="s">
        <v>1974</v>
      </c>
      <c r="AH290">
        <v>0</v>
      </c>
      <c r="AI290">
        <v>2</v>
      </c>
      <c r="AJ290">
        <v>0</v>
      </c>
      <c r="AK290">
        <v>255.16</v>
      </c>
      <c r="AN290" t="s">
        <v>1998</v>
      </c>
      <c r="AO290">
        <v>42000</v>
      </c>
      <c r="AU290">
        <v>2.8</v>
      </c>
      <c r="AV290" t="s">
        <v>168</v>
      </c>
      <c r="AW290" t="s">
        <v>2075</v>
      </c>
      <c r="AX290" t="s">
        <v>2079</v>
      </c>
    </row>
    <row r="291" spans="1:50">
      <c r="A291" s="1">
        <f>HYPERLINK("https://lsnyc.legalserver.org/matter/dynamic-profile/view/1880536","18-1880536")</f>
        <v>0</v>
      </c>
      <c r="B291" t="s">
        <v>71</v>
      </c>
      <c r="C291" t="s">
        <v>119</v>
      </c>
      <c r="D291" t="s">
        <v>170</v>
      </c>
      <c r="E291" t="s">
        <v>215</v>
      </c>
      <c r="F291" t="s">
        <v>453</v>
      </c>
      <c r="G291" t="s">
        <v>732</v>
      </c>
      <c r="H291" t="s">
        <v>862</v>
      </c>
      <c r="I291">
        <v>2</v>
      </c>
      <c r="J291" t="s">
        <v>1159</v>
      </c>
      <c r="K291">
        <v>10453</v>
      </c>
      <c r="L291" t="s">
        <v>1175</v>
      </c>
      <c r="M291" t="s">
        <v>1175</v>
      </c>
      <c r="P291" t="s">
        <v>1302</v>
      </c>
      <c r="Q291" t="s">
        <v>1306</v>
      </c>
      <c r="R291" t="s">
        <v>1311</v>
      </c>
      <c r="S291" t="s">
        <v>1175</v>
      </c>
      <c r="U291" t="s">
        <v>1313</v>
      </c>
      <c r="W291" t="s">
        <v>1325</v>
      </c>
      <c r="X291">
        <v>700</v>
      </c>
      <c r="Y291" t="s">
        <v>1328</v>
      </c>
      <c r="Z291" t="s">
        <v>1336</v>
      </c>
      <c r="AA291" t="s">
        <v>1346</v>
      </c>
      <c r="AB291" t="s">
        <v>1627</v>
      </c>
      <c r="AD291" t="s">
        <v>1938</v>
      </c>
      <c r="AE291">
        <v>0</v>
      </c>
      <c r="AF291" t="s">
        <v>1974</v>
      </c>
      <c r="AG291" t="s">
        <v>1255</v>
      </c>
      <c r="AH291">
        <v>3</v>
      </c>
      <c r="AI291">
        <v>1</v>
      </c>
      <c r="AJ291">
        <v>0</v>
      </c>
      <c r="AK291">
        <v>257</v>
      </c>
      <c r="AN291" t="s">
        <v>1998</v>
      </c>
      <c r="AO291">
        <v>31200</v>
      </c>
      <c r="AU291">
        <v>1</v>
      </c>
      <c r="AV291" t="s">
        <v>139</v>
      </c>
      <c r="AW291" t="s">
        <v>2052</v>
      </c>
      <c r="AX291" t="s">
        <v>2079</v>
      </c>
    </row>
    <row r="292" spans="1:50">
      <c r="A292" s="1">
        <f>HYPERLINK("https://lsnyc.legalserver.org/matter/dynamic-profile/view/1901446","19-1901446")</f>
        <v>0</v>
      </c>
      <c r="B292" t="s">
        <v>113</v>
      </c>
      <c r="C292" t="s">
        <v>118</v>
      </c>
      <c r="D292" t="s">
        <v>148</v>
      </c>
      <c r="F292" t="s">
        <v>454</v>
      </c>
      <c r="G292" t="s">
        <v>558</v>
      </c>
      <c r="H292" t="s">
        <v>966</v>
      </c>
      <c r="I292" t="s">
        <v>1034</v>
      </c>
      <c r="J292" t="s">
        <v>1161</v>
      </c>
      <c r="K292">
        <v>10040</v>
      </c>
      <c r="L292" t="s">
        <v>1175</v>
      </c>
      <c r="M292" t="s">
        <v>1177</v>
      </c>
      <c r="O292" t="s">
        <v>1291</v>
      </c>
      <c r="P292" t="s">
        <v>1302</v>
      </c>
      <c r="R292" t="s">
        <v>1311</v>
      </c>
      <c r="S292" t="s">
        <v>1176</v>
      </c>
      <c r="U292" t="s">
        <v>1313</v>
      </c>
      <c r="W292" t="s">
        <v>148</v>
      </c>
      <c r="X292">
        <v>1775</v>
      </c>
      <c r="Y292" t="s">
        <v>1330</v>
      </c>
      <c r="Z292" t="s">
        <v>1338</v>
      </c>
      <c r="AB292" t="s">
        <v>1628</v>
      </c>
      <c r="AE292">
        <v>41</v>
      </c>
      <c r="AF292" t="s">
        <v>1974</v>
      </c>
      <c r="AG292" t="s">
        <v>1255</v>
      </c>
      <c r="AH292">
        <v>4</v>
      </c>
      <c r="AI292">
        <v>1</v>
      </c>
      <c r="AJ292">
        <v>2</v>
      </c>
      <c r="AK292">
        <v>262.54</v>
      </c>
      <c r="AN292" t="s">
        <v>1998</v>
      </c>
      <c r="AO292">
        <v>56000</v>
      </c>
      <c r="AU292">
        <v>0.25</v>
      </c>
      <c r="AV292" t="s">
        <v>145</v>
      </c>
      <c r="AW292" t="s">
        <v>2057</v>
      </c>
      <c r="AX292" t="s">
        <v>2079</v>
      </c>
    </row>
    <row r="293" spans="1:50">
      <c r="A293" s="1">
        <f>HYPERLINK("https://lsnyc.legalserver.org/matter/dynamic-profile/view/1901453","19-1901453")</f>
        <v>0</v>
      </c>
      <c r="B293" t="s">
        <v>56</v>
      </c>
      <c r="C293" t="s">
        <v>118</v>
      </c>
      <c r="D293" t="s">
        <v>148</v>
      </c>
      <c r="F293" t="s">
        <v>455</v>
      </c>
      <c r="G293" t="s">
        <v>733</v>
      </c>
      <c r="H293" t="s">
        <v>809</v>
      </c>
      <c r="I293" t="s">
        <v>1051</v>
      </c>
      <c r="J293" t="s">
        <v>1159</v>
      </c>
      <c r="K293">
        <v>10452</v>
      </c>
      <c r="L293" t="s">
        <v>1175</v>
      </c>
      <c r="M293" t="s">
        <v>1177</v>
      </c>
      <c r="O293" t="s">
        <v>1283</v>
      </c>
      <c r="P293" t="s">
        <v>1300</v>
      </c>
      <c r="R293" t="s">
        <v>1311</v>
      </c>
      <c r="S293" t="s">
        <v>1175</v>
      </c>
      <c r="U293" t="s">
        <v>1313</v>
      </c>
      <c r="W293" t="s">
        <v>1325</v>
      </c>
      <c r="X293">
        <v>837</v>
      </c>
      <c r="Y293" t="s">
        <v>1328</v>
      </c>
      <c r="Z293" t="s">
        <v>1336</v>
      </c>
      <c r="AB293" t="s">
        <v>1629</v>
      </c>
      <c r="AD293" t="s">
        <v>1939</v>
      </c>
      <c r="AE293">
        <v>52</v>
      </c>
      <c r="AF293" t="s">
        <v>1974</v>
      </c>
      <c r="AG293" t="s">
        <v>1255</v>
      </c>
      <c r="AH293">
        <v>17</v>
      </c>
      <c r="AI293">
        <v>1</v>
      </c>
      <c r="AJ293">
        <v>1</v>
      </c>
      <c r="AK293">
        <v>266.11</v>
      </c>
      <c r="AN293" t="s">
        <v>1998</v>
      </c>
      <c r="AO293">
        <v>45000</v>
      </c>
      <c r="AU293">
        <v>0</v>
      </c>
      <c r="AW293" t="s">
        <v>112</v>
      </c>
      <c r="AX293" t="s">
        <v>2079</v>
      </c>
    </row>
    <row r="294" spans="1:50">
      <c r="A294" s="1">
        <f>HYPERLINK("https://lsnyc.legalserver.org/matter/dynamic-profile/view/1900296","19-1900296")</f>
        <v>0</v>
      </c>
      <c r="B294" t="s">
        <v>69</v>
      </c>
      <c r="C294" t="s">
        <v>118</v>
      </c>
      <c r="D294" t="s">
        <v>172</v>
      </c>
      <c r="F294" t="s">
        <v>456</v>
      </c>
      <c r="G294" t="s">
        <v>734</v>
      </c>
      <c r="H294" t="s">
        <v>967</v>
      </c>
      <c r="I294" t="s">
        <v>1043</v>
      </c>
      <c r="J294" t="s">
        <v>1162</v>
      </c>
      <c r="K294">
        <v>11208</v>
      </c>
      <c r="L294" t="s">
        <v>1175</v>
      </c>
      <c r="M294" t="s">
        <v>1177</v>
      </c>
      <c r="N294" t="s">
        <v>1275</v>
      </c>
      <c r="O294" t="s">
        <v>1281</v>
      </c>
      <c r="P294" t="s">
        <v>1298</v>
      </c>
      <c r="R294" t="s">
        <v>1311</v>
      </c>
      <c r="S294" t="s">
        <v>1176</v>
      </c>
      <c r="U294" t="s">
        <v>1313</v>
      </c>
      <c r="W294" t="s">
        <v>188</v>
      </c>
      <c r="X294">
        <v>744.58</v>
      </c>
      <c r="Y294" t="s">
        <v>1331</v>
      </c>
      <c r="AB294" t="s">
        <v>1630</v>
      </c>
      <c r="AD294" t="s">
        <v>1940</v>
      </c>
      <c r="AE294">
        <v>0</v>
      </c>
      <c r="AF294" t="s">
        <v>1974</v>
      </c>
      <c r="AG294" t="s">
        <v>1985</v>
      </c>
      <c r="AH294">
        <v>42</v>
      </c>
      <c r="AI294">
        <v>1</v>
      </c>
      <c r="AJ294">
        <v>0</v>
      </c>
      <c r="AK294">
        <v>268.78</v>
      </c>
      <c r="AN294" t="s">
        <v>1998</v>
      </c>
      <c r="AO294">
        <v>33570</v>
      </c>
      <c r="AU294">
        <v>8.5</v>
      </c>
      <c r="AV294" t="s">
        <v>222</v>
      </c>
      <c r="AW294" t="s">
        <v>2058</v>
      </c>
      <c r="AX294" t="s">
        <v>2079</v>
      </c>
    </row>
    <row r="295" spans="1:50">
      <c r="A295" s="1">
        <f>HYPERLINK("https://lsnyc.legalserver.org/matter/dynamic-profile/view/1903263","19-1903263")</f>
        <v>0</v>
      </c>
      <c r="B295" t="s">
        <v>64</v>
      </c>
      <c r="C295" t="s">
        <v>119</v>
      </c>
      <c r="D295" t="s">
        <v>121</v>
      </c>
      <c r="E295" t="s">
        <v>121</v>
      </c>
      <c r="F295" t="s">
        <v>365</v>
      </c>
      <c r="G295" t="s">
        <v>735</v>
      </c>
      <c r="H295" t="s">
        <v>968</v>
      </c>
      <c r="I295">
        <v>33</v>
      </c>
      <c r="J295" t="s">
        <v>1161</v>
      </c>
      <c r="K295">
        <v>10034</v>
      </c>
      <c r="L295" t="s">
        <v>1175</v>
      </c>
      <c r="M295" t="s">
        <v>1177</v>
      </c>
      <c r="O295" t="s">
        <v>1291</v>
      </c>
      <c r="P295" t="s">
        <v>1302</v>
      </c>
      <c r="Q295" t="s">
        <v>1306</v>
      </c>
      <c r="R295" t="s">
        <v>1311</v>
      </c>
      <c r="S295" t="s">
        <v>1176</v>
      </c>
      <c r="U295" t="s">
        <v>1313</v>
      </c>
      <c r="W295" t="s">
        <v>121</v>
      </c>
      <c r="X295">
        <v>905.47</v>
      </c>
      <c r="Y295" t="s">
        <v>1330</v>
      </c>
      <c r="Z295" t="s">
        <v>1335</v>
      </c>
      <c r="AA295" t="s">
        <v>1351</v>
      </c>
      <c r="AB295" t="s">
        <v>1631</v>
      </c>
      <c r="AD295" t="s">
        <v>1941</v>
      </c>
      <c r="AE295">
        <v>20</v>
      </c>
      <c r="AF295" t="s">
        <v>1974</v>
      </c>
      <c r="AG295" t="s">
        <v>1255</v>
      </c>
      <c r="AH295">
        <v>48</v>
      </c>
      <c r="AI295">
        <v>3</v>
      </c>
      <c r="AJ295">
        <v>0</v>
      </c>
      <c r="AK295">
        <v>269.97</v>
      </c>
      <c r="AN295" t="s">
        <v>1998</v>
      </c>
      <c r="AO295">
        <v>57584</v>
      </c>
      <c r="AU295">
        <v>0.1</v>
      </c>
      <c r="AV295" t="s">
        <v>121</v>
      </c>
      <c r="AW295" t="s">
        <v>2057</v>
      </c>
      <c r="AX295" t="s">
        <v>2079</v>
      </c>
    </row>
    <row r="296" spans="1:50">
      <c r="A296" s="1">
        <f>HYPERLINK("https://lsnyc.legalserver.org/matter/dynamic-profile/view/1902942","19-1902942")</f>
        <v>0</v>
      </c>
      <c r="B296" t="s">
        <v>57</v>
      </c>
      <c r="C296" t="s">
        <v>118</v>
      </c>
      <c r="D296" t="s">
        <v>160</v>
      </c>
      <c r="F296" t="s">
        <v>457</v>
      </c>
      <c r="G296" t="s">
        <v>736</v>
      </c>
      <c r="H296" t="s">
        <v>969</v>
      </c>
      <c r="I296" t="s">
        <v>1060</v>
      </c>
      <c r="J296" t="s">
        <v>1159</v>
      </c>
      <c r="K296">
        <v>10467</v>
      </c>
      <c r="L296" t="s">
        <v>1175</v>
      </c>
      <c r="M296" t="s">
        <v>1177</v>
      </c>
      <c r="O296" t="s">
        <v>1282</v>
      </c>
      <c r="P296" t="s">
        <v>1302</v>
      </c>
      <c r="R296" t="s">
        <v>1311</v>
      </c>
      <c r="S296" t="s">
        <v>1176</v>
      </c>
      <c r="U296" t="s">
        <v>1313</v>
      </c>
      <c r="W296" t="s">
        <v>1325</v>
      </c>
      <c r="X296">
        <v>1588.82</v>
      </c>
      <c r="Y296" t="s">
        <v>1328</v>
      </c>
      <c r="Z296" t="s">
        <v>1336</v>
      </c>
      <c r="AB296" t="s">
        <v>1632</v>
      </c>
      <c r="AE296">
        <v>0</v>
      </c>
      <c r="AF296" t="s">
        <v>1974</v>
      </c>
      <c r="AG296" t="s">
        <v>1255</v>
      </c>
      <c r="AH296">
        <v>2</v>
      </c>
      <c r="AI296">
        <v>3</v>
      </c>
      <c r="AJ296">
        <v>1</v>
      </c>
      <c r="AK296">
        <v>271.84</v>
      </c>
      <c r="AN296" t="s">
        <v>1998</v>
      </c>
      <c r="AO296">
        <v>70000</v>
      </c>
      <c r="AU296">
        <v>1.5</v>
      </c>
      <c r="AV296" t="s">
        <v>160</v>
      </c>
      <c r="AW296" t="s">
        <v>57</v>
      </c>
      <c r="AX296" t="s">
        <v>2079</v>
      </c>
    </row>
    <row r="297" spans="1:50">
      <c r="A297" s="1">
        <f>HYPERLINK("https://lsnyc.legalserver.org/matter/dynamic-profile/view/1901027","19-1901027")</f>
        <v>0</v>
      </c>
      <c r="B297" t="s">
        <v>68</v>
      </c>
      <c r="C297" t="s">
        <v>119</v>
      </c>
      <c r="D297" t="s">
        <v>137</v>
      </c>
      <c r="E297" t="s">
        <v>122</v>
      </c>
      <c r="F297" t="s">
        <v>458</v>
      </c>
      <c r="G297" t="s">
        <v>737</v>
      </c>
      <c r="H297" t="s">
        <v>970</v>
      </c>
      <c r="I297" t="s">
        <v>1028</v>
      </c>
      <c r="J297" t="s">
        <v>1159</v>
      </c>
      <c r="K297">
        <v>10453</v>
      </c>
      <c r="L297" t="s">
        <v>1175</v>
      </c>
      <c r="M297" t="s">
        <v>1177</v>
      </c>
      <c r="O297" t="s">
        <v>1282</v>
      </c>
      <c r="P297" t="s">
        <v>1299</v>
      </c>
      <c r="Q297" t="s">
        <v>1305</v>
      </c>
      <c r="R297" t="s">
        <v>1311</v>
      </c>
      <c r="S297" t="s">
        <v>1176</v>
      </c>
      <c r="U297" t="s">
        <v>1313</v>
      </c>
      <c r="W297" t="s">
        <v>215</v>
      </c>
      <c r="X297">
        <v>842.59</v>
      </c>
      <c r="Y297" t="s">
        <v>1328</v>
      </c>
      <c r="Z297" t="s">
        <v>1340</v>
      </c>
      <c r="AA297" t="s">
        <v>1346</v>
      </c>
      <c r="AB297" t="s">
        <v>1633</v>
      </c>
      <c r="AD297" t="s">
        <v>1942</v>
      </c>
      <c r="AE297">
        <v>83</v>
      </c>
      <c r="AF297" t="s">
        <v>1974</v>
      </c>
      <c r="AH297">
        <v>8</v>
      </c>
      <c r="AI297">
        <v>2</v>
      </c>
      <c r="AJ297">
        <v>0</v>
      </c>
      <c r="AK297">
        <v>272.15</v>
      </c>
      <c r="AN297" t="s">
        <v>1998</v>
      </c>
      <c r="AO297">
        <v>46020</v>
      </c>
      <c r="AU297">
        <v>1</v>
      </c>
      <c r="AV297" t="s">
        <v>137</v>
      </c>
      <c r="AW297" t="s">
        <v>112</v>
      </c>
      <c r="AX297" t="s">
        <v>2079</v>
      </c>
    </row>
    <row r="298" spans="1:50">
      <c r="A298" s="1">
        <f>HYPERLINK("https://lsnyc.legalserver.org/matter/dynamic-profile/view/1884394","18-1884394")</f>
        <v>0</v>
      </c>
      <c r="B298" t="s">
        <v>64</v>
      </c>
      <c r="C298" t="s">
        <v>119</v>
      </c>
      <c r="D298" t="s">
        <v>191</v>
      </c>
      <c r="E298" t="s">
        <v>215</v>
      </c>
      <c r="F298" t="s">
        <v>324</v>
      </c>
      <c r="G298" t="s">
        <v>536</v>
      </c>
      <c r="H298" t="s">
        <v>971</v>
      </c>
      <c r="I298">
        <v>53</v>
      </c>
      <c r="J298" t="s">
        <v>1161</v>
      </c>
      <c r="K298">
        <v>10034</v>
      </c>
      <c r="L298" t="s">
        <v>1175</v>
      </c>
      <c r="M298" t="s">
        <v>1175</v>
      </c>
      <c r="O298" t="s">
        <v>1282</v>
      </c>
      <c r="P298" t="s">
        <v>1301</v>
      </c>
      <c r="Q298" t="s">
        <v>1306</v>
      </c>
      <c r="R298" t="s">
        <v>1311</v>
      </c>
      <c r="S298" t="s">
        <v>1176</v>
      </c>
      <c r="T298" t="s">
        <v>1311</v>
      </c>
      <c r="U298" t="s">
        <v>1313</v>
      </c>
      <c r="W298" t="s">
        <v>215</v>
      </c>
      <c r="X298">
        <v>1100</v>
      </c>
      <c r="Y298" t="s">
        <v>1330</v>
      </c>
      <c r="AA298" t="s">
        <v>1348</v>
      </c>
      <c r="AB298" t="s">
        <v>1634</v>
      </c>
      <c r="AD298" t="s">
        <v>1943</v>
      </c>
      <c r="AE298">
        <v>25</v>
      </c>
      <c r="AF298" t="s">
        <v>1975</v>
      </c>
      <c r="AG298" t="s">
        <v>1255</v>
      </c>
      <c r="AH298">
        <v>11</v>
      </c>
      <c r="AI298">
        <v>4</v>
      </c>
      <c r="AJ298">
        <v>0</v>
      </c>
      <c r="AK298">
        <v>275.54</v>
      </c>
      <c r="AN298" t="s">
        <v>2000</v>
      </c>
      <c r="AO298">
        <v>69160</v>
      </c>
      <c r="AU298">
        <v>1.2</v>
      </c>
      <c r="AV298" t="s">
        <v>125</v>
      </c>
      <c r="AW298" t="s">
        <v>2062</v>
      </c>
      <c r="AX298" t="s">
        <v>2079</v>
      </c>
    </row>
    <row r="299" spans="1:50">
      <c r="A299" s="1">
        <f>HYPERLINK("https://lsnyc.legalserver.org/matter/dynamic-profile/view/1900083","19-1900083")</f>
        <v>0</v>
      </c>
      <c r="B299" t="s">
        <v>76</v>
      </c>
      <c r="C299" t="s">
        <v>118</v>
      </c>
      <c r="D299" t="s">
        <v>173</v>
      </c>
      <c r="F299" t="s">
        <v>459</v>
      </c>
      <c r="G299" t="s">
        <v>738</v>
      </c>
      <c r="H299" t="s">
        <v>972</v>
      </c>
      <c r="I299" t="s">
        <v>1141</v>
      </c>
      <c r="J299" t="s">
        <v>1159</v>
      </c>
      <c r="K299">
        <v>10452</v>
      </c>
      <c r="L299" t="s">
        <v>1175</v>
      </c>
      <c r="M299" t="s">
        <v>1177</v>
      </c>
      <c r="N299" t="s">
        <v>1276</v>
      </c>
      <c r="O299" t="s">
        <v>1281</v>
      </c>
      <c r="P299" t="s">
        <v>1298</v>
      </c>
      <c r="R299" t="s">
        <v>1311</v>
      </c>
      <c r="S299" t="s">
        <v>1176</v>
      </c>
      <c r="U299" t="s">
        <v>1313</v>
      </c>
      <c r="V299" t="s">
        <v>1321</v>
      </c>
      <c r="W299" t="s">
        <v>1325</v>
      </c>
      <c r="X299">
        <v>899.79</v>
      </c>
      <c r="Y299" t="s">
        <v>1328</v>
      </c>
      <c r="Z299" t="s">
        <v>1335</v>
      </c>
      <c r="AB299" t="s">
        <v>1635</v>
      </c>
      <c r="AD299" t="s">
        <v>1944</v>
      </c>
      <c r="AE299">
        <v>50</v>
      </c>
      <c r="AF299" t="s">
        <v>1974</v>
      </c>
      <c r="AG299" t="s">
        <v>1255</v>
      </c>
      <c r="AH299">
        <v>43</v>
      </c>
      <c r="AI299">
        <v>2</v>
      </c>
      <c r="AJ299">
        <v>0</v>
      </c>
      <c r="AK299">
        <v>277.73</v>
      </c>
      <c r="AN299" t="s">
        <v>1998</v>
      </c>
      <c r="AO299">
        <v>46964</v>
      </c>
      <c r="AU299">
        <v>1</v>
      </c>
      <c r="AV299" t="s">
        <v>173</v>
      </c>
      <c r="AW299" t="s">
        <v>2063</v>
      </c>
      <c r="AX299" t="s">
        <v>2079</v>
      </c>
    </row>
    <row r="300" spans="1:50">
      <c r="A300" s="1">
        <f>HYPERLINK("https://lsnyc.legalserver.org/matter/dynamic-profile/view/1902109","19-1902109")</f>
        <v>0</v>
      </c>
      <c r="B300" t="s">
        <v>114</v>
      </c>
      <c r="C300" t="s">
        <v>118</v>
      </c>
      <c r="D300" t="s">
        <v>132</v>
      </c>
      <c r="F300" t="s">
        <v>460</v>
      </c>
      <c r="G300" t="s">
        <v>739</v>
      </c>
      <c r="H300" t="s">
        <v>973</v>
      </c>
      <c r="I300" t="s">
        <v>1142</v>
      </c>
      <c r="J300" t="s">
        <v>1162</v>
      </c>
      <c r="K300">
        <v>11220</v>
      </c>
      <c r="L300" t="s">
        <v>1175</v>
      </c>
      <c r="M300" t="s">
        <v>1177</v>
      </c>
      <c r="P300" t="s">
        <v>1301</v>
      </c>
      <c r="R300" t="s">
        <v>1311</v>
      </c>
      <c r="U300" t="s">
        <v>1313</v>
      </c>
      <c r="W300" t="s">
        <v>132</v>
      </c>
      <c r="X300">
        <v>0</v>
      </c>
      <c r="Y300" t="s">
        <v>1331</v>
      </c>
      <c r="AB300" t="s">
        <v>1636</v>
      </c>
      <c r="AE300">
        <v>0</v>
      </c>
      <c r="AH300">
        <v>0</v>
      </c>
      <c r="AI300">
        <v>2</v>
      </c>
      <c r="AJ300">
        <v>0</v>
      </c>
      <c r="AK300">
        <v>277.94</v>
      </c>
      <c r="AN300" t="s">
        <v>2000</v>
      </c>
      <c r="AO300">
        <v>47000</v>
      </c>
      <c r="AU300">
        <v>0</v>
      </c>
      <c r="AW300" t="s">
        <v>2064</v>
      </c>
      <c r="AX300" t="s">
        <v>2079</v>
      </c>
    </row>
    <row r="301" spans="1:50">
      <c r="A301" s="1">
        <f>HYPERLINK("https://lsnyc.legalserver.org/matter/dynamic-profile/view/1904067","19-1904067")</f>
        <v>0</v>
      </c>
      <c r="B301" t="s">
        <v>80</v>
      </c>
      <c r="C301" t="s">
        <v>118</v>
      </c>
      <c r="D301" t="s">
        <v>157</v>
      </c>
      <c r="F301" t="s">
        <v>461</v>
      </c>
      <c r="G301" t="s">
        <v>523</v>
      </c>
      <c r="H301" t="s">
        <v>974</v>
      </c>
      <c r="I301" t="s">
        <v>1143</v>
      </c>
      <c r="J301" t="s">
        <v>1159</v>
      </c>
      <c r="K301">
        <v>10468</v>
      </c>
      <c r="L301" t="s">
        <v>1175</v>
      </c>
      <c r="M301" t="s">
        <v>1177</v>
      </c>
      <c r="O301" t="s">
        <v>1282</v>
      </c>
      <c r="P301" t="s">
        <v>1299</v>
      </c>
      <c r="R301" t="s">
        <v>1311</v>
      </c>
      <c r="S301" t="s">
        <v>1176</v>
      </c>
      <c r="U301" t="s">
        <v>1313</v>
      </c>
      <c r="W301" t="s">
        <v>1325</v>
      </c>
      <c r="X301">
        <v>905.48</v>
      </c>
      <c r="Y301" t="s">
        <v>1328</v>
      </c>
      <c r="Z301" t="s">
        <v>1336</v>
      </c>
      <c r="AB301" t="s">
        <v>1637</v>
      </c>
      <c r="AD301" t="s">
        <v>1945</v>
      </c>
      <c r="AE301">
        <v>0</v>
      </c>
      <c r="AF301" t="s">
        <v>1974</v>
      </c>
      <c r="AG301" t="s">
        <v>1255</v>
      </c>
      <c r="AH301">
        <v>14</v>
      </c>
      <c r="AI301">
        <v>1</v>
      </c>
      <c r="AJ301">
        <v>0</v>
      </c>
      <c r="AK301">
        <v>280.03</v>
      </c>
      <c r="AN301" t="s">
        <v>1998</v>
      </c>
      <c r="AO301">
        <v>34976</v>
      </c>
      <c r="AU301">
        <v>2.7</v>
      </c>
      <c r="AV301" t="s">
        <v>221</v>
      </c>
      <c r="AW301" t="s">
        <v>80</v>
      </c>
      <c r="AX301" t="s">
        <v>2079</v>
      </c>
    </row>
    <row r="302" spans="1:50">
      <c r="A302" s="1">
        <f>HYPERLINK("https://lsnyc.legalserver.org/matter/dynamic-profile/view/1899902","19-1899902")</f>
        <v>0</v>
      </c>
      <c r="B302" t="s">
        <v>52</v>
      </c>
      <c r="C302" t="s">
        <v>118</v>
      </c>
      <c r="D302" t="s">
        <v>143</v>
      </c>
      <c r="F302" t="s">
        <v>462</v>
      </c>
      <c r="G302" t="s">
        <v>740</v>
      </c>
      <c r="H302" t="s">
        <v>774</v>
      </c>
      <c r="I302" t="s">
        <v>1022</v>
      </c>
      <c r="J302" t="s">
        <v>1159</v>
      </c>
      <c r="K302">
        <v>10460</v>
      </c>
      <c r="L302" t="s">
        <v>1175</v>
      </c>
      <c r="M302" t="s">
        <v>1177</v>
      </c>
      <c r="N302" t="s">
        <v>1237</v>
      </c>
      <c r="O302" t="s">
        <v>1282</v>
      </c>
      <c r="P302" t="s">
        <v>1301</v>
      </c>
      <c r="R302" t="s">
        <v>1311</v>
      </c>
      <c r="S302" t="s">
        <v>1175</v>
      </c>
      <c r="U302" t="s">
        <v>1313</v>
      </c>
      <c r="W302" t="s">
        <v>1325</v>
      </c>
      <c r="X302">
        <v>1071</v>
      </c>
      <c r="Y302" t="s">
        <v>1328</v>
      </c>
      <c r="Z302" t="s">
        <v>1336</v>
      </c>
      <c r="AB302" t="s">
        <v>1638</v>
      </c>
      <c r="AD302" t="s">
        <v>1946</v>
      </c>
      <c r="AE302">
        <v>168</v>
      </c>
      <c r="AF302" t="s">
        <v>1683</v>
      </c>
      <c r="AG302" t="s">
        <v>1985</v>
      </c>
      <c r="AH302">
        <v>10</v>
      </c>
      <c r="AI302">
        <v>1</v>
      </c>
      <c r="AJ302">
        <v>1</v>
      </c>
      <c r="AK302">
        <v>280.9</v>
      </c>
      <c r="AN302" t="s">
        <v>1998</v>
      </c>
      <c r="AO302">
        <v>47500</v>
      </c>
      <c r="AU302">
        <v>0</v>
      </c>
      <c r="AW302" t="s">
        <v>112</v>
      </c>
      <c r="AX302" t="s">
        <v>2079</v>
      </c>
    </row>
    <row r="303" spans="1:50">
      <c r="A303" s="1">
        <f>HYPERLINK("https://lsnyc.legalserver.org/matter/dynamic-profile/view/1900060","19-1900060")</f>
        <v>0</v>
      </c>
      <c r="B303" t="s">
        <v>75</v>
      </c>
      <c r="C303" t="s">
        <v>119</v>
      </c>
      <c r="D303" t="s">
        <v>138</v>
      </c>
      <c r="E303" t="s">
        <v>216</v>
      </c>
      <c r="F303" t="s">
        <v>463</v>
      </c>
      <c r="G303" t="s">
        <v>689</v>
      </c>
      <c r="H303" t="s">
        <v>975</v>
      </c>
      <c r="I303" t="s">
        <v>1023</v>
      </c>
      <c r="J303" t="s">
        <v>1159</v>
      </c>
      <c r="K303">
        <v>10458</v>
      </c>
      <c r="L303" t="s">
        <v>1175</v>
      </c>
      <c r="M303" t="s">
        <v>1177</v>
      </c>
      <c r="O303" t="s">
        <v>1282</v>
      </c>
      <c r="P303" t="s">
        <v>1302</v>
      </c>
      <c r="Q303" t="s">
        <v>1306</v>
      </c>
      <c r="R303" t="s">
        <v>1311</v>
      </c>
      <c r="S303" t="s">
        <v>1176</v>
      </c>
      <c r="U303" t="s">
        <v>1313</v>
      </c>
      <c r="W303" t="s">
        <v>1325</v>
      </c>
      <c r="X303">
        <v>1108</v>
      </c>
      <c r="Y303" t="s">
        <v>1328</v>
      </c>
      <c r="Z303" t="s">
        <v>1338</v>
      </c>
      <c r="AA303" t="s">
        <v>1353</v>
      </c>
      <c r="AB303" t="s">
        <v>1639</v>
      </c>
      <c r="AD303" t="s">
        <v>1947</v>
      </c>
      <c r="AE303">
        <v>37</v>
      </c>
      <c r="AF303" t="s">
        <v>1974</v>
      </c>
      <c r="AH303">
        <v>9</v>
      </c>
      <c r="AI303">
        <v>1</v>
      </c>
      <c r="AJ303">
        <v>0</v>
      </c>
      <c r="AK303">
        <v>291.43</v>
      </c>
      <c r="AN303" t="s">
        <v>1998</v>
      </c>
      <c r="AO303">
        <v>36400</v>
      </c>
      <c r="AP303" t="s">
        <v>2026</v>
      </c>
      <c r="AU303">
        <v>1.2</v>
      </c>
      <c r="AV303" t="s">
        <v>216</v>
      </c>
      <c r="AW303" t="s">
        <v>75</v>
      </c>
      <c r="AX303" t="s">
        <v>2079</v>
      </c>
    </row>
    <row r="304" spans="1:50">
      <c r="A304" s="1">
        <f>HYPERLINK("https://lsnyc.legalserver.org/matter/dynamic-profile/view/1882971","18-1882971")</f>
        <v>0</v>
      </c>
      <c r="B304" t="s">
        <v>65</v>
      </c>
      <c r="C304" t="s">
        <v>119</v>
      </c>
      <c r="D304" t="s">
        <v>179</v>
      </c>
      <c r="E304" t="s">
        <v>220</v>
      </c>
      <c r="F304" t="s">
        <v>464</v>
      </c>
      <c r="G304" t="s">
        <v>741</v>
      </c>
      <c r="H304" t="s">
        <v>865</v>
      </c>
      <c r="I304" t="s">
        <v>1144</v>
      </c>
      <c r="J304" t="s">
        <v>1159</v>
      </c>
      <c r="K304">
        <v>10458</v>
      </c>
      <c r="L304" t="s">
        <v>1175</v>
      </c>
      <c r="M304" t="s">
        <v>1175</v>
      </c>
      <c r="P304" t="s">
        <v>1299</v>
      </c>
      <c r="Q304" t="s">
        <v>1305</v>
      </c>
      <c r="R304" t="s">
        <v>1311</v>
      </c>
      <c r="S304" t="s">
        <v>1176</v>
      </c>
      <c r="U304" t="s">
        <v>1313</v>
      </c>
      <c r="W304" t="s">
        <v>1325</v>
      </c>
      <c r="X304">
        <v>873.47</v>
      </c>
      <c r="Y304" t="s">
        <v>1328</v>
      </c>
      <c r="Z304" t="s">
        <v>1336</v>
      </c>
      <c r="AA304" t="s">
        <v>1346</v>
      </c>
      <c r="AB304" t="s">
        <v>1640</v>
      </c>
      <c r="AE304">
        <v>0</v>
      </c>
      <c r="AF304" t="s">
        <v>1974</v>
      </c>
      <c r="AG304" t="s">
        <v>1255</v>
      </c>
      <c r="AH304">
        <v>40</v>
      </c>
      <c r="AI304">
        <v>2</v>
      </c>
      <c r="AJ304">
        <v>0</v>
      </c>
      <c r="AK304">
        <v>294.05</v>
      </c>
      <c r="AN304" t="s">
        <v>1998</v>
      </c>
      <c r="AO304">
        <v>48400</v>
      </c>
      <c r="AU304">
        <v>0.2</v>
      </c>
      <c r="AV304" t="s">
        <v>220</v>
      </c>
      <c r="AW304" t="s">
        <v>2053</v>
      </c>
      <c r="AX304" t="s">
        <v>2079</v>
      </c>
    </row>
    <row r="305" spans="1:50">
      <c r="A305" s="1">
        <f>HYPERLINK("https://lsnyc.legalserver.org/matter/dynamic-profile/view/1899820","19-1899820")</f>
        <v>0</v>
      </c>
      <c r="B305" t="s">
        <v>52</v>
      </c>
      <c r="C305" t="s">
        <v>118</v>
      </c>
      <c r="D305" t="s">
        <v>143</v>
      </c>
      <c r="F305" t="s">
        <v>465</v>
      </c>
      <c r="G305" t="s">
        <v>504</v>
      </c>
      <c r="H305" t="s">
        <v>774</v>
      </c>
      <c r="I305" t="s">
        <v>1145</v>
      </c>
      <c r="J305" t="s">
        <v>1159</v>
      </c>
      <c r="K305">
        <v>10460</v>
      </c>
      <c r="L305" t="s">
        <v>1175</v>
      </c>
      <c r="M305" t="s">
        <v>1177</v>
      </c>
      <c r="N305" t="s">
        <v>1180</v>
      </c>
      <c r="O305" t="s">
        <v>1282</v>
      </c>
      <c r="P305" t="s">
        <v>1301</v>
      </c>
      <c r="R305" t="s">
        <v>1311</v>
      </c>
      <c r="S305" t="s">
        <v>1175</v>
      </c>
      <c r="U305" t="s">
        <v>1313</v>
      </c>
      <c r="W305" t="s">
        <v>1325</v>
      </c>
      <c r="X305">
        <v>378</v>
      </c>
      <c r="Y305" t="s">
        <v>1328</v>
      </c>
      <c r="Z305" t="s">
        <v>1336</v>
      </c>
      <c r="AB305" t="s">
        <v>1641</v>
      </c>
      <c r="AE305">
        <v>168</v>
      </c>
      <c r="AF305" t="s">
        <v>1976</v>
      </c>
      <c r="AG305" t="s">
        <v>1985</v>
      </c>
      <c r="AH305">
        <v>14</v>
      </c>
      <c r="AI305">
        <v>2</v>
      </c>
      <c r="AJ305">
        <v>1</v>
      </c>
      <c r="AK305">
        <v>306.14</v>
      </c>
      <c r="AN305" t="s">
        <v>1998</v>
      </c>
      <c r="AO305">
        <v>65300</v>
      </c>
      <c r="AU305">
        <v>0</v>
      </c>
      <c r="AW305" t="s">
        <v>2053</v>
      </c>
      <c r="AX305" t="s">
        <v>2079</v>
      </c>
    </row>
    <row r="306" spans="1:50">
      <c r="A306" s="1">
        <f>HYPERLINK("https://lsnyc.legalserver.org/matter/dynamic-profile/view/1902536","19-1902536")</f>
        <v>0</v>
      </c>
      <c r="B306" t="s">
        <v>115</v>
      </c>
      <c r="C306" t="s">
        <v>118</v>
      </c>
      <c r="D306" t="s">
        <v>206</v>
      </c>
      <c r="F306" t="s">
        <v>466</v>
      </c>
      <c r="G306" t="s">
        <v>742</v>
      </c>
      <c r="H306" t="s">
        <v>976</v>
      </c>
      <c r="I306" t="s">
        <v>1092</v>
      </c>
      <c r="J306" t="s">
        <v>1162</v>
      </c>
      <c r="K306">
        <v>11233</v>
      </c>
      <c r="L306" t="s">
        <v>1175</v>
      </c>
      <c r="M306" t="s">
        <v>1177</v>
      </c>
      <c r="N306" t="s">
        <v>1194</v>
      </c>
      <c r="O306" t="s">
        <v>1282</v>
      </c>
      <c r="P306" t="s">
        <v>1299</v>
      </c>
      <c r="R306" t="s">
        <v>1311</v>
      </c>
      <c r="S306" t="s">
        <v>1176</v>
      </c>
      <c r="U306" t="s">
        <v>1313</v>
      </c>
      <c r="V306" t="s">
        <v>1321</v>
      </c>
      <c r="W306" t="s">
        <v>132</v>
      </c>
      <c r="X306">
        <v>1581</v>
      </c>
      <c r="Y306" t="s">
        <v>1331</v>
      </c>
      <c r="Z306" t="s">
        <v>1340</v>
      </c>
      <c r="AB306" t="s">
        <v>1642</v>
      </c>
      <c r="AD306" t="s">
        <v>1948</v>
      </c>
      <c r="AE306">
        <v>8</v>
      </c>
      <c r="AF306" t="s">
        <v>1974</v>
      </c>
      <c r="AG306" t="s">
        <v>1255</v>
      </c>
      <c r="AH306">
        <v>5</v>
      </c>
      <c r="AI306">
        <v>1</v>
      </c>
      <c r="AJ306">
        <v>0</v>
      </c>
      <c r="AK306">
        <v>320.26</v>
      </c>
      <c r="AN306" t="s">
        <v>1998</v>
      </c>
      <c r="AO306">
        <v>40000</v>
      </c>
      <c r="AU306">
        <v>2</v>
      </c>
      <c r="AV306" t="s">
        <v>206</v>
      </c>
      <c r="AW306" t="s">
        <v>115</v>
      </c>
      <c r="AX306" t="s">
        <v>2079</v>
      </c>
    </row>
    <row r="307" spans="1:50">
      <c r="A307" s="1">
        <f>HYPERLINK("https://lsnyc.legalserver.org/matter/dynamic-profile/view/1893132","19-1893132")</f>
        <v>0</v>
      </c>
      <c r="B307" t="s">
        <v>55</v>
      </c>
      <c r="C307" t="s">
        <v>118</v>
      </c>
      <c r="D307" t="s">
        <v>207</v>
      </c>
      <c r="F307" t="s">
        <v>467</v>
      </c>
      <c r="G307" t="s">
        <v>512</v>
      </c>
      <c r="H307" t="s">
        <v>977</v>
      </c>
      <c r="I307" t="s">
        <v>1146</v>
      </c>
      <c r="J307" t="s">
        <v>1159</v>
      </c>
      <c r="K307">
        <v>10455</v>
      </c>
      <c r="L307" t="s">
        <v>1175</v>
      </c>
      <c r="M307" t="s">
        <v>1177</v>
      </c>
      <c r="N307" t="s">
        <v>1277</v>
      </c>
      <c r="O307" t="s">
        <v>1281</v>
      </c>
      <c r="P307" t="s">
        <v>1299</v>
      </c>
      <c r="R307" t="s">
        <v>1311</v>
      </c>
      <c r="S307" t="s">
        <v>1176</v>
      </c>
      <c r="U307" t="s">
        <v>1313</v>
      </c>
      <c r="W307" t="s">
        <v>131</v>
      </c>
      <c r="X307">
        <v>0</v>
      </c>
      <c r="Y307" t="s">
        <v>1328</v>
      </c>
      <c r="AB307" t="s">
        <v>1643</v>
      </c>
      <c r="AD307" t="s">
        <v>1949</v>
      </c>
      <c r="AE307">
        <v>0</v>
      </c>
      <c r="AH307">
        <v>0</v>
      </c>
      <c r="AI307">
        <v>1</v>
      </c>
      <c r="AJ307">
        <v>0</v>
      </c>
      <c r="AK307">
        <v>320.26</v>
      </c>
      <c r="AN307" t="s">
        <v>1998</v>
      </c>
      <c r="AO307">
        <v>40000</v>
      </c>
      <c r="AU307">
        <v>0.3</v>
      </c>
      <c r="AV307" t="s">
        <v>175</v>
      </c>
      <c r="AW307" t="s">
        <v>55</v>
      </c>
      <c r="AX307" t="s">
        <v>2079</v>
      </c>
    </row>
    <row r="308" spans="1:50">
      <c r="A308" s="1">
        <f>HYPERLINK("https://lsnyc.legalserver.org/matter/dynamic-profile/view/1901431","19-1901431")</f>
        <v>0</v>
      </c>
      <c r="B308" t="s">
        <v>56</v>
      </c>
      <c r="C308" t="s">
        <v>118</v>
      </c>
      <c r="D308" t="s">
        <v>148</v>
      </c>
      <c r="F308" t="s">
        <v>468</v>
      </c>
      <c r="G308" t="s">
        <v>343</v>
      </c>
      <c r="H308" t="s">
        <v>809</v>
      </c>
      <c r="I308" t="s">
        <v>1090</v>
      </c>
      <c r="J308" t="s">
        <v>1159</v>
      </c>
      <c r="K308">
        <v>10452</v>
      </c>
      <c r="L308" t="s">
        <v>1175</v>
      </c>
      <c r="M308" t="s">
        <v>1177</v>
      </c>
      <c r="O308" t="s">
        <v>1283</v>
      </c>
      <c r="P308" t="s">
        <v>1300</v>
      </c>
      <c r="R308" t="s">
        <v>1311</v>
      </c>
      <c r="S308" t="s">
        <v>1175</v>
      </c>
      <c r="U308" t="s">
        <v>1313</v>
      </c>
      <c r="W308" t="s">
        <v>1325</v>
      </c>
      <c r="X308">
        <v>783.86</v>
      </c>
      <c r="Y308" t="s">
        <v>1328</v>
      </c>
      <c r="Z308" t="s">
        <v>1340</v>
      </c>
      <c r="AB308" t="s">
        <v>1644</v>
      </c>
      <c r="AD308" t="s">
        <v>1950</v>
      </c>
      <c r="AE308">
        <v>52</v>
      </c>
      <c r="AF308" t="s">
        <v>1974</v>
      </c>
      <c r="AG308" t="s">
        <v>1255</v>
      </c>
      <c r="AH308">
        <v>20</v>
      </c>
      <c r="AI308">
        <v>1</v>
      </c>
      <c r="AJ308">
        <v>0</v>
      </c>
      <c r="AK308">
        <v>320.26</v>
      </c>
      <c r="AN308" t="s">
        <v>1998</v>
      </c>
      <c r="AO308">
        <v>40000</v>
      </c>
      <c r="AU308">
        <v>0</v>
      </c>
      <c r="AW308" t="s">
        <v>112</v>
      </c>
      <c r="AX308" t="s">
        <v>2079</v>
      </c>
    </row>
    <row r="309" spans="1:50">
      <c r="A309" s="1">
        <f>HYPERLINK("https://lsnyc.legalserver.org/matter/dynamic-profile/view/1892879","19-1892879")</f>
        <v>0</v>
      </c>
      <c r="B309" t="s">
        <v>77</v>
      </c>
      <c r="C309" t="s">
        <v>119</v>
      </c>
      <c r="D309" t="s">
        <v>208</v>
      </c>
      <c r="E309" t="s">
        <v>173</v>
      </c>
      <c r="F309" t="s">
        <v>261</v>
      </c>
      <c r="G309" t="s">
        <v>743</v>
      </c>
      <c r="H309" t="s">
        <v>978</v>
      </c>
      <c r="I309" t="s">
        <v>1136</v>
      </c>
      <c r="J309" t="s">
        <v>1159</v>
      </c>
      <c r="K309">
        <v>10459</v>
      </c>
      <c r="L309" t="s">
        <v>1175</v>
      </c>
      <c r="M309" t="s">
        <v>1175</v>
      </c>
      <c r="N309" t="s">
        <v>1278</v>
      </c>
      <c r="O309" t="s">
        <v>1284</v>
      </c>
      <c r="P309" t="s">
        <v>1298</v>
      </c>
      <c r="Q309" t="s">
        <v>1310</v>
      </c>
      <c r="R309" t="s">
        <v>1311</v>
      </c>
      <c r="S309" t="s">
        <v>1176</v>
      </c>
      <c r="U309" t="s">
        <v>1313</v>
      </c>
      <c r="W309" t="s">
        <v>1325</v>
      </c>
      <c r="X309">
        <v>597.67</v>
      </c>
      <c r="Y309" t="s">
        <v>1328</v>
      </c>
      <c r="Z309" t="s">
        <v>1341</v>
      </c>
      <c r="AA309" t="s">
        <v>1348</v>
      </c>
      <c r="AB309" t="s">
        <v>1645</v>
      </c>
      <c r="AD309" t="s">
        <v>1951</v>
      </c>
      <c r="AE309">
        <v>31</v>
      </c>
      <c r="AF309" t="s">
        <v>1974</v>
      </c>
      <c r="AG309" t="s">
        <v>1255</v>
      </c>
      <c r="AH309">
        <v>28</v>
      </c>
      <c r="AI309">
        <v>2</v>
      </c>
      <c r="AJ309">
        <v>1</v>
      </c>
      <c r="AK309">
        <v>321.8</v>
      </c>
      <c r="AN309" t="s">
        <v>2000</v>
      </c>
      <c r="AO309">
        <v>68640</v>
      </c>
      <c r="AU309">
        <v>2.3</v>
      </c>
      <c r="AV309" t="s">
        <v>2049</v>
      </c>
      <c r="AW309" t="s">
        <v>112</v>
      </c>
      <c r="AX309" t="s">
        <v>2079</v>
      </c>
    </row>
    <row r="310" spans="1:50">
      <c r="A310" s="1">
        <f>HYPERLINK("https://lsnyc.legalserver.org/matter/dynamic-profile/view/1903494","19-1903494")</f>
        <v>0</v>
      </c>
      <c r="B310" t="s">
        <v>50</v>
      </c>
      <c r="C310" t="s">
        <v>118</v>
      </c>
      <c r="D310" t="s">
        <v>123</v>
      </c>
      <c r="F310" t="s">
        <v>346</v>
      </c>
      <c r="G310" t="s">
        <v>744</v>
      </c>
      <c r="H310" t="s">
        <v>816</v>
      </c>
      <c r="I310" t="s">
        <v>1147</v>
      </c>
      <c r="J310" t="s">
        <v>1158</v>
      </c>
      <c r="K310">
        <v>11354</v>
      </c>
      <c r="L310" t="s">
        <v>1175</v>
      </c>
      <c r="M310" t="s">
        <v>1177</v>
      </c>
      <c r="N310" t="s">
        <v>1179</v>
      </c>
      <c r="O310" t="s">
        <v>1283</v>
      </c>
      <c r="P310" t="s">
        <v>1300</v>
      </c>
      <c r="R310" t="s">
        <v>1311</v>
      </c>
      <c r="S310" t="s">
        <v>1175</v>
      </c>
      <c r="U310" t="s">
        <v>1313</v>
      </c>
      <c r="V310" t="s">
        <v>1321</v>
      </c>
      <c r="W310" t="s">
        <v>123</v>
      </c>
      <c r="X310">
        <v>0</v>
      </c>
      <c r="Y310" t="s">
        <v>1327</v>
      </c>
      <c r="Z310" t="s">
        <v>1334</v>
      </c>
      <c r="AB310" t="s">
        <v>1646</v>
      </c>
      <c r="AD310" t="s">
        <v>1952</v>
      </c>
      <c r="AE310">
        <v>91</v>
      </c>
      <c r="AF310" t="s">
        <v>1974</v>
      </c>
      <c r="AG310" t="s">
        <v>1255</v>
      </c>
      <c r="AH310">
        <v>1</v>
      </c>
      <c r="AI310">
        <v>2</v>
      </c>
      <c r="AJ310">
        <v>0</v>
      </c>
      <c r="AK310">
        <v>325.25</v>
      </c>
      <c r="AM310" t="s">
        <v>1996</v>
      </c>
      <c r="AN310" t="s">
        <v>1998</v>
      </c>
      <c r="AO310">
        <v>55000</v>
      </c>
      <c r="AU310">
        <v>0.15</v>
      </c>
      <c r="AV310" t="s">
        <v>123</v>
      </c>
      <c r="AW310" t="s">
        <v>50</v>
      </c>
      <c r="AX310" t="s">
        <v>2079</v>
      </c>
    </row>
    <row r="311" spans="1:50">
      <c r="A311" s="1">
        <f>HYPERLINK("https://lsnyc.legalserver.org/matter/dynamic-profile/view/1901437","19-1901437")</f>
        <v>0</v>
      </c>
      <c r="B311" t="s">
        <v>113</v>
      </c>
      <c r="C311" t="s">
        <v>119</v>
      </c>
      <c r="D311" t="s">
        <v>148</v>
      </c>
      <c r="E311" t="s">
        <v>145</v>
      </c>
      <c r="F311" t="s">
        <v>469</v>
      </c>
      <c r="G311" t="s">
        <v>745</v>
      </c>
      <c r="H311" t="s">
        <v>979</v>
      </c>
      <c r="I311">
        <v>43</v>
      </c>
      <c r="J311" t="s">
        <v>1161</v>
      </c>
      <c r="K311">
        <v>10033</v>
      </c>
      <c r="L311" t="s">
        <v>1175</v>
      </c>
      <c r="M311" t="s">
        <v>1177</v>
      </c>
      <c r="O311" t="s">
        <v>1291</v>
      </c>
      <c r="P311" t="s">
        <v>1302</v>
      </c>
      <c r="Q311" t="s">
        <v>1306</v>
      </c>
      <c r="R311" t="s">
        <v>1311</v>
      </c>
      <c r="S311" t="s">
        <v>1176</v>
      </c>
      <c r="U311" t="s">
        <v>1313</v>
      </c>
      <c r="W311" t="s">
        <v>148</v>
      </c>
      <c r="X311">
        <v>2900</v>
      </c>
      <c r="Y311" t="s">
        <v>1330</v>
      </c>
      <c r="Z311" t="s">
        <v>1338</v>
      </c>
      <c r="AA311" t="s">
        <v>1346</v>
      </c>
      <c r="AB311" t="s">
        <v>1647</v>
      </c>
      <c r="AE311">
        <v>54</v>
      </c>
      <c r="AF311" t="s">
        <v>1974</v>
      </c>
      <c r="AG311" t="s">
        <v>1255</v>
      </c>
      <c r="AH311">
        <v>3</v>
      </c>
      <c r="AI311">
        <v>1</v>
      </c>
      <c r="AJ311">
        <v>0</v>
      </c>
      <c r="AK311">
        <v>336.27</v>
      </c>
      <c r="AN311" t="s">
        <v>1998</v>
      </c>
      <c r="AO311">
        <v>42000</v>
      </c>
      <c r="AU311">
        <v>0.25</v>
      </c>
      <c r="AV311" t="s">
        <v>145</v>
      </c>
      <c r="AW311" t="s">
        <v>2057</v>
      </c>
      <c r="AX311" t="s">
        <v>2079</v>
      </c>
    </row>
    <row r="312" spans="1:50">
      <c r="A312" s="1">
        <f>HYPERLINK("https://lsnyc.legalserver.org/matter/dynamic-profile/view/1889772","19-1889772")</f>
        <v>0</v>
      </c>
      <c r="B312" t="s">
        <v>66</v>
      </c>
      <c r="C312" t="s">
        <v>118</v>
      </c>
      <c r="D312" t="s">
        <v>209</v>
      </c>
      <c r="F312" t="s">
        <v>470</v>
      </c>
      <c r="G312" t="s">
        <v>746</v>
      </c>
      <c r="H312" t="s">
        <v>980</v>
      </c>
      <c r="I312" t="s">
        <v>1136</v>
      </c>
      <c r="J312" t="s">
        <v>1159</v>
      </c>
      <c r="K312">
        <v>10452</v>
      </c>
      <c r="L312" t="s">
        <v>1175</v>
      </c>
      <c r="M312" t="s">
        <v>1175</v>
      </c>
      <c r="O312" t="s">
        <v>1284</v>
      </c>
      <c r="P312" t="s">
        <v>1302</v>
      </c>
      <c r="R312" t="s">
        <v>1311</v>
      </c>
      <c r="S312" t="s">
        <v>1176</v>
      </c>
      <c r="U312" t="s">
        <v>1313</v>
      </c>
      <c r="W312" t="s">
        <v>1325</v>
      </c>
      <c r="X312">
        <v>1181.64</v>
      </c>
      <c r="Y312" t="s">
        <v>1328</v>
      </c>
      <c r="Z312" t="s">
        <v>1336</v>
      </c>
      <c r="AB312" t="s">
        <v>1648</v>
      </c>
      <c r="AE312">
        <v>52</v>
      </c>
      <c r="AF312" t="s">
        <v>1974</v>
      </c>
      <c r="AG312" t="s">
        <v>1255</v>
      </c>
      <c r="AH312">
        <v>4</v>
      </c>
      <c r="AI312">
        <v>1</v>
      </c>
      <c r="AJ312">
        <v>0</v>
      </c>
      <c r="AK312">
        <v>337.07</v>
      </c>
      <c r="AN312" t="s">
        <v>1998</v>
      </c>
      <c r="AO312">
        <v>42100</v>
      </c>
      <c r="AP312" t="s">
        <v>2005</v>
      </c>
      <c r="AU312">
        <v>4.6</v>
      </c>
      <c r="AV312" t="s">
        <v>145</v>
      </c>
      <c r="AW312" t="s">
        <v>2052</v>
      </c>
      <c r="AX312" t="s">
        <v>2079</v>
      </c>
    </row>
    <row r="313" spans="1:50">
      <c r="A313" s="1">
        <f>HYPERLINK("https://lsnyc.legalserver.org/matter/dynamic-profile/view/1899894","19-1899894")</f>
        <v>0</v>
      </c>
      <c r="B313" t="s">
        <v>52</v>
      </c>
      <c r="C313" t="s">
        <v>118</v>
      </c>
      <c r="D313" t="s">
        <v>143</v>
      </c>
      <c r="F313" t="s">
        <v>418</v>
      </c>
      <c r="G313" t="s">
        <v>693</v>
      </c>
      <c r="H313" t="s">
        <v>774</v>
      </c>
      <c r="I313" t="s">
        <v>1123</v>
      </c>
      <c r="J313" t="s">
        <v>1159</v>
      </c>
      <c r="K313">
        <v>10460</v>
      </c>
      <c r="L313" t="s">
        <v>1175</v>
      </c>
      <c r="M313" t="s">
        <v>1177</v>
      </c>
      <c r="N313" t="s">
        <v>1180</v>
      </c>
      <c r="O313" t="s">
        <v>1282</v>
      </c>
      <c r="P313" t="s">
        <v>1301</v>
      </c>
      <c r="R313" t="s">
        <v>1311</v>
      </c>
      <c r="S313" t="s">
        <v>1175</v>
      </c>
      <c r="U313" t="s">
        <v>1313</v>
      </c>
      <c r="W313" t="s">
        <v>1325</v>
      </c>
      <c r="X313">
        <v>1967</v>
      </c>
      <c r="Y313" t="s">
        <v>1328</v>
      </c>
      <c r="Z313" t="s">
        <v>1336</v>
      </c>
      <c r="AB313" t="s">
        <v>1580</v>
      </c>
      <c r="AD313" t="s">
        <v>1899</v>
      </c>
      <c r="AE313">
        <v>0</v>
      </c>
      <c r="AF313" t="s">
        <v>1974</v>
      </c>
      <c r="AG313" t="s">
        <v>1985</v>
      </c>
      <c r="AH313">
        <v>3</v>
      </c>
      <c r="AI313">
        <v>2</v>
      </c>
      <c r="AJ313">
        <v>0</v>
      </c>
      <c r="AK313">
        <v>353.64</v>
      </c>
      <c r="AN313" t="s">
        <v>1998</v>
      </c>
      <c r="AO313">
        <v>59800</v>
      </c>
      <c r="AU313">
        <v>0</v>
      </c>
      <c r="AW313" t="s">
        <v>2063</v>
      </c>
      <c r="AX313" t="s">
        <v>2079</v>
      </c>
    </row>
    <row r="314" spans="1:50">
      <c r="A314" s="1">
        <f>HYPERLINK("https://lsnyc.legalserver.org/matter/dynamic-profile/view/1899804","19-1899804")</f>
        <v>0</v>
      </c>
      <c r="B314" t="s">
        <v>52</v>
      </c>
      <c r="C314" t="s">
        <v>118</v>
      </c>
      <c r="D314" t="s">
        <v>143</v>
      </c>
      <c r="F314" t="s">
        <v>471</v>
      </c>
      <c r="G314" t="s">
        <v>747</v>
      </c>
      <c r="H314" t="s">
        <v>774</v>
      </c>
      <c r="I314" t="s">
        <v>1148</v>
      </c>
      <c r="J314" t="s">
        <v>1159</v>
      </c>
      <c r="K314">
        <v>10460</v>
      </c>
      <c r="L314" t="s">
        <v>1175</v>
      </c>
      <c r="M314" t="s">
        <v>1177</v>
      </c>
      <c r="O314" t="s">
        <v>1282</v>
      </c>
      <c r="P314" t="s">
        <v>1301</v>
      </c>
      <c r="R314" t="s">
        <v>1311</v>
      </c>
      <c r="S314" t="s">
        <v>1175</v>
      </c>
      <c r="U314" t="s">
        <v>1313</v>
      </c>
      <c r="W314" t="s">
        <v>1325</v>
      </c>
      <c r="X314">
        <v>1367</v>
      </c>
      <c r="Y314" t="s">
        <v>1328</v>
      </c>
      <c r="Z314" t="s">
        <v>1336</v>
      </c>
      <c r="AB314" t="s">
        <v>1649</v>
      </c>
      <c r="AD314" t="s">
        <v>1953</v>
      </c>
      <c r="AE314">
        <v>168</v>
      </c>
      <c r="AF314" t="s">
        <v>1977</v>
      </c>
      <c r="AG314" t="s">
        <v>1255</v>
      </c>
      <c r="AH314">
        <v>24</v>
      </c>
      <c r="AI314">
        <v>1</v>
      </c>
      <c r="AJ314">
        <v>0</v>
      </c>
      <c r="AK314">
        <v>354.77</v>
      </c>
      <c r="AN314" t="s">
        <v>1998</v>
      </c>
      <c r="AO314">
        <v>44310.96</v>
      </c>
      <c r="AU314">
        <v>0</v>
      </c>
      <c r="AW314" t="s">
        <v>2053</v>
      </c>
      <c r="AX314" t="s">
        <v>2079</v>
      </c>
    </row>
    <row r="315" spans="1:50">
      <c r="A315" s="1">
        <f>HYPERLINK("https://lsnyc.legalserver.org/matter/dynamic-profile/view/1903826","19-1903826")</f>
        <v>0</v>
      </c>
      <c r="B315" t="s">
        <v>104</v>
      </c>
      <c r="C315" t="s">
        <v>118</v>
      </c>
      <c r="D315" t="s">
        <v>163</v>
      </c>
      <c r="F315" t="s">
        <v>472</v>
      </c>
      <c r="G315" t="s">
        <v>748</v>
      </c>
      <c r="H315" t="s">
        <v>905</v>
      </c>
      <c r="I315" t="s">
        <v>1034</v>
      </c>
      <c r="J315" t="s">
        <v>1162</v>
      </c>
      <c r="K315">
        <v>11220</v>
      </c>
      <c r="L315" t="s">
        <v>1175</v>
      </c>
      <c r="M315" t="s">
        <v>1177</v>
      </c>
      <c r="R315" t="s">
        <v>1311</v>
      </c>
      <c r="S315" t="s">
        <v>1175</v>
      </c>
      <c r="U315" t="s">
        <v>1313</v>
      </c>
      <c r="W315" t="s">
        <v>215</v>
      </c>
      <c r="X315">
        <v>0</v>
      </c>
      <c r="Y315" t="s">
        <v>1331</v>
      </c>
      <c r="AB315" t="s">
        <v>1650</v>
      </c>
      <c r="AE315">
        <v>0</v>
      </c>
      <c r="AH315">
        <v>0</v>
      </c>
      <c r="AI315">
        <v>3</v>
      </c>
      <c r="AJ315">
        <v>0</v>
      </c>
      <c r="AK315">
        <v>365.68</v>
      </c>
      <c r="AO315">
        <v>78000</v>
      </c>
      <c r="AU315">
        <v>0.3</v>
      </c>
      <c r="AV315" t="s">
        <v>163</v>
      </c>
      <c r="AW315" t="s">
        <v>92</v>
      </c>
    </row>
    <row r="316" spans="1:50">
      <c r="A316" s="1">
        <f>HYPERLINK("https://lsnyc.legalserver.org/matter/dynamic-profile/view/1892382","19-1892382")</f>
        <v>0</v>
      </c>
      <c r="B316" t="s">
        <v>71</v>
      </c>
      <c r="C316" t="s">
        <v>118</v>
      </c>
      <c r="D316" t="s">
        <v>161</v>
      </c>
      <c r="F316" t="s">
        <v>453</v>
      </c>
      <c r="G316" t="s">
        <v>749</v>
      </c>
      <c r="H316" t="s">
        <v>807</v>
      </c>
      <c r="I316" t="s">
        <v>1149</v>
      </c>
      <c r="J316" t="s">
        <v>1159</v>
      </c>
      <c r="K316">
        <v>10453</v>
      </c>
      <c r="L316" t="s">
        <v>1175</v>
      </c>
      <c r="M316" t="s">
        <v>1175</v>
      </c>
      <c r="O316" t="s">
        <v>1283</v>
      </c>
      <c r="P316" t="s">
        <v>1300</v>
      </c>
      <c r="R316" t="s">
        <v>1311</v>
      </c>
      <c r="S316" t="s">
        <v>1175</v>
      </c>
      <c r="U316" t="s">
        <v>1313</v>
      </c>
      <c r="W316" t="s">
        <v>206</v>
      </c>
      <c r="X316">
        <v>1067.78</v>
      </c>
      <c r="Y316" t="s">
        <v>1328</v>
      </c>
      <c r="Z316" t="s">
        <v>1340</v>
      </c>
      <c r="AB316" t="s">
        <v>1651</v>
      </c>
      <c r="AD316" t="s">
        <v>1954</v>
      </c>
      <c r="AE316">
        <v>170</v>
      </c>
      <c r="AF316" t="s">
        <v>1974</v>
      </c>
      <c r="AG316" t="s">
        <v>1255</v>
      </c>
      <c r="AH316">
        <v>20</v>
      </c>
      <c r="AI316">
        <v>2</v>
      </c>
      <c r="AJ316">
        <v>0</v>
      </c>
      <c r="AK316">
        <v>372.56</v>
      </c>
      <c r="AN316" t="s">
        <v>1998</v>
      </c>
      <c r="AO316">
        <v>63000</v>
      </c>
      <c r="AU316">
        <v>0</v>
      </c>
      <c r="AW316" t="s">
        <v>112</v>
      </c>
      <c r="AX316" t="s">
        <v>2079</v>
      </c>
    </row>
    <row r="317" spans="1:50">
      <c r="A317" s="1">
        <f>HYPERLINK("https://lsnyc.legalserver.org/matter/dynamic-profile/view/1901524","19-1901524")</f>
        <v>0</v>
      </c>
      <c r="B317" t="s">
        <v>116</v>
      </c>
      <c r="C317" t="s">
        <v>118</v>
      </c>
      <c r="D317" t="s">
        <v>148</v>
      </c>
      <c r="F317" t="s">
        <v>473</v>
      </c>
      <c r="G317" t="s">
        <v>750</v>
      </c>
      <c r="H317" t="s">
        <v>981</v>
      </c>
      <c r="I317" t="s">
        <v>1104</v>
      </c>
      <c r="J317" t="s">
        <v>1162</v>
      </c>
      <c r="K317">
        <v>11238</v>
      </c>
      <c r="L317" t="s">
        <v>1175</v>
      </c>
      <c r="M317" t="s">
        <v>1177</v>
      </c>
      <c r="R317" t="s">
        <v>1311</v>
      </c>
      <c r="U317" t="s">
        <v>1313</v>
      </c>
      <c r="W317" t="s">
        <v>148</v>
      </c>
      <c r="X317">
        <v>0</v>
      </c>
      <c r="Y317" t="s">
        <v>1331</v>
      </c>
      <c r="AB317" t="s">
        <v>1652</v>
      </c>
      <c r="AD317" t="s">
        <v>1955</v>
      </c>
      <c r="AE317">
        <v>0</v>
      </c>
      <c r="AH317">
        <v>0</v>
      </c>
      <c r="AI317">
        <v>2</v>
      </c>
      <c r="AJ317">
        <v>0</v>
      </c>
      <c r="AK317">
        <v>396.83</v>
      </c>
      <c r="AN317" t="s">
        <v>1998</v>
      </c>
      <c r="AO317">
        <v>67104</v>
      </c>
      <c r="AU317">
        <v>0.2</v>
      </c>
      <c r="AV317" t="s">
        <v>148</v>
      </c>
      <c r="AW317" t="s">
        <v>92</v>
      </c>
    </row>
    <row r="318" spans="1:50">
      <c r="A318" s="1">
        <f>HYPERLINK("https://lsnyc.legalserver.org/matter/dynamic-profile/view/1901526","19-1901526")</f>
        <v>0</v>
      </c>
      <c r="B318" t="s">
        <v>116</v>
      </c>
      <c r="C318" t="s">
        <v>118</v>
      </c>
      <c r="D318" t="s">
        <v>148</v>
      </c>
      <c r="F318" t="s">
        <v>473</v>
      </c>
      <c r="G318" t="s">
        <v>750</v>
      </c>
      <c r="H318" t="s">
        <v>981</v>
      </c>
      <c r="I318" t="s">
        <v>1104</v>
      </c>
      <c r="J318" t="s">
        <v>1162</v>
      </c>
      <c r="K318">
        <v>11238</v>
      </c>
      <c r="L318" t="s">
        <v>1175</v>
      </c>
      <c r="M318" t="s">
        <v>1177</v>
      </c>
      <c r="R318" t="s">
        <v>1311</v>
      </c>
      <c r="U318" t="s">
        <v>1313</v>
      </c>
      <c r="W318" t="s">
        <v>148</v>
      </c>
      <c r="X318">
        <v>0</v>
      </c>
      <c r="Y318" t="s">
        <v>1331</v>
      </c>
      <c r="AB318" t="s">
        <v>1652</v>
      </c>
      <c r="AD318" t="s">
        <v>1955</v>
      </c>
      <c r="AE318">
        <v>0</v>
      </c>
      <c r="AH318">
        <v>0</v>
      </c>
      <c r="AI318">
        <v>2</v>
      </c>
      <c r="AJ318">
        <v>0</v>
      </c>
      <c r="AK318">
        <v>396.83</v>
      </c>
      <c r="AN318" t="s">
        <v>1998</v>
      </c>
      <c r="AO318">
        <v>67104</v>
      </c>
      <c r="AU318">
        <v>0.2</v>
      </c>
      <c r="AV318" t="s">
        <v>148</v>
      </c>
      <c r="AW318" t="s">
        <v>92</v>
      </c>
    </row>
    <row r="319" spans="1:50">
      <c r="A319" s="1">
        <f>HYPERLINK("https://lsnyc.legalserver.org/matter/dynamic-profile/view/1901527","19-1901527")</f>
        <v>0</v>
      </c>
      <c r="B319" t="s">
        <v>116</v>
      </c>
      <c r="C319" t="s">
        <v>118</v>
      </c>
      <c r="D319" t="s">
        <v>148</v>
      </c>
      <c r="F319" t="s">
        <v>473</v>
      </c>
      <c r="G319" t="s">
        <v>750</v>
      </c>
      <c r="H319" t="s">
        <v>981</v>
      </c>
      <c r="I319" t="s">
        <v>1104</v>
      </c>
      <c r="J319" t="s">
        <v>1162</v>
      </c>
      <c r="K319">
        <v>11238</v>
      </c>
      <c r="L319" t="s">
        <v>1175</v>
      </c>
      <c r="M319" t="s">
        <v>1177</v>
      </c>
      <c r="R319" t="s">
        <v>1311</v>
      </c>
      <c r="U319" t="s">
        <v>1313</v>
      </c>
      <c r="W319" t="s">
        <v>148</v>
      </c>
      <c r="X319">
        <v>0</v>
      </c>
      <c r="Y319" t="s">
        <v>1331</v>
      </c>
      <c r="AB319" t="s">
        <v>1652</v>
      </c>
      <c r="AD319" t="s">
        <v>1955</v>
      </c>
      <c r="AE319">
        <v>0</v>
      </c>
      <c r="AH319">
        <v>0</v>
      </c>
      <c r="AI319">
        <v>2</v>
      </c>
      <c r="AJ319">
        <v>0</v>
      </c>
      <c r="AK319">
        <v>396.83</v>
      </c>
      <c r="AN319" t="s">
        <v>1998</v>
      </c>
      <c r="AO319">
        <v>67104</v>
      </c>
      <c r="AU319">
        <v>0.2</v>
      </c>
      <c r="AV319" t="s">
        <v>148</v>
      </c>
      <c r="AW319" t="s">
        <v>92</v>
      </c>
    </row>
    <row r="320" spans="1:50">
      <c r="A320" s="1">
        <f>HYPERLINK("https://lsnyc.legalserver.org/matter/dynamic-profile/view/1896017","19-1896017")</f>
        <v>0</v>
      </c>
      <c r="B320" t="s">
        <v>55</v>
      </c>
      <c r="C320" t="s">
        <v>118</v>
      </c>
      <c r="D320" t="s">
        <v>130</v>
      </c>
      <c r="F320" t="s">
        <v>474</v>
      </c>
      <c r="G320" t="s">
        <v>751</v>
      </c>
      <c r="H320" t="s">
        <v>982</v>
      </c>
      <c r="I320">
        <v>25</v>
      </c>
      <c r="J320" t="s">
        <v>1159</v>
      </c>
      <c r="K320">
        <v>10452</v>
      </c>
      <c r="L320" t="s">
        <v>1175</v>
      </c>
      <c r="M320" t="s">
        <v>1177</v>
      </c>
      <c r="P320" t="s">
        <v>1302</v>
      </c>
      <c r="R320" t="s">
        <v>1311</v>
      </c>
      <c r="U320" t="s">
        <v>1318</v>
      </c>
      <c r="W320" t="s">
        <v>145</v>
      </c>
      <c r="X320">
        <v>0</v>
      </c>
      <c r="Y320" t="s">
        <v>1328</v>
      </c>
      <c r="AB320" t="s">
        <v>1653</v>
      </c>
      <c r="AD320" t="s">
        <v>1956</v>
      </c>
      <c r="AE320">
        <v>0</v>
      </c>
      <c r="AH320">
        <v>0</v>
      </c>
      <c r="AI320">
        <v>3</v>
      </c>
      <c r="AJ320">
        <v>0</v>
      </c>
      <c r="AK320">
        <v>400.09</v>
      </c>
      <c r="AN320" t="s">
        <v>1998</v>
      </c>
      <c r="AO320">
        <v>85340</v>
      </c>
      <c r="AU320">
        <v>1.2</v>
      </c>
      <c r="AV320" t="s">
        <v>189</v>
      </c>
      <c r="AW320" t="s">
        <v>55</v>
      </c>
      <c r="AX320" t="s">
        <v>2079</v>
      </c>
    </row>
    <row r="321" spans="1:50">
      <c r="A321" s="1">
        <f>HYPERLINK("https://lsnyc.legalserver.org/matter/dynamic-profile/view/1900549","19-1900549")</f>
        <v>0</v>
      </c>
      <c r="B321" t="s">
        <v>52</v>
      </c>
      <c r="C321" t="s">
        <v>118</v>
      </c>
      <c r="D321" t="s">
        <v>124</v>
      </c>
      <c r="F321" t="s">
        <v>475</v>
      </c>
      <c r="G321" t="s">
        <v>740</v>
      </c>
      <c r="H321" t="s">
        <v>774</v>
      </c>
      <c r="I321" t="s">
        <v>1150</v>
      </c>
      <c r="J321" t="s">
        <v>1159</v>
      </c>
      <c r="K321">
        <v>10460</v>
      </c>
      <c r="L321" t="s">
        <v>1175</v>
      </c>
      <c r="M321" t="s">
        <v>1177</v>
      </c>
      <c r="O321" t="s">
        <v>1282</v>
      </c>
      <c r="P321" t="s">
        <v>1301</v>
      </c>
      <c r="R321" t="s">
        <v>1311</v>
      </c>
      <c r="S321" t="s">
        <v>1175</v>
      </c>
      <c r="U321" t="s">
        <v>1313</v>
      </c>
      <c r="W321" t="s">
        <v>1325</v>
      </c>
      <c r="X321">
        <v>1169</v>
      </c>
      <c r="Y321" t="s">
        <v>1328</v>
      </c>
      <c r="Z321" t="s">
        <v>1336</v>
      </c>
      <c r="AB321" t="s">
        <v>1654</v>
      </c>
      <c r="AE321">
        <v>168</v>
      </c>
      <c r="AF321" t="s">
        <v>1975</v>
      </c>
      <c r="AG321" t="s">
        <v>1341</v>
      </c>
      <c r="AH321">
        <v>11</v>
      </c>
      <c r="AI321">
        <v>1</v>
      </c>
      <c r="AJ321">
        <v>0</v>
      </c>
      <c r="AK321">
        <v>400.32</v>
      </c>
      <c r="AN321" t="s">
        <v>1998</v>
      </c>
      <c r="AO321">
        <v>50000</v>
      </c>
      <c r="AU321">
        <v>0</v>
      </c>
      <c r="AW321" t="s">
        <v>2052</v>
      </c>
      <c r="AX321" t="s">
        <v>2079</v>
      </c>
    </row>
    <row r="322" spans="1:50">
      <c r="A322" s="1">
        <f>HYPERLINK("https://lsnyc.legalserver.org/matter/dynamic-profile/view/1875115","18-1875115")</f>
        <v>0</v>
      </c>
      <c r="B322" t="s">
        <v>58</v>
      </c>
      <c r="C322" t="s">
        <v>118</v>
      </c>
      <c r="D322" t="s">
        <v>210</v>
      </c>
      <c r="F322" t="s">
        <v>287</v>
      </c>
      <c r="G322" t="s">
        <v>752</v>
      </c>
      <c r="H322" t="s">
        <v>970</v>
      </c>
      <c r="I322" t="s">
        <v>1142</v>
      </c>
      <c r="J322" t="s">
        <v>1159</v>
      </c>
      <c r="K322">
        <v>10453</v>
      </c>
      <c r="L322" t="s">
        <v>1175</v>
      </c>
      <c r="M322" t="s">
        <v>1175</v>
      </c>
      <c r="N322" t="s">
        <v>1279</v>
      </c>
      <c r="O322" t="s">
        <v>1281</v>
      </c>
      <c r="P322" t="s">
        <v>1298</v>
      </c>
      <c r="R322" t="s">
        <v>1311</v>
      </c>
      <c r="S322" t="s">
        <v>1176</v>
      </c>
      <c r="U322" t="s">
        <v>1313</v>
      </c>
      <c r="W322" t="s">
        <v>1325</v>
      </c>
      <c r="X322">
        <v>1040</v>
      </c>
      <c r="Y322" t="s">
        <v>1328</v>
      </c>
      <c r="AB322" t="s">
        <v>1655</v>
      </c>
      <c r="AD322" t="s">
        <v>1957</v>
      </c>
      <c r="AE322">
        <v>0</v>
      </c>
      <c r="AF322" t="s">
        <v>1974</v>
      </c>
      <c r="AG322" t="s">
        <v>1255</v>
      </c>
      <c r="AH322">
        <v>26</v>
      </c>
      <c r="AI322">
        <v>1</v>
      </c>
      <c r="AJ322">
        <v>0</v>
      </c>
      <c r="AK322">
        <v>411.86</v>
      </c>
      <c r="AO322">
        <v>50000</v>
      </c>
      <c r="AP322" t="s">
        <v>2027</v>
      </c>
      <c r="AU322">
        <v>13.5</v>
      </c>
      <c r="AV322" t="s">
        <v>2050</v>
      </c>
      <c r="AW322" t="s">
        <v>2063</v>
      </c>
    </row>
    <row r="323" spans="1:50">
      <c r="A323" s="1">
        <f>HYPERLINK("https://lsnyc.legalserver.org/matter/dynamic-profile/view/1893215","19-1893215")</f>
        <v>0</v>
      </c>
      <c r="B323" t="s">
        <v>55</v>
      </c>
      <c r="C323" t="s">
        <v>118</v>
      </c>
      <c r="D323" t="s">
        <v>211</v>
      </c>
      <c r="F323" t="s">
        <v>476</v>
      </c>
      <c r="G323" t="s">
        <v>753</v>
      </c>
      <c r="H323" t="s">
        <v>983</v>
      </c>
      <c r="I323" t="s">
        <v>1151</v>
      </c>
      <c r="J323" t="s">
        <v>1159</v>
      </c>
      <c r="K323">
        <v>10467</v>
      </c>
      <c r="L323" t="s">
        <v>1175</v>
      </c>
      <c r="M323" t="s">
        <v>1175</v>
      </c>
      <c r="O323" t="s">
        <v>1291</v>
      </c>
      <c r="P323" t="s">
        <v>1299</v>
      </c>
      <c r="R323" t="s">
        <v>1311</v>
      </c>
      <c r="S323" t="s">
        <v>1175</v>
      </c>
      <c r="U323" t="s">
        <v>1313</v>
      </c>
      <c r="W323" t="s">
        <v>1325</v>
      </c>
      <c r="X323">
        <v>1250</v>
      </c>
      <c r="Y323" t="s">
        <v>1328</v>
      </c>
      <c r="Z323" t="s">
        <v>1345</v>
      </c>
      <c r="AB323" t="s">
        <v>1656</v>
      </c>
      <c r="AE323">
        <v>123</v>
      </c>
      <c r="AF323" t="s">
        <v>1683</v>
      </c>
      <c r="AG323" t="s">
        <v>1255</v>
      </c>
      <c r="AH323">
        <v>3</v>
      </c>
      <c r="AI323">
        <v>1</v>
      </c>
      <c r="AJ323">
        <v>0</v>
      </c>
      <c r="AK323">
        <v>464.37</v>
      </c>
      <c r="AM323" t="s">
        <v>1996</v>
      </c>
      <c r="AN323" t="s">
        <v>1998</v>
      </c>
      <c r="AO323">
        <v>58000</v>
      </c>
      <c r="AU323">
        <v>0</v>
      </c>
      <c r="AW323" t="s">
        <v>2075</v>
      </c>
      <c r="AX323" t="s">
        <v>2079</v>
      </c>
    </row>
    <row r="324" spans="1:50">
      <c r="A324" s="1">
        <f>HYPERLINK("https://lsnyc.legalserver.org/matter/dynamic-profile/view/1900045","19-1900045")</f>
        <v>0</v>
      </c>
      <c r="B324" t="s">
        <v>52</v>
      </c>
      <c r="C324" t="s">
        <v>118</v>
      </c>
      <c r="D324" t="s">
        <v>138</v>
      </c>
      <c r="F324" t="s">
        <v>477</v>
      </c>
      <c r="G324" t="s">
        <v>754</v>
      </c>
      <c r="H324" t="s">
        <v>774</v>
      </c>
      <c r="J324" t="s">
        <v>1159</v>
      </c>
      <c r="K324">
        <v>10460</v>
      </c>
      <c r="L324" t="s">
        <v>1175</v>
      </c>
      <c r="M324" t="s">
        <v>1177</v>
      </c>
      <c r="O324" t="s">
        <v>1282</v>
      </c>
      <c r="P324" t="s">
        <v>1301</v>
      </c>
      <c r="R324" t="s">
        <v>1311</v>
      </c>
      <c r="S324" t="s">
        <v>1175</v>
      </c>
      <c r="U324" t="s">
        <v>1313</v>
      </c>
      <c r="W324" t="s">
        <v>1325</v>
      </c>
      <c r="X324">
        <v>1367</v>
      </c>
      <c r="Y324" t="s">
        <v>1328</v>
      </c>
      <c r="Z324" t="s">
        <v>1336</v>
      </c>
      <c r="AB324" t="s">
        <v>1657</v>
      </c>
      <c r="AD324" t="s">
        <v>1958</v>
      </c>
      <c r="AE324">
        <v>168</v>
      </c>
      <c r="AF324" t="s">
        <v>1974</v>
      </c>
      <c r="AG324" t="s">
        <v>1255</v>
      </c>
      <c r="AH324">
        <v>34</v>
      </c>
      <c r="AI324">
        <v>1</v>
      </c>
      <c r="AJ324">
        <v>0</v>
      </c>
      <c r="AK324">
        <v>480.26</v>
      </c>
      <c r="AN324" t="s">
        <v>1998</v>
      </c>
      <c r="AO324">
        <v>59985</v>
      </c>
      <c r="AU324">
        <v>0</v>
      </c>
      <c r="AW324" t="s">
        <v>112</v>
      </c>
      <c r="AX324" t="s">
        <v>2079</v>
      </c>
    </row>
    <row r="325" spans="1:50">
      <c r="A325" s="1">
        <f>HYPERLINK("https://lsnyc.legalserver.org/matter/dynamic-profile/view/1903227","19-1903227")</f>
        <v>0</v>
      </c>
      <c r="B325" t="s">
        <v>101</v>
      </c>
      <c r="C325" t="s">
        <v>119</v>
      </c>
      <c r="D325" t="s">
        <v>121</v>
      </c>
      <c r="E325" t="s">
        <v>222</v>
      </c>
      <c r="F325" t="s">
        <v>400</v>
      </c>
      <c r="G325" t="s">
        <v>755</v>
      </c>
      <c r="H325" t="s">
        <v>984</v>
      </c>
      <c r="I325" t="s">
        <v>1100</v>
      </c>
      <c r="J325" t="s">
        <v>1161</v>
      </c>
      <c r="K325">
        <v>10034</v>
      </c>
      <c r="L325" t="s">
        <v>1175</v>
      </c>
      <c r="M325" t="s">
        <v>1177</v>
      </c>
      <c r="O325" t="s">
        <v>1291</v>
      </c>
      <c r="P325" t="s">
        <v>1299</v>
      </c>
      <c r="Q325" t="s">
        <v>1305</v>
      </c>
      <c r="R325" t="s">
        <v>1311</v>
      </c>
      <c r="S325" t="s">
        <v>1176</v>
      </c>
      <c r="U325" t="s">
        <v>1313</v>
      </c>
      <c r="W325" t="s">
        <v>121</v>
      </c>
      <c r="X325">
        <v>1900</v>
      </c>
      <c r="Y325" t="s">
        <v>1330</v>
      </c>
      <c r="Z325" t="s">
        <v>1338</v>
      </c>
      <c r="AA325" t="s">
        <v>1346</v>
      </c>
      <c r="AB325" t="s">
        <v>1658</v>
      </c>
      <c r="AD325" t="s">
        <v>1959</v>
      </c>
      <c r="AE325">
        <v>85</v>
      </c>
      <c r="AF325" t="s">
        <v>1974</v>
      </c>
      <c r="AG325" t="s">
        <v>1255</v>
      </c>
      <c r="AH325">
        <v>10</v>
      </c>
      <c r="AI325">
        <v>1</v>
      </c>
      <c r="AJ325">
        <v>0</v>
      </c>
      <c r="AK325">
        <v>480.38</v>
      </c>
      <c r="AN325" t="s">
        <v>1998</v>
      </c>
      <c r="AO325">
        <v>60000</v>
      </c>
      <c r="AU325">
        <v>1.3</v>
      </c>
      <c r="AV325" t="s">
        <v>152</v>
      </c>
      <c r="AW325" t="s">
        <v>2057</v>
      </c>
      <c r="AX325" t="s">
        <v>2079</v>
      </c>
    </row>
    <row r="326" spans="1:50">
      <c r="A326" s="1">
        <f>HYPERLINK("https://lsnyc.legalserver.org/matter/dynamic-profile/view/1894048","19-1894048")</f>
        <v>0</v>
      </c>
      <c r="B326" t="s">
        <v>53</v>
      </c>
      <c r="C326" t="s">
        <v>118</v>
      </c>
      <c r="D326" t="s">
        <v>201</v>
      </c>
      <c r="F326" t="s">
        <v>478</v>
      </c>
      <c r="G326" t="s">
        <v>756</v>
      </c>
      <c r="H326" t="s">
        <v>917</v>
      </c>
      <c r="I326" t="s">
        <v>1119</v>
      </c>
      <c r="J326" t="s">
        <v>1159</v>
      </c>
      <c r="K326">
        <v>10453</v>
      </c>
      <c r="L326" t="s">
        <v>1175</v>
      </c>
      <c r="M326" t="s">
        <v>1175</v>
      </c>
      <c r="O326" t="s">
        <v>1282</v>
      </c>
      <c r="P326" t="s">
        <v>1301</v>
      </c>
      <c r="R326" t="s">
        <v>1311</v>
      </c>
      <c r="S326" t="s">
        <v>1175</v>
      </c>
      <c r="U326" t="s">
        <v>1313</v>
      </c>
      <c r="W326" t="s">
        <v>123</v>
      </c>
      <c r="X326">
        <v>1102.63</v>
      </c>
      <c r="Y326" t="s">
        <v>1328</v>
      </c>
      <c r="Z326" t="s">
        <v>1336</v>
      </c>
      <c r="AB326" t="s">
        <v>1659</v>
      </c>
      <c r="AD326" t="s">
        <v>1960</v>
      </c>
      <c r="AE326">
        <v>44</v>
      </c>
      <c r="AF326" t="s">
        <v>1974</v>
      </c>
      <c r="AG326" t="s">
        <v>1255</v>
      </c>
      <c r="AH326">
        <v>28</v>
      </c>
      <c r="AI326">
        <v>1</v>
      </c>
      <c r="AJ326">
        <v>0</v>
      </c>
      <c r="AK326">
        <v>496.46</v>
      </c>
      <c r="AN326" t="s">
        <v>2000</v>
      </c>
      <c r="AO326">
        <v>62007.92</v>
      </c>
      <c r="AU326">
        <v>0</v>
      </c>
      <c r="AW326" t="s">
        <v>2053</v>
      </c>
      <c r="AX326" t="s">
        <v>2079</v>
      </c>
    </row>
    <row r="327" spans="1:50">
      <c r="A327" s="1">
        <f>HYPERLINK("https://lsnyc.legalserver.org/matter/dynamic-profile/view/1902191","19-1902191")</f>
        <v>0</v>
      </c>
      <c r="B327" t="s">
        <v>63</v>
      </c>
      <c r="C327" t="s">
        <v>118</v>
      </c>
      <c r="D327" t="s">
        <v>184</v>
      </c>
      <c r="F327" t="s">
        <v>479</v>
      </c>
      <c r="G327" t="s">
        <v>757</v>
      </c>
      <c r="H327" t="s">
        <v>985</v>
      </c>
      <c r="I327" t="s">
        <v>1152</v>
      </c>
      <c r="J327" t="s">
        <v>1161</v>
      </c>
      <c r="K327">
        <v>10033</v>
      </c>
      <c r="L327" t="s">
        <v>1175</v>
      </c>
      <c r="M327" t="s">
        <v>1177</v>
      </c>
      <c r="P327" t="s">
        <v>1303</v>
      </c>
      <c r="R327" t="s">
        <v>1311</v>
      </c>
      <c r="S327" t="s">
        <v>1176</v>
      </c>
      <c r="U327" t="s">
        <v>1313</v>
      </c>
      <c r="W327" t="s">
        <v>184</v>
      </c>
      <c r="X327">
        <v>2070</v>
      </c>
      <c r="Y327" t="s">
        <v>1330</v>
      </c>
      <c r="Z327" t="s">
        <v>1338</v>
      </c>
      <c r="AB327" t="s">
        <v>1660</v>
      </c>
      <c r="AD327" t="s">
        <v>1961</v>
      </c>
      <c r="AE327">
        <v>91</v>
      </c>
      <c r="AF327" t="s">
        <v>1974</v>
      </c>
      <c r="AG327" t="s">
        <v>1255</v>
      </c>
      <c r="AH327">
        <v>7</v>
      </c>
      <c r="AI327">
        <v>1</v>
      </c>
      <c r="AJ327">
        <v>0</v>
      </c>
      <c r="AK327">
        <v>498.83</v>
      </c>
      <c r="AN327" t="s">
        <v>1998</v>
      </c>
      <c r="AO327">
        <v>62304</v>
      </c>
      <c r="AU327">
        <v>0</v>
      </c>
      <c r="AW327" t="s">
        <v>2057</v>
      </c>
      <c r="AX327" t="s">
        <v>2079</v>
      </c>
    </row>
    <row r="328" spans="1:50">
      <c r="A328" s="1">
        <f>HYPERLINK("https://lsnyc.legalserver.org/matter/dynamic-profile/view/1894525","19-1894525")</f>
        <v>0</v>
      </c>
      <c r="B328" t="s">
        <v>71</v>
      </c>
      <c r="C328" t="s">
        <v>118</v>
      </c>
      <c r="D328" t="s">
        <v>212</v>
      </c>
      <c r="F328" t="s">
        <v>480</v>
      </c>
      <c r="G328" t="s">
        <v>758</v>
      </c>
      <c r="H328" t="s">
        <v>807</v>
      </c>
      <c r="I328" t="s">
        <v>1153</v>
      </c>
      <c r="J328" t="s">
        <v>1159</v>
      </c>
      <c r="K328">
        <v>10453</v>
      </c>
      <c r="L328" t="s">
        <v>1175</v>
      </c>
      <c r="M328" t="s">
        <v>1175</v>
      </c>
      <c r="O328" t="s">
        <v>1283</v>
      </c>
      <c r="P328" t="s">
        <v>1300</v>
      </c>
      <c r="R328" t="s">
        <v>1311</v>
      </c>
      <c r="S328" t="s">
        <v>1175</v>
      </c>
      <c r="U328" t="s">
        <v>1313</v>
      </c>
      <c r="W328" t="s">
        <v>206</v>
      </c>
      <c r="X328">
        <v>1500</v>
      </c>
      <c r="Y328" t="s">
        <v>1328</v>
      </c>
      <c r="Z328" t="s">
        <v>1340</v>
      </c>
      <c r="AB328" t="s">
        <v>1661</v>
      </c>
      <c r="AD328" t="s">
        <v>1962</v>
      </c>
      <c r="AE328">
        <v>170</v>
      </c>
      <c r="AF328" t="s">
        <v>1974</v>
      </c>
      <c r="AG328" t="s">
        <v>1255</v>
      </c>
      <c r="AH328">
        <v>2</v>
      </c>
      <c r="AI328">
        <v>2</v>
      </c>
      <c r="AJ328">
        <v>0</v>
      </c>
      <c r="AK328">
        <v>514.49</v>
      </c>
      <c r="AO328">
        <v>87000</v>
      </c>
      <c r="AU328">
        <v>0</v>
      </c>
      <c r="AW328" t="s">
        <v>112</v>
      </c>
    </row>
    <row r="329" spans="1:50">
      <c r="A329" s="1">
        <f>HYPERLINK("https://lsnyc.legalserver.org/matter/dynamic-profile/view/1894519","19-1894519")</f>
        <v>0</v>
      </c>
      <c r="B329" t="s">
        <v>71</v>
      </c>
      <c r="C329" t="s">
        <v>118</v>
      </c>
      <c r="D329" t="s">
        <v>212</v>
      </c>
      <c r="F329" t="s">
        <v>480</v>
      </c>
      <c r="G329" t="s">
        <v>758</v>
      </c>
      <c r="H329" t="s">
        <v>807</v>
      </c>
      <c r="I329" t="s">
        <v>1153</v>
      </c>
      <c r="J329" t="s">
        <v>1159</v>
      </c>
      <c r="K329">
        <v>10453</v>
      </c>
      <c r="L329" t="s">
        <v>1175</v>
      </c>
      <c r="M329" t="s">
        <v>1175</v>
      </c>
      <c r="N329" t="s">
        <v>1271</v>
      </c>
      <c r="O329" t="s">
        <v>1285</v>
      </c>
      <c r="P329" t="s">
        <v>1298</v>
      </c>
      <c r="R329" t="s">
        <v>1311</v>
      </c>
      <c r="S329" t="s">
        <v>1175</v>
      </c>
      <c r="U329" t="s">
        <v>1313</v>
      </c>
      <c r="W329" t="s">
        <v>206</v>
      </c>
      <c r="X329">
        <v>1500</v>
      </c>
      <c r="Y329" t="s">
        <v>1328</v>
      </c>
      <c r="Z329" t="s">
        <v>1340</v>
      </c>
      <c r="AB329" t="s">
        <v>1661</v>
      </c>
      <c r="AD329" t="s">
        <v>1962</v>
      </c>
      <c r="AE329">
        <v>170</v>
      </c>
      <c r="AF329" t="s">
        <v>1974</v>
      </c>
      <c r="AG329" t="s">
        <v>1255</v>
      </c>
      <c r="AH329">
        <v>2</v>
      </c>
      <c r="AI329">
        <v>2</v>
      </c>
      <c r="AJ329">
        <v>0</v>
      </c>
      <c r="AK329">
        <v>514.49</v>
      </c>
      <c r="AO329">
        <v>87000</v>
      </c>
      <c r="AU329">
        <v>0</v>
      </c>
      <c r="AW329" t="s">
        <v>112</v>
      </c>
    </row>
    <row r="330" spans="1:50">
      <c r="A330" s="1">
        <f>HYPERLINK("https://lsnyc.legalserver.org/matter/dynamic-profile/view/1898945","19-1898945")</f>
        <v>0</v>
      </c>
      <c r="B330" t="s">
        <v>71</v>
      </c>
      <c r="C330" t="s">
        <v>119</v>
      </c>
      <c r="D330" t="s">
        <v>136</v>
      </c>
      <c r="E330" t="s">
        <v>160</v>
      </c>
      <c r="F330" t="s">
        <v>481</v>
      </c>
      <c r="G330" t="s">
        <v>759</v>
      </c>
      <c r="H330" t="s">
        <v>986</v>
      </c>
      <c r="I330" t="s">
        <v>1150</v>
      </c>
      <c r="J330" t="s">
        <v>1161</v>
      </c>
      <c r="K330">
        <v>10034</v>
      </c>
      <c r="L330" t="s">
        <v>1175</v>
      </c>
      <c r="M330" t="s">
        <v>1177</v>
      </c>
      <c r="P330" t="s">
        <v>1299</v>
      </c>
      <c r="Q330" t="s">
        <v>1305</v>
      </c>
      <c r="R330" t="s">
        <v>1311</v>
      </c>
      <c r="S330" t="s">
        <v>1176</v>
      </c>
      <c r="U330" t="s">
        <v>1313</v>
      </c>
      <c r="W330" t="s">
        <v>160</v>
      </c>
      <c r="X330">
        <v>816.63</v>
      </c>
      <c r="Y330" t="s">
        <v>1328</v>
      </c>
      <c r="Z330" t="s">
        <v>1336</v>
      </c>
      <c r="AA330" t="s">
        <v>1346</v>
      </c>
      <c r="AB330" t="s">
        <v>1662</v>
      </c>
      <c r="AD330" t="s">
        <v>1963</v>
      </c>
      <c r="AE330">
        <v>0</v>
      </c>
      <c r="AF330" t="s">
        <v>1683</v>
      </c>
      <c r="AG330" t="s">
        <v>1255</v>
      </c>
      <c r="AH330">
        <v>20</v>
      </c>
      <c r="AI330">
        <v>1</v>
      </c>
      <c r="AJ330">
        <v>0</v>
      </c>
      <c r="AK330">
        <v>520.42</v>
      </c>
      <c r="AN330" t="s">
        <v>1998</v>
      </c>
      <c r="AO330">
        <v>65000</v>
      </c>
      <c r="AU330">
        <v>0.1</v>
      </c>
      <c r="AV330" t="s">
        <v>160</v>
      </c>
      <c r="AW330" t="s">
        <v>2052</v>
      </c>
      <c r="AX330" t="s">
        <v>2079</v>
      </c>
    </row>
    <row r="331" spans="1:50">
      <c r="A331" s="1">
        <f>HYPERLINK("https://lsnyc.legalserver.org/matter/dynamic-profile/view/1902983","19-1902983")</f>
        <v>0</v>
      </c>
      <c r="B331" t="s">
        <v>104</v>
      </c>
      <c r="C331" t="s">
        <v>118</v>
      </c>
      <c r="D331" t="s">
        <v>185</v>
      </c>
      <c r="F331" t="s">
        <v>327</v>
      </c>
      <c r="G331" t="s">
        <v>760</v>
      </c>
      <c r="H331" t="s">
        <v>987</v>
      </c>
      <c r="I331" t="s">
        <v>1033</v>
      </c>
      <c r="J331" t="s">
        <v>1162</v>
      </c>
      <c r="K331">
        <v>11213</v>
      </c>
      <c r="L331" t="s">
        <v>1175</v>
      </c>
      <c r="M331" t="s">
        <v>1177</v>
      </c>
      <c r="O331" t="s">
        <v>1281</v>
      </c>
      <c r="P331" t="s">
        <v>1298</v>
      </c>
      <c r="R331" t="s">
        <v>1311</v>
      </c>
      <c r="S331" t="s">
        <v>1176</v>
      </c>
      <c r="U331" t="s">
        <v>1313</v>
      </c>
      <c r="W331" t="s">
        <v>185</v>
      </c>
      <c r="X331">
        <v>0</v>
      </c>
      <c r="Y331" t="s">
        <v>1331</v>
      </c>
      <c r="AB331" t="s">
        <v>1663</v>
      </c>
      <c r="AD331" t="s">
        <v>1964</v>
      </c>
      <c r="AE331">
        <v>0</v>
      </c>
      <c r="AH331">
        <v>0</v>
      </c>
      <c r="AI331">
        <v>1</v>
      </c>
      <c r="AJ331">
        <v>0</v>
      </c>
      <c r="AK331">
        <v>541.23</v>
      </c>
      <c r="AO331">
        <v>67600</v>
      </c>
      <c r="AU331">
        <v>3</v>
      </c>
      <c r="AV331" t="s">
        <v>160</v>
      </c>
      <c r="AW331" t="s">
        <v>2064</v>
      </c>
    </row>
    <row r="332" spans="1:50">
      <c r="A332" s="1">
        <f>HYPERLINK("https://lsnyc.legalserver.org/matter/dynamic-profile/view/1901465","19-1901465")</f>
        <v>0</v>
      </c>
      <c r="B332" t="s">
        <v>56</v>
      </c>
      <c r="C332" t="s">
        <v>118</v>
      </c>
      <c r="D332" t="s">
        <v>148</v>
      </c>
      <c r="F332" t="s">
        <v>406</v>
      </c>
      <c r="G332" t="s">
        <v>363</v>
      </c>
      <c r="H332" t="s">
        <v>809</v>
      </c>
      <c r="I332" t="s">
        <v>1150</v>
      </c>
      <c r="J332" t="s">
        <v>1159</v>
      </c>
      <c r="K332">
        <v>10452</v>
      </c>
      <c r="L332" t="s">
        <v>1175</v>
      </c>
      <c r="M332" t="s">
        <v>1177</v>
      </c>
      <c r="O332" t="s">
        <v>1283</v>
      </c>
      <c r="P332" t="s">
        <v>1300</v>
      </c>
      <c r="R332" t="s">
        <v>1311</v>
      </c>
      <c r="S332" t="s">
        <v>1175</v>
      </c>
      <c r="U332" t="s">
        <v>1313</v>
      </c>
      <c r="W332" t="s">
        <v>1325</v>
      </c>
      <c r="X332">
        <v>1113.95</v>
      </c>
      <c r="Y332" t="s">
        <v>1328</v>
      </c>
      <c r="Z332" t="s">
        <v>1336</v>
      </c>
      <c r="AB332" t="s">
        <v>1664</v>
      </c>
      <c r="AD332" t="s">
        <v>1965</v>
      </c>
      <c r="AE332">
        <v>52</v>
      </c>
      <c r="AF332" t="s">
        <v>1974</v>
      </c>
      <c r="AG332" t="s">
        <v>1255</v>
      </c>
      <c r="AH332">
        <v>36</v>
      </c>
      <c r="AI332">
        <v>1</v>
      </c>
      <c r="AJ332">
        <v>0</v>
      </c>
      <c r="AK332">
        <v>544.4400000000001</v>
      </c>
      <c r="AN332" t="s">
        <v>1998</v>
      </c>
      <c r="AO332">
        <v>68000</v>
      </c>
      <c r="AU332">
        <v>0</v>
      </c>
      <c r="AW332" t="s">
        <v>112</v>
      </c>
      <c r="AX332" t="s">
        <v>2079</v>
      </c>
    </row>
    <row r="333" spans="1:50">
      <c r="A333" s="1">
        <f>HYPERLINK("https://lsnyc.legalserver.org/matter/dynamic-profile/view/1901428","19-1901428")</f>
        <v>0</v>
      </c>
      <c r="B333" t="s">
        <v>56</v>
      </c>
      <c r="C333" t="s">
        <v>118</v>
      </c>
      <c r="D333" t="s">
        <v>148</v>
      </c>
      <c r="F333" t="s">
        <v>482</v>
      </c>
      <c r="G333" t="s">
        <v>761</v>
      </c>
      <c r="H333" t="s">
        <v>809</v>
      </c>
      <c r="I333" t="s">
        <v>996</v>
      </c>
      <c r="J333" t="s">
        <v>1159</v>
      </c>
      <c r="K333">
        <v>10452</v>
      </c>
      <c r="L333" t="s">
        <v>1175</v>
      </c>
      <c r="M333" t="s">
        <v>1177</v>
      </c>
      <c r="O333" t="s">
        <v>1283</v>
      </c>
      <c r="P333" t="s">
        <v>1300</v>
      </c>
      <c r="R333" t="s">
        <v>1311</v>
      </c>
      <c r="S333" t="s">
        <v>1175</v>
      </c>
      <c r="U333" t="s">
        <v>1313</v>
      </c>
      <c r="W333" t="s">
        <v>1325</v>
      </c>
      <c r="X333">
        <v>1800</v>
      </c>
      <c r="Y333" t="s">
        <v>1328</v>
      </c>
      <c r="Z333" t="s">
        <v>1336</v>
      </c>
      <c r="AB333" t="s">
        <v>1665</v>
      </c>
      <c r="AD333" t="s">
        <v>1966</v>
      </c>
      <c r="AE333">
        <v>52</v>
      </c>
      <c r="AG333" t="s">
        <v>1255</v>
      </c>
      <c r="AH333">
        <v>1</v>
      </c>
      <c r="AI333">
        <v>2</v>
      </c>
      <c r="AJ333">
        <v>0</v>
      </c>
      <c r="AK333">
        <v>561.8</v>
      </c>
      <c r="AN333" t="s">
        <v>1998</v>
      </c>
      <c r="AO333">
        <v>95000</v>
      </c>
      <c r="AU333">
        <v>0</v>
      </c>
      <c r="AW333" t="s">
        <v>112</v>
      </c>
      <c r="AX333" t="s">
        <v>2079</v>
      </c>
    </row>
    <row r="334" spans="1:50">
      <c r="A334" s="1">
        <f>HYPERLINK("https://lsnyc.legalserver.org/matter/dynamic-profile/view/1901474","19-1901474")</f>
        <v>0</v>
      </c>
      <c r="B334" t="s">
        <v>56</v>
      </c>
      <c r="C334" t="s">
        <v>118</v>
      </c>
      <c r="D334" t="s">
        <v>148</v>
      </c>
      <c r="F334" t="s">
        <v>483</v>
      </c>
      <c r="G334" t="s">
        <v>762</v>
      </c>
      <c r="H334" t="s">
        <v>809</v>
      </c>
      <c r="I334" t="s">
        <v>1154</v>
      </c>
      <c r="J334" t="s">
        <v>1159</v>
      </c>
      <c r="K334">
        <v>10452</v>
      </c>
      <c r="L334" t="s">
        <v>1175</v>
      </c>
      <c r="M334" t="s">
        <v>1177</v>
      </c>
      <c r="O334" t="s">
        <v>1283</v>
      </c>
      <c r="P334" t="s">
        <v>1300</v>
      </c>
      <c r="R334" t="s">
        <v>1311</v>
      </c>
      <c r="S334" t="s">
        <v>1175</v>
      </c>
      <c r="U334" t="s">
        <v>1313</v>
      </c>
      <c r="W334" t="s">
        <v>1325</v>
      </c>
      <c r="X334">
        <v>2250</v>
      </c>
      <c r="Y334" t="s">
        <v>1328</v>
      </c>
      <c r="Z334" t="s">
        <v>1336</v>
      </c>
      <c r="AB334" t="s">
        <v>1666</v>
      </c>
      <c r="AD334" t="s">
        <v>1967</v>
      </c>
      <c r="AE334">
        <v>52</v>
      </c>
      <c r="AF334" t="s">
        <v>1974</v>
      </c>
      <c r="AG334" t="s">
        <v>1255</v>
      </c>
      <c r="AH334">
        <v>1</v>
      </c>
      <c r="AI334">
        <v>3</v>
      </c>
      <c r="AJ334">
        <v>0</v>
      </c>
      <c r="AK334">
        <v>609.47</v>
      </c>
      <c r="AN334" t="s">
        <v>2000</v>
      </c>
      <c r="AO334">
        <v>130000</v>
      </c>
      <c r="AU334">
        <v>0</v>
      </c>
      <c r="AW334" t="s">
        <v>112</v>
      </c>
      <c r="AX334" t="s">
        <v>2079</v>
      </c>
    </row>
    <row r="335" spans="1:50">
      <c r="A335" s="1">
        <f>HYPERLINK("https://lsnyc.legalserver.org/matter/dynamic-profile/view/1903818","19-1903818")</f>
        <v>0</v>
      </c>
      <c r="B335" t="s">
        <v>104</v>
      </c>
      <c r="C335" t="s">
        <v>118</v>
      </c>
      <c r="D335" t="s">
        <v>163</v>
      </c>
      <c r="F335" t="s">
        <v>484</v>
      </c>
      <c r="G335" t="s">
        <v>763</v>
      </c>
      <c r="H335" t="s">
        <v>905</v>
      </c>
      <c r="I335" t="s">
        <v>1049</v>
      </c>
      <c r="J335" t="s">
        <v>1162</v>
      </c>
      <c r="K335">
        <v>11220</v>
      </c>
      <c r="L335" t="s">
        <v>1175</v>
      </c>
      <c r="M335" t="s">
        <v>1177</v>
      </c>
      <c r="R335" t="s">
        <v>1311</v>
      </c>
      <c r="S335" t="s">
        <v>1175</v>
      </c>
      <c r="U335" t="s">
        <v>1313</v>
      </c>
      <c r="W335" t="s">
        <v>215</v>
      </c>
      <c r="X335">
        <v>0</v>
      </c>
      <c r="Y335" t="s">
        <v>1331</v>
      </c>
      <c r="AB335" t="s">
        <v>1667</v>
      </c>
      <c r="AD335" t="s">
        <v>1968</v>
      </c>
      <c r="AE335">
        <v>0</v>
      </c>
      <c r="AH335">
        <v>0</v>
      </c>
      <c r="AI335">
        <v>3</v>
      </c>
      <c r="AJ335">
        <v>0</v>
      </c>
      <c r="AK335">
        <v>625.9299999999999</v>
      </c>
      <c r="AM335" t="s">
        <v>1996</v>
      </c>
      <c r="AN335" t="s">
        <v>1998</v>
      </c>
      <c r="AO335">
        <v>133510</v>
      </c>
      <c r="AU335">
        <v>0.3</v>
      </c>
      <c r="AV335" t="s">
        <v>163</v>
      </c>
      <c r="AW335" t="s">
        <v>92</v>
      </c>
    </row>
    <row r="336" spans="1:50">
      <c r="A336" s="1">
        <f>HYPERLINK("https://lsnyc.legalserver.org/matter/dynamic-profile/view/1895564","19-1895564")</f>
        <v>0</v>
      </c>
      <c r="B336" t="s">
        <v>65</v>
      </c>
      <c r="C336" t="s">
        <v>119</v>
      </c>
      <c r="D336" t="s">
        <v>213</v>
      </c>
      <c r="E336" t="s">
        <v>187</v>
      </c>
      <c r="F336" t="s">
        <v>485</v>
      </c>
      <c r="G336" t="s">
        <v>764</v>
      </c>
      <c r="H336" t="s">
        <v>988</v>
      </c>
      <c r="I336">
        <v>22</v>
      </c>
      <c r="J336" t="s">
        <v>1159</v>
      </c>
      <c r="K336">
        <v>10452</v>
      </c>
      <c r="L336" t="s">
        <v>1175</v>
      </c>
      <c r="M336" t="s">
        <v>1176</v>
      </c>
      <c r="O336" t="s">
        <v>1281</v>
      </c>
      <c r="P336" t="s">
        <v>1299</v>
      </c>
      <c r="Q336" t="s">
        <v>1305</v>
      </c>
      <c r="R336" t="s">
        <v>1311</v>
      </c>
      <c r="S336" t="s">
        <v>1176</v>
      </c>
      <c r="U336" t="s">
        <v>1313</v>
      </c>
      <c r="V336" t="s">
        <v>1320</v>
      </c>
      <c r="W336" t="s">
        <v>1325</v>
      </c>
      <c r="X336">
        <v>822</v>
      </c>
      <c r="Y336" t="s">
        <v>1328</v>
      </c>
      <c r="Z336" t="s">
        <v>1336</v>
      </c>
      <c r="AA336" t="s">
        <v>1346</v>
      </c>
      <c r="AB336" t="s">
        <v>1668</v>
      </c>
      <c r="AE336">
        <v>0</v>
      </c>
      <c r="AF336" t="s">
        <v>1974</v>
      </c>
      <c r="AH336">
        <v>6</v>
      </c>
      <c r="AI336">
        <v>2</v>
      </c>
      <c r="AJ336">
        <v>0</v>
      </c>
      <c r="AK336">
        <v>709.64</v>
      </c>
      <c r="AN336" t="s">
        <v>1998</v>
      </c>
      <c r="AO336">
        <v>120000</v>
      </c>
      <c r="AP336" t="s">
        <v>2028</v>
      </c>
      <c r="AU336">
        <v>0.9</v>
      </c>
      <c r="AV336" t="s">
        <v>187</v>
      </c>
      <c r="AW336" t="s">
        <v>65</v>
      </c>
      <c r="AX336" t="s">
        <v>2079</v>
      </c>
    </row>
    <row r="337" spans="1:50">
      <c r="A337" s="1">
        <f>HYPERLINK("https://lsnyc.legalserver.org/matter/dynamic-profile/view/1903289","19-1903289")</f>
        <v>0</v>
      </c>
      <c r="B337" t="s">
        <v>64</v>
      </c>
      <c r="C337" t="s">
        <v>118</v>
      </c>
      <c r="D337" t="s">
        <v>121</v>
      </c>
      <c r="F337" t="s">
        <v>268</v>
      </c>
      <c r="G337" t="s">
        <v>765</v>
      </c>
      <c r="H337" t="s">
        <v>989</v>
      </c>
      <c r="I337" t="s">
        <v>1014</v>
      </c>
      <c r="J337" t="s">
        <v>1161</v>
      </c>
      <c r="K337">
        <v>10033</v>
      </c>
      <c r="L337" t="s">
        <v>1175</v>
      </c>
      <c r="M337" t="s">
        <v>1177</v>
      </c>
      <c r="O337" t="s">
        <v>1291</v>
      </c>
      <c r="P337" t="s">
        <v>1299</v>
      </c>
      <c r="R337" t="s">
        <v>1311</v>
      </c>
      <c r="S337" t="s">
        <v>1176</v>
      </c>
      <c r="U337" t="s">
        <v>1313</v>
      </c>
      <c r="W337" t="s">
        <v>121</v>
      </c>
      <c r="X337">
        <v>1800</v>
      </c>
      <c r="Y337" t="s">
        <v>1330</v>
      </c>
      <c r="Z337" t="s">
        <v>1338</v>
      </c>
      <c r="AB337" t="s">
        <v>1669</v>
      </c>
      <c r="AD337" t="s">
        <v>1969</v>
      </c>
      <c r="AE337">
        <v>689</v>
      </c>
      <c r="AF337" t="s">
        <v>1974</v>
      </c>
      <c r="AG337" t="s">
        <v>1255</v>
      </c>
      <c r="AH337">
        <v>5</v>
      </c>
      <c r="AI337">
        <v>1</v>
      </c>
      <c r="AJ337">
        <v>0</v>
      </c>
      <c r="AK337">
        <v>760.61</v>
      </c>
      <c r="AN337" t="s">
        <v>1998</v>
      </c>
      <c r="AO337">
        <v>95000</v>
      </c>
      <c r="AU337">
        <v>0</v>
      </c>
      <c r="AW337" t="s">
        <v>2057</v>
      </c>
      <c r="AX337" t="s">
        <v>2079</v>
      </c>
    </row>
    <row r="338" spans="1:50">
      <c r="A338" s="1">
        <f>HYPERLINK("https://lsnyc.legalserver.org/matter/dynamic-profile/view/1901452","19-1901452")</f>
        <v>0</v>
      </c>
      <c r="B338" t="s">
        <v>113</v>
      </c>
      <c r="C338" t="s">
        <v>119</v>
      </c>
      <c r="D338" t="s">
        <v>148</v>
      </c>
      <c r="E338" t="s">
        <v>185</v>
      </c>
      <c r="F338" t="s">
        <v>486</v>
      </c>
      <c r="G338" t="s">
        <v>766</v>
      </c>
      <c r="H338" t="s">
        <v>990</v>
      </c>
      <c r="I338" t="s">
        <v>1039</v>
      </c>
      <c r="J338" t="s">
        <v>1161</v>
      </c>
      <c r="K338">
        <v>10034</v>
      </c>
      <c r="L338" t="s">
        <v>1175</v>
      </c>
      <c r="M338" t="s">
        <v>1177</v>
      </c>
      <c r="O338" t="s">
        <v>1291</v>
      </c>
      <c r="P338" t="s">
        <v>1302</v>
      </c>
      <c r="Q338" t="s">
        <v>1306</v>
      </c>
      <c r="R338" t="s">
        <v>1311</v>
      </c>
      <c r="S338" t="s">
        <v>1176</v>
      </c>
      <c r="U338" t="s">
        <v>1313</v>
      </c>
      <c r="W338" t="s">
        <v>148</v>
      </c>
      <c r="X338">
        <v>2300</v>
      </c>
      <c r="Y338" t="s">
        <v>1330</v>
      </c>
      <c r="Z338" t="s">
        <v>1338</v>
      </c>
      <c r="AA338" t="s">
        <v>1353</v>
      </c>
      <c r="AB338" t="s">
        <v>1670</v>
      </c>
      <c r="AD338" t="s">
        <v>1970</v>
      </c>
      <c r="AE338">
        <v>67</v>
      </c>
      <c r="AF338" t="s">
        <v>1974</v>
      </c>
      <c r="AG338" t="s">
        <v>1255</v>
      </c>
      <c r="AH338">
        <v>1</v>
      </c>
      <c r="AI338">
        <v>2</v>
      </c>
      <c r="AJ338">
        <v>0</v>
      </c>
      <c r="AK338">
        <v>810.17</v>
      </c>
      <c r="AN338" t="s">
        <v>1998</v>
      </c>
      <c r="AO338">
        <v>137000</v>
      </c>
      <c r="AU338">
        <v>0.25</v>
      </c>
      <c r="AV338" t="s">
        <v>145</v>
      </c>
      <c r="AW338" t="s">
        <v>2057</v>
      </c>
      <c r="AX338" t="s">
        <v>2079</v>
      </c>
    </row>
    <row r="339" spans="1:50">
      <c r="A339" s="1">
        <f>HYPERLINK("https://lsnyc.legalserver.org/matter/dynamic-profile/view/1903635","19-1903635")</f>
        <v>0</v>
      </c>
      <c r="B339" t="s">
        <v>63</v>
      </c>
      <c r="C339" t="s">
        <v>118</v>
      </c>
      <c r="D339" t="s">
        <v>154</v>
      </c>
      <c r="F339" t="s">
        <v>487</v>
      </c>
      <c r="G339" t="s">
        <v>767</v>
      </c>
      <c r="H339" t="s">
        <v>940</v>
      </c>
      <c r="I339" t="s">
        <v>1079</v>
      </c>
      <c r="J339" t="s">
        <v>1161</v>
      </c>
      <c r="K339">
        <v>10034</v>
      </c>
      <c r="L339" t="s">
        <v>1175</v>
      </c>
      <c r="M339" t="s">
        <v>1177</v>
      </c>
      <c r="O339" t="s">
        <v>1285</v>
      </c>
      <c r="P339" t="s">
        <v>1303</v>
      </c>
      <c r="R339" t="s">
        <v>1311</v>
      </c>
      <c r="S339" t="s">
        <v>1176</v>
      </c>
      <c r="U339" t="s">
        <v>1313</v>
      </c>
      <c r="W339" t="s">
        <v>154</v>
      </c>
      <c r="X339">
        <v>2450</v>
      </c>
      <c r="Y339" t="s">
        <v>1330</v>
      </c>
      <c r="Z339" t="s">
        <v>1338</v>
      </c>
      <c r="AB339" t="s">
        <v>1671</v>
      </c>
      <c r="AD339" t="s">
        <v>1971</v>
      </c>
      <c r="AE339">
        <v>47</v>
      </c>
      <c r="AF339" t="s">
        <v>1974</v>
      </c>
      <c r="AG339" t="s">
        <v>1255</v>
      </c>
      <c r="AH339">
        <v>3</v>
      </c>
      <c r="AI339">
        <v>2</v>
      </c>
      <c r="AJ339">
        <v>1</v>
      </c>
      <c r="AK339">
        <v>839.1900000000001</v>
      </c>
      <c r="AN339" t="s">
        <v>1998</v>
      </c>
      <c r="AO339">
        <v>179000</v>
      </c>
      <c r="AU339">
        <v>1.1</v>
      </c>
      <c r="AV339" t="s">
        <v>154</v>
      </c>
      <c r="AW339" t="s">
        <v>2057</v>
      </c>
      <c r="AX339" t="s">
        <v>2079</v>
      </c>
    </row>
    <row r="340" spans="1:50">
      <c r="A340" s="1">
        <f>HYPERLINK("https://lsnyc.legalserver.org/matter/dynamic-profile/view/1901975","19-1901975")</f>
        <v>0</v>
      </c>
      <c r="B340" t="s">
        <v>113</v>
      </c>
      <c r="C340" t="s">
        <v>119</v>
      </c>
      <c r="D340" t="s">
        <v>132</v>
      </c>
      <c r="E340" t="s">
        <v>145</v>
      </c>
      <c r="F340" t="s">
        <v>488</v>
      </c>
      <c r="G340" t="s">
        <v>768</v>
      </c>
      <c r="H340" t="s">
        <v>991</v>
      </c>
      <c r="I340" t="s">
        <v>1155</v>
      </c>
      <c r="J340" t="s">
        <v>1161</v>
      </c>
      <c r="K340">
        <v>10034</v>
      </c>
      <c r="L340" t="s">
        <v>1175</v>
      </c>
      <c r="M340" t="s">
        <v>1177</v>
      </c>
      <c r="O340" t="s">
        <v>1282</v>
      </c>
      <c r="P340" t="s">
        <v>1302</v>
      </c>
      <c r="Q340" t="s">
        <v>1306</v>
      </c>
      <c r="R340" t="s">
        <v>1311</v>
      </c>
      <c r="S340" t="s">
        <v>1176</v>
      </c>
      <c r="U340" t="s">
        <v>1313</v>
      </c>
      <c r="W340" t="s">
        <v>132</v>
      </c>
      <c r="X340">
        <v>2768.63</v>
      </c>
      <c r="Y340" t="s">
        <v>1330</v>
      </c>
      <c r="Z340" t="s">
        <v>1338</v>
      </c>
      <c r="AA340" t="s">
        <v>1353</v>
      </c>
      <c r="AB340" t="s">
        <v>1672</v>
      </c>
      <c r="AE340">
        <v>74</v>
      </c>
      <c r="AF340" t="s">
        <v>1974</v>
      </c>
      <c r="AG340" t="s">
        <v>1255</v>
      </c>
      <c r="AH340">
        <v>15</v>
      </c>
      <c r="AI340">
        <v>2</v>
      </c>
      <c r="AJ340">
        <v>0</v>
      </c>
      <c r="AK340">
        <v>1005.32</v>
      </c>
      <c r="AN340" t="s">
        <v>1998</v>
      </c>
      <c r="AO340">
        <v>170000</v>
      </c>
      <c r="AU340">
        <v>0.25</v>
      </c>
      <c r="AV340" t="s">
        <v>145</v>
      </c>
      <c r="AW340" t="s">
        <v>2057</v>
      </c>
      <c r="AX340" t="s">
        <v>2079</v>
      </c>
    </row>
    <row r="341" spans="1:50">
      <c r="A341" s="1">
        <f>HYPERLINK("https://lsnyc.legalserver.org/matter/dynamic-profile/view/1900008","19-1900008")</f>
        <v>0</v>
      </c>
      <c r="B341" t="s">
        <v>117</v>
      </c>
      <c r="C341" t="s">
        <v>119</v>
      </c>
      <c r="D341" t="s">
        <v>138</v>
      </c>
      <c r="E341" t="s">
        <v>223</v>
      </c>
      <c r="F341" t="s">
        <v>438</v>
      </c>
      <c r="G341" t="s">
        <v>716</v>
      </c>
      <c r="H341" t="s">
        <v>957</v>
      </c>
      <c r="I341" t="s">
        <v>1056</v>
      </c>
      <c r="J341" t="s">
        <v>1159</v>
      </c>
      <c r="K341">
        <v>10452</v>
      </c>
      <c r="L341" t="s">
        <v>1175</v>
      </c>
      <c r="M341" t="s">
        <v>1177</v>
      </c>
      <c r="O341" t="s">
        <v>1283</v>
      </c>
      <c r="P341" t="s">
        <v>1299</v>
      </c>
      <c r="Q341" t="s">
        <v>1305</v>
      </c>
      <c r="R341" t="s">
        <v>1311</v>
      </c>
      <c r="S341" t="s">
        <v>1176</v>
      </c>
      <c r="U341" t="s">
        <v>1313</v>
      </c>
      <c r="W341" t="s">
        <v>1325</v>
      </c>
      <c r="X341">
        <v>1085</v>
      </c>
      <c r="Y341" t="s">
        <v>1328</v>
      </c>
      <c r="Z341" t="s">
        <v>1336</v>
      </c>
      <c r="AA341" t="s">
        <v>1346</v>
      </c>
      <c r="AB341" t="s">
        <v>1606</v>
      </c>
      <c r="AD341" t="s">
        <v>1922</v>
      </c>
      <c r="AE341">
        <v>0</v>
      </c>
      <c r="AF341" t="s">
        <v>1974</v>
      </c>
      <c r="AH341">
        <v>20</v>
      </c>
      <c r="AI341">
        <v>1</v>
      </c>
      <c r="AJ341">
        <v>0</v>
      </c>
      <c r="AK341">
        <v>2403.84</v>
      </c>
      <c r="AN341" t="s">
        <v>1998</v>
      </c>
      <c r="AO341">
        <v>300240</v>
      </c>
      <c r="AU341">
        <v>0.3</v>
      </c>
      <c r="AV341" t="s">
        <v>223</v>
      </c>
      <c r="AW341" t="s">
        <v>117</v>
      </c>
      <c r="AX341" t="s">
        <v>2079</v>
      </c>
    </row>
    <row r="342" spans="1:50">
      <c r="A342" s="1">
        <f>HYPERLINK("https://lsnyc.legalserver.org/matter/dynamic-profile/view/1889415","19-1889415")</f>
        <v>0</v>
      </c>
      <c r="B342" t="s">
        <v>107</v>
      </c>
      <c r="C342" t="s">
        <v>119</v>
      </c>
      <c r="D342" t="s">
        <v>181</v>
      </c>
      <c r="E342" t="s">
        <v>145</v>
      </c>
      <c r="F342" t="s">
        <v>489</v>
      </c>
      <c r="G342" t="s">
        <v>769</v>
      </c>
      <c r="H342" t="s">
        <v>992</v>
      </c>
      <c r="I342" t="s">
        <v>993</v>
      </c>
      <c r="J342" t="s">
        <v>1162</v>
      </c>
      <c r="K342">
        <v>11208</v>
      </c>
      <c r="L342" t="s">
        <v>1175</v>
      </c>
      <c r="M342" t="s">
        <v>1176</v>
      </c>
      <c r="N342" t="s">
        <v>1280</v>
      </c>
      <c r="O342" t="s">
        <v>1284</v>
      </c>
      <c r="P342" t="s">
        <v>1299</v>
      </c>
      <c r="Q342" t="s">
        <v>1305</v>
      </c>
      <c r="R342" t="s">
        <v>1311</v>
      </c>
      <c r="S342" t="s">
        <v>1176</v>
      </c>
      <c r="U342" t="s">
        <v>1313</v>
      </c>
      <c r="W342" t="s">
        <v>142</v>
      </c>
      <c r="X342">
        <v>0</v>
      </c>
      <c r="Y342" t="s">
        <v>1331</v>
      </c>
      <c r="Z342" t="s">
        <v>1339</v>
      </c>
      <c r="AA342" t="s">
        <v>1346</v>
      </c>
      <c r="AB342" t="s">
        <v>1673</v>
      </c>
      <c r="AD342" t="s">
        <v>1972</v>
      </c>
      <c r="AE342">
        <v>3</v>
      </c>
      <c r="AG342" t="s">
        <v>1255</v>
      </c>
      <c r="AH342">
        <v>1</v>
      </c>
      <c r="AI342">
        <v>2</v>
      </c>
      <c r="AJ342">
        <v>0</v>
      </c>
      <c r="AK342">
        <v>2838.56</v>
      </c>
      <c r="AN342" t="s">
        <v>1998</v>
      </c>
      <c r="AO342">
        <v>480000</v>
      </c>
      <c r="AU342">
        <v>1.1</v>
      </c>
      <c r="AV342" t="s">
        <v>186</v>
      </c>
      <c r="AW342" t="s">
        <v>2058</v>
      </c>
      <c r="AX342" t="s">
        <v>2079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2019-07-11T14:47:44Z</dcterms:created>
  <dcterms:modified xsi:type="dcterms:W3CDTF">2019-07-11T14:47:44Z</dcterms:modified>
</cp:coreProperties>
</file>