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<sst xmlns="http://schemas.openxmlformats.org/spreadsheetml/2006/main" count="70722" uniqueCount="11566">
  <si>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</si>
  <si>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</si>
  <si>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</si>
  <si>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</si>
  <si>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</si>
  <si>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</si>
  <si>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</si>
  <si>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</si>
  <si>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</si>
  <si>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</si>
  <si>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</si>
  <si>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</si>
  <si>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</si>
  <si>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</si>
  <si>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</si>
  <si>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</si>
  <si>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</si>
  <si>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</si>
  <si>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</si>
  <si>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</si>
  <si>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</si>
  <si>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</si>
  <si>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</si>
  <si>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</si>
  <si>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</si>
  <si>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</si>
  <si>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</si>
  <si>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</si>
  <si>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</si>
  <si>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</si>
  <si>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</si>
  <si>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</si>
  <si>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</si>
  <si>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</si>
  <si>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</si>
  <si>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</si>
  <si>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</si>
  <si>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</si>
  <si>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</si>
  <si>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</si>
  <si>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</si>
  <si>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</si>
  <si>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</si>
  <si>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</si>
  <si>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</si>
  <si>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</si>
  <si>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</si>
  <si>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</si>
  <si>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</si>
  <si>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</si>
  <si>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Lin, Evelyn</t>
  </si>
  <si>
    <t>DeStefano, Jessica</t>
  </si>
  <si>
    <t>Lee, Thomas</t>
  </si>
  <si>
    <t>Xie, Vivian</t>
  </si>
  <si>
    <t>Marchena, Ivan</t>
  </si>
  <si>
    <t>Pepe, Lailah</t>
  </si>
  <si>
    <t>Feliz, Oswald</t>
  </si>
  <si>
    <t>Ricart, Janet</t>
  </si>
  <si>
    <t>Fischman, Jean</t>
  </si>
  <si>
    <t>Rookwood, Shardae</t>
  </si>
  <si>
    <t>Cattani, Brett</t>
  </si>
  <si>
    <t>Ijaz, Kulsoom</t>
  </si>
  <si>
    <t>Fuentes, Maria</t>
  </si>
  <si>
    <t>Puleo Jr, Michael</t>
  </si>
  <si>
    <t>Bromberg, Iris</t>
  </si>
  <si>
    <t>Honan, Thomas</t>
  </si>
  <si>
    <t>Braudy, Erica</t>
  </si>
  <si>
    <t>Restrepo-Serrano, Francois</t>
  </si>
  <si>
    <t>Delgadillo, Omar</t>
  </si>
  <si>
    <t>Echeverry, Jessica</t>
  </si>
  <si>
    <t>Abbas, Sayeda</t>
  </si>
  <si>
    <t>Taylor, Mark</t>
  </si>
  <si>
    <t>Lee, Alicia</t>
  </si>
  <si>
    <t>Shah, Ami</t>
  </si>
  <si>
    <t>Cepeda, Jeanette</t>
  </si>
  <si>
    <t>Roman, Melissa</t>
  </si>
  <si>
    <t>Robinson, Sally</t>
  </si>
  <si>
    <t>Hernandez, Elizabeth</t>
  </si>
  <si>
    <t>Wilkes, Nicole</t>
  </si>
  <si>
    <t>Novasky, Aisha</t>
  </si>
  <si>
    <t>Viets, Whitney</t>
  </si>
  <si>
    <t>Chung, Jeannie</t>
  </si>
  <si>
    <t>Englard, Rubin</t>
  </si>
  <si>
    <t>Atkinson, Johnson</t>
  </si>
  <si>
    <t>McCormick, James</t>
  </si>
  <si>
    <t>Flores, Irene</t>
  </si>
  <si>
    <t>Chan, Vincce</t>
  </si>
  <si>
    <t>Barney, Darryl</t>
  </si>
  <si>
    <t>Shearer, Diane</t>
  </si>
  <si>
    <t>Laureano, Luz</t>
  </si>
  <si>
    <t>Ocana, Johanna</t>
  </si>
  <si>
    <t>Luo, Amy</t>
  </si>
  <si>
    <t>Heller, Steven</t>
  </si>
  <si>
    <t>Pozo, Caridad</t>
  </si>
  <si>
    <t>Patel, Mona</t>
  </si>
  <si>
    <t>Betances, Gabriella</t>
  </si>
  <si>
    <t>Maltezos, Alexander</t>
  </si>
  <si>
    <t>Briggs, John</t>
  </si>
  <si>
    <t>Atuegbu, Chidera</t>
  </si>
  <si>
    <t>Farrell, Emily</t>
  </si>
  <si>
    <t>Wong, Humbert</t>
  </si>
  <si>
    <t>Kelly, Dawn</t>
  </si>
  <si>
    <t>Castro, Cristina</t>
  </si>
  <si>
    <t>Norton, Carolyn</t>
  </si>
  <si>
    <t>Gonzalez, Atenedoro</t>
  </si>
  <si>
    <t>Freeman, Daniel</t>
  </si>
  <si>
    <t>Ma, Chiansan</t>
  </si>
  <si>
    <t>McCowen, Tamella</t>
  </si>
  <si>
    <t>Treadwell, Nathan</t>
  </si>
  <si>
    <t>Haynes, Tralane</t>
  </si>
  <si>
    <t>Carlier, Milton</t>
  </si>
  <si>
    <t>James, Lelia</t>
  </si>
  <si>
    <t>Diaz, Lino</t>
  </si>
  <si>
    <t>Caban-Gandhi, Celina</t>
  </si>
  <si>
    <t>Catuira, Rochelle</t>
  </si>
  <si>
    <t>Jackson, Chavette</t>
  </si>
  <si>
    <t>Espinal, Wendy</t>
  </si>
  <si>
    <t>Silliman, Stacey</t>
  </si>
  <si>
    <t>Nimis, Roland</t>
  </si>
  <si>
    <t>Salas, Emma</t>
  </si>
  <si>
    <t>Kook, Heejung</t>
  </si>
  <si>
    <t>De Silva, Natasia</t>
  </si>
  <si>
    <t>Tan, Andrea</t>
  </si>
  <si>
    <t>Torres, Jasmin</t>
  </si>
  <si>
    <t>Kelly, Kitanya</t>
  </si>
  <si>
    <t>Banks, Melissa</t>
  </si>
  <si>
    <t>Guillaume, Naura</t>
  </si>
  <si>
    <t>Mui, Ernie</t>
  </si>
  <si>
    <t>Hardy, Le`Shera</t>
  </si>
  <si>
    <t>Chen, Eugene</t>
  </si>
  <si>
    <t>Barrett, Samantha</t>
  </si>
  <si>
    <t>Vega, Rita</t>
  </si>
  <si>
    <t>Black, Rosalind</t>
  </si>
  <si>
    <t>Lam, Kevin</t>
  </si>
  <si>
    <t>Saywack, Priam</t>
  </si>
  <si>
    <t>Goncharov-Cruickshnk, Natalie</t>
  </si>
  <si>
    <t>Henriquez, Luis</t>
  </si>
  <si>
    <t>Katnani, Samar</t>
  </si>
  <si>
    <t>Costa, Stephanie</t>
  </si>
  <si>
    <t>Osei, Dionne</t>
  </si>
  <si>
    <t>Hoffman, Julienne</t>
  </si>
  <si>
    <t>Bailey, Michael</t>
  </si>
  <si>
    <t>Hecht-Felella, Laura</t>
  </si>
  <si>
    <t>Latterner, Matt</t>
  </si>
  <si>
    <t>Guzman, Michael</t>
  </si>
  <si>
    <t>Hernandez, Karen</t>
  </si>
  <si>
    <t>Smith, Sara</t>
  </si>
  <si>
    <t>Greene, Janelle</t>
  </si>
  <si>
    <t>Gurung, Rina</t>
  </si>
  <si>
    <t>Lin, Tina</t>
  </si>
  <si>
    <t>Ginsberg, Irene</t>
  </si>
  <si>
    <t>Libbey, Mackenzie</t>
  </si>
  <si>
    <t>Galai, Sagiv</t>
  </si>
  <si>
    <t>Montoute, John</t>
  </si>
  <si>
    <t>Carter, Corinthia</t>
  </si>
  <si>
    <t>Almanzar, Yocari</t>
  </si>
  <si>
    <t>Granfield, Rachel</t>
  </si>
  <si>
    <t>Alvarez, Adriana</t>
  </si>
  <si>
    <t>Schafler, Eliza</t>
  </si>
  <si>
    <t>Succop, Steven</t>
  </si>
  <si>
    <t>Lowery, Liam</t>
  </si>
  <si>
    <t>Cruz-Perez, Javier</t>
  </si>
  <si>
    <t>Mulles, Carlos</t>
  </si>
  <si>
    <t>Breakstone, Chelsea</t>
  </si>
  <si>
    <t>Navarro, Norey</t>
  </si>
  <si>
    <t>Roman, Lurica</t>
  </si>
  <si>
    <t>Cappellini, Bianca</t>
  </si>
  <si>
    <t>Kellogg, Martha</t>
  </si>
  <si>
    <t>DeVolld, Angela</t>
  </si>
  <si>
    <t>Colon, Teresa</t>
  </si>
  <si>
    <t>Copeland, Christopher</t>
  </si>
  <si>
    <t>Ross, Jasmine</t>
  </si>
  <si>
    <t>Yamasaki, Emily Woo</t>
  </si>
  <si>
    <t>Mendia-Yadaicela, Michelle</t>
  </si>
  <si>
    <t>Dolin, Brett</t>
  </si>
  <si>
    <t>MacRae, John</t>
  </si>
  <si>
    <t>Jacobs, Alex</t>
  </si>
  <si>
    <t>Landry-Reyes, Jane</t>
  </si>
  <si>
    <t>Ortiz, Andrew</t>
  </si>
  <si>
    <t>Watson, Michael</t>
  </si>
  <si>
    <t>Solivan, Jackeline</t>
  </si>
  <si>
    <t>Gardner III, George</t>
  </si>
  <si>
    <t>Schiff, Logan</t>
  </si>
  <si>
    <t>Crisona, Kathryn</t>
  </si>
  <si>
    <t>Odoemene, Udoka</t>
  </si>
  <si>
    <t>Miller, Thomas</t>
  </si>
  <si>
    <t>DeLong, Sarah</t>
  </si>
  <si>
    <t>Rubin, Jenn</t>
  </si>
  <si>
    <t>Drumm, Kristen</t>
  </si>
  <si>
    <t>Golden, Tashanna</t>
  </si>
  <si>
    <t>Mottley, Darlene</t>
  </si>
  <si>
    <t>Mbame, Etondi</t>
  </si>
  <si>
    <t>Stevens, Jean</t>
  </si>
  <si>
    <t>Anvid, Taylor</t>
  </si>
  <si>
    <t>Pongnon, Miouly</t>
  </si>
  <si>
    <t>Labossiere, Samantha</t>
  </si>
  <si>
    <t>Ukegbu, Ezi</t>
  </si>
  <si>
    <t>McHugh Mills, Maura</t>
  </si>
  <si>
    <t>Armentrout, Lynn</t>
  </si>
  <si>
    <t>Santos, Marisol</t>
  </si>
  <si>
    <t>Caldwell-Kuru, Hazel</t>
  </si>
  <si>
    <t>Bash, Rachel</t>
  </si>
  <si>
    <t>Kalum, Nicole</t>
  </si>
  <si>
    <t>Brutus, Jean-Pierre</t>
  </si>
  <si>
    <t>Contreras, Gatsby</t>
  </si>
  <si>
    <t>Joly, Coco</t>
  </si>
  <si>
    <t>Telson, Sarah</t>
  </si>
  <si>
    <t>Reed, Jessica</t>
  </si>
  <si>
    <t>Clifford, Mun</t>
  </si>
  <si>
    <t>Horth, Aaron</t>
  </si>
  <si>
    <t>James, Natalie</t>
  </si>
  <si>
    <t>Vujica, Visnja</t>
  </si>
  <si>
    <t>Sun, Dao</t>
  </si>
  <si>
    <t>Pangonis, Dustin</t>
  </si>
  <si>
    <t>Kramer, Kramer</t>
  </si>
  <si>
    <t>Massey, Randi</t>
  </si>
  <si>
    <t>Lopez, Jessica</t>
  </si>
  <si>
    <t>Ascher, Ann</t>
  </si>
  <si>
    <t>Basu, Shantonu</t>
  </si>
  <si>
    <t>Ventura, Alejandro</t>
  </si>
  <si>
    <t>Johnson, Chantal</t>
  </si>
  <si>
    <t>Abrigo, Jose</t>
  </si>
  <si>
    <t>Fuller-Bennett, Reuben</t>
  </si>
  <si>
    <t>Sanderman, Robert</t>
  </si>
  <si>
    <t>Lee, Jooyeon</t>
  </si>
  <si>
    <t>Hoque, Shatti</t>
  </si>
  <si>
    <t>Vendzules, Jason</t>
  </si>
  <si>
    <t>Reardon, Elizabeth</t>
  </si>
  <si>
    <t>Barreda, Catherine</t>
  </si>
  <si>
    <t>Tello, Victor</t>
  </si>
  <si>
    <t>Perez-Pedemonti, Martha</t>
  </si>
  <si>
    <t>Barrow, Jennifer</t>
  </si>
  <si>
    <t>Samuel, Somalia</t>
  </si>
  <si>
    <t>Eisom, Stanley</t>
  </si>
  <si>
    <t>Closed</t>
  </si>
  <si>
    <t>Open</t>
  </si>
  <si>
    <t>03/01/2018</t>
  </si>
  <si>
    <t>10/04/2017</t>
  </si>
  <si>
    <t>02/06/2018</t>
  </si>
  <si>
    <t>04/25/2018</t>
  </si>
  <si>
    <t>02/14/2018</t>
  </si>
  <si>
    <t>05/03/2018</t>
  </si>
  <si>
    <t>03/27/2018</t>
  </si>
  <si>
    <t>12/28/2017</t>
  </si>
  <si>
    <t>05/10/2018</t>
  </si>
  <si>
    <t>06/26/2018</t>
  </si>
  <si>
    <t>03/08/2018</t>
  </si>
  <si>
    <t>01/31/2018</t>
  </si>
  <si>
    <t>02/09/2018</t>
  </si>
  <si>
    <t>01/23/2018</t>
  </si>
  <si>
    <t>04/18/2018</t>
  </si>
  <si>
    <t>04/19/2018</t>
  </si>
  <si>
    <t>06/06/2018</t>
  </si>
  <si>
    <t>06/07/2018</t>
  </si>
  <si>
    <t>04/20/2018</t>
  </si>
  <si>
    <t>06/20/2018</t>
  </si>
  <si>
    <t>04/13/2018</t>
  </si>
  <si>
    <t>04/02/2018</t>
  </si>
  <si>
    <t>01/03/2019</t>
  </si>
  <si>
    <t>03/09/2018</t>
  </si>
  <si>
    <t>02/27/2018</t>
  </si>
  <si>
    <t>01/17/2018</t>
  </si>
  <si>
    <t>02/01/2018</t>
  </si>
  <si>
    <t>04/05/2018</t>
  </si>
  <si>
    <t>12/08/2017</t>
  </si>
  <si>
    <t>07/19/2018</t>
  </si>
  <si>
    <t>08/25/2017</t>
  </si>
  <si>
    <t>05/30/2018</t>
  </si>
  <si>
    <t>05/04/2018</t>
  </si>
  <si>
    <t>01/03/2018</t>
  </si>
  <si>
    <t>05/23/2018</t>
  </si>
  <si>
    <t>02/07/2017</t>
  </si>
  <si>
    <t>02/02/2018</t>
  </si>
  <si>
    <t>07/20/2017</t>
  </si>
  <si>
    <t>05/02/2018</t>
  </si>
  <si>
    <t>06/12/2018</t>
  </si>
  <si>
    <t>07/19/2017</t>
  </si>
  <si>
    <t>11/17/2017</t>
  </si>
  <si>
    <t>04/21/2017</t>
  </si>
  <si>
    <t>02/08/2018</t>
  </si>
  <si>
    <t>05/24/2018</t>
  </si>
  <si>
    <t>01/09/2018</t>
  </si>
  <si>
    <t>03/14/2019</t>
  </si>
  <si>
    <t>09/29/2017</t>
  </si>
  <si>
    <t>02/20/2018</t>
  </si>
  <si>
    <t>03/23/2018</t>
  </si>
  <si>
    <t>01/24/2018</t>
  </si>
  <si>
    <t>06/28/2018</t>
  </si>
  <si>
    <t>04/06/2018</t>
  </si>
  <si>
    <t>12/11/2017</t>
  </si>
  <si>
    <t>01/16/2018</t>
  </si>
  <si>
    <t>02/26/2018</t>
  </si>
  <si>
    <t>11/13/2017</t>
  </si>
  <si>
    <t>03/28/2018</t>
  </si>
  <si>
    <t>12/01/2017</t>
  </si>
  <si>
    <t>02/01/2019</t>
  </si>
  <si>
    <t>03/07/2018</t>
  </si>
  <si>
    <t>01/25/2018</t>
  </si>
  <si>
    <t>05/01/2018</t>
  </si>
  <si>
    <t>05/17/2018</t>
  </si>
  <si>
    <t>11/22/2017</t>
  </si>
  <si>
    <t>09/19/2017</t>
  </si>
  <si>
    <t>12/27/2017</t>
  </si>
  <si>
    <t>04/11/2018</t>
  </si>
  <si>
    <t>12/05/2017</t>
  </si>
  <si>
    <t>07/27/2017</t>
  </si>
  <si>
    <t>03/06/2018</t>
  </si>
  <si>
    <t>06/14/2018</t>
  </si>
  <si>
    <t>12/26/2017</t>
  </si>
  <si>
    <t>06/22/2018</t>
  </si>
  <si>
    <t>01/22/2018</t>
  </si>
  <si>
    <t>03/11/2019</t>
  </si>
  <si>
    <t>04/30/2018</t>
  </si>
  <si>
    <t>06/13/2018</t>
  </si>
  <si>
    <t>10/27/2017</t>
  </si>
  <si>
    <t>06/01/2018</t>
  </si>
  <si>
    <t>02/21/2018</t>
  </si>
  <si>
    <t>05/16/2018</t>
  </si>
  <si>
    <t>05/31/2018</t>
  </si>
  <si>
    <t>03/02/2018</t>
  </si>
  <si>
    <t>05/15/2018</t>
  </si>
  <si>
    <t>08/07/2017</t>
  </si>
  <si>
    <t>06/19/2018</t>
  </si>
  <si>
    <t>07/26/2017</t>
  </si>
  <si>
    <t>10/26/2017</t>
  </si>
  <si>
    <t>03/20/2018</t>
  </si>
  <si>
    <t>04/27/2018</t>
  </si>
  <si>
    <t>12/13/2017</t>
  </si>
  <si>
    <t>06/25/2018</t>
  </si>
  <si>
    <t>01/10/2018</t>
  </si>
  <si>
    <t>03/13/2018</t>
  </si>
  <si>
    <t>03/21/2018</t>
  </si>
  <si>
    <t>12/15/2017</t>
  </si>
  <si>
    <t>11/06/2017</t>
  </si>
  <si>
    <t>05/21/2018</t>
  </si>
  <si>
    <t>05/08/2018</t>
  </si>
  <si>
    <t>03/22/2018</t>
  </si>
  <si>
    <t>06/18/2018</t>
  </si>
  <si>
    <t>06/27/2018</t>
  </si>
  <si>
    <t>03/14/2018</t>
  </si>
  <si>
    <t>10/17/2017</t>
  </si>
  <si>
    <t>10/30/2017</t>
  </si>
  <si>
    <t>04/12/2018</t>
  </si>
  <si>
    <t>01/26/2018</t>
  </si>
  <si>
    <t>11/27/2017</t>
  </si>
  <si>
    <t>06/04/2018</t>
  </si>
  <si>
    <t>10/03/2017</t>
  </si>
  <si>
    <t>02/07/2018</t>
  </si>
  <si>
    <t>07/13/2017</t>
  </si>
  <si>
    <t>06/15/2018</t>
  </si>
  <si>
    <t>03/03/2017</t>
  </si>
  <si>
    <t>01/05/2018</t>
  </si>
  <si>
    <t>05/29/2018</t>
  </si>
  <si>
    <t>12/06/2017</t>
  </si>
  <si>
    <t>10/12/2017</t>
  </si>
  <si>
    <t>05/09/2018</t>
  </si>
  <si>
    <t>09/25/2017</t>
  </si>
  <si>
    <t>04/10/2018</t>
  </si>
  <si>
    <t>03/19/2018</t>
  </si>
  <si>
    <t>07/07/2017</t>
  </si>
  <si>
    <t>02/23/2018</t>
  </si>
  <si>
    <t>04/16/2018</t>
  </si>
  <si>
    <t>03/15/2018</t>
  </si>
  <si>
    <t>11/01/2017</t>
  </si>
  <si>
    <t>06/11/2018</t>
  </si>
  <si>
    <t>05/25/2018</t>
  </si>
  <si>
    <t>11/03/2017</t>
  </si>
  <si>
    <t>11/14/2017</t>
  </si>
  <si>
    <t>06/05/2017</t>
  </si>
  <si>
    <t>03/29/2018</t>
  </si>
  <si>
    <t>05/03/2019</t>
  </si>
  <si>
    <t>09/15/2017</t>
  </si>
  <si>
    <t>11/30/2017</t>
  </si>
  <si>
    <t>04/04/2018</t>
  </si>
  <si>
    <t>08/17/2017</t>
  </si>
  <si>
    <t>06/05/2018</t>
  </si>
  <si>
    <t>11/02/2017</t>
  </si>
  <si>
    <t>04/03/2018</t>
  </si>
  <si>
    <t>12/22/2017</t>
  </si>
  <si>
    <t>06/08/2018</t>
  </si>
  <si>
    <t>01/11/2018</t>
  </si>
  <si>
    <t>11/21/2017</t>
  </si>
  <si>
    <t>05/18/2018</t>
  </si>
  <si>
    <t>08/31/2017</t>
  </si>
  <si>
    <t>11/15/2017</t>
  </si>
  <si>
    <t>04/26/2018</t>
  </si>
  <si>
    <t>12/13/2018</t>
  </si>
  <si>
    <t>07/11/2017</t>
  </si>
  <si>
    <t>08/02/2017</t>
  </si>
  <si>
    <t>01/19/2018</t>
  </si>
  <si>
    <t>10/02/2017</t>
  </si>
  <si>
    <t>05/11/2018</t>
  </si>
  <si>
    <t>10/20/2017</t>
  </si>
  <si>
    <t>07/28/2017</t>
  </si>
  <si>
    <t>07/05/2018</t>
  </si>
  <si>
    <t>04/17/2018</t>
  </si>
  <si>
    <t>11/15/2016</t>
  </si>
  <si>
    <t>01/29/2018</t>
  </si>
  <si>
    <t>07/12/2018</t>
  </si>
  <si>
    <t>12/19/2017</t>
  </si>
  <si>
    <t>11/09/2017</t>
  </si>
  <si>
    <t>06/29/2018</t>
  </si>
  <si>
    <t>07/03/2018</t>
  </si>
  <si>
    <t>10/06/2017</t>
  </si>
  <si>
    <t>08/01/2017</t>
  </si>
  <si>
    <t>07/10/2017</t>
  </si>
  <si>
    <t>08/30/2017</t>
  </si>
  <si>
    <t>09/05/2017</t>
  </si>
  <si>
    <t>03/26/2018</t>
  </si>
  <si>
    <t>03/05/2018</t>
  </si>
  <si>
    <t>07/24/2017</t>
  </si>
  <si>
    <t>10/10/2017</t>
  </si>
  <si>
    <t>07/06/2017</t>
  </si>
  <si>
    <t>07/02/2018</t>
  </si>
  <si>
    <t>05/07/2018</t>
  </si>
  <si>
    <t>09/28/2017</t>
  </si>
  <si>
    <t>01/09/2019</t>
  </si>
  <si>
    <t>09/06/2017</t>
  </si>
  <si>
    <t>10/31/2017</t>
  </si>
  <si>
    <t>09/01/2017</t>
  </si>
  <si>
    <t>09/07/2018</t>
  </si>
  <si>
    <t>08/10/2017</t>
  </si>
  <si>
    <t>12/21/2017</t>
  </si>
  <si>
    <t>12/20/2016</t>
  </si>
  <si>
    <t>02/15/2018</t>
  </si>
  <si>
    <t>04/09/2018</t>
  </si>
  <si>
    <t>10/05/2017</t>
  </si>
  <si>
    <t>07/17/2018</t>
  </si>
  <si>
    <t>02/28/2018</t>
  </si>
  <si>
    <t>08/11/2017</t>
  </si>
  <si>
    <t>09/08/2016</t>
  </si>
  <si>
    <t>05/17/2017</t>
  </si>
  <si>
    <t>04/03/2017</t>
  </si>
  <si>
    <t>02/05/2018</t>
  </si>
  <si>
    <t>05/31/2019</t>
  </si>
  <si>
    <t>08/28/2017</t>
  </si>
  <si>
    <t>01/30/2018</t>
  </si>
  <si>
    <t>11/01/2018</t>
  </si>
  <si>
    <t>08/14/2017</t>
  </si>
  <si>
    <t>12/20/2017</t>
  </si>
  <si>
    <t>08/02/2018</t>
  </si>
  <si>
    <t>07/12/2017</t>
  </si>
  <si>
    <t>05/25/2017</t>
  </si>
  <si>
    <t>09/14/2017</t>
  </si>
  <si>
    <t>03/12/2018</t>
  </si>
  <si>
    <t>07/06/2018</t>
  </si>
  <si>
    <t>06/22/2017</t>
  </si>
  <si>
    <t>05/14/2018</t>
  </si>
  <si>
    <t>12/27/2016</t>
  </si>
  <si>
    <t>10/22/2018</t>
  </si>
  <si>
    <t>05/22/2017</t>
  </si>
  <si>
    <t>04/27/2017</t>
  </si>
  <si>
    <t>05/22/2018</t>
  </si>
  <si>
    <t>08/29/2017</t>
  </si>
  <si>
    <t>10/30/2018</t>
  </si>
  <si>
    <t>09/14/2015</t>
  </si>
  <si>
    <t>01/10/2019</t>
  </si>
  <si>
    <t>09/07/2017</t>
  </si>
  <si>
    <t>01/18/2018</t>
  </si>
  <si>
    <t>08/27/2018</t>
  </si>
  <si>
    <t>08/15/2017</t>
  </si>
  <si>
    <t>08/22/2017</t>
  </si>
  <si>
    <t>09/11/2017</t>
  </si>
  <si>
    <t>11/29/2017</t>
  </si>
  <si>
    <t>12/07/2017</t>
  </si>
  <si>
    <t>10/11/2017</t>
  </si>
  <si>
    <t>09/12/2017</t>
  </si>
  <si>
    <t>02/16/2018</t>
  </si>
  <si>
    <t>07/10/2018</t>
  </si>
  <si>
    <t>12/29/2017</t>
  </si>
  <si>
    <t>04/24/2017</t>
  </si>
  <si>
    <t>05/31/2017</t>
  </si>
  <si>
    <t>08/08/2017</t>
  </si>
  <si>
    <t>07/18/2017</t>
  </si>
  <si>
    <t>06/21/2018</t>
  </si>
  <si>
    <t>05/22/2019</t>
  </si>
  <si>
    <t>05/12/2016</t>
  </si>
  <si>
    <t>01/30/2017</t>
  </si>
  <si>
    <t>08/24/2017</t>
  </si>
  <si>
    <t>01/13/2017</t>
  </si>
  <si>
    <t>03/30/2018</t>
  </si>
  <si>
    <t>11/28/2017</t>
  </si>
  <si>
    <t>12/15/2016</t>
  </si>
  <si>
    <t>10/25/2017</t>
  </si>
  <si>
    <t>04/14/2017</t>
  </si>
  <si>
    <t>04/12/2017</t>
  </si>
  <si>
    <t>05/05/2017</t>
  </si>
  <si>
    <t>04/11/2017</t>
  </si>
  <si>
    <t>06/06/2017</t>
  </si>
  <si>
    <t>06/01/2017</t>
  </si>
  <si>
    <t>01/04/2018</t>
  </si>
  <si>
    <t>04/13/2017</t>
  </si>
  <si>
    <t>04/18/2017</t>
  </si>
  <si>
    <t>06/13/2017</t>
  </si>
  <si>
    <t>05/04/2017</t>
  </si>
  <si>
    <t>08/23/2017</t>
  </si>
  <si>
    <t>04/23/2018</t>
  </si>
  <si>
    <t>07/25/2017</t>
  </si>
  <si>
    <t>11/20/2018</t>
  </si>
  <si>
    <t>07/21/2017</t>
  </si>
  <si>
    <t>10/28/2017</t>
  </si>
  <si>
    <t>06/20/2017</t>
  </si>
  <si>
    <t>04/24/2018</t>
  </si>
  <si>
    <t>08/16/2017</t>
  </si>
  <si>
    <t>03/02/2016</t>
  </si>
  <si>
    <t>05/27/2017</t>
  </si>
  <si>
    <t>03/21/2017</t>
  </si>
  <si>
    <t>10/21/2016</t>
  </si>
  <si>
    <t>06/02/2017</t>
  </si>
  <si>
    <t>12/14/2017</t>
  </si>
  <si>
    <t>09/27/2017</t>
  </si>
  <si>
    <t>08/04/2017</t>
  </si>
  <si>
    <t>05/23/2017</t>
  </si>
  <si>
    <t>01/11/2019</t>
  </si>
  <si>
    <t>02/17/2016</t>
  </si>
  <si>
    <t>10/06/2016</t>
  </si>
  <si>
    <t>06/30/2018</t>
  </si>
  <si>
    <t>12/04/2018</t>
  </si>
  <si>
    <t>09/01/2016</t>
  </si>
  <si>
    <t>07/31/2017</t>
  </si>
  <si>
    <t>04/15/2018</t>
  </si>
  <si>
    <t>01/02/2018</t>
  </si>
  <si>
    <t>03/16/2018</t>
  </si>
  <si>
    <t>02/22/2018</t>
  </si>
  <si>
    <t>08/06/2015</t>
  </si>
  <si>
    <t>01/12/2018</t>
  </si>
  <si>
    <t>07/14/2017</t>
  </si>
  <si>
    <t>06/07/2017</t>
  </si>
  <si>
    <t>11/08/2017</t>
  </si>
  <si>
    <t>06/30/2017</t>
  </si>
  <si>
    <t>05/15/2017</t>
  </si>
  <si>
    <t>02/23/2017</t>
  </si>
  <si>
    <t>05/24/2017</t>
  </si>
  <si>
    <t>09/26/2017</t>
  </si>
  <si>
    <t>11/18/2017</t>
  </si>
  <si>
    <t>10/19/2017</t>
  </si>
  <si>
    <t>04/25/2016</t>
  </si>
  <si>
    <t>06/21/2017</t>
  </si>
  <si>
    <t>06/23/2017</t>
  </si>
  <si>
    <t>06/14/2017</t>
  </si>
  <si>
    <t>04/26/2016</t>
  </si>
  <si>
    <t>07/16/2018</t>
  </si>
  <si>
    <t>12/31/2014</t>
  </si>
  <si>
    <t>11/10/2015</t>
  </si>
  <si>
    <t>06/15/2017</t>
  </si>
  <si>
    <t>06/08/2017</t>
  </si>
  <si>
    <t>05/19/2017</t>
  </si>
  <si>
    <t>10/18/2017</t>
  </si>
  <si>
    <t>06/21/2016</t>
  </si>
  <si>
    <t>12/04/2017</t>
  </si>
  <si>
    <t>09/13/2017</t>
  </si>
  <si>
    <t>01/08/2018</t>
  </si>
  <si>
    <t>07/26/2016</t>
  </si>
  <si>
    <t>10/13/2017</t>
  </si>
  <si>
    <t>06/09/2017</t>
  </si>
  <si>
    <t>05/12/2017</t>
  </si>
  <si>
    <t>01/26/2017</t>
  </si>
  <si>
    <t>09/30/2016</t>
  </si>
  <si>
    <t>05/02/2017</t>
  </si>
  <si>
    <t>07/08/2015</t>
  </si>
  <si>
    <t>11/16/2017</t>
  </si>
  <si>
    <t>04/28/2017</t>
  </si>
  <si>
    <t>12/12/2017</t>
  </si>
  <si>
    <t>09/08/2017</t>
  </si>
  <si>
    <t>07/05/2017</t>
  </si>
  <si>
    <t>09/22/2017</t>
  </si>
  <si>
    <t>08/26/2015</t>
  </si>
  <si>
    <t>12/09/2017</t>
  </si>
  <si>
    <t>12/10/2018</t>
  </si>
  <si>
    <t>09/12/2016</t>
  </si>
  <si>
    <t>03/23/2017</t>
  </si>
  <si>
    <t>02/24/2017</t>
  </si>
  <si>
    <t>03/30/2017</t>
  </si>
  <si>
    <t>02/13/2018</t>
  </si>
  <si>
    <t>08/21/2017</t>
  </si>
  <si>
    <t>09/21/2017</t>
  </si>
  <si>
    <t>09/18/2017</t>
  </si>
  <si>
    <t>11/20/2017</t>
  </si>
  <si>
    <t>04/10/2017</t>
  </si>
  <si>
    <t>12/18/2017</t>
  </si>
  <si>
    <t>04/20/2017</t>
  </si>
  <si>
    <t>11/10/2016</t>
  </si>
  <si>
    <t>08/18/2017</t>
  </si>
  <si>
    <t>03/27/2019</t>
  </si>
  <si>
    <t>06/29/2017</t>
  </si>
  <si>
    <t>10/23/2017</t>
  </si>
  <si>
    <t>06/30/2016</t>
  </si>
  <si>
    <t>07/28/2016</t>
  </si>
  <si>
    <t>07/17/2017</t>
  </si>
  <si>
    <t>03/31/2017</t>
  </si>
  <si>
    <t>10/24/2017</t>
  </si>
  <si>
    <t>10/11/2016</t>
  </si>
  <si>
    <t>11/01/2016</t>
  </si>
  <si>
    <t>01/25/2016</t>
  </si>
  <si>
    <t>02/08/2016</t>
  </si>
  <si>
    <t>04/07/2017</t>
  </si>
  <si>
    <t>07/03/2017</t>
  </si>
  <si>
    <t>05/30/2017</t>
  </si>
  <si>
    <t>05/16/2017</t>
  </si>
  <si>
    <t>03/03/2016</t>
  </si>
  <si>
    <t>07/09/2018</t>
  </si>
  <si>
    <t>11/10/2017</t>
  </si>
  <si>
    <t>03/20/2017</t>
  </si>
  <si>
    <t>05/07/2016</t>
  </si>
  <si>
    <t>10/12/2016</t>
  </si>
  <si>
    <t>10/03/2018</t>
  </si>
  <si>
    <t>08/18/2016</t>
  </si>
  <si>
    <t>05/23/2016</t>
  </si>
  <si>
    <t>12/02/2017</t>
  </si>
  <si>
    <t>04/27/2016</t>
  </si>
  <si>
    <t>04/11/2016</t>
  </si>
  <si>
    <t>10/13/2016</t>
  </si>
  <si>
    <t>03/04/2018</t>
  </si>
  <si>
    <t>06/27/2017</t>
  </si>
  <si>
    <t>08/23/2016</t>
  </si>
  <si>
    <t>01/20/2016</t>
  </si>
  <si>
    <t>05/09/2017</t>
  </si>
  <si>
    <t>05/19/2016</t>
  </si>
  <si>
    <t>03/15/2017</t>
  </si>
  <si>
    <t>11/05/2017</t>
  </si>
  <si>
    <t>05/04/2016</t>
  </si>
  <si>
    <t>01/20/2017</t>
  </si>
  <si>
    <t>07/26/2018</t>
  </si>
  <si>
    <t>12/01/2016</t>
  </si>
  <si>
    <t>12/14/2016</t>
  </si>
  <si>
    <t>02/15/2017</t>
  </si>
  <si>
    <t>11/22/2016</t>
  </si>
  <si>
    <t>12/16/2016</t>
  </si>
  <si>
    <t>10/01/2015</t>
  </si>
  <si>
    <t>06/08/2015</t>
  </si>
  <si>
    <t>05/02/2016</t>
  </si>
  <si>
    <t>05/10/2017</t>
  </si>
  <si>
    <t>01/06/2017</t>
  </si>
  <si>
    <t>02/10/2017</t>
  </si>
  <si>
    <t>06/24/2016</t>
  </si>
  <si>
    <t>10/16/2017</t>
  </si>
  <si>
    <t>11/16/2016</t>
  </si>
  <si>
    <t>12/29/2015</t>
  </si>
  <si>
    <t>04/16/2015</t>
  </si>
  <si>
    <t>05/09/2016</t>
  </si>
  <si>
    <t>05/11/2017</t>
  </si>
  <si>
    <t>01/04/2016</t>
  </si>
  <si>
    <t>03/29/2017</t>
  </si>
  <si>
    <t>01/10/2017</t>
  </si>
  <si>
    <t>06/26/2017</t>
  </si>
  <si>
    <t>09/28/2016</t>
  </si>
  <si>
    <t>09/20/2017</t>
  </si>
  <si>
    <t>03/28/2017</t>
  </si>
  <si>
    <t>03/15/2015</t>
  </si>
  <si>
    <t>03/07/2019</t>
  </si>
  <si>
    <t>01/16/2015</t>
  </si>
  <si>
    <t>03/06/2015</t>
  </si>
  <si>
    <t>07/18/2018</t>
  </si>
  <si>
    <t>02/29/2016</t>
  </si>
  <si>
    <t>01/09/2017</t>
  </si>
  <si>
    <t>12/06/2016</t>
  </si>
  <si>
    <t>02/10/2015</t>
  </si>
  <si>
    <t>07/11/2016</t>
  </si>
  <si>
    <t>06/12/2017</t>
  </si>
  <si>
    <t>02/15/2019</t>
  </si>
  <si>
    <t>06/12/2015</t>
  </si>
  <si>
    <t>04/06/2017</t>
  </si>
  <si>
    <t>03/08/2017</t>
  </si>
  <si>
    <t>09/23/2016</t>
  </si>
  <si>
    <t>04/01/2019</t>
  </si>
  <si>
    <t>12/31/2018</t>
  </si>
  <si>
    <t>11/19/2018</t>
  </si>
  <si>
    <t>10/15/2018</t>
  </si>
  <si>
    <t>10/29/2018</t>
  </si>
  <si>
    <t>08/20/2018</t>
  </si>
  <si>
    <t>10/05/2018</t>
  </si>
  <si>
    <t>07/20/2018</t>
  </si>
  <si>
    <t>08/09/2018</t>
  </si>
  <si>
    <t>11/07/2018</t>
  </si>
  <si>
    <t>12/27/2018</t>
  </si>
  <si>
    <t>08/14/2018</t>
  </si>
  <si>
    <t>12/28/2018</t>
  </si>
  <si>
    <t>12/11/2018</t>
  </si>
  <si>
    <t>06/07/2019</t>
  </si>
  <si>
    <t>08/10/2018</t>
  </si>
  <si>
    <t>12/18/2018</t>
  </si>
  <si>
    <t>08/28/2018</t>
  </si>
  <si>
    <t>10/24/2018</t>
  </si>
  <si>
    <t>08/03/2018</t>
  </si>
  <si>
    <t>12/26/2018</t>
  </si>
  <si>
    <t>09/11/2018</t>
  </si>
  <si>
    <t>12/20/2018</t>
  </si>
  <si>
    <t>11/28/2018</t>
  </si>
  <si>
    <t>10/16/2018</t>
  </si>
  <si>
    <t>11/12/2018</t>
  </si>
  <si>
    <t>03/25/2019</t>
  </si>
  <si>
    <t>05/24/2019</t>
  </si>
  <si>
    <t>09/19/2018</t>
  </si>
  <si>
    <t>11/30/2018</t>
  </si>
  <si>
    <t>10/04/2018</t>
  </si>
  <si>
    <t>07/24/2018</t>
  </si>
  <si>
    <t>10/02/2018</t>
  </si>
  <si>
    <t>10/19/2018</t>
  </si>
  <si>
    <t>06/03/2019</t>
  </si>
  <si>
    <t>08/23/2018</t>
  </si>
  <si>
    <t>02/25/2019</t>
  </si>
  <si>
    <t>12/03/2018</t>
  </si>
  <si>
    <t>06/14/2019</t>
  </si>
  <si>
    <t>12/14/2018</t>
  </si>
  <si>
    <t>12/19/2018</t>
  </si>
  <si>
    <t>03/29/2019</t>
  </si>
  <si>
    <t>12/29/2018</t>
  </si>
  <si>
    <t>11/05/2018</t>
  </si>
  <si>
    <t>12/05/2018</t>
  </si>
  <si>
    <t>07/31/2018</t>
  </si>
  <si>
    <t>11/21/2018</t>
  </si>
  <si>
    <t>12/09/2018</t>
  </si>
  <si>
    <t>10/31/2018</t>
  </si>
  <si>
    <t>12/21/2018</t>
  </si>
  <si>
    <t>08/01/2018</t>
  </si>
  <si>
    <t>12/17/2018</t>
  </si>
  <si>
    <t>10/17/2018</t>
  </si>
  <si>
    <t>03/01/2019</t>
  </si>
  <si>
    <t>12/06/2018</t>
  </si>
  <si>
    <t>12/07/2018</t>
  </si>
  <si>
    <t>08/30/2018</t>
  </si>
  <si>
    <t>01/24/2019</t>
  </si>
  <si>
    <t>08/06/2018</t>
  </si>
  <si>
    <t>11/26/2018</t>
  </si>
  <si>
    <t>10/10/2018</t>
  </si>
  <si>
    <t>03/18/2019</t>
  </si>
  <si>
    <t>01/15/2019</t>
  </si>
  <si>
    <t>05/30/2019</t>
  </si>
  <si>
    <t>05/14/2019</t>
  </si>
  <si>
    <t>06/04/2019</t>
  </si>
  <si>
    <t>08/21/2018</t>
  </si>
  <si>
    <t>11/03/2018</t>
  </si>
  <si>
    <t>03/19/2019</t>
  </si>
  <si>
    <t>11/29/2018</t>
  </si>
  <si>
    <t>11/13/2018</t>
  </si>
  <si>
    <t>07/27/2018</t>
  </si>
  <si>
    <t>09/10/2018</t>
  </si>
  <si>
    <t>07/23/2018</t>
  </si>
  <si>
    <t>10/18/2018</t>
  </si>
  <si>
    <t>11/08/2018</t>
  </si>
  <si>
    <t>09/14/2018</t>
  </si>
  <si>
    <t>11/02/2018</t>
  </si>
  <si>
    <t>01/01/2019</t>
  </si>
  <si>
    <t>12/12/2018</t>
  </si>
  <si>
    <t>04/24/2019</t>
  </si>
  <si>
    <t>04/22/2019</t>
  </si>
  <si>
    <t>08/17/2018</t>
  </si>
  <si>
    <t>05/23/2019</t>
  </si>
  <si>
    <t>08/13/2018</t>
  </si>
  <si>
    <t>02/08/2019</t>
  </si>
  <si>
    <t>08/07/2018</t>
  </si>
  <si>
    <t>07/25/2018</t>
  </si>
  <si>
    <t>12/24/2018</t>
  </si>
  <si>
    <t>12/22/2018</t>
  </si>
  <si>
    <t>09/24/2018</t>
  </si>
  <si>
    <t>09/18/2018</t>
  </si>
  <si>
    <t>05/29/2019</t>
  </si>
  <si>
    <t>02/11/2019</t>
  </si>
  <si>
    <t>10/12/2018</t>
  </si>
  <si>
    <t>07/30/2018</t>
  </si>
  <si>
    <t>01/22/2019</t>
  </si>
  <si>
    <t>04/26/2019</t>
  </si>
  <si>
    <t>01/31/2019</t>
  </si>
  <si>
    <t>05/10/2019</t>
  </si>
  <si>
    <t>12/15/2018</t>
  </si>
  <si>
    <t>02/14/2019</t>
  </si>
  <si>
    <t>05/08/2019</t>
  </si>
  <si>
    <t>10/11/2018</t>
  </si>
  <si>
    <t>04/16/2019</t>
  </si>
  <si>
    <t>11/09/2018</t>
  </si>
  <si>
    <t>09/20/2018</t>
  </si>
  <si>
    <t>10/25/2018</t>
  </si>
  <si>
    <t>09/13/2018</t>
  </si>
  <si>
    <t>03/12/2019</t>
  </si>
  <si>
    <t>01/25/2019</t>
  </si>
  <si>
    <t>05/15/2019</t>
  </si>
  <si>
    <t>05/07/2019</t>
  </si>
  <si>
    <t>05/16/2019</t>
  </si>
  <si>
    <t>03/28/2019</t>
  </si>
  <si>
    <t>03/26/2019</t>
  </si>
  <si>
    <t>03/04/2019</t>
  </si>
  <si>
    <t>03/21/2019</t>
  </si>
  <si>
    <t>04/25/2019</t>
  </si>
  <si>
    <t>01/23/2019</t>
  </si>
  <si>
    <t>04/02/2019</t>
  </si>
  <si>
    <t>04/05/2019</t>
  </si>
  <si>
    <t>10/23/2018</t>
  </si>
  <si>
    <t>02/16/2019</t>
  </si>
  <si>
    <t>03/13/2019</t>
  </si>
  <si>
    <t>01/14/2019</t>
  </si>
  <si>
    <t>09/06/2018</t>
  </si>
  <si>
    <t>08/22/2018</t>
  </si>
  <si>
    <t>11/04/2018</t>
  </si>
  <si>
    <t>09/21/2018</t>
  </si>
  <si>
    <t>09/04/2018</t>
  </si>
  <si>
    <t>04/23/2019</t>
  </si>
  <si>
    <t>09/25/2018</t>
  </si>
  <si>
    <t>09/15/2018</t>
  </si>
  <si>
    <t>04/15/2019</t>
  </si>
  <si>
    <t>04/03/2019</t>
  </si>
  <si>
    <t>08/16/2018</t>
  </si>
  <si>
    <t>09/12/2018</t>
  </si>
  <si>
    <t>08/08/2018</t>
  </si>
  <si>
    <t>06/13/2019</t>
  </si>
  <si>
    <t>04/11/2019</t>
  </si>
  <si>
    <t>08/15/2018</t>
  </si>
  <si>
    <t>09/26/2018</t>
  </si>
  <si>
    <t>03/20/2019</t>
  </si>
  <si>
    <t>08/24/2018</t>
  </si>
  <si>
    <t>03/08/2019</t>
  </si>
  <si>
    <t>05/21/2019</t>
  </si>
  <si>
    <t>07/13/2018</t>
  </si>
  <si>
    <t>02/13/2019</t>
  </si>
  <si>
    <t>02/09/2019</t>
  </si>
  <si>
    <t>11/27/2018</t>
  </si>
  <si>
    <t>02/19/2019</t>
  </si>
  <si>
    <t>02/04/2019</t>
  </si>
  <si>
    <t>09/28/2018</t>
  </si>
  <si>
    <t>10/09/2018</t>
  </si>
  <si>
    <t>04/17/2019</t>
  </si>
  <si>
    <t>10/26/2018</t>
  </si>
  <si>
    <t>01/16/2019</t>
  </si>
  <si>
    <t>10/08/2018</t>
  </si>
  <si>
    <t>05/02/2019</t>
  </si>
  <si>
    <t>02/20/2019</t>
  </si>
  <si>
    <t>10/01/2018</t>
  </si>
  <si>
    <t>02/24/2019</t>
  </si>
  <si>
    <t>02/28/2019</t>
  </si>
  <si>
    <t>03/05/2019</t>
  </si>
  <si>
    <t>06/05/2019</t>
  </si>
  <si>
    <t>06/11/2019</t>
  </si>
  <si>
    <t>03/06/2019</t>
  </si>
  <si>
    <t>04/10/2019</t>
  </si>
  <si>
    <t>02/21/2019</t>
  </si>
  <si>
    <t>05/13/2019</t>
  </si>
  <si>
    <t>08/29/2018</t>
  </si>
  <si>
    <t>02/05/2019</t>
  </si>
  <si>
    <t>Milagros</t>
  </si>
  <si>
    <t>Victor</t>
  </si>
  <si>
    <t>Jared</t>
  </si>
  <si>
    <t>Eden</t>
  </si>
  <si>
    <t>Aya</t>
  </si>
  <si>
    <t>Barbara</t>
  </si>
  <si>
    <t>Olga</t>
  </si>
  <si>
    <t>Jamal</t>
  </si>
  <si>
    <t>Cedric</t>
  </si>
  <si>
    <t>Jatique</t>
  </si>
  <si>
    <t>Brennen</t>
  </si>
  <si>
    <t>Kerri-Lee</t>
  </si>
  <si>
    <t>Oswald</t>
  </si>
  <si>
    <t>Arelis</t>
  </si>
  <si>
    <t>Esmeralda</t>
  </si>
  <si>
    <t>Karina</t>
  </si>
  <si>
    <t>Alieo</t>
  </si>
  <si>
    <t>Latoya</t>
  </si>
  <si>
    <t>Mary</t>
  </si>
  <si>
    <t>Uguis</t>
  </si>
  <si>
    <t>Michele</t>
  </si>
  <si>
    <t>Xuejie</t>
  </si>
  <si>
    <t>Jonathan</t>
  </si>
  <si>
    <t>Rafael</t>
  </si>
  <si>
    <t>Njeri</t>
  </si>
  <si>
    <t>Atagracia</t>
  </si>
  <si>
    <t>Eric</t>
  </si>
  <si>
    <t>Senait</t>
  </si>
  <si>
    <t>Altagracia</t>
  </si>
  <si>
    <t>Jarrod</t>
  </si>
  <si>
    <t>Unique</t>
  </si>
  <si>
    <t>Chanel</t>
  </si>
  <si>
    <t>Bridgette</t>
  </si>
  <si>
    <t>Teresa</t>
  </si>
  <si>
    <t>Nicole</t>
  </si>
  <si>
    <t>William</t>
  </si>
  <si>
    <t>Allan</t>
  </si>
  <si>
    <t>Margarita</t>
  </si>
  <si>
    <t>Juanitha</t>
  </si>
  <si>
    <t>Maribel</t>
  </si>
  <si>
    <t>Ivelisse</t>
  </si>
  <si>
    <t>John</t>
  </si>
  <si>
    <t>Leslie</t>
  </si>
  <si>
    <t>Latresa</t>
  </si>
  <si>
    <t>Nathan</t>
  </si>
  <si>
    <t>Faustina</t>
  </si>
  <si>
    <t>Evelyn</t>
  </si>
  <si>
    <t>Anthony</t>
  </si>
  <si>
    <t>Tiona</t>
  </si>
  <si>
    <t>Shamina</t>
  </si>
  <si>
    <t>Christine</t>
  </si>
  <si>
    <t>Maurice</t>
  </si>
  <si>
    <t>Ada</t>
  </si>
  <si>
    <t>Giselle</t>
  </si>
  <si>
    <t>Shannon</t>
  </si>
  <si>
    <t>Cynthia</t>
  </si>
  <si>
    <t>Melissa</t>
  </si>
  <si>
    <t>Ray Anthony</t>
  </si>
  <si>
    <t>Valerie</t>
  </si>
  <si>
    <t>Julian</t>
  </si>
  <si>
    <t>Deborah</t>
  </si>
  <si>
    <t>Keun Ho</t>
  </si>
  <si>
    <t>Tamara</t>
  </si>
  <si>
    <t>Alicia</t>
  </si>
  <si>
    <t>Luis</t>
  </si>
  <si>
    <t>Richard</t>
  </si>
  <si>
    <t>Ana</t>
  </si>
  <si>
    <t>Guo Ping</t>
  </si>
  <si>
    <t>Latonya</t>
  </si>
  <si>
    <t>Jin</t>
  </si>
  <si>
    <t>Yvette</t>
  </si>
  <si>
    <t>Ramon</t>
  </si>
  <si>
    <t>Christy</t>
  </si>
  <si>
    <t>Hope</t>
  </si>
  <si>
    <t>Lucia</t>
  </si>
  <si>
    <t>Juana</t>
  </si>
  <si>
    <t>Vicki</t>
  </si>
  <si>
    <t>Maria</t>
  </si>
  <si>
    <t>Juanamarisa</t>
  </si>
  <si>
    <t>Ida</t>
  </si>
  <si>
    <t>Adrian</t>
  </si>
  <si>
    <t>Farida</t>
  </si>
  <si>
    <t>Halima</t>
  </si>
  <si>
    <t>Domingo</t>
  </si>
  <si>
    <t>Ai</t>
  </si>
  <si>
    <t>Iris</t>
  </si>
  <si>
    <t>Natalia</t>
  </si>
  <si>
    <t>Favour</t>
  </si>
  <si>
    <t>David</t>
  </si>
  <si>
    <t>Lesbia</t>
  </si>
  <si>
    <t>Lurline</t>
  </si>
  <si>
    <t>Mercedes</t>
  </si>
  <si>
    <t>Marie</t>
  </si>
  <si>
    <t>Halchervene</t>
  </si>
  <si>
    <t>Tala</t>
  </si>
  <si>
    <t>Faith</t>
  </si>
  <si>
    <t>Eliseo</t>
  </si>
  <si>
    <t>Tanmi</t>
  </si>
  <si>
    <t>Doralina</t>
  </si>
  <si>
    <t>Berneda</t>
  </si>
  <si>
    <t>Albert</t>
  </si>
  <si>
    <t>Kismery</t>
  </si>
  <si>
    <t>Bin Zhou</t>
  </si>
  <si>
    <t>Pastora</t>
  </si>
  <si>
    <t>Pauline</t>
  </si>
  <si>
    <t>Dorothy</t>
  </si>
  <si>
    <t>Migdalia</t>
  </si>
  <si>
    <t>Diane</t>
  </si>
  <si>
    <t>Emely</t>
  </si>
  <si>
    <t>Theodore</t>
  </si>
  <si>
    <t>Alejandro</t>
  </si>
  <si>
    <t>Zahida</t>
  </si>
  <si>
    <t>Chellisa</t>
  </si>
  <si>
    <t>Tak Cheung</t>
  </si>
  <si>
    <t>Lucille</t>
  </si>
  <si>
    <t>Moumini</t>
  </si>
  <si>
    <t>Alik</t>
  </si>
  <si>
    <t>Clarissa</t>
  </si>
  <si>
    <t>Germania</t>
  </si>
  <si>
    <t>Eleuterio</t>
  </si>
  <si>
    <t>Angela</t>
  </si>
  <si>
    <t>Edith</t>
  </si>
  <si>
    <t>Nancy</t>
  </si>
  <si>
    <t>Abdoulaye</t>
  </si>
  <si>
    <t>Loretta</t>
  </si>
  <si>
    <t>Justin</t>
  </si>
  <si>
    <t>Alan</t>
  </si>
  <si>
    <t>Belinesa</t>
  </si>
  <si>
    <t>Norma</t>
  </si>
  <si>
    <t>Carlos</t>
  </si>
  <si>
    <t>Katherine</t>
  </si>
  <si>
    <t>Edward</t>
  </si>
  <si>
    <t>Darryl</t>
  </si>
  <si>
    <t>Nohelia</t>
  </si>
  <si>
    <t>Eva</t>
  </si>
  <si>
    <t>Carmen</t>
  </si>
  <si>
    <t>Michelle</t>
  </si>
  <si>
    <t>Betty</t>
  </si>
  <si>
    <t>Buena</t>
  </si>
  <si>
    <t>Bridgett</t>
  </si>
  <si>
    <t>Suzanne</t>
  </si>
  <si>
    <t>Ren Yun</t>
  </si>
  <si>
    <t>Ileana</t>
  </si>
  <si>
    <t>Fabia</t>
  </si>
  <si>
    <t>Eddy</t>
  </si>
  <si>
    <t>Clarita</t>
  </si>
  <si>
    <t>Xiomara</t>
  </si>
  <si>
    <t>Magalis</t>
  </si>
  <si>
    <t>Bonita</t>
  </si>
  <si>
    <t>Yolanda</t>
  </si>
  <si>
    <t>Christopher</t>
  </si>
  <si>
    <t>Charles</t>
  </si>
  <si>
    <t>Yoeris</t>
  </si>
  <si>
    <t>Karen</t>
  </si>
  <si>
    <t>Helen</t>
  </si>
  <si>
    <t>Beatriz</t>
  </si>
  <si>
    <t>Celeste</t>
  </si>
  <si>
    <t>Miguelina</t>
  </si>
  <si>
    <t>Craig</t>
  </si>
  <si>
    <t>Terrance</t>
  </si>
  <si>
    <t>Gloria</t>
  </si>
  <si>
    <t>Virgilia</t>
  </si>
  <si>
    <t>CruzCeleste</t>
  </si>
  <si>
    <t>Elizabeth</t>
  </si>
  <si>
    <t>Kairy</t>
  </si>
  <si>
    <t>Terrence</t>
  </si>
  <si>
    <t>Vivian</t>
  </si>
  <si>
    <t>Sonia</t>
  </si>
  <si>
    <t>Nadine</t>
  </si>
  <si>
    <t>Dawn</t>
  </si>
  <si>
    <t>James</t>
  </si>
  <si>
    <t>Zhu Jun</t>
  </si>
  <si>
    <t>Julio</t>
  </si>
  <si>
    <t>Kevin</t>
  </si>
  <si>
    <t>Frederic T.</t>
  </si>
  <si>
    <t>Tamari</t>
  </si>
  <si>
    <t>Hejinnei</t>
  </si>
  <si>
    <t>Alexandra</t>
  </si>
  <si>
    <t>Felix</t>
  </si>
  <si>
    <t>Nagatte</t>
  </si>
  <si>
    <t>Janovia</t>
  </si>
  <si>
    <t>Don</t>
  </si>
  <si>
    <t>Yesenia</t>
  </si>
  <si>
    <t>Sandra</t>
  </si>
  <si>
    <t>Rosse</t>
  </si>
  <si>
    <t>Brunilda</t>
  </si>
  <si>
    <t>Veola</t>
  </si>
  <si>
    <t>Jessica</t>
  </si>
  <si>
    <t>Bei Ling</t>
  </si>
  <si>
    <t>Lucy</t>
  </si>
  <si>
    <t>Idalia</t>
  </si>
  <si>
    <t>Gina</t>
  </si>
  <si>
    <t>Sasha</t>
  </si>
  <si>
    <t>Kyana</t>
  </si>
  <si>
    <t>Kathryn</t>
  </si>
  <si>
    <t>Sergia</t>
  </si>
  <si>
    <t>Rosa</t>
  </si>
  <si>
    <t>Padmini</t>
  </si>
  <si>
    <t>Nicasia</t>
  </si>
  <si>
    <t>Elida</t>
  </si>
  <si>
    <t>Ernesto</t>
  </si>
  <si>
    <t>Leonardo</t>
  </si>
  <si>
    <t>Marjorie</t>
  </si>
  <si>
    <t>Michael</t>
  </si>
  <si>
    <t>Letea</t>
  </si>
  <si>
    <t>Nila</t>
  </si>
  <si>
    <t>Angelica</t>
  </si>
  <si>
    <t>Modesta</t>
  </si>
  <si>
    <t>Maritza</t>
  </si>
  <si>
    <t>Lourdes</t>
  </si>
  <si>
    <t>Odalis</t>
  </si>
  <si>
    <t>Lisa</t>
  </si>
  <si>
    <t>Shameeka</t>
  </si>
  <si>
    <t>Vanice</t>
  </si>
  <si>
    <t>Amaury</t>
  </si>
  <si>
    <t>Abou</t>
  </si>
  <si>
    <t>Sarah</t>
  </si>
  <si>
    <t>Nader</t>
  </si>
  <si>
    <t>Kara</t>
  </si>
  <si>
    <t>Yordy</t>
  </si>
  <si>
    <t>Grisel</t>
  </si>
  <si>
    <t>Aida</t>
  </si>
  <si>
    <t>Irima</t>
  </si>
  <si>
    <t>Sonya</t>
  </si>
  <si>
    <t>Sheyra</t>
  </si>
  <si>
    <t>Pamodou</t>
  </si>
  <si>
    <t>Ziaul</t>
  </si>
  <si>
    <t>Winsome</t>
  </si>
  <si>
    <t>Hugolina</t>
  </si>
  <si>
    <t>Shatoya</t>
  </si>
  <si>
    <t>Gerald</t>
  </si>
  <si>
    <t>Aisha</t>
  </si>
  <si>
    <t>Robert</t>
  </si>
  <si>
    <t>Julisa</t>
  </si>
  <si>
    <t>Tidiane</t>
  </si>
  <si>
    <t>Jorge</t>
  </si>
  <si>
    <t>Alina</t>
  </si>
  <si>
    <t>Scarlett</t>
  </si>
  <si>
    <t>Jennyffer</t>
  </si>
  <si>
    <t>Rakeima</t>
  </si>
  <si>
    <t>Peter</t>
  </si>
  <si>
    <t>Cherie</t>
  </si>
  <si>
    <t>Bin</t>
  </si>
  <si>
    <t>Brenda</t>
  </si>
  <si>
    <t>Solenny</t>
  </si>
  <si>
    <t>Zelma</t>
  </si>
  <si>
    <t>Mirtha</t>
  </si>
  <si>
    <t>Jo-ann</t>
  </si>
  <si>
    <t>Hecksan</t>
  </si>
  <si>
    <t>Muhammad</t>
  </si>
  <si>
    <t>Enrique</t>
  </si>
  <si>
    <t>Frederick</t>
  </si>
  <si>
    <t>Dulce</t>
  </si>
  <si>
    <t>Alfi</t>
  </si>
  <si>
    <t>Armand</t>
  </si>
  <si>
    <t>Terraine</t>
  </si>
  <si>
    <t>Paula</t>
  </si>
  <si>
    <t>Linda</t>
  </si>
  <si>
    <t>Melida</t>
  </si>
  <si>
    <t>Pamela</t>
  </si>
  <si>
    <t>Lauren</t>
  </si>
  <si>
    <t>Victoria</t>
  </si>
  <si>
    <t>Caridad</t>
  </si>
  <si>
    <t>Souleymane</t>
  </si>
  <si>
    <t>Elba</t>
  </si>
  <si>
    <t>Diomaris</t>
  </si>
  <si>
    <t>Basilicia</t>
  </si>
  <si>
    <t>Silvia</t>
  </si>
  <si>
    <t>Argelio</t>
  </si>
  <si>
    <t>Isabel</t>
  </si>
  <si>
    <t>Jonnie</t>
  </si>
  <si>
    <t>Fomdo</t>
  </si>
  <si>
    <t>Ronda</t>
  </si>
  <si>
    <t>Sekou</t>
  </si>
  <si>
    <t>Diana</t>
  </si>
  <si>
    <t>Hong</t>
  </si>
  <si>
    <t>Emmanuel</t>
  </si>
  <si>
    <t>Sanabe</t>
  </si>
  <si>
    <t>Felicia</t>
  </si>
  <si>
    <t>Natalie</t>
  </si>
  <si>
    <t>Lizzette</t>
  </si>
  <si>
    <t>Dawnin</t>
  </si>
  <si>
    <t>Adolphys</t>
  </si>
  <si>
    <t>Dario</t>
  </si>
  <si>
    <t>Susana</t>
  </si>
  <si>
    <t>Debra</t>
  </si>
  <si>
    <t>Helga</t>
  </si>
  <si>
    <t>Andre</t>
  </si>
  <si>
    <t>Ricardo</t>
  </si>
  <si>
    <t>Luisa</t>
  </si>
  <si>
    <t>Cheryl</t>
  </si>
  <si>
    <t>Tammie</t>
  </si>
  <si>
    <t>Hanane</t>
  </si>
  <si>
    <t>Jacqueline</t>
  </si>
  <si>
    <t>Stephanie</t>
  </si>
  <si>
    <t>Agnes</t>
  </si>
  <si>
    <t>Dennis</t>
  </si>
  <si>
    <t>Stacy</t>
  </si>
  <si>
    <t>Natori</t>
  </si>
  <si>
    <t>Timothy</t>
  </si>
  <si>
    <t>Khayriyyah</t>
  </si>
  <si>
    <t>Marina</t>
  </si>
  <si>
    <t>Lugena</t>
  </si>
  <si>
    <t>Inez</t>
  </si>
  <si>
    <t>Ysmenia</t>
  </si>
  <si>
    <t>Terry</t>
  </si>
  <si>
    <t>Nathalie</t>
  </si>
  <si>
    <t>Sharon</t>
  </si>
  <si>
    <t>Reggie</t>
  </si>
  <si>
    <t>Ganna</t>
  </si>
  <si>
    <t>Rose</t>
  </si>
  <si>
    <t>Lynette</t>
  </si>
  <si>
    <t>Noemi</t>
  </si>
  <si>
    <t>JoAnn</t>
  </si>
  <si>
    <t>Salwa</t>
  </si>
  <si>
    <t>Delroy</t>
  </si>
  <si>
    <t>Ayodel</t>
  </si>
  <si>
    <t>Troy</t>
  </si>
  <si>
    <t>Jodi-Ann</t>
  </si>
  <si>
    <t>Leisa</t>
  </si>
  <si>
    <t>Jesus</t>
  </si>
  <si>
    <t>Chauncey</t>
  </si>
  <si>
    <t>Bertha</t>
  </si>
  <si>
    <t>Virgilio</t>
  </si>
  <si>
    <t>Arissa</t>
  </si>
  <si>
    <t>Rosalida</t>
  </si>
  <si>
    <t>Katty</t>
  </si>
  <si>
    <t>Vanessa</t>
  </si>
  <si>
    <t>Fausto</t>
  </si>
  <si>
    <t>Thelma</t>
  </si>
  <si>
    <t>Miguel</t>
  </si>
  <si>
    <t>Samuel</t>
  </si>
  <si>
    <t>LATONYA</t>
  </si>
  <si>
    <t>Floralba</t>
  </si>
  <si>
    <t>Clara</t>
  </si>
  <si>
    <t>Shante</t>
  </si>
  <si>
    <t>Lee</t>
  </si>
  <si>
    <t>Lorraine</t>
  </si>
  <si>
    <t>Mikhail</t>
  </si>
  <si>
    <t>Musu</t>
  </si>
  <si>
    <t>Myriam</t>
  </si>
  <si>
    <t>Robin</t>
  </si>
  <si>
    <t>Angel</t>
  </si>
  <si>
    <t>Anne</t>
  </si>
  <si>
    <t>Tarsha</t>
  </si>
  <si>
    <t>Yi</t>
  </si>
  <si>
    <t>Engracia</t>
  </si>
  <si>
    <t>Amelia</t>
  </si>
  <si>
    <t>Donna</t>
  </si>
  <si>
    <t>Eddine</t>
  </si>
  <si>
    <t>Andres</t>
  </si>
  <si>
    <t>Alexis</t>
  </si>
  <si>
    <t>Milady</t>
  </si>
  <si>
    <t>Vincent</t>
  </si>
  <si>
    <t>Estelle</t>
  </si>
  <si>
    <t>Amarilis</t>
  </si>
  <si>
    <t>Tina</t>
  </si>
  <si>
    <t>Sheila</t>
  </si>
  <si>
    <t>Deanna</t>
  </si>
  <si>
    <t>Sophia</t>
  </si>
  <si>
    <t>Darell</t>
  </si>
  <si>
    <t>Diamari</t>
  </si>
  <si>
    <t>Maximo</t>
  </si>
  <si>
    <t>Akua</t>
  </si>
  <si>
    <t>April</t>
  </si>
  <si>
    <t>Ursula</t>
  </si>
  <si>
    <t>Molly</t>
  </si>
  <si>
    <t>Francisca</t>
  </si>
  <si>
    <t>Josefa</t>
  </si>
  <si>
    <t>Agustin</t>
  </si>
  <si>
    <t>Patricia</t>
  </si>
  <si>
    <t>Raymond</t>
  </si>
  <si>
    <t>Ray</t>
  </si>
  <si>
    <t>Mooi</t>
  </si>
  <si>
    <t>Alberto</t>
  </si>
  <si>
    <t>Doris</t>
  </si>
  <si>
    <t>Concepcion</t>
  </si>
  <si>
    <t>Carmelo</t>
  </si>
  <si>
    <t>Georgina</t>
  </si>
  <si>
    <t>Md</t>
  </si>
  <si>
    <t>Ebony</t>
  </si>
  <si>
    <t>Raul</t>
  </si>
  <si>
    <t>Gregorio</t>
  </si>
  <si>
    <t>Gladys</t>
  </si>
  <si>
    <t>Cathy</t>
  </si>
  <si>
    <t>Aleida</t>
  </si>
  <si>
    <t>Natasha</t>
  </si>
  <si>
    <t>Carol</t>
  </si>
  <si>
    <t>Megnal</t>
  </si>
  <si>
    <t>Marilyn</t>
  </si>
  <si>
    <t>Monica</t>
  </si>
  <si>
    <t>Benito</t>
  </si>
  <si>
    <t>Laurel</t>
  </si>
  <si>
    <t>Vadlyn</t>
  </si>
  <si>
    <t>Jose</t>
  </si>
  <si>
    <t>Agatha</t>
  </si>
  <si>
    <t>Humberto</t>
  </si>
  <si>
    <t>Erica</t>
  </si>
  <si>
    <t>Yessica</t>
  </si>
  <si>
    <t>Tasheena</t>
  </si>
  <si>
    <t>Patrick</t>
  </si>
  <si>
    <t>Blanca</t>
  </si>
  <si>
    <t>Jinrong</t>
  </si>
  <si>
    <t>Irene</t>
  </si>
  <si>
    <t>Brian</t>
  </si>
  <si>
    <t>Ylma</t>
  </si>
  <si>
    <t>Christelene</t>
  </si>
  <si>
    <t>Nanette</t>
  </si>
  <si>
    <t>Eugenia</t>
  </si>
  <si>
    <t>Lishan</t>
  </si>
  <si>
    <t>Joseph</t>
  </si>
  <si>
    <t>Crispin</t>
  </si>
  <si>
    <t>Shirley</t>
  </si>
  <si>
    <t>Teodora</t>
  </si>
  <si>
    <t>Indra</t>
  </si>
  <si>
    <t>Saundra</t>
  </si>
  <si>
    <t>Maura</t>
  </si>
  <si>
    <t>Joanne</t>
  </si>
  <si>
    <t>Magatte</t>
  </si>
  <si>
    <t>Clementina</t>
  </si>
  <si>
    <t>Alonzo</t>
  </si>
  <si>
    <t>Jay</t>
  </si>
  <si>
    <t>Ambika</t>
  </si>
  <si>
    <t>Catina</t>
  </si>
  <si>
    <t>Amy</t>
  </si>
  <si>
    <t>Glenda</t>
  </si>
  <si>
    <t>Tarquino</t>
  </si>
  <si>
    <t>Venice</t>
  </si>
  <si>
    <t>Whitson</t>
  </si>
  <si>
    <t>Occulhomme</t>
  </si>
  <si>
    <t>Cleveland</t>
  </si>
  <si>
    <t>Ucilla</t>
  </si>
  <si>
    <t>Laura</t>
  </si>
  <si>
    <t>Beverly</t>
  </si>
  <si>
    <t>Delsia</t>
  </si>
  <si>
    <t>Denise</t>
  </si>
  <si>
    <t>Mohamad</t>
  </si>
  <si>
    <t>Nery</t>
  </si>
  <si>
    <t>Marcella</t>
  </si>
  <si>
    <t>Dino</t>
  </si>
  <si>
    <t>Claro</t>
  </si>
  <si>
    <t>Fidelis</t>
  </si>
  <si>
    <t>Crisanta</t>
  </si>
  <si>
    <t>Norris</t>
  </si>
  <si>
    <t>Roxani</t>
  </si>
  <si>
    <t>Kenneth</t>
  </si>
  <si>
    <t>Hyacinth</t>
  </si>
  <si>
    <t>Heather</t>
  </si>
  <si>
    <t>Carolla</t>
  </si>
  <si>
    <t>Shamima</t>
  </si>
  <si>
    <t>Jazmin</t>
  </si>
  <si>
    <t>Aldora</t>
  </si>
  <si>
    <t>Ines</t>
  </si>
  <si>
    <t>Laurie</t>
  </si>
  <si>
    <t>Ronny</t>
  </si>
  <si>
    <t>Irena</t>
  </si>
  <si>
    <t>Rosalia</t>
  </si>
  <si>
    <t>Magdalen</t>
  </si>
  <si>
    <t>Freddy</t>
  </si>
  <si>
    <t>Blanch</t>
  </si>
  <si>
    <t>Rodney</t>
  </si>
  <si>
    <t>Ereka</t>
  </si>
  <si>
    <t>Sheriese</t>
  </si>
  <si>
    <t>Yudania</t>
  </si>
  <si>
    <t>Taje</t>
  </si>
  <si>
    <t>Tonya</t>
  </si>
  <si>
    <t>Rosanna</t>
  </si>
  <si>
    <t>Wahlia</t>
  </si>
  <si>
    <t>Wilhelmina</t>
  </si>
  <si>
    <t>Nataly</t>
  </si>
  <si>
    <t>Margaret</t>
  </si>
  <si>
    <t>Vilma</t>
  </si>
  <si>
    <t>Ella</t>
  </si>
  <si>
    <t>Jasper</t>
  </si>
  <si>
    <t>Tricia</t>
  </si>
  <si>
    <t>Jerlyn</t>
  </si>
  <si>
    <t>Sabino</t>
  </si>
  <si>
    <t>Palma</t>
  </si>
  <si>
    <t>Darnell</t>
  </si>
  <si>
    <t>Janelle</t>
  </si>
  <si>
    <t>Karl</t>
  </si>
  <si>
    <t>Hector</t>
  </si>
  <si>
    <t>Maryalice</t>
  </si>
  <si>
    <t>Shelley</t>
  </si>
  <si>
    <t>Abraham</t>
  </si>
  <si>
    <t>Harrison</t>
  </si>
  <si>
    <t>Johnny</t>
  </si>
  <si>
    <t>Wanda</t>
  </si>
  <si>
    <t>Thomas</t>
  </si>
  <si>
    <t>Rama</t>
  </si>
  <si>
    <t>Nevien</t>
  </si>
  <si>
    <t>Steven</t>
  </si>
  <si>
    <t>Florentina</t>
  </si>
  <si>
    <t>Francisco</t>
  </si>
  <si>
    <t>Keith</t>
  </si>
  <si>
    <t>Rolando</t>
  </si>
  <si>
    <t>Lalina</t>
  </si>
  <si>
    <t>Lourita</t>
  </si>
  <si>
    <t>Max</t>
  </si>
  <si>
    <t>Nilsa</t>
  </si>
  <si>
    <t>Josephina</t>
  </si>
  <si>
    <t>Russell</t>
  </si>
  <si>
    <t>Jacquelynn</t>
  </si>
  <si>
    <t>Orquidea</t>
  </si>
  <si>
    <t>Waleska</t>
  </si>
  <si>
    <t>Crystal</t>
  </si>
  <si>
    <t>Chaya</t>
  </si>
  <si>
    <t>Amada</t>
  </si>
  <si>
    <t>Adrianne</t>
  </si>
  <si>
    <t>Courtnee</t>
  </si>
  <si>
    <t>Hilda</t>
  </si>
  <si>
    <t>Shavonia</t>
  </si>
  <si>
    <t>Mohammad</t>
  </si>
  <si>
    <t>Jon</t>
  </si>
  <si>
    <t>Jose Manuel</t>
  </si>
  <si>
    <t>Liza</t>
  </si>
  <si>
    <t>Lena</t>
  </si>
  <si>
    <t>Suzette</t>
  </si>
  <si>
    <t>Jean</t>
  </si>
  <si>
    <t>Hassatou</t>
  </si>
  <si>
    <t>Joseina</t>
  </si>
  <si>
    <t>Elsa</t>
  </si>
  <si>
    <t>Bernice</t>
  </si>
  <si>
    <t>Julia</t>
  </si>
  <si>
    <t>Rebeca</t>
  </si>
  <si>
    <t>Jaime</t>
  </si>
  <si>
    <t>Donald</t>
  </si>
  <si>
    <t>Mohammed</t>
  </si>
  <si>
    <t>Keenya</t>
  </si>
  <si>
    <t>Mokdul</t>
  </si>
  <si>
    <t>George</t>
  </si>
  <si>
    <t>Sequoyah</t>
  </si>
  <si>
    <t>Alesandra</t>
  </si>
  <si>
    <t>Bernarda</t>
  </si>
  <si>
    <t>Minerva</t>
  </si>
  <si>
    <t>Terrell</t>
  </si>
  <si>
    <t>Roberto</t>
  </si>
  <si>
    <t>Rashader</t>
  </si>
  <si>
    <t>Martha</t>
  </si>
  <si>
    <t>Margirita</t>
  </si>
  <si>
    <t>Leonida</t>
  </si>
  <si>
    <t>Zenaida</t>
  </si>
  <si>
    <t>Oida</t>
  </si>
  <si>
    <t>Emily</t>
  </si>
  <si>
    <t>Nene</t>
  </si>
  <si>
    <t>Edna</t>
  </si>
  <si>
    <t>Magaly</t>
  </si>
  <si>
    <t>Soon</t>
  </si>
  <si>
    <t>Yvonne</t>
  </si>
  <si>
    <t>Juanita</t>
  </si>
  <si>
    <t>Elisa</t>
  </si>
  <si>
    <t>Devi</t>
  </si>
  <si>
    <t>Crimilda</t>
  </si>
  <si>
    <t>Shiroon</t>
  </si>
  <si>
    <t>Henriette</t>
  </si>
  <si>
    <t>Joy</t>
  </si>
  <si>
    <t>Luz</t>
  </si>
  <si>
    <t>Tracey</t>
  </si>
  <si>
    <t>Rogerio</t>
  </si>
  <si>
    <t>Rita</t>
  </si>
  <si>
    <t>Melanie</t>
  </si>
  <si>
    <t>Johanna</t>
  </si>
  <si>
    <t>Enma</t>
  </si>
  <si>
    <t>Fernando</t>
  </si>
  <si>
    <t>Bangally</t>
  </si>
  <si>
    <t>Bethania</t>
  </si>
  <si>
    <t>Lelith</t>
  </si>
  <si>
    <t>Veronica</t>
  </si>
  <si>
    <t>Cesar</t>
  </si>
  <si>
    <t>Shanel</t>
  </si>
  <si>
    <t>Richardson</t>
  </si>
  <si>
    <t>Braulio</t>
  </si>
  <si>
    <t>Mayra</t>
  </si>
  <si>
    <t>Othoniel</t>
  </si>
  <si>
    <t>Baryse</t>
  </si>
  <si>
    <t>Maurrissa</t>
  </si>
  <si>
    <t>Janice</t>
  </si>
  <si>
    <t>Jeannette</t>
  </si>
  <si>
    <t>Alexander</t>
  </si>
  <si>
    <t>Nuris</t>
  </si>
  <si>
    <t>Alba</t>
  </si>
  <si>
    <t>Flor</t>
  </si>
  <si>
    <t>Esther</t>
  </si>
  <si>
    <t>Gueye</t>
  </si>
  <si>
    <t>Aurora</t>
  </si>
  <si>
    <t>Anita</t>
  </si>
  <si>
    <t>Digna</t>
  </si>
  <si>
    <t>Catherine</t>
  </si>
  <si>
    <t>Ian</t>
  </si>
  <si>
    <t>Coralene</t>
  </si>
  <si>
    <t>Sam</t>
  </si>
  <si>
    <t>Zomara</t>
  </si>
  <si>
    <t>Le-Shaun</t>
  </si>
  <si>
    <t>Daviner</t>
  </si>
  <si>
    <t>Rashon</t>
  </si>
  <si>
    <t>Jerry</t>
  </si>
  <si>
    <t>Marianela</t>
  </si>
  <si>
    <t>Afra</t>
  </si>
  <si>
    <t>Bryan</t>
  </si>
  <si>
    <t>Bertrand</t>
  </si>
  <si>
    <t>Rosalba</t>
  </si>
  <si>
    <t>Theresa</t>
  </si>
  <si>
    <t>Claudia</t>
  </si>
  <si>
    <t>Lillian</t>
  </si>
  <si>
    <t>Brannon</t>
  </si>
  <si>
    <t>Rene</t>
  </si>
  <si>
    <t>Carolyn</t>
  </si>
  <si>
    <t>Regina</t>
  </si>
  <si>
    <t>Iva</t>
  </si>
  <si>
    <t>Andrea</t>
  </si>
  <si>
    <t>Lucitania</t>
  </si>
  <si>
    <t>Geri</t>
  </si>
  <si>
    <t>Jenny</t>
  </si>
  <si>
    <t>Juan</t>
  </si>
  <si>
    <t>Valery</t>
  </si>
  <si>
    <t>Manuel</t>
  </si>
  <si>
    <t>Velma</t>
  </si>
  <si>
    <t>Randy</t>
  </si>
  <si>
    <t>Bolivar</t>
  </si>
  <si>
    <t>Glenny</t>
  </si>
  <si>
    <t>Herbert</t>
  </si>
  <si>
    <t>Edwin</t>
  </si>
  <si>
    <t>Charity</t>
  </si>
  <si>
    <t>Jason</t>
  </si>
  <si>
    <t>Marcia</t>
  </si>
  <si>
    <t>Micia</t>
  </si>
  <si>
    <t>Susan</t>
  </si>
  <si>
    <t>Roselina</t>
  </si>
  <si>
    <t>Tania</t>
  </si>
  <si>
    <t>Danielle</t>
  </si>
  <si>
    <t>Jeanty</t>
  </si>
  <si>
    <t>Cora</t>
  </si>
  <si>
    <t>Daniel</t>
  </si>
  <si>
    <t>Denasia</t>
  </si>
  <si>
    <t>Dominique</t>
  </si>
  <si>
    <t>Joann</t>
  </si>
  <si>
    <t>Abigail</t>
  </si>
  <si>
    <t>Faisa</t>
  </si>
  <si>
    <t>Shavon</t>
  </si>
  <si>
    <t>Hanirka</t>
  </si>
  <si>
    <t>Mariam</t>
  </si>
  <si>
    <t>Felipa</t>
  </si>
  <si>
    <t>Tedroy</t>
  </si>
  <si>
    <t>Erika</t>
  </si>
  <si>
    <t>Hong Rui</t>
  </si>
  <si>
    <t>Maxima</t>
  </si>
  <si>
    <t>Tuwana</t>
  </si>
  <si>
    <t>Martin</t>
  </si>
  <si>
    <t>Yines</t>
  </si>
  <si>
    <t>Tasliym</t>
  </si>
  <si>
    <t>Dorcas</t>
  </si>
  <si>
    <t>Elvira</t>
  </si>
  <si>
    <t>Fiordaliza</t>
  </si>
  <si>
    <t>Benecia</t>
  </si>
  <si>
    <t>Ahmed</t>
  </si>
  <si>
    <t>Ligia</t>
  </si>
  <si>
    <t>Ingrid</t>
  </si>
  <si>
    <t>Leonicia</t>
  </si>
  <si>
    <t>Nilda</t>
  </si>
  <si>
    <t>Ketty</t>
  </si>
  <si>
    <t>Wo</t>
  </si>
  <si>
    <t>Maricela</t>
  </si>
  <si>
    <t>Chaztatii</t>
  </si>
  <si>
    <t>Wilburn</t>
  </si>
  <si>
    <t>Santa</t>
  </si>
  <si>
    <t>Kim</t>
  </si>
  <si>
    <t>Rosalind</t>
  </si>
  <si>
    <t>Ramona</t>
  </si>
  <si>
    <t>Emilio</t>
  </si>
  <si>
    <t>Virginia</t>
  </si>
  <si>
    <t>Lydia</t>
  </si>
  <si>
    <t>Reinaldo</t>
  </si>
  <si>
    <t>Nilo</t>
  </si>
  <si>
    <t>Davie</t>
  </si>
  <si>
    <t>Bernadette</t>
  </si>
  <si>
    <t>Marlene</t>
  </si>
  <si>
    <t>Janet</t>
  </si>
  <si>
    <t>Eusebio</t>
  </si>
  <si>
    <t>Mutasim</t>
  </si>
  <si>
    <t>Concetta</t>
  </si>
  <si>
    <t>Lucrecia</t>
  </si>
  <si>
    <t>Edgar</t>
  </si>
  <si>
    <t>Ever</t>
  </si>
  <si>
    <t>Orlando</t>
  </si>
  <si>
    <t>Fatawu</t>
  </si>
  <si>
    <t>Jan</t>
  </si>
  <si>
    <t>Narciso</t>
  </si>
  <si>
    <t>Ena</t>
  </si>
  <si>
    <t>Damon</t>
  </si>
  <si>
    <t>Dalila</t>
  </si>
  <si>
    <t>Quanda</t>
  </si>
  <si>
    <t>Janette</t>
  </si>
  <si>
    <t>Obeb</t>
  </si>
  <si>
    <t>Daouda</t>
  </si>
  <si>
    <t>Termaine</t>
  </si>
  <si>
    <t>Ruben</t>
  </si>
  <si>
    <t>Haja</t>
  </si>
  <si>
    <t>Lupe</t>
  </si>
  <si>
    <t>Vicky</t>
  </si>
  <si>
    <t>Delsy</t>
  </si>
  <si>
    <t>Hildania</t>
  </si>
  <si>
    <t>Tashalee</t>
  </si>
  <si>
    <t>Giacinta</t>
  </si>
  <si>
    <t>Danilo</t>
  </si>
  <si>
    <t>Md. Assaduzzaman</t>
  </si>
  <si>
    <t>Suleika</t>
  </si>
  <si>
    <t>Kathleen</t>
  </si>
  <si>
    <t>Jacquelin</t>
  </si>
  <si>
    <t>Judith</t>
  </si>
  <si>
    <t>Iyakka</t>
  </si>
  <si>
    <t>Knolly</t>
  </si>
  <si>
    <t>Govind</t>
  </si>
  <si>
    <t>Winston</t>
  </si>
  <si>
    <t>Leta</t>
  </si>
  <si>
    <t>Eugene</t>
  </si>
  <si>
    <t>Meris</t>
  </si>
  <si>
    <t>Pablo</t>
  </si>
  <si>
    <t>Takeya</t>
  </si>
  <si>
    <t>Harrold</t>
  </si>
  <si>
    <t>Tauhid</t>
  </si>
  <si>
    <t>Heriberto</t>
  </si>
  <si>
    <t>Marcelo</t>
  </si>
  <si>
    <t>Efrain</t>
  </si>
  <si>
    <t>Abdullai</t>
  </si>
  <si>
    <t>Delta</t>
  </si>
  <si>
    <t>Desery</t>
  </si>
  <si>
    <t>Eddie</t>
  </si>
  <si>
    <t>Esperanza</t>
  </si>
  <si>
    <t>MaryAnn</t>
  </si>
  <si>
    <t>Verine</t>
  </si>
  <si>
    <t>Zidy</t>
  </si>
  <si>
    <t>Rosmira</t>
  </si>
  <si>
    <t>Alex</t>
  </si>
  <si>
    <t>Pedro</t>
  </si>
  <si>
    <t>Mariana</t>
  </si>
  <si>
    <t>Omayra</t>
  </si>
  <si>
    <t>Amanda</t>
  </si>
  <si>
    <t>Basiliza</t>
  </si>
  <si>
    <t>Ernest</t>
  </si>
  <si>
    <t>Nidia</t>
  </si>
  <si>
    <t>Cecilia</t>
  </si>
  <si>
    <t>Scott</t>
  </si>
  <si>
    <t>Elenia</t>
  </si>
  <si>
    <t>Tenae</t>
  </si>
  <si>
    <t>Dian</t>
  </si>
  <si>
    <t>Latisha</t>
  </si>
  <si>
    <t>Cathi</t>
  </si>
  <si>
    <t>Evetta</t>
  </si>
  <si>
    <t>Angelo</t>
  </si>
  <si>
    <t>Narzizo</t>
  </si>
  <si>
    <t>Elaine</t>
  </si>
  <si>
    <t>Sabrina</t>
  </si>
  <si>
    <t>Erenia</t>
  </si>
  <si>
    <t>Perri</t>
  </si>
  <si>
    <t>Liz</t>
  </si>
  <si>
    <t>Edda</t>
  </si>
  <si>
    <t>Valeriy</t>
  </si>
  <si>
    <t>Ervin</t>
  </si>
  <si>
    <t>Alfreda</t>
  </si>
  <si>
    <t>Martina</t>
  </si>
  <si>
    <t>Shakeya</t>
  </si>
  <si>
    <t>Paulino</t>
  </si>
  <si>
    <t>Jean Colbert</t>
  </si>
  <si>
    <t>Shelia</t>
  </si>
  <si>
    <t>Philip</t>
  </si>
  <si>
    <t>DuAne</t>
  </si>
  <si>
    <t>Ghislain</t>
  </si>
  <si>
    <t>Kimberly</t>
  </si>
  <si>
    <t>Allen</t>
  </si>
  <si>
    <t>Consuelo</t>
  </si>
  <si>
    <t>Hassan</t>
  </si>
  <si>
    <t>Tanica</t>
  </si>
  <si>
    <t>Evita</t>
  </si>
  <si>
    <t>Claire</t>
  </si>
  <si>
    <t>Curtis</t>
  </si>
  <si>
    <t>Nicholas</t>
  </si>
  <si>
    <t>Marco</t>
  </si>
  <si>
    <t>Heliandys</t>
  </si>
  <si>
    <t>Jasmine</t>
  </si>
  <si>
    <t>Darrylin</t>
  </si>
  <si>
    <t>Tamareya</t>
  </si>
  <si>
    <t>Duanny</t>
  </si>
  <si>
    <t>Marta</t>
  </si>
  <si>
    <t>Shaunte</t>
  </si>
  <si>
    <t>Lynchell</t>
  </si>
  <si>
    <t>Tracy</t>
  </si>
  <si>
    <t>Khadijah</t>
  </si>
  <si>
    <t>Claudette</t>
  </si>
  <si>
    <t>Mallchandra</t>
  </si>
  <si>
    <t>Tara</t>
  </si>
  <si>
    <t>Changbiao</t>
  </si>
  <si>
    <t>Candace</t>
  </si>
  <si>
    <t>An</t>
  </si>
  <si>
    <t>Fnu</t>
  </si>
  <si>
    <t>Preethi</t>
  </si>
  <si>
    <t>Tony</t>
  </si>
  <si>
    <t>Binbing</t>
  </si>
  <si>
    <t>Rafiah</t>
  </si>
  <si>
    <t>Da White</t>
  </si>
  <si>
    <t>Jerome</t>
  </si>
  <si>
    <t>Antron</t>
  </si>
  <si>
    <t>Javier</t>
  </si>
  <si>
    <t>Gildania</t>
  </si>
  <si>
    <t>Priscilla</t>
  </si>
  <si>
    <t>Dudley</t>
  </si>
  <si>
    <t>Gary</t>
  </si>
  <si>
    <t>Lewis</t>
  </si>
  <si>
    <t>Vernell</t>
  </si>
  <si>
    <t>Mustapha</t>
  </si>
  <si>
    <t>Primanedga</t>
  </si>
  <si>
    <t>Ivan</t>
  </si>
  <si>
    <t>Natividad</t>
  </si>
  <si>
    <t>Jalen</t>
  </si>
  <si>
    <t>Tamel</t>
  </si>
  <si>
    <t>Deshawn</t>
  </si>
  <si>
    <t>Daniela</t>
  </si>
  <si>
    <t>Myron</t>
  </si>
  <si>
    <t>Audrey</t>
  </si>
  <si>
    <t>Toni</t>
  </si>
  <si>
    <t>Rosemary</t>
  </si>
  <si>
    <t>Yaribel</t>
  </si>
  <si>
    <t>Tamerlane</t>
  </si>
  <si>
    <t>Edito</t>
  </si>
  <si>
    <t>Venus</t>
  </si>
  <si>
    <t>Kafula</t>
  </si>
  <si>
    <t>Raushan</t>
  </si>
  <si>
    <t>elizabeth</t>
  </si>
  <si>
    <t>Charmine</t>
  </si>
  <si>
    <t>Nelly</t>
  </si>
  <si>
    <t>Kathy</t>
  </si>
  <si>
    <t>Gerard</t>
  </si>
  <si>
    <t>Florencia</t>
  </si>
  <si>
    <t>Jayson</t>
  </si>
  <si>
    <t>Yacily</t>
  </si>
  <si>
    <t>Genitha</t>
  </si>
  <si>
    <t>Konyinsola</t>
  </si>
  <si>
    <t>Akeel</t>
  </si>
  <si>
    <t>Chiquana</t>
  </si>
  <si>
    <t>Leroy</t>
  </si>
  <si>
    <t>Domanique</t>
  </si>
  <si>
    <t>Ashok</t>
  </si>
  <si>
    <t>Racquel</t>
  </si>
  <si>
    <t>Alesanicole</t>
  </si>
  <si>
    <t>Rosilyn</t>
  </si>
  <si>
    <t>Johannie</t>
  </si>
  <si>
    <t>Keiana</t>
  </si>
  <si>
    <t>Alfredo</t>
  </si>
  <si>
    <t>Shanika</t>
  </si>
  <si>
    <t>Kaisa</t>
  </si>
  <si>
    <t>Barry</t>
  </si>
  <si>
    <t>Althea</t>
  </si>
  <si>
    <t>Norman</t>
  </si>
  <si>
    <t>Nashawana</t>
  </si>
  <si>
    <t>Sean</t>
  </si>
  <si>
    <t>Nbaa</t>
  </si>
  <si>
    <t>Dalmi</t>
  </si>
  <si>
    <t>Christina</t>
  </si>
  <si>
    <t>Jimmy</t>
  </si>
  <si>
    <t>Gladysmir</t>
  </si>
  <si>
    <t>Antoinette</t>
  </si>
  <si>
    <t>Cheick</t>
  </si>
  <si>
    <t>Demi</t>
  </si>
  <si>
    <t>Clydina</t>
  </si>
  <si>
    <t>Monirul</t>
  </si>
  <si>
    <t>Judy</t>
  </si>
  <si>
    <t>Andrew</t>
  </si>
  <si>
    <t>Hongxia</t>
  </si>
  <si>
    <t>Katie</t>
  </si>
  <si>
    <t>Iraida</t>
  </si>
  <si>
    <t>Julius</t>
  </si>
  <si>
    <t>Contrese</t>
  </si>
  <si>
    <t>Carmela</t>
  </si>
  <si>
    <t>Vantasia</t>
  </si>
  <si>
    <t>Florence</t>
  </si>
  <si>
    <t>Heba</t>
  </si>
  <si>
    <t>Nafheteria</t>
  </si>
  <si>
    <t>Samantha</t>
  </si>
  <si>
    <t>Tanya</t>
  </si>
  <si>
    <t>Ralph</t>
  </si>
  <si>
    <t>Stansilaw</t>
  </si>
  <si>
    <t>Travell</t>
  </si>
  <si>
    <t>Euletta</t>
  </si>
  <si>
    <t>Zaida</t>
  </si>
  <si>
    <t>Shari</t>
  </si>
  <si>
    <t>Francilia</t>
  </si>
  <si>
    <t>Ninamarie</t>
  </si>
  <si>
    <t>Nikima</t>
  </si>
  <si>
    <t>Huda</t>
  </si>
  <si>
    <t>Yoani</t>
  </si>
  <si>
    <t>Bozana</t>
  </si>
  <si>
    <t>Damary</t>
  </si>
  <si>
    <t>Klirista</t>
  </si>
  <si>
    <t>Starsheema</t>
  </si>
  <si>
    <t>Eduvigis</t>
  </si>
  <si>
    <t>Letice</t>
  </si>
  <si>
    <t>Israel</t>
  </si>
  <si>
    <t>Heydi</t>
  </si>
  <si>
    <t>Andrej</t>
  </si>
  <si>
    <t>Elena</t>
  </si>
  <si>
    <t>Alec</t>
  </si>
  <si>
    <t>Soire</t>
  </si>
  <si>
    <t>Yesica</t>
  </si>
  <si>
    <t>Ali</t>
  </si>
  <si>
    <t>Gregory</t>
  </si>
  <si>
    <t>Lidia</t>
  </si>
  <si>
    <t>Cruz</t>
  </si>
  <si>
    <t>Rafaelina</t>
  </si>
  <si>
    <t>Keila</t>
  </si>
  <si>
    <t>Devette</t>
  </si>
  <si>
    <t>Diego</t>
  </si>
  <si>
    <t>Farah</t>
  </si>
  <si>
    <t>Jennifer</t>
  </si>
  <si>
    <t>Sakinah</t>
  </si>
  <si>
    <t>Monique</t>
  </si>
  <si>
    <t>Sollinda</t>
  </si>
  <si>
    <t>Sylvia</t>
  </si>
  <si>
    <t>Stanford</t>
  </si>
  <si>
    <t>Ludis</t>
  </si>
  <si>
    <t>Inger</t>
  </si>
  <si>
    <t>Renee</t>
  </si>
  <si>
    <t>Jenaire</t>
  </si>
  <si>
    <t>Mercy</t>
  </si>
  <si>
    <t>Blessing</t>
  </si>
  <si>
    <t>Demarie</t>
  </si>
  <si>
    <t>Misae</t>
  </si>
  <si>
    <t>Myra</t>
  </si>
  <si>
    <t>Takora</t>
  </si>
  <si>
    <t>Adria</t>
  </si>
  <si>
    <t>Malisha</t>
  </si>
  <si>
    <t>Luigia</t>
  </si>
  <si>
    <t>Diahann</t>
  </si>
  <si>
    <t>Jaye</t>
  </si>
  <si>
    <t>Nairoby</t>
  </si>
  <si>
    <t>Clifford</t>
  </si>
  <si>
    <t>Eloisa</t>
  </si>
  <si>
    <t>Arturo</t>
  </si>
  <si>
    <t>Nouel</t>
  </si>
  <si>
    <t>Fay</t>
  </si>
  <si>
    <t>Romula</t>
  </si>
  <si>
    <t>Barreiro</t>
  </si>
  <si>
    <t>Paul</t>
  </si>
  <si>
    <t>Kulubor</t>
  </si>
  <si>
    <t>Julie Ann</t>
  </si>
  <si>
    <t>Sikhumbuzo</t>
  </si>
  <si>
    <t>Cecelia</t>
  </si>
  <si>
    <t>Severina</t>
  </si>
  <si>
    <t>Zoila</t>
  </si>
  <si>
    <t>Roslyn</t>
  </si>
  <si>
    <t>Malika</t>
  </si>
  <si>
    <t>Jocelyn</t>
  </si>
  <si>
    <t>Elia</t>
  </si>
  <si>
    <t>Patric</t>
  </si>
  <si>
    <t>Nefertari</t>
  </si>
  <si>
    <t>Dolores</t>
  </si>
  <si>
    <t>Delia</t>
  </si>
  <si>
    <t>Yajaira</t>
  </si>
  <si>
    <t>Henrietta</t>
  </si>
  <si>
    <t>Dail</t>
  </si>
  <si>
    <t>Raheela</t>
  </si>
  <si>
    <t>Felipe</t>
  </si>
  <si>
    <t>Narcisa</t>
  </si>
  <si>
    <t>Toby</t>
  </si>
  <si>
    <t>Wanita</t>
  </si>
  <si>
    <t>Mary Ellen</t>
  </si>
  <si>
    <t>Dalma</t>
  </si>
  <si>
    <t>Damaris</t>
  </si>
  <si>
    <t>Tobe</t>
  </si>
  <si>
    <t>Clayton</t>
  </si>
  <si>
    <t>Abdul</t>
  </si>
  <si>
    <t>Ninoska</t>
  </si>
  <si>
    <t>Myrtle</t>
  </si>
  <si>
    <t>Ycelsa</t>
  </si>
  <si>
    <t>Fatima</t>
  </si>
  <si>
    <t>Mildred</t>
  </si>
  <si>
    <t>Evette</t>
  </si>
  <si>
    <t>Tatyana</t>
  </si>
  <si>
    <t>Yeisy</t>
  </si>
  <si>
    <t>Jamila</t>
  </si>
  <si>
    <t>Rhonda</t>
  </si>
  <si>
    <t>Hannah</t>
  </si>
  <si>
    <t>Antonia</t>
  </si>
  <si>
    <t>Annmarie</t>
  </si>
  <si>
    <t>Julie</t>
  </si>
  <si>
    <t>Howard</t>
  </si>
  <si>
    <t>Corine</t>
  </si>
  <si>
    <t>Stephen</t>
  </si>
  <si>
    <t>Eleanor</t>
  </si>
  <si>
    <t>Shaquana</t>
  </si>
  <si>
    <t>Fun Fong</t>
  </si>
  <si>
    <t>Fitzroy</t>
  </si>
  <si>
    <t>Martisha</t>
  </si>
  <si>
    <t>Alix</t>
  </si>
  <si>
    <t>Tyesha</t>
  </si>
  <si>
    <t>Clarence</t>
  </si>
  <si>
    <t>Shaon</t>
  </si>
  <si>
    <t>Phillip</t>
  </si>
  <si>
    <t>Arlester</t>
  </si>
  <si>
    <t>Orlenis</t>
  </si>
  <si>
    <t>Pilar</t>
  </si>
  <si>
    <t>Leilani</t>
  </si>
  <si>
    <t>Dominga</t>
  </si>
  <si>
    <t>Obaydul</t>
  </si>
  <si>
    <t>Deline</t>
  </si>
  <si>
    <t>JOSEPHINE</t>
  </si>
  <si>
    <t>Jewel</t>
  </si>
  <si>
    <t>Temika</t>
  </si>
  <si>
    <t>Wilner</t>
  </si>
  <si>
    <t>Daisy</t>
  </si>
  <si>
    <t>Genovera</t>
  </si>
  <si>
    <t>Zulma</t>
  </si>
  <si>
    <t>Chantal</t>
  </si>
  <si>
    <t>Redoneva</t>
  </si>
  <si>
    <t>Darlene</t>
  </si>
  <si>
    <t>Dayougar</t>
  </si>
  <si>
    <t>Lina</t>
  </si>
  <si>
    <t>January</t>
  </si>
  <si>
    <t>Ydalia</t>
  </si>
  <si>
    <t>Margareth</t>
  </si>
  <si>
    <t>Donisha</t>
  </si>
  <si>
    <t>Neris</t>
  </si>
  <si>
    <t>Bingquan</t>
  </si>
  <si>
    <t>Harouna</t>
  </si>
  <si>
    <t>Rubin</t>
  </si>
  <si>
    <t>Yahaira</t>
  </si>
  <si>
    <t>Mario</t>
  </si>
  <si>
    <t>Yovanni</t>
  </si>
  <si>
    <t>Xinques</t>
  </si>
  <si>
    <t>Yoon Mo</t>
  </si>
  <si>
    <t>Octavia</t>
  </si>
  <si>
    <t>Salvador</t>
  </si>
  <si>
    <t>Niolka</t>
  </si>
  <si>
    <t>Miriam</t>
  </si>
  <si>
    <t>Bismallah</t>
  </si>
  <si>
    <t>Eufemia</t>
  </si>
  <si>
    <t>Danette</t>
  </si>
  <si>
    <t>Nichole</t>
  </si>
  <si>
    <t>Shacoryah</t>
  </si>
  <si>
    <t>Adama</t>
  </si>
  <si>
    <t>Joselyn</t>
  </si>
  <si>
    <t>Ellen</t>
  </si>
  <si>
    <t>Ruth</t>
  </si>
  <si>
    <t>Nirca</t>
  </si>
  <si>
    <t>Ivanna</t>
  </si>
  <si>
    <t>Danyelle</t>
  </si>
  <si>
    <t>Momodou</t>
  </si>
  <si>
    <t>Glendora</t>
  </si>
  <si>
    <t>Juliancito</t>
  </si>
  <si>
    <t>Antonio</t>
  </si>
  <si>
    <t>Danny</t>
  </si>
  <si>
    <t>Holly</t>
  </si>
  <si>
    <t>Rosita</t>
  </si>
  <si>
    <t>Eveline</t>
  </si>
  <si>
    <t>Alice</t>
  </si>
  <si>
    <t>Wardell</t>
  </si>
  <si>
    <t>Jing</t>
  </si>
  <si>
    <t>Kamesha</t>
  </si>
  <si>
    <t>Charisse</t>
  </si>
  <si>
    <t>Zulema</t>
  </si>
  <si>
    <t>Zobeida</t>
  </si>
  <si>
    <t>Miree</t>
  </si>
  <si>
    <t>Debbie</t>
  </si>
  <si>
    <t>Yarisa</t>
  </si>
  <si>
    <t>Lekisha</t>
  </si>
  <si>
    <t>Joaris</t>
  </si>
  <si>
    <t>Sokhna</t>
  </si>
  <si>
    <t>Shemlyn</t>
  </si>
  <si>
    <t>Febrina</t>
  </si>
  <si>
    <t>Abdul-Wali</t>
  </si>
  <si>
    <t>Koly</t>
  </si>
  <si>
    <t>Cristina</t>
  </si>
  <si>
    <t>Betsy</t>
  </si>
  <si>
    <t>Nemesis</t>
  </si>
  <si>
    <t>Talbert</t>
  </si>
  <si>
    <t>Nilufa</t>
  </si>
  <si>
    <t>Garo</t>
  </si>
  <si>
    <t>Ibrahima</t>
  </si>
  <si>
    <t>Diamond</t>
  </si>
  <si>
    <t>Willie</t>
  </si>
  <si>
    <t>Viviana</t>
  </si>
  <si>
    <t>Evelis</t>
  </si>
  <si>
    <t>Ansar</t>
  </si>
  <si>
    <t>Charmaine</t>
  </si>
  <si>
    <t>Janie</t>
  </si>
  <si>
    <t>Delfina</t>
  </si>
  <si>
    <t>Dahyana</t>
  </si>
  <si>
    <t>MD</t>
  </si>
  <si>
    <t>Eleisha</t>
  </si>
  <si>
    <t>Amalia</t>
  </si>
  <si>
    <t>Lumary</t>
  </si>
  <si>
    <t>O'Kima</t>
  </si>
  <si>
    <t>Emilia</t>
  </si>
  <si>
    <t>Jayevard</t>
  </si>
  <si>
    <t>Yingzhen</t>
  </si>
  <si>
    <t>Norberto</t>
  </si>
  <si>
    <t>Mark</t>
  </si>
  <si>
    <t>Kiana</t>
  </si>
  <si>
    <t>Yanet</t>
  </si>
  <si>
    <t>Sharren</t>
  </si>
  <si>
    <t>Allison</t>
  </si>
  <si>
    <t>Rebecca</t>
  </si>
  <si>
    <t>Krystal</t>
  </si>
  <si>
    <t>Ysonia</t>
  </si>
  <si>
    <t>Evaristo</t>
  </si>
  <si>
    <t>Nurun</t>
  </si>
  <si>
    <t>Joel</t>
  </si>
  <si>
    <t>Judelca</t>
  </si>
  <si>
    <t>Natesha</t>
  </si>
  <si>
    <t>Mau Fong</t>
  </si>
  <si>
    <t>Yuming</t>
  </si>
  <si>
    <t>Aydin</t>
  </si>
  <si>
    <t>Natoya</t>
  </si>
  <si>
    <t>Ygnacio</t>
  </si>
  <si>
    <t>Geraldine</t>
  </si>
  <si>
    <t>Vandella</t>
  </si>
  <si>
    <t>Camile</t>
  </si>
  <si>
    <t>Andreisy</t>
  </si>
  <si>
    <t>Kristen</t>
  </si>
  <si>
    <t>Mardoqueo</t>
  </si>
  <si>
    <t>Shah</t>
  </si>
  <si>
    <t>Sherian</t>
  </si>
  <si>
    <t>Syeida</t>
  </si>
  <si>
    <t>Kenya</t>
  </si>
  <si>
    <t>Darrell</t>
  </si>
  <si>
    <t>Michaela</t>
  </si>
  <si>
    <t>Lennie</t>
  </si>
  <si>
    <t>Kenia</t>
  </si>
  <si>
    <t>Cleevens</t>
  </si>
  <si>
    <t>Nikeea</t>
  </si>
  <si>
    <t>Henry</t>
  </si>
  <si>
    <t>Reuben</t>
  </si>
  <si>
    <t>Dionna</t>
  </si>
  <si>
    <t>Penny</t>
  </si>
  <si>
    <t>Ann</t>
  </si>
  <si>
    <t>Andreen</t>
  </si>
  <si>
    <t>Venita</t>
  </si>
  <si>
    <t>Elminah</t>
  </si>
  <si>
    <t>Kamaria</t>
  </si>
  <si>
    <t>Tameka</t>
  </si>
  <si>
    <t>Jeanette</t>
  </si>
  <si>
    <t>Ugurcan</t>
  </si>
  <si>
    <t>Mirbahar</t>
  </si>
  <si>
    <t>Petro</t>
  </si>
  <si>
    <t>Cassandra</t>
  </si>
  <si>
    <t>Flerida</t>
  </si>
  <si>
    <t>Boris</t>
  </si>
  <si>
    <t>Hernan</t>
  </si>
  <si>
    <t>Roderick</t>
  </si>
  <si>
    <t>Rachel</t>
  </si>
  <si>
    <t>Jack</t>
  </si>
  <si>
    <t>Vicenta</t>
  </si>
  <si>
    <t>Jahtaut</t>
  </si>
  <si>
    <t>Mardie</t>
  </si>
  <si>
    <t>Stavroula</t>
  </si>
  <si>
    <t>Kendra</t>
  </si>
  <si>
    <t>Karyn</t>
  </si>
  <si>
    <t>Tijuanna</t>
  </si>
  <si>
    <t>Kwaku</t>
  </si>
  <si>
    <t>Kamara</t>
  </si>
  <si>
    <t>Eileen</t>
  </si>
  <si>
    <t>Doreen</t>
  </si>
  <si>
    <t>Gisela</t>
  </si>
  <si>
    <t>Benancio</t>
  </si>
  <si>
    <t>Adrienne</t>
  </si>
  <si>
    <t>Dwayne</t>
  </si>
  <si>
    <t>S</t>
  </si>
  <si>
    <t>Aludin</t>
  </si>
  <si>
    <t>Erick</t>
  </si>
  <si>
    <t>Tavika</t>
  </si>
  <si>
    <t>Shamel</t>
  </si>
  <si>
    <t>Salluris</t>
  </si>
  <si>
    <t>Teonila</t>
  </si>
  <si>
    <t>Kou</t>
  </si>
  <si>
    <t>Jeffrey</t>
  </si>
  <si>
    <t>Revone</t>
  </si>
  <si>
    <t>Josefina</t>
  </si>
  <si>
    <t>Tyhessia</t>
  </si>
  <si>
    <t>Alberta</t>
  </si>
  <si>
    <t>Regla</t>
  </si>
  <si>
    <t>Angeline</t>
  </si>
  <si>
    <t>Rickford</t>
  </si>
  <si>
    <t>Segundo</t>
  </si>
  <si>
    <t>Adriana</t>
  </si>
  <si>
    <t>Alfred</t>
  </si>
  <si>
    <t>Maressa</t>
  </si>
  <si>
    <t>Madelin</t>
  </si>
  <si>
    <t>Yannette</t>
  </si>
  <si>
    <t>Cosme</t>
  </si>
  <si>
    <t>Osvaldo</t>
  </si>
  <si>
    <t>Trent</t>
  </si>
  <si>
    <t>Nadier</t>
  </si>
  <si>
    <t>Bibiana</t>
  </si>
  <si>
    <t>Ariel</t>
  </si>
  <si>
    <t>Georgette</t>
  </si>
  <si>
    <t>Marisol</t>
  </si>
  <si>
    <t>Diamante</t>
  </si>
  <si>
    <t>Raibely</t>
  </si>
  <si>
    <t>Freda</t>
  </si>
  <si>
    <t>Cresenciano</t>
  </si>
  <si>
    <t>Mesha</t>
  </si>
  <si>
    <t>Opal</t>
  </si>
  <si>
    <t>Mohamed</t>
  </si>
  <si>
    <t>Chava</t>
  </si>
  <si>
    <t>Willinda</t>
  </si>
  <si>
    <t>Washington</t>
  </si>
  <si>
    <t>Aldena</t>
  </si>
  <si>
    <t>Brianna</t>
  </si>
  <si>
    <t>Reginald</t>
  </si>
  <si>
    <t>Josephine</t>
  </si>
  <si>
    <t>Celenia`</t>
  </si>
  <si>
    <t>Keisha</t>
  </si>
  <si>
    <t>Gricelda</t>
  </si>
  <si>
    <t>Adam</t>
  </si>
  <si>
    <t>Kelita</t>
  </si>
  <si>
    <t>Yveline</t>
  </si>
  <si>
    <t>Mgaly</t>
  </si>
  <si>
    <t>Geneva</t>
  </si>
  <si>
    <t>Tesley</t>
  </si>
  <si>
    <t>Dorrol</t>
  </si>
  <si>
    <t>Peggy</t>
  </si>
  <si>
    <t>Modou</t>
  </si>
  <si>
    <t>Belgica</t>
  </si>
  <si>
    <t>Tenisha</t>
  </si>
  <si>
    <t>Tishawna</t>
  </si>
  <si>
    <t>Madaline</t>
  </si>
  <si>
    <t>Abdallah</t>
  </si>
  <si>
    <t>Clovette</t>
  </si>
  <si>
    <t>Artist</t>
  </si>
  <si>
    <t>Latasha</t>
  </si>
  <si>
    <t>Martellly</t>
  </si>
  <si>
    <t>Bethsy</t>
  </si>
  <si>
    <t>Bertho</t>
  </si>
  <si>
    <t>Ramiro</t>
  </si>
  <si>
    <t>Sonny</t>
  </si>
  <si>
    <t>Ashley</t>
  </si>
  <si>
    <t>Jeremiah</t>
  </si>
  <si>
    <t>Tylene</t>
  </si>
  <si>
    <t>Princess</t>
  </si>
  <si>
    <t>N'jelle</t>
  </si>
  <si>
    <t>Ronald</t>
  </si>
  <si>
    <t>Celia</t>
  </si>
  <si>
    <t>Tiffany</t>
  </si>
  <si>
    <t>Alnardo</t>
  </si>
  <si>
    <t>Yamile</t>
  </si>
  <si>
    <t>Ariana</t>
  </si>
  <si>
    <t>Thelshea</t>
  </si>
  <si>
    <t>Leslyn</t>
  </si>
  <si>
    <t>Ravi</t>
  </si>
  <si>
    <t>Antonieta</t>
  </si>
  <si>
    <t>Wafaa</t>
  </si>
  <si>
    <t>Nickcole</t>
  </si>
  <si>
    <t>Maete</t>
  </si>
  <si>
    <t>Anna</t>
  </si>
  <si>
    <t>Lisette</t>
  </si>
  <si>
    <t>McLean</t>
  </si>
  <si>
    <t>Phil</t>
  </si>
  <si>
    <t>Benjamin</t>
  </si>
  <si>
    <t>Lucianne</t>
  </si>
  <si>
    <t>Abby</t>
  </si>
  <si>
    <t>Matthew</t>
  </si>
  <si>
    <t>Hilary</t>
  </si>
  <si>
    <t>Stefanie</t>
  </si>
  <si>
    <t>Ilona</t>
  </si>
  <si>
    <t>Marcelyn</t>
  </si>
  <si>
    <t>Arrojo</t>
  </si>
  <si>
    <t>Lopez</t>
  </si>
  <si>
    <t>Medina</t>
  </si>
  <si>
    <t>Crutchfield</t>
  </si>
  <si>
    <t>Loncke</t>
  </si>
  <si>
    <t>Rodriguez</t>
  </si>
  <si>
    <t>Johnson</t>
  </si>
  <si>
    <t>Wright</t>
  </si>
  <si>
    <t>Shelton</t>
  </si>
  <si>
    <t>Mejia</t>
  </si>
  <si>
    <t>Castellanos</t>
  </si>
  <si>
    <t>Medina Conde</t>
  </si>
  <si>
    <t>Toure</t>
  </si>
  <si>
    <t>Colbourne</t>
  </si>
  <si>
    <t>Kome</t>
  </si>
  <si>
    <t>Jimenez</t>
  </si>
  <si>
    <t>Pignalosa</t>
  </si>
  <si>
    <t>He</t>
  </si>
  <si>
    <t>Gottlieb</t>
  </si>
  <si>
    <t>Iturralde</t>
  </si>
  <si>
    <t>Williams</t>
  </si>
  <si>
    <t>Manzan-Tom</t>
  </si>
  <si>
    <t>Rosado</t>
  </si>
  <si>
    <t>Yohannes</t>
  </si>
  <si>
    <t>Ramos Negron</t>
  </si>
  <si>
    <t>Brown</t>
  </si>
  <si>
    <t>Stokes</t>
  </si>
  <si>
    <t>Rhodes-Sutton</t>
  </si>
  <si>
    <t>King</t>
  </si>
  <si>
    <t>Collo</t>
  </si>
  <si>
    <t>Deas</t>
  </si>
  <si>
    <t>Mathews</t>
  </si>
  <si>
    <t>Englander</t>
  </si>
  <si>
    <t>Rivera</t>
  </si>
  <si>
    <t>Carter</t>
  </si>
  <si>
    <t>Garcia</t>
  </si>
  <si>
    <t>Vasquez</t>
  </si>
  <si>
    <t>Ragel</t>
  </si>
  <si>
    <t>Meilleur-Hardy</t>
  </si>
  <si>
    <t>Baker</t>
  </si>
  <si>
    <t>Carmichael</t>
  </si>
  <si>
    <t>Sundheim</t>
  </si>
  <si>
    <t>Ross</t>
  </si>
  <si>
    <t>Lugo</t>
  </si>
  <si>
    <t>Robinson</t>
  </si>
  <si>
    <t>Middleton</t>
  </si>
  <si>
    <t>Alvarez</t>
  </si>
  <si>
    <t>Stewart</t>
  </si>
  <si>
    <t>Broadhead</t>
  </si>
  <si>
    <t>Cooper</t>
  </si>
  <si>
    <t>Smyth</t>
  </si>
  <si>
    <t>Lucas</t>
  </si>
  <si>
    <t>Pressley</t>
  </si>
  <si>
    <t>Vicioso</t>
  </si>
  <si>
    <t>Greene</t>
  </si>
  <si>
    <t>Ha</t>
  </si>
  <si>
    <t>Audain</t>
  </si>
  <si>
    <t>Vizcarrondo</t>
  </si>
  <si>
    <t>Rosen</t>
  </si>
  <si>
    <t>Tossas</t>
  </si>
  <si>
    <t>Jiang</t>
  </si>
  <si>
    <t>Yan</t>
  </si>
  <si>
    <t>Francis</t>
  </si>
  <si>
    <t>Liriano</t>
  </si>
  <si>
    <t>Alston</t>
  </si>
  <si>
    <t>Love</t>
  </si>
  <si>
    <t>Smalls</t>
  </si>
  <si>
    <t>Soriano</t>
  </si>
  <si>
    <t>Perez</t>
  </si>
  <si>
    <t>Salcedo</t>
  </si>
  <si>
    <t>Mroz</t>
  </si>
  <si>
    <t>Hines</t>
  </si>
  <si>
    <t>Mitchell</t>
  </si>
  <si>
    <t>Atajan</t>
  </si>
  <si>
    <t>White</t>
  </si>
  <si>
    <t>Zaman</t>
  </si>
  <si>
    <t>Andrickson</t>
  </si>
  <si>
    <t>Xin</t>
  </si>
  <si>
    <t>Bradshaw</t>
  </si>
  <si>
    <t>Matishek</t>
  </si>
  <si>
    <t>Ventura</t>
  </si>
  <si>
    <t>Puesy-Dawkins</t>
  </si>
  <si>
    <t>Ojo</t>
  </si>
  <si>
    <t>Diaz De Morillo</t>
  </si>
  <si>
    <t>Laurent</t>
  </si>
  <si>
    <t>Bobbitt</t>
  </si>
  <si>
    <t>Oller</t>
  </si>
  <si>
    <t>Santos</t>
  </si>
  <si>
    <t>Martinez</t>
  </si>
  <si>
    <t>Jackson</t>
  </si>
  <si>
    <t>Mancebo</t>
  </si>
  <si>
    <t>Jerez</t>
  </si>
  <si>
    <t>Ru</t>
  </si>
  <si>
    <t>Alvarado</t>
  </si>
  <si>
    <t>Paolino</t>
  </si>
  <si>
    <t>Gramegna</t>
  </si>
  <si>
    <t>Schofield</t>
  </si>
  <si>
    <t>Guzman</t>
  </si>
  <si>
    <t>Familia</t>
  </si>
  <si>
    <t>Massiah</t>
  </si>
  <si>
    <t>Huggins</t>
  </si>
  <si>
    <t>Nasim</t>
  </si>
  <si>
    <t>Chin</t>
  </si>
  <si>
    <t>Boalds</t>
  </si>
  <si>
    <t>Camara</t>
  </si>
  <si>
    <t>Mulayev</t>
  </si>
  <si>
    <t>Sanders</t>
  </si>
  <si>
    <t>Pineda</t>
  </si>
  <si>
    <t>Flores</t>
  </si>
  <si>
    <t>Encarnacion</t>
  </si>
  <si>
    <t>Rivas</t>
  </si>
  <si>
    <t>Mbow</t>
  </si>
  <si>
    <t>Vanable</t>
  </si>
  <si>
    <t>Mercado</t>
  </si>
  <si>
    <t>Porto</t>
  </si>
  <si>
    <t>Gonzalez</t>
  </si>
  <si>
    <t>Ruiz</t>
  </si>
  <si>
    <t>Arroyo</t>
  </si>
  <si>
    <t>Moreau</t>
  </si>
  <si>
    <t>Davis</t>
  </si>
  <si>
    <t>Manchester</t>
  </si>
  <si>
    <t>Fitzpatrick</t>
  </si>
  <si>
    <t>Chavez</t>
  </si>
  <si>
    <t>Carrillo</t>
  </si>
  <si>
    <t>Valdez</t>
  </si>
  <si>
    <t>Teague</t>
  </si>
  <si>
    <t>Tirado</t>
  </si>
  <si>
    <t>Ventura Manzueta</t>
  </si>
  <si>
    <t>Guthridge</t>
  </si>
  <si>
    <t>Carlisle</t>
  </si>
  <si>
    <t>Yang</t>
  </si>
  <si>
    <t>Reyes</t>
  </si>
  <si>
    <t>Fuentes</t>
  </si>
  <si>
    <t>Ovalle</t>
  </si>
  <si>
    <t>Mendez</t>
  </si>
  <si>
    <t>Hanley</t>
  </si>
  <si>
    <t>Nin</t>
  </si>
  <si>
    <t>Gomez</t>
  </si>
  <si>
    <t>Adon</t>
  </si>
  <si>
    <t>Diaz</t>
  </si>
  <si>
    <t>Molyneaux</t>
  </si>
  <si>
    <t>Mantione</t>
  </si>
  <si>
    <t>Triola</t>
  </si>
  <si>
    <t>Ortiz</t>
  </si>
  <si>
    <t>Lloyd</t>
  </si>
  <si>
    <t>West</t>
  </si>
  <si>
    <t>Patino</t>
  </si>
  <si>
    <t>Sanchez</t>
  </si>
  <si>
    <t>Andino</t>
  </si>
  <si>
    <t>Lamar</t>
  </si>
  <si>
    <t>Mercado De Pena</t>
  </si>
  <si>
    <t>Franco</t>
  </si>
  <si>
    <t>Duran</t>
  </si>
  <si>
    <t>Surie Veras</t>
  </si>
  <si>
    <t>Velez</t>
  </si>
  <si>
    <t>Bourne</t>
  </si>
  <si>
    <t>Luina</t>
  </si>
  <si>
    <t>Guy</t>
  </si>
  <si>
    <t>Quinones</t>
  </si>
  <si>
    <t>Taylor</t>
  </si>
  <si>
    <t>Meng</t>
  </si>
  <si>
    <t>Bailon</t>
  </si>
  <si>
    <t>Rosario</t>
  </si>
  <si>
    <t>Arosquipa</t>
  </si>
  <si>
    <t>Pagan</t>
  </si>
  <si>
    <t>Pirtle</t>
  </si>
  <si>
    <t>Lomidze</t>
  </si>
  <si>
    <t>De Jesus</t>
  </si>
  <si>
    <t>Samb</t>
  </si>
  <si>
    <t>Spruill</t>
  </si>
  <si>
    <t>Smith</t>
  </si>
  <si>
    <t>Potter</t>
  </si>
  <si>
    <t>Pazmino</t>
  </si>
  <si>
    <t>Cordero</t>
  </si>
  <si>
    <t>Dominguez</t>
  </si>
  <si>
    <t>Terlitsky</t>
  </si>
  <si>
    <t>Collazo</t>
  </si>
  <si>
    <t>Waldon</t>
  </si>
  <si>
    <t>Stevens</t>
  </si>
  <si>
    <t>Lucero</t>
  </si>
  <si>
    <t>Abreu</t>
  </si>
  <si>
    <t>Li</t>
  </si>
  <si>
    <t>Chavous</t>
  </si>
  <si>
    <t>Healy</t>
  </si>
  <si>
    <t>knight</t>
  </si>
  <si>
    <t>Black</t>
  </si>
  <si>
    <t>Antoine</t>
  </si>
  <si>
    <t>Sams</t>
  </si>
  <si>
    <t>Marrow</t>
  </si>
  <si>
    <t>Ozuna</t>
  </si>
  <si>
    <t>Nivar</t>
  </si>
  <si>
    <t>Persaud</t>
  </si>
  <si>
    <t>Mieses</t>
  </si>
  <si>
    <t>Aybar</t>
  </si>
  <si>
    <t>Delgado</t>
  </si>
  <si>
    <t>Leon</t>
  </si>
  <si>
    <t>Bell</t>
  </si>
  <si>
    <t>Lofton</t>
  </si>
  <si>
    <t>Hammonds</t>
  </si>
  <si>
    <t>Pizarro</t>
  </si>
  <si>
    <t>Brundage</t>
  </si>
  <si>
    <t>Valentin</t>
  </si>
  <si>
    <t>Garcia De Moran</t>
  </si>
  <si>
    <t>Pichardo</t>
  </si>
  <si>
    <t>Hoke</t>
  </si>
  <si>
    <t>Stephens-Jones</t>
  </si>
  <si>
    <t>Figueroa</t>
  </si>
  <si>
    <t>Ba</t>
  </si>
  <si>
    <t>McCullough</t>
  </si>
  <si>
    <t>Elalaily</t>
  </si>
  <si>
    <t>Lynch</t>
  </si>
  <si>
    <t>Pena</t>
  </si>
  <si>
    <t>Lafontaine</t>
  </si>
  <si>
    <t>Goman</t>
  </si>
  <si>
    <t>Gil</t>
  </si>
  <si>
    <t>Njie</t>
  </si>
  <si>
    <t>Haque</t>
  </si>
  <si>
    <t>Godfrey</t>
  </si>
  <si>
    <t>Jaya</t>
  </si>
  <si>
    <t>Larrazabal</t>
  </si>
  <si>
    <t>Hunte</t>
  </si>
  <si>
    <t>Larkin</t>
  </si>
  <si>
    <t>Odom</t>
  </si>
  <si>
    <t>Phelps</t>
  </si>
  <si>
    <t>Bagayoko</t>
  </si>
  <si>
    <t>Disla</t>
  </si>
  <si>
    <t>Nunez</t>
  </si>
  <si>
    <t>Bird</t>
  </si>
  <si>
    <t>Kantor</t>
  </si>
  <si>
    <t>Urrutia</t>
  </si>
  <si>
    <t>Zhang</t>
  </si>
  <si>
    <t>Ayayee</t>
  </si>
  <si>
    <t>Sosa</t>
  </si>
  <si>
    <t>Wannnamaker</t>
  </si>
  <si>
    <t>Plowden</t>
  </si>
  <si>
    <t>rivera</t>
  </si>
  <si>
    <t>Khaiil</t>
  </si>
  <si>
    <t>Santaella</t>
  </si>
  <si>
    <t>Hill</t>
  </si>
  <si>
    <t>Crute</t>
  </si>
  <si>
    <t>Ayala</t>
  </si>
  <si>
    <t>Marte</t>
  </si>
  <si>
    <t>Husain</t>
  </si>
  <si>
    <t>Kashmanian</t>
  </si>
  <si>
    <t>Hodges</t>
  </si>
  <si>
    <t>Carlotti</t>
  </si>
  <si>
    <t>Wiggins</t>
  </si>
  <si>
    <t>Anderson</t>
  </si>
  <si>
    <t>Villalba</t>
  </si>
  <si>
    <t>Dejesus</t>
  </si>
  <si>
    <t>Auerbach</t>
  </si>
  <si>
    <t>Keita</t>
  </si>
  <si>
    <t>Sierra</t>
  </si>
  <si>
    <t>Madison</t>
  </si>
  <si>
    <t>Reinoso Atancuri</t>
  </si>
  <si>
    <t>Hernandez</t>
  </si>
  <si>
    <t>de Abreu</t>
  </si>
  <si>
    <t>Drame</t>
  </si>
  <si>
    <t>Bonets</t>
  </si>
  <si>
    <t>Callender</t>
  </si>
  <si>
    <t>Cheng</t>
  </si>
  <si>
    <t>Oguamanam</t>
  </si>
  <si>
    <t>Merino</t>
  </si>
  <si>
    <t>Maldonado</t>
  </si>
  <si>
    <t>Bridges</t>
  </si>
  <si>
    <t>Bradley</t>
  </si>
  <si>
    <t>Segarra</t>
  </si>
  <si>
    <t>Lotson</t>
  </si>
  <si>
    <t>Cardenas</t>
  </si>
  <si>
    <t>Gil Poche</t>
  </si>
  <si>
    <t>Dowie</t>
  </si>
  <si>
    <t>Nyanffor</t>
  </si>
  <si>
    <t>Gray</t>
  </si>
  <si>
    <t>Granados</t>
  </si>
  <si>
    <t>Iza Rosario</t>
  </si>
  <si>
    <t>Armstrong</t>
  </si>
  <si>
    <t>Stalling</t>
  </si>
  <si>
    <t>Ghali</t>
  </si>
  <si>
    <t>Winkler</t>
  </si>
  <si>
    <t>Toussaint</t>
  </si>
  <si>
    <t>Patrong</t>
  </si>
  <si>
    <t>Reyes Mora</t>
  </si>
  <si>
    <t>Seabrook</t>
  </si>
  <si>
    <t>Burke</t>
  </si>
  <si>
    <t>De La Cruz</t>
  </si>
  <si>
    <t>Kennedy</t>
  </si>
  <si>
    <t>Hightower</t>
  </si>
  <si>
    <t>Wint</t>
  </si>
  <si>
    <t>Guerrero</t>
  </si>
  <si>
    <t>Whitfield</t>
  </si>
  <si>
    <t>Buchfuhrer</t>
  </si>
  <si>
    <t>St. Catherine</t>
  </si>
  <si>
    <t>Hazzard</t>
  </si>
  <si>
    <t>Bryant</t>
  </si>
  <si>
    <t>Gavrysh</t>
  </si>
  <si>
    <t>Turner</t>
  </si>
  <si>
    <t>Spencer</t>
  </si>
  <si>
    <t>Ibrahim</t>
  </si>
  <si>
    <t>Case</t>
  </si>
  <si>
    <t>Wade</t>
  </si>
  <si>
    <t>Hibbert</t>
  </si>
  <si>
    <t>Cruz Balbi</t>
  </si>
  <si>
    <t>Melville Johnson</t>
  </si>
  <si>
    <t>Roa</t>
  </si>
  <si>
    <t>Threets</t>
  </si>
  <si>
    <t>Marrero</t>
  </si>
  <si>
    <t>Cabrera</t>
  </si>
  <si>
    <t>Silva</t>
  </si>
  <si>
    <t>Ifill</t>
  </si>
  <si>
    <t>Vargas</t>
  </si>
  <si>
    <t>Giddings</t>
  </si>
  <si>
    <t>Almonte</t>
  </si>
  <si>
    <t>Estrella</t>
  </si>
  <si>
    <t>Cawley</t>
  </si>
  <si>
    <t>Bracero</t>
  </si>
  <si>
    <t>Ducret</t>
  </si>
  <si>
    <t>Barnes</t>
  </si>
  <si>
    <t>Santiesteban</t>
  </si>
  <si>
    <t>Simon</t>
  </si>
  <si>
    <t>REID</t>
  </si>
  <si>
    <t>Esquivel</t>
  </si>
  <si>
    <t>Watkins</t>
  </si>
  <si>
    <t>Peralta</t>
  </si>
  <si>
    <t>Dargan</t>
  </si>
  <si>
    <t>Zolotarev</t>
  </si>
  <si>
    <t>Benu</t>
  </si>
  <si>
    <t>Perea</t>
  </si>
  <si>
    <t>Maycock</t>
  </si>
  <si>
    <t>Dicapua</t>
  </si>
  <si>
    <t>Bonneau</t>
  </si>
  <si>
    <t>Sun</t>
  </si>
  <si>
    <t>Urena</t>
  </si>
  <si>
    <t>Warnick</t>
  </si>
  <si>
    <t>Lugay</t>
  </si>
  <si>
    <t>Bonilla</t>
  </si>
  <si>
    <t>Gibson</t>
  </si>
  <si>
    <t>Cachola</t>
  </si>
  <si>
    <t>Giullame</t>
  </si>
  <si>
    <t>Vega</t>
  </si>
  <si>
    <t>Santiago</t>
  </si>
  <si>
    <t>Jones</t>
  </si>
  <si>
    <t>Stribling</t>
  </si>
  <si>
    <t>Labelle</t>
  </si>
  <si>
    <t>Mcpherson</t>
  </si>
  <si>
    <t>Hicks</t>
  </si>
  <si>
    <t>Aquino</t>
  </si>
  <si>
    <t>Donaldson</t>
  </si>
  <si>
    <t>Pinkney</t>
  </si>
  <si>
    <t>Zapata</t>
  </si>
  <si>
    <t>Placeres</t>
  </si>
  <si>
    <t>Mateus</t>
  </si>
  <si>
    <t>Torres</t>
  </si>
  <si>
    <t>Rios</t>
  </si>
  <si>
    <t>Brooks</t>
  </si>
  <si>
    <t>Ng</t>
  </si>
  <si>
    <t>De Leon</t>
  </si>
  <si>
    <t>Lorenzo</t>
  </si>
  <si>
    <t>Mateo</t>
  </si>
  <si>
    <t>Islam</t>
  </si>
  <si>
    <t>Hickson</t>
  </si>
  <si>
    <t>Soto</t>
  </si>
  <si>
    <t>Kevelier</t>
  </si>
  <si>
    <t>Rivera- Perez</t>
  </si>
  <si>
    <t>Alleyne</t>
  </si>
  <si>
    <t>Betancourt</t>
  </si>
  <si>
    <t>Sprouse</t>
  </si>
  <si>
    <t>Reynolds</t>
  </si>
  <si>
    <t>Adu</t>
  </si>
  <si>
    <t>Lowers</t>
  </si>
  <si>
    <t>Gardner</t>
  </si>
  <si>
    <t>Burns</t>
  </si>
  <si>
    <t>Pendie</t>
  </si>
  <si>
    <t>Baez</t>
  </si>
  <si>
    <t>Morales</t>
  </si>
  <si>
    <t>Avecillas</t>
  </si>
  <si>
    <t>Hurd</t>
  </si>
  <si>
    <t>Adames</t>
  </si>
  <si>
    <t>Santamaria</t>
  </si>
  <si>
    <t>Asencio</t>
  </si>
  <si>
    <t>Chapman</t>
  </si>
  <si>
    <t>Adams</t>
  </si>
  <si>
    <t>Du</t>
  </si>
  <si>
    <t>Warfield</t>
  </si>
  <si>
    <t>Barrios</t>
  </si>
  <si>
    <t>Miranda</t>
  </si>
  <si>
    <t>Breton</t>
  </si>
  <si>
    <t>Burgos</t>
  </si>
  <si>
    <t>Bethea</t>
  </si>
  <si>
    <t>Whetstone</t>
  </si>
  <si>
    <t>Luzon</t>
  </si>
  <si>
    <t>Borja</t>
  </si>
  <si>
    <t>Morman</t>
  </si>
  <si>
    <t>Checo</t>
  </si>
  <si>
    <t>Girard</t>
  </si>
  <si>
    <t>Canales</t>
  </si>
  <si>
    <t>Ibarra Hernandez</t>
  </si>
  <si>
    <t>Yearwood</t>
  </si>
  <si>
    <t>Ram</t>
  </si>
  <si>
    <t>Sharpe</t>
  </si>
  <si>
    <t>Lora</t>
  </si>
  <si>
    <t>Wilson</t>
  </si>
  <si>
    <t>Ramos</t>
  </si>
  <si>
    <t>Meetze</t>
  </si>
  <si>
    <t>Scales</t>
  </si>
  <si>
    <t>Ramsundar</t>
  </si>
  <si>
    <t>Luciano</t>
  </si>
  <si>
    <t>Morrow</t>
  </si>
  <si>
    <t>Alio</t>
  </si>
  <si>
    <t>Dean</t>
  </si>
  <si>
    <t>Marmolejos</t>
  </si>
  <si>
    <t>Browns</t>
  </si>
  <si>
    <t>Cajigas</t>
  </si>
  <si>
    <t>Calderon</t>
  </si>
  <si>
    <t>Montes</t>
  </si>
  <si>
    <t>Edmund</t>
  </si>
  <si>
    <t>Waithe</t>
  </si>
  <si>
    <t>Green</t>
  </si>
  <si>
    <t>Vega-Calo</t>
  </si>
  <si>
    <t>Davy</t>
  </si>
  <si>
    <t>Bellio Valarezo</t>
  </si>
  <si>
    <t>Wells</t>
  </si>
  <si>
    <t>Hippolyte</t>
  </si>
  <si>
    <t>Stafford</t>
  </si>
  <si>
    <t>Watt</t>
  </si>
  <si>
    <t>Perera</t>
  </si>
  <si>
    <t>Terris</t>
  </si>
  <si>
    <t>Pimentel</t>
  </si>
  <si>
    <t>Hiciano</t>
  </si>
  <si>
    <t>Pimentel Fleury</t>
  </si>
  <si>
    <t>Duncan</t>
  </si>
  <si>
    <t>Sneed</t>
  </si>
  <si>
    <t>Soacha</t>
  </si>
  <si>
    <t>Price</t>
  </si>
  <si>
    <t>Stowe</t>
  </si>
  <si>
    <t>Deeges</t>
  </si>
  <si>
    <t>Adshead</t>
  </si>
  <si>
    <t>Torres Merced</t>
  </si>
  <si>
    <t>Charles Garrett</t>
  </si>
  <si>
    <t>Britton</t>
  </si>
  <si>
    <t>Moran</t>
  </si>
  <si>
    <t>Glenn</t>
  </si>
  <si>
    <t>Couvertier</t>
  </si>
  <si>
    <t>Audige</t>
  </si>
  <si>
    <t>Gatling</t>
  </si>
  <si>
    <t>Purvis</t>
  </si>
  <si>
    <t>Laurence</t>
  </si>
  <si>
    <t>Hearen</t>
  </si>
  <si>
    <t>Aparicio</t>
  </si>
  <si>
    <t>Janusz</t>
  </si>
  <si>
    <t>Philbert</t>
  </si>
  <si>
    <t>Salamone</t>
  </si>
  <si>
    <t>Vera</t>
  </si>
  <si>
    <t>Biggart-McPherson</t>
  </si>
  <si>
    <t>Rochez</t>
  </si>
  <si>
    <t>McSamm</t>
  </si>
  <si>
    <t>McDonald</t>
  </si>
  <si>
    <t>Griffiths</t>
  </si>
  <si>
    <t>Nedd</t>
  </si>
  <si>
    <t>Vivians</t>
  </si>
  <si>
    <t>Rogers</t>
  </si>
  <si>
    <t>Benn</t>
  </si>
  <si>
    <t>McGarrity</t>
  </si>
  <si>
    <t>Wheelock</t>
  </si>
  <si>
    <t>Walker</t>
  </si>
  <si>
    <t>Ciunga</t>
  </si>
  <si>
    <t>Murphey</t>
  </si>
  <si>
    <t>Donastorg</t>
  </si>
  <si>
    <t>Miller</t>
  </si>
  <si>
    <t>Foxe</t>
  </si>
  <si>
    <t>Coldwell</t>
  </si>
  <si>
    <t>Mcfadden</t>
  </si>
  <si>
    <t>Bravo</t>
  </si>
  <si>
    <t>Pratt</t>
  </si>
  <si>
    <t>Salazar</t>
  </si>
  <si>
    <t>Letman</t>
  </si>
  <si>
    <t>Zoppo</t>
  </si>
  <si>
    <t>Crevelle</t>
  </si>
  <si>
    <t>Frias</t>
  </si>
  <si>
    <t>Rollins</t>
  </si>
  <si>
    <t>Pops</t>
  </si>
  <si>
    <t>Goulet</t>
  </si>
  <si>
    <t>Ohmes</t>
  </si>
  <si>
    <t>Hendin</t>
  </si>
  <si>
    <t>Suozzo</t>
  </si>
  <si>
    <t>Hustus</t>
  </si>
  <si>
    <t>Mansilla</t>
  </si>
  <si>
    <t>Huffman</t>
  </si>
  <si>
    <t>Prol</t>
  </si>
  <si>
    <t>Rochman</t>
  </si>
  <si>
    <t>Bosco</t>
  </si>
  <si>
    <t>Tejada</t>
  </si>
  <si>
    <t>Ndinyl</t>
  </si>
  <si>
    <t>Thompson</t>
  </si>
  <si>
    <t>Atwell</t>
  </si>
  <si>
    <t>Diez</t>
  </si>
  <si>
    <t>Castro</t>
  </si>
  <si>
    <t>Caesar</t>
  </si>
  <si>
    <t>Estrada</t>
  </si>
  <si>
    <t>Mims</t>
  </si>
  <si>
    <t>Castillo</t>
  </si>
  <si>
    <t>Bobb-Hoyte</t>
  </si>
  <si>
    <t>Shegog</t>
  </si>
  <si>
    <t>Hart</t>
  </si>
  <si>
    <t>Del Pilar Cabrera</t>
  </si>
  <si>
    <t>Holley</t>
  </si>
  <si>
    <t>Silas</t>
  </si>
  <si>
    <t>Romano</t>
  </si>
  <si>
    <t>Choudhry</t>
  </si>
  <si>
    <t>Senatus</t>
  </si>
  <si>
    <t>Oliva</t>
  </si>
  <si>
    <t>Landrau</t>
  </si>
  <si>
    <t>Engesser</t>
  </si>
  <si>
    <t>Melendez</t>
  </si>
  <si>
    <t>Matzken</t>
  </si>
  <si>
    <t>Parvolo</t>
  </si>
  <si>
    <t>Camilo</t>
  </si>
  <si>
    <t>Caisaguano</t>
  </si>
  <si>
    <t>Coleman</t>
  </si>
  <si>
    <t>Foster</t>
  </si>
  <si>
    <t>Caraballo</t>
  </si>
  <si>
    <t>Millan</t>
  </si>
  <si>
    <t>Hinson</t>
  </si>
  <si>
    <t>Hamiduzzaman</t>
  </si>
  <si>
    <t>Sparks</t>
  </si>
  <si>
    <t>Chen</t>
  </si>
  <si>
    <t>Panagakos</t>
  </si>
  <si>
    <t>Perkins</t>
  </si>
  <si>
    <t>Reed</t>
  </si>
  <si>
    <t>Battle</t>
  </si>
  <si>
    <t>Lao</t>
  </si>
  <si>
    <t>Matos</t>
  </si>
  <si>
    <t>Solomon</t>
  </si>
  <si>
    <t>Lawrence</t>
  </si>
  <si>
    <t>Acevedo</t>
  </si>
  <si>
    <t>Guillen</t>
  </si>
  <si>
    <t>Pennant</t>
  </si>
  <si>
    <t>Jarrell</t>
  </si>
  <si>
    <t>Cataquet</t>
  </si>
  <si>
    <t>Dem</t>
  </si>
  <si>
    <t>Almanzar</t>
  </si>
  <si>
    <t>Cohen</t>
  </si>
  <si>
    <t>Rojas</t>
  </si>
  <si>
    <t>De Pena</t>
  </si>
  <si>
    <t>Cleto</t>
  </si>
  <si>
    <t>Holmes</t>
  </si>
  <si>
    <t>Feliz</t>
  </si>
  <si>
    <t>Pell</t>
  </si>
  <si>
    <t>Arguelles</t>
  </si>
  <si>
    <t>Davila</t>
  </si>
  <si>
    <t>McNear</t>
  </si>
  <si>
    <t>Valerio</t>
  </si>
  <si>
    <t>Arouna</t>
  </si>
  <si>
    <t>Ashmid</t>
  </si>
  <si>
    <t>Michel</t>
  </si>
  <si>
    <t>Chisolm</t>
  </si>
  <si>
    <t>Bermudez</t>
  </si>
  <si>
    <t>Gilliam</t>
  </si>
  <si>
    <t>Mendoza</t>
  </si>
  <si>
    <t>Camacho</t>
  </si>
  <si>
    <t>Buten</t>
  </si>
  <si>
    <t>Rodrigues</t>
  </si>
  <si>
    <t>Rey Puterbaugh</t>
  </si>
  <si>
    <t>Morel</t>
  </si>
  <si>
    <t>Colon</t>
  </si>
  <si>
    <t>Marajh</t>
  </si>
  <si>
    <t>Rosas-Mejia</t>
  </si>
  <si>
    <t>Carama</t>
  </si>
  <si>
    <t>Nublett</t>
  </si>
  <si>
    <t>Nixon</t>
  </si>
  <si>
    <t>Sharpe-King</t>
  </si>
  <si>
    <t>Colon Lopez</t>
  </si>
  <si>
    <t>Gainer</t>
  </si>
  <si>
    <t>Avelino</t>
  </si>
  <si>
    <t>Kelly</t>
  </si>
  <si>
    <t>Carreras</t>
  </si>
  <si>
    <t>Bido</t>
  </si>
  <si>
    <t>Perdomo</t>
  </si>
  <si>
    <t>Vicente</t>
  </si>
  <si>
    <t>Cepeda</t>
  </si>
  <si>
    <t>Melo Mejia</t>
  </si>
  <si>
    <t>McCall</t>
  </si>
  <si>
    <t>Mayo</t>
  </si>
  <si>
    <t>Mena</t>
  </si>
  <si>
    <t>Michelus</t>
  </si>
  <si>
    <t>Egunen</t>
  </si>
  <si>
    <t>Redmon</t>
  </si>
  <si>
    <t>Porro</t>
  </si>
  <si>
    <t>Bustamante</t>
  </si>
  <si>
    <t>Terrero</t>
  </si>
  <si>
    <t>Alkhassane</t>
  </si>
  <si>
    <t>de Torres</t>
  </si>
  <si>
    <t>Murphy</t>
  </si>
  <si>
    <t>Harges</t>
  </si>
  <si>
    <t>Flete</t>
  </si>
  <si>
    <t>Wolfe</t>
  </si>
  <si>
    <t>Jimbo</t>
  </si>
  <si>
    <t>Franklin</t>
  </si>
  <si>
    <t>Jalloh</t>
  </si>
  <si>
    <t>Suarez</t>
  </si>
  <si>
    <t>Wesley</t>
  </si>
  <si>
    <t>Griffin</t>
  </si>
  <si>
    <t>Cole</t>
  </si>
  <si>
    <t>Savary</t>
  </si>
  <si>
    <t>Vanderhorst</t>
  </si>
  <si>
    <t>Sepulveda</t>
  </si>
  <si>
    <t>Crosby</t>
  </si>
  <si>
    <t>Derrick</t>
  </si>
  <si>
    <t>German</t>
  </si>
  <si>
    <t>Pardo</t>
  </si>
  <si>
    <t>Schaer</t>
  </si>
  <si>
    <t>Espinal</t>
  </si>
  <si>
    <t>Elerding</t>
  </si>
  <si>
    <t>Coleman Raybe</t>
  </si>
  <si>
    <t>Luna</t>
  </si>
  <si>
    <t>Palmer</t>
  </si>
  <si>
    <t>Hawkins</t>
  </si>
  <si>
    <t>Correa</t>
  </si>
  <si>
    <t>Casado</t>
  </si>
  <si>
    <t>Veras</t>
  </si>
  <si>
    <t>Boatright</t>
  </si>
  <si>
    <t>Vegerano</t>
  </si>
  <si>
    <t>Cabral</t>
  </si>
  <si>
    <t>Chang</t>
  </si>
  <si>
    <t>Diaz-Albertini</t>
  </si>
  <si>
    <t>Alder</t>
  </si>
  <si>
    <t>Millet</t>
  </si>
  <si>
    <t>Blaimayer</t>
  </si>
  <si>
    <t>Manigault</t>
  </si>
  <si>
    <t>Gallagher</t>
  </si>
  <si>
    <t>Rivers</t>
  </si>
  <si>
    <t>Dawson</t>
  </si>
  <si>
    <t>Zipkin</t>
  </si>
  <si>
    <t>Barreau</t>
  </si>
  <si>
    <t>Bennett</t>
  </si>
  <si>
    <t>Peebles</t>
  </si>
  <si>
    <t>Brandon</t>
  </si>
  <si>
    <t>Ortega</t>
  </si>
  <si>
    <t>Monegro</t>
  </si>
  <si>
    <t>Picarello</t>
  </si>
  <si>
    <t>Diallo</t>
  </si>
  <si>
    <t>Dixon</t>
  </si>
  <si>
    <t>Climes</t>
  </si>
  <si>
    <t>Combs</t>
  </si>
  <si>
    <t>Parnell</t>
  </si>
  <si>
    <t>Segura</t>
  </si>
  <si>
    <t>Sidibe</t>
  </si>
  <si>
    <t>Robles</t>
  </si>
  <si>
    <t>Jordan</t>
  </si>
  <si>
    <t>Linen</t>
  </si>
  <si>
    <t>Fleming</t>
  </si>
  <si>
    <t>Velastegui</t>
  </si>
  <si>
    <t>Pang</t>
  </si>
  <si>
    <t>Yusuf</t>
  </si>
  <si>
    <t>Mumford-Wright</t>
  </si>
  <si>
    <t>Lemus</t>
  </si>
  <si>
    <t>Tindal</t>
  </si>
  <si>
    <t>Amponsah</t>
  </si>
  <si>
    <t>Ocasio</t>
  </si>
  <si>
    <t>Byrd</t>
  </si>
  <si>
    <t>Headrington</t>
  </si>
  <si>
    <t>Paula Martinez</t>
  </si>
  <si>
    <t>Hidalgo</t>
  </si>
  <si>
    <t>Gado</t>
  </si>
  <si>
    <t>Argentin</t>
  </si>
  <si>
    <t>Patrone</t>
  </si>
  <si>
    <t>Florentino</t>
  </si>
  <si>
    <t>Mellado</t>
  </si>
  <si>
    <t>Marcucci</t>
  </si>
  <si>
    <t>Budnetz</t>
  </si>
  <si>
    <t>Plaza</t>
  </si>
  <si>
    <t>Go</t>
  </si>
  <si>
    <t>Valentine</t>
  </si>
  <si>
    <t>Mullins</t>
  </si>
  <si>
    <t>Recabarren</t>
  </si>
  <si>
    <t>Porter</t>
  </si>
  <si>
    <t>Pearsall</t>
  </si>
  <si>
    <t>Hilton</t>
  </si>
  <si>
    <t>Baldayac</t>
  </si>
  <si>
    <t>Boria</t>
  </si>
  <si>
    <t>Ramirez</t>
  </si>
  <si>
    <t>Osorio</t>
  </si>
  <si>
    <t>Del Rosario</t>
  </si>
  <si>
    <t>Skinner</t>
  </si>
  <si>
    <t>Rosell</t>
  </si>
  <si>
    <t>Sims</t>
  </si>
  <si>
    <t>Polanco</t>
  </si>
  <si>
    <t>O'Connor</t>
  </si>
  <si>
    <t>Bonner</t>
  </si>
  <si>
    <t>Murillo</t>
  </si>
  <si>
    <t>Simmons</t>
  </si>
  <si>
    <t>Aurich</t>
  </si>
  <si>
    <t>Estremera</t>
  </si>
  <si>
    <t>Calix</t>
  </si>
  <si>
    <t>Landis</t>
  </si>
  <si>
    <t>Minns</t>
  </si>
  <si>
    <t>Palomino</t>
  </si>
  <si>
    <t>Griffith</t>
  </si>
  <si>
    <t>Muhammed</t>
  </si>
  <si>
    <t>Lentini</t>
  </si>
  <si>
    <t>Rosales</t>
  </si>
  <si>
    <t>Hydara</t>
  </si>
  <si>
    <t>Carela</t>
  </si>
  <si>
    <t>Penn</t>
  </si>
  <si>
    <t>Galindo</t>
  </si>
  <si>
    <t>Coley</t>
  </si>
  <si>
    <t>Hus</t>
  </si>
  <si>
    <t>Mullings</t>
  </si>
  <si>
    <t>Tidwell</t>
  </si>
  <si>
    <t>Green-Barnes</t>
  </si>
  <si>
    <t>Bamaca</t>
  </si>
  <si>
    <t>Cintron</t>
  </si>
  <si>
    <t>Diabate</t>
  </si>
  <si>
    <t>Ricks</t>
  </si>
  <si>
    <t>Sillah</t>
  </si>
  <si>
    <t>Leyva</t>
  </si>
  <si>
    <t>Germoso</t>
  </si>
  <si>
    <t>Hilario</t>
  </si>
  <si>
    <t>Gambino</t>
  </si>
  <si>
    <t>Yumor</t>
  </si>
  <si>
    <t>De la Rosa</t>
  </si>
  <si>
    <t>Geronimo</t>
  </si>
  <si>
    <t>Khan</t>
  </si>
  <si>
    <t>Medrano</t>
  </si>
  <si>
    <t>Neville</t>
  </si>
  <si>
    <t>Vicidomini</t>
  </si>
  <si>
    <t>Acosta</t>
  </si>
  <si>
    <t>Mojica</t>
  </si>
  <si>
    <t>Larson</t>
  </si>
  <si>
    <t>Sandiford</t>
  </si>
  <si>
    <t>Tiwari</t>
  </si>
  <si>
    <t>Goines</t>
  </si>
  <si>
    <t>Mott</t>
  </si>
  <si>
    <t>Douglas</t>
  </si>
  <si>
    <t>Amparo</t>
  </si>
  <si>
    <t>Giannatasio</t>
  </si>
  <si>
    <t>Edwards</t>
  </si>
  <si>
    <t>Talukdar</t>
  </si>
  <si>
    <t>Harvey</t>
  </si>
  <si>
    <t>Herrera</t>
  </si>
  <si>
    <t>Altreche</t>
  </si>
  <si>
    <t>Soler</t>
  </si>
  <si>
    <t>Icobelli</t>
  </si>
  <si>
    <t>Sallah</t>
  </si>
  <si>
    <t>Cain</t>
  </si>
  <si>
    <t>Tate</t>
  </si>
  <si>
    <t>Taveras</t>
  </si>
  <si>
    <t>Basile</t>
  </si>
  <si>
    <t>Morris</t>
  </si>
  <si>
    <t>Zide</t>
  </si>
  <si>
    <t>Montoya</t>
  </si>
  <si>
    <t>Steinberg</t>
  </si>
  <si>
    <t>Russo</t>
  </si>
  <si>
    <t>Owens</t>
  </si>
  <si>
    <t>Canjura</t>
  </si>
  <si>
    <t>Bello</t>
  </si>
  <si>
    <t>De Pasquale</t>
  </si>
  <si>
    <t>Prince</t>
  </si>
  <si>
    <t>Robbins</t>
  </si>
  <si>
    <t>Bain</t>
  </si>
  <si>
    <t>McKinney</t>
  </si>
  <si>
    <t>Carville</t>
  </si>
  <si>
    <t>Bowman</t>
  </si>
  <si>
    <t>Tavarez</t>
  </si>
  <si>
    <t>Peeke</t>
  </si>
  <si>
    <t>Bailey</t>
  </si>
  <si>
    <t>Saquic</t>
  </si>
  <si>
    <t>Napoleon</t>
  </si>
  <si>
    <t>Seward</t>
  </si>
  <si>
    <t>Coppotelli</t>
  </si>
  <si>
    <t>Schiebel</t>
  </si>
  <si>
    <t>Saneaux</t>
  </si>
  <si>
    <t>Tejeda</t>
  </si>
  <si>
    <t>Nuralan</t>
  </si>
  <si>
    <t>Lam Chang</t>
  </si>
  <si>
    <t>d'Agestino</t>
  </si>
  <si>
    <t>Katzman</t>
  </si>
  <si>
    <t>Nealon</t>
  </si>
  <si>
    <t>Abbruscato</t>
  </si>
  <si>
    <t>Johns</t>
  </si>
  <si>
    <t>Walsh</t>
  </si>
  <si>
    <t>Burkhalter</t>
  </si>
  <si>
    <t>Lee Katz</t>
  </si>
  <si>
    <t>Espinosa</t>
  </si>
  <si>
    <t>Witherspoon</t>
  </si>
  <si>
    <t>Fernandez</t>
  </si>
  <si>
    <t>Djindjey</t>
  </si>
  <si>
    <t>Lilly</t>
  </si>
  <si>
    <t>Captain</t>
  </si>
  <si>
    <t>Azenabor</t>
  </si>
  <si>
    <t>Allmond</t>
  </si>
  <si>
    <t>Cruz-St. John</t>
  </si>
  <si>
    <t>Rice</t>
  </si>
  <si>
    <t>Rall</t>
  </si>
  <si>
    <t>Hogans</t>
  </si>
  <si>
    <t>Fonji</t>
  </si>
  <si>
    <t>Watson</t>
  </si>
  <si>
    <t>Majors</t>
  </si>
  <si>
    <t>McKinnon</t>
  </si>
  <si>
    <t>Crawford</t>
  </si>
  <si>
    <t>Long</t>
  </si>
  <si>
    <t>McLaughlin</t>
  </si>
  <si>
    <t>Brathwaite</t>
  </si>
  <si>
    <t>Aristy</t>
  </si>
  <si>
    <t>Langley</t>
  </si>
  <si>
    <t>Bradford</t>
  </si>
  <si>
    <t>Wynn</t>
  </si>
  <si>
    <t>Weston</t>
  </si>
  <si>
    <t>La Salle</t>
  </si>
  <si>
    <t>Bassano</t>
  </si>
  <si>
    <t>Himidian</t>
  </si>
  <si>
    <t>Byrnes</t>
  </si>
  <si>
    <t>Crusco</t>
  </si>
  <si>
    <t>Dooley</t>
  </si>
  <si>
    <t>McHenry</t>
  </si>
  <si>
    <t>Falconi</t>
  </si>
  <si>
    <t>Fleischhauer</t>
  </si>
  <si>
    <t>Falu</t>
  </si>
  <si>
    <t>Obie</t>
  </si>
  <si>
    <t>Escalante</t>
  </si>
  <si>
    <t>Addison</t>
  </si>
  <si>
    <t>Hartzog</t>
  </si>
  <si>
    <t>Rasheed</t>
  </si>
  <si>
    <t>Datt</t>
  </si>
  <si>
    <t>Ramsey</t>
  </si>
  <si>
    <t>Tolentino</t>
  </si>
  <si>
    <t>Negron</t>
  </si>
  <si>
    <t>Beharry</t>
  </si>
  <si>
    <t>Lin</t>
  </si>
  <si>
    <t>Zheng</t>
  </si>
  <si>
    <t>Mahjabeen</t>
  </si>
  <si>
    <t>Nath</t>
  </si>
  <si>
    <t>Kemp</t>
  </si>
  <si>
    <t>Gordon</t>
  </si>
  <si>
    <t>Xie</t>
  </si>
  <si>
    <t>Boswell</t>
  </si>
  <si>
    <t>Staley</t>
  </si>
  <si>
    <t>Otho</t>
  </si>
  <si>
    <t>Commiso</t>
  </si>
  <si>
    <t>Wyatt</t>
  </si>
  <si>
    <t>Ceneus</t>
  </si>
  <si>
    <t>Blackett</t>
  </si>
  <si>
    <t>Leone</t>
  </si>
  <si>
    <t>Hatcher</t>
  </si>
  <si>
    <t>Caldwell</t>
  </si>
  <si>
    <t>Tross</t>
  </si>
  <si>
    <t>Bouatrouss</t>
  </si>
  <si>
    <t>Jose De Garcia</t>
  </si>
  <si>
    <t>Powell-Brown</t>
  </si>
  <si>
    <t>Jessup</t>
  </si>
  <si>
    <t>Harris</t>
  </si>
  <si>
    <t>Hamlet</t>
  </si>
  <si>
    <t>McNeill</t>
  </si>
  <si>
    <t>Musa</t>
  </si>
  <si>
    <t>Verame</t>
  </si>
  <si>
    <t>Puello</t>
  </si>
  <si>
    <t>Montes De Oca</t>
  </si>
  <si>
    <t>Bey</t>
  </si>
  <si>
    <t>Reyes Peguero</t>
  </si>
  <si>
    <t>Gueits</t>
  </si>
  <si>
    <t>Otra</t>
  </si>
  <si>
    <t>Muriel</t>
  </si>
  <si>
    <t>Justiniano</t>
  </si>
  <si>
    <t>Chileshe</t>
  </si>
  <si>
    <t>Jaynes</t>
  </si>
  <si>
    <t>Bertin</t>
  </si>
  <si>
    <t>martinez</t>
  </si>
  <si>
    <t>Maloney</t>
  </si>
  <si>
    <t>Alvarez Simono</t>
  </si>
  <si>
    <t>Cox</t>
  </si>
  <si>
    <t>Jefferson</t>
  </si>
  <si>
    <t>Aguilar</t>
  </si>
  <si>
    <t>Woolley</t>
  </si>
  <si>
    <t>Fuerte</t>
  </si>
  <si>
    <t>Mackey</t>
  </si>
  <si>
    <t>Baus</t>
  </si>
  <si>
    <t>Petersen</t>
  </si>
  <si>
    <t>Daramola</t>
  </si>
  <si>
    <t>Best</t>
  </si>
  <si>
    <t>Gibbs</t>
  </si>
  <si>
    <t>Worrell</t>
  </si>
  <si>
    <t>Houston</t>
  </si>
  <si>
    <t>Varma</t>
  </si>
  <si>
    <t>Brea</t>
  </si>
  <si>
    <t>Reece</t>
  </si>
  <si>
    <t>Hampton</t>
  </si>
  <si>
    <t>Sanon</t>
  </si>
  <si>
    <t>Santini</t>
  </si>
  <si>
    <t>Luncheon</t>
  </si>
  <si>
    <t>Burdier</t>
  </si>
  <si>
    <t>Chung</t>
  </si>
  <si>
    <t>Burney</t>
  </si>
  <si>
    <t>Ajaye</t>
  </si>
  <si>
    <t>Fringo</t>
  </si>
  <si>
    <t>Walrond</t>
  </si>
  <si>
    <t>Pierce</t>
  </si>
  <si>
    <t>Braithwaite</t>
  </si>
  <si>
    <t>Surgeon</t>
  </si>
  <si>
    <t>Santana</t>
  </si>
  <si>
    <t>Nahshal</t>
  </si>
  <si>
    <t>Echevarria</t>
  </si>
  <si>
    <t>Molfetto</t>
  </si>
  <si>
    <t>Arias</t>
  </si>
  <si>
    <t>Reynoso</t>
  </si>
  <si>
    <t>Burgess</t>
  </si>
  <si>
    <t>Kouyate</t>
  </si>
  <si>
    <t>De Los Santos</t>
  </si>
  <si>
    <t>Kwon</t>
  </si>
  <si>
    <t>Faye</t>
  </si>
  <si>
    <t>Burrowes</t>
  </si>
  <si>
    <t>Abskhairoun</t>
  </si>
  <si>
    <t>Wang</t>
  </si>
  <si>
    <t>Bellber</t>
  </si>
  <si>
    <t>Valle</t>
  </si>
  <si>
    <t>Padilla</t>
  </si>
  <si>
    <t>Williams-Johnson</t>
  </si>
  <si>
    <t>Austin</t>
  </si>
  <si>
    <t>Freeman</t>
  </si>
  <si>
    <t>Caple</t>
  </si>
  <si>
    <t>Jenkins</t>
  </si>
  <si>
    <t>Nimley</t>
  </si>
  <si>
    <t>Zaidan</t>
  </si>
  <si>
    <t>McClendon</t>
  </si>
  <si>
    <t>Isler</t>
  </si>
  <si>
    <t>Peart</t>
  </si>
  <si>
    <t>Cains</t>
  </si>
  <si>
    <t>Ince</t>
  </si>
  <si>
    <t>Cockerl</t>
  </si>
  <si>
    <t>Knight</t>
  </si>
  <si>
    <t>Ogorek</t>
  </si>
  <si>
    <t>Manson</t>
  </si>
  <si>
    <t>Reilly</t>
  </si>
  <si>
    <t>Ceville</t>
  </si>
  <si>
    <t>Pina</t>
  </si>
  <si>
    <t>Proctor</t>
  </si>
  <si>
    <t>Myers</t>
  </si>
  <si>
    <t>Jean-Simon</t>
  </si>
  <si>
    <t>Jackman</t>
  </si>
  <si>
    <t>Duchard</t>
  </si>
  <si>
    <t>Cerrito</t>
  </si>
  <si>
    <t>Alfalahi</t>
  </si>
  <si>
    <t>Speller</t>
  </si>
  <si>
    <t>Cobbs-Golden</t>
  </si>
  <si>
    <t>McCarter-Yates</t>
  </si>
  <si>
    <t>Barrionuevo</t>
  </si>
  <si>
    <t>Cardona</t>
  </si>
  <si>
    <t>Klewicki</t>
  </si>
  <si>
    <t>Sitaras</t>
  </si>
  <si>
    <t>O'Donoghue</t>
  </si>
  <si>
    <t>Sy</t>
  </si>
  <si>
    <t>Gambwani</t>
  </si>
  <si>
    <t>Carver</t>
  </si>
  <si>
    <t>Reyes Martinez</t>
  </si>
  <si>
    <t>Garrido-Rodriguez</t>
  </si>
  <si>
    <t>Ruffino</t>
  </si>
  <si>
    <t>Molina</t>
  </si>
  <si>
    <t>Nayyar</t>
  </si>
  <si>
    <t>Thurmond</t>
  </si>
  <si>
    <t>Pacheco</t>
  </si>
  <si>
    <t>Parchment</t>
  </si>
  <si>
    <t>Montilla</t>
  </si>
  <si>
    <t>Lopez Torres</t>
  </si>
  <si>
    <t>Parsons</t>
  </si>
  <si>
    <t>Moore</t>
  </si>
  <si>
    <t>Beltran</t>
  </si>
  <si>
    <t>Osemwekha</t>
  </si>
  <si>
    <t>Hamer</t>
  </si>
  <si>
    <t>Inga</t>
  </si>
  <si>
    <t>Faison</t>
  </si>
  <si>
    <t>Waiters</t>
  </si>
  <si>
    <t>Tarrats</t>
  </si>
  <si>
    <t>McClucksey</t>
  </si>
  <si>
    <t>Fadli</t>
  </si>
  <si>
    <t>Orobello</t>
  </si>
  <si>
    <t>Moultry</t>
  </si>
  <si>
    <t>Andrews</t>
  </si>
  <si>
    <t>Deaza</t>
  </si>
  <si>
    <t>Oakley</t>
  </si>
  <si>
    <t>Strodes</t>
  </si>
  <si>
    <t>Anglero</t>
  </si>
  <si>
    <t>Montalvo</t>
  </si>
  <si>
    <t>Thervil</t>
  </si>
  <si>
    <t>Jensen</t>
  </si>
  <si>
    <t>Kunene</t>
  </si>
  <si>
    <t>Sturiale</t>
  </si>
  <si>
    <t>Curry</t>
  </si>
  <si>
    <t>Keyes</t>
  </si>
  <si>
    <t>Lebron</t>
  </si>
  <si>
    <t>Dublin</t>
  </si>
  <si>
    <t>Carbuccia</t>
  </si>
  <si>
    <t>Caldero</t>
  </si>
  <si>
    <t>Commissiong</t>
  </si>
  <si>
    <t>Rendon</t>
  </si>
  <si>
    <t>Monroe</t>
  </si>
  <si>
    <t>Dowell</t>
  </si>
  <si>
    <t>Otero</t>
  </si>
  <si>
    <t>Urena-Perez</t>
  </si>
  <si>
    <t>Tariq</t>
  </si>
  <si>
    <t>Henriquez</t>
  </si>
  <si>
    <t>Pondicchello</t>
  </si>
  <si>
    <t>Rosero</t>
  </si>
  <si>
    <t>Patterson</t>
  </si>
  <si>
    <t>Hazel</t>
  </si>
  <si>
    <t>Elliott</t>
  </si>
  <si>
    <t>Keene</t>
  </si>
  <si>
    <t>Burton</t>
  </si>
  <si>
    <t>Abelino</t>
  </si>
  <si>
    <t>Jones (HO)</t>
  </si>
  <si>
    <t>Jones (HP)</t>
  </si>
  <si>
    <t>Haynes</t>
  </si>
  <si>
    <t>Richiez</t>
  </si>
  <si>
    <t>Gaskin</t>
  </si>
  <si>
    <t>Ogando</t>
  </si>
  <si>
    <t>Askins</t>
  </si>
  <si>
    <t>McKenzie</t>
  </si>
  <si>
    <t>Caughey</t>
  </si>
  <si>
    <t>Bernardez</t>
  </si>
  <si>
    <t>Urman</t>
  </si>
  <si>
    <t>Kitchen</t>
  </si>
  <si>
    <t>Zabala</t>
  </si>
  <si>
    <t>Texidor</t>
  </si>
  <si>
    <t>Peets</t>
  </si>
  <si>
    <t>McDermott</t>
  </si>
  <si>
    <t>Henderson</t>
  </si>
  <si>
    <t>Wrisdon</t>
  </si>
  <si>
    <t>Aaron</t>
  </si>
  <si>
    <t>Ombongo-Golden</t>
  </si>
  <si>
    <t>Sebyatika</t>
  </si>
  <si>
    <t>Adomako</t>
  </si>
  <si>
    <t>DiPaola</t>
  </si>
  <si>
    <t>DeLuCa</t>
  </si>
  <si>
    <t>Malloy</t>
  </si>
  <si>
    <t>Buenrostro</t>
  </si>
  <si>
    <t>Huertas</t>
  </si>
  <si>
    <t>Eng</t>
  </si>
  <si>
    <t>Christian</t>
  </si>
  <si>
    <t>Garnett</t>
  </si>
  <si>
    <t>Francois</t>
  </si>
  <si>
    <t>Fowler</t>
  </si>
  <si>
    <t>Roberts</t>
  </si>
  <si>
    <t>Genao</t>
  </si>
  <si>
    <t>Gautier</t>
  </si>
  <si>
    <t>Tillman</t>
  </si>
  <si>
    <t>Bookman</t>
  </si>
  <si>
    <t>Minkins</t>
  </si>
  <si>
    <t>Corbett</t>
  </si>
  <si>
    <t>Feliciano</t>
  </si>
  <si>
    <t>Lapaix</t>
  </si>
  <si>
    <t>McNatt</t>
  </si>
  <si>
    <t>Oliver</t>
  </si>
  <si>
    <t>BELLO</t>
  </si>
  <si>
    <t>Robertson</t>
  </si>
  <si>
    <t>Dubresil</t>
  </si>
  <si>
    <t>Munoz</t>
  </si>
  <si>
    <t>Bouchereau</t>
  </si>
  <si>
    <t>Estevez</t>
  </si>
  <si>
    <t>Jayqua</t>
  </si>
  <si>
    <t>Toribio</t>
  </si>
  <si>
    <t>Gatter</t>
  </si>
  <si>
    <t>Matthews</t>
  </si>
  <si>
    <t>Phillips</t>
  </si>
  <si>
    <t>DePompo</t>
  </si>
  <si>
    <t>Boisson</t>
  </si>
  <si>
    <t>Arce</t>
  </si>
  <si>
    <t>Gomes</t>
  </si>
  <si>
    <t>Inoa</t>
  </si>
  <si>
    <t>Hu</t>
  </si>
  <si>
    <t>Bland</t>
  </si>
  <si>
    <t>Moreno</t>
  </si>
  <si>
    <t>De la Cruz</t>
  </si>
  <si>
    <t>Cooke</t>
  </si>
  <si>
    <t>Hughes</t>
  </si>
  <si>
    <t>Daux</t>
  </si>
  <si>
    <t>Hayes</t>
  </si>
  <si>
    <t>Jheong</t>
  </si>
  <si>
    <t>Solano</t>
  </si>
  <si>
    <t>Bonifacio</t>
  </si>
  <si>
    <t>Tabois</t>
  </si>
  <si>
    <t>Azizi</t>
  </si>
  <si>
    <t>Romelus</t>
  </si>
  <si>
    <t>Webster-Blair</t>
  </si>
  <si>
    <t>Battles</t>
  </si>
  <si>
    <t>Whiten</t>
  </si>
  <si>
    <t>Tucker</t>
  </si>
  <si>
    <t>Mccray</t>
  </si>
  <si>
    <t>Pereyra</t>
  </si>
  <si>
    <t>Kane</t>
  </si>
  <si>
    <t>Leary</t>
  </si>
  <si>
    <t>Nembhard</t>
  </si>
  <si>
    <t>Milian</t>
  </si>
  <si>
    <t>Saulters</t>
  </si>
  <si>
    <t>Hutson</t>
  </si>
  <si>
    <t>Gassama</t>
  </si>
  <si>
    <t>Sancya</t>
  </si>
  <si>
    <t>Fong</t>
  </si>
  <si>
    <t>Colucci</t>
  </si>
  <si>
    <t>Custodio</t>
  </si>
  <si>
    <t>Vallecillo</t>
  </si>
  <si>
    <t>Trigueno</t>
  </si>
  <si>
    <t>Buntin</t>
  </si>
  <si>
    <t>Ryan</t>
  </si>
  <si>
    <t>Tzul-Pacheco</t>
  </si>
  <si>
    <t>Dickerson</t>
  </si>
  <si>
    <t>Lord</t>
  </si>
  <si>
    <t>Hoezadey</t>
  </si>
  <si>
    <t>Martinez Guzman</t>
  </si>
  <si>
    <t>Battista</t>
  </si>
  <si>
    <t>Wallace</t>
  </si>
  <si>
    <t>Grullon Pena</t>
  </si>
  <si>
    <t>Seye</t>
  </si>
  <si>
    <t>Geralds</t>
  </si>
  <si>
    <t>Meeks</t>
  </si>
  <si>
    <t>Shaheed</t>
  </si>
  <si>
    <t>Montanez</t>
  </si>
  <si>
    <t>Yepez</t>
  </si>
  <si>
    <t>Hoower</t>
  </si>
  <si>
    <t>Guilavogui</t>
  </si>
  <si>
    <t>Decena</t>
  </si>
  <si>
    <t>Laikin</t>
  </si>
  <si>
    <t>Ferreira</t>
  </si>
  <si>
    <t>Fredricks</t>
  </si>
  <si>
    <t>Nilu</t>
  </si>
  <si>
    <t>Ohanian</t>
  </si>
  <si>
    <t>Doucoure</t>
  </si>
  <si>
    <t>Gittens</t>
  </si>
  <si>
    <t>Reid</t>
  </si>
  <si>
    <t>Deterville</t>
  </si>
  <si>
    <t>Barker</t>
  </si>
  <si>
    <t>Balbuena Mane</t>
  </si>
  <si>
    <t>Aponte</t>
  </si>
  <si>
    <t>Austin-Waithe</t>
  </si>
  <si>
    <t>Bruno</t>
  </si>
  <si>
    <t>Vanderveer</t>
  </si>
  <si>
    <t>Haughton</t>
  </si>
  <si>
    <t>Jacobs</t>
  </si>
  <si>
    <t>Seongbae</t>
  </si>
  <si>
    <t>Durden</t>
  </si>
  <si>
    <t>Pellot</t>
  </si>
  <si>
    <t>Aguilera</t>
  </si>
  <si>
    <t>De Souza-King</t>
  </si>
  <si>
    <t>Calabrese</t>
  </si>
  <si>
    <t>Romain</t>
  </si>
  <si>
    <t>Seelig</t>
  </si>
  <si>
    <t>Carmel</t>
  </si>
  <si>
    <t>Nakazwe</t>
  </si>
  <si>
    <t>Quezada</t>
  </si>
  <si>
    <t>Nahar</t>
  </si>
  <si>
    <t>Wudowsky</t>
  </si>
  <si>
    <t>Gaton</t>
  </si>
  <si>
    <t>Yip</t>
  </si>
  <si>
    <t>Qian</t>
  </si>
  <si>
    <t>Torun</t>
  </si>
  <si>
    <t>Seabrooks</t>
  </si>
  <si>
    <t>McNish</t>
  </si>
  <si>
    <t>Liburd</t>
  </si>
  <si>
    <t>May</t>
  </si>
  <si>
    <t>Sena</t>
  </si>
  <si>
    <t>Samura</t>
  </si>
  <si>
    <t>Vazquez</t>
  </si>
  <si>
    <t>Ulloa</t>
  </si>
  <si>
    <t>Alam</t>
  </si>
  <si>
    <t>Vanloo</t>
  </si>
  <si>
    <t>Blackwood</t>
  </si>
  <si>
    <t>Bidon</t>
  </si>
  <si>
    <t>Echenique</t>
  </si>
  <si>
    <t>Smiley</t>
  </si>
  <si>
    <t>Sloan</t>
  </si>
  <si>
    <t>Fallah</t>
  </si>
  <si>
    <t>Jeudi</t>
  </si>
  <si>
    <t>Wannamaker</t>
  </si>
  <si>
    <t>Cook</t>
  </si>
  <si>
    <t>Grullon</t>
  </si>
  <si>
    <t>Caicedo</t>
  </si>
  <si>
    <t>Barroso</t>
  </si>
  <si>
    <t>Wray</t>
  </si>
  <si>
    <t>Groce</t>
  </si>
  <si>
    <t>Ware</t>
  </si>
  <si>
    <t>Hollingsworth</t>
  </si>
  <si>
    <t>Bas</t>
  </si>
  <si>
    <t>Grant</t>
  </si>
  <si>
    <t>Harrell</t>
  </si>
  <si>
    <t>Bobea</t>
  </si>
  <si>
    <t>Key</t>
  </si>
  <si>
    <t>Oliveros</t>
  </si>
  <si>
    <t>Hossain</t>
  </si>
  <si>
    <t>Osipov</t>
  </si>
  <si>
    <t>Cousin</t>
  </si>
  <si>
    <t>Vegazo</t>
  </si>
  <si>
    <t>Coates</t>
  </si>
  <si>
    <t>Bayley</t>
  </si>
  <si>
    <t>Ponce</t>
  </si>
  <si>
    <t>Smidth</t>
  </si>
  <si>
    <t>Gaviria</t>
  </si>
  <si>
    <t>Vlagas</t>
  </si>
  <si>
    <t>Lagan</t>
  </si>
  <si>
    <t>Addae</t>
  </si>
  <si>
    <t>Skerrite</t>
  </si>
  <si>
    <t>London</t>
  </si>
  <si>
    <t>Ruffin-Robinson</t>
  </si>
  <si>
    <t>Marquez</t>
  </si>
  <si>
    <t>Alicea</t>
  </si>
  <si>
    <t>Paraison</t>
  </si>
  <si>
    <t>Brazell</t>
  </si>
  <si>
    <t>Fernandez-McCall</t>
  </si>
  <si>
    <t>Marshall</t>
  </si>
  <si>
    <t>Escobar</t>
  </si>
  <si>
    <t>Bodie</t>
  </si>
  <si>
    <t>De Fran</t>
  </si>
  <si>
    <t>Ullah</t>
  </si>
  <si>
    <t>St. Jean</t>
  </si>
  <si>
    <t>Levi</t>
  </si>
  <si>
    <t>Kersey</t>
  </si>
  <si>
    <t>Hough</t>
  </si>
  <si>
    <t>Maquilon</t>
  </si>
  <si>
    <t>Rondon</t>
  </si>
  <si>
    <t>Spellman</t>
  </si>
  <si>
    <t>Leger</t>
  </si>
  <si>
    <t>Fite</t>
  </si>
  <si>
    <t>Garner</t>
  </si>
  <si>
    <t>Aviles</t>
  </si>
  <si>
    <t>Simpson</t>
  </si>
  <si>
    <t>Villanueva</t>
  </si>
  <si>
    <t>Blanchard</t>
  </si>
  <si>
    <t>Zorrilla</t>
  </si>
  <si>
    <t>Hamilton</t>
  </si>
  <si>
    <t>Naranjo</t>
  </si>
  <si>
    <t>Adamson</t>
  </si>
  <si>
    <t>Yunda</t>
  </si>
  <si>
    <t>Mosquera</t>
  </si>
  <si>
    <t>Cerio</t>
  </si>
  <si>
    <t>Glenn (HP)</t>
  </si>
  <si>
    <t>Salzman</t>
  </si>
  <si>
    <t>Rivera Aponte</t>
  </si>
  <si>
    <t>Echeverria</t>
  </si>
  <si>
    <t>Peterson</t>
  </si>
  <si>
    <t>Perry</t>
  </si>
  <si>
    <t>Sow</t>
  </si>
  <si>
    <t>Livermore</t>
  </si>
  <si>
    <t>Toste</t>
  </si>
  <si>
    <t>Cortes</t>
  </si>
  <si>
    <t>Gonell</t>
  </si>
  <si>
    <t>Agyarkwa</t>
  </si>
  <si>
    <t>Crisantos</t>
  </si>
  <si>
    <t>Tiabo</t>
  </si>
  <si>
    <t>Fortuna</t>
  </si>
  <si>
    <t>Bracy</t>
  </si>
  <si>
    <t>Abdullah</t>
  </si>
  <si>
    <t>Weisberger</t>
  </si>
  <si>
    <t>Gutierrez</t>
  </si>
  <si>
    <t>Bee</t>
  </si>
  <si>
    <t>Oyeyemi</t>
  </si>
  <si>
    <t>Modesto</t>
  </si>
  <si>
    <t>Williams Smalls</t>
  </si>
  <si>
    <t>Arodu</t>
  </si>
  <si>
    <t>Hervey</t>
  </si>
  <si>
    <t>Navarro</t>
  </si>
  <si>
    <t>Carrera</t>
  </si>
  <si>
    <t>Hyndman</t>
  </si>
  <si>
    <t>Dieudonne</t>
  </si>
  <si>
    <t>Banchon</t>
  </si>
  <si>
    <t>Walcott</t>
  </si>
  <si>
    <t>Ledesma</t>
  </si>
  <si>
    <t>Stevenson</t>
  </si>
  <si>
    <t>Arzu</t>
  </si>
  <si>
    <t>Ferrence</t>
  </si>
  <si>
    <t>Dabu</t>
  </si>
  <si>
    <t>Mbaye</t>
  </si>
  <si>
    <t>Blizzard</t>
  </si>
  <si>
    <t>Capers</t>
  </si>
  <si>
    <t>Portuondo</t>
  </si>
  <si>
    <t>Worthen</t>
  </si>
  <si>
    <t>Streety</t>
  </si>
  <si>
    <t>Linton</t>
  </si>
  <si>
    <t>McKay</t>
  </si>
  <si>
    <t>Araujo</t>
  </si>
  <si>
    <t>Sakariasen</t>
  </si>
  <si>
    <t>Ziskind</t>
  </si>
  <si>
    <t>Zeba</t>
  </si>
  <si>
    <t>Baldwin</t>
  </si>
  <si>
    <t>Clarke</t>
  </si>
  <si>
    <t>Thornton</t>
  </si>
  <si>
    <t>Linsalato</t>
  </si>
  <si>
    <t>Londea</t>
  </si>
  <si>
    <t>Jamison</t>
  </si>
  <si>
    <t>Victorin</t>
  </si>
  <si>
    <t>Skeet</t>
  </si>
  <si>
    <t>Pabon</t>
  </si>
  <si>
    <t>Payero</t>
  </si>
  <si>
    <t>Gilchrist</t>
  </si>
  <si>
    <t>Pittman</t>
  </si>
  <si>
    <t>St Louis</t>
  </si>
  <si>
    <t>Reyes Ruiz</t>
  </si>
  <si>
    <t>Singh</t>
  </si>
  <si>
    <t>Randolph</t>
  </si>
  <si>
    <t>Moncrieft</t>
  </si>
  <si>
    <t>Bancroft</t>
  </si>
  <si>
    <t>Jean-Phillippe</t>
  </si>
  <si>
    <t>Josephs</t>
  </si>
  <si>
    <t>Seon</t>
  </si>
  <si>
    <t>Pastrana</t>
  </si>
  <si>
    <t>PErez</t>
  </si>
  <si>
    <t>McQueen</t>
  </si>
  <si>
    <t>Kocheneva</t>
  </si>
  <si>
    <t>Trujillo</t>
  </si>
  <si>
    <t>Bohannon</t>
  </si>
  <si>
    <t>Blank</t>
  </si>
  <si>
    <t>Sawyer</t>
  </si>
  <si>
    <t>Laster</t>
  </si>
  <si>
    <t>Minaya</t>
  </si>
  <si>
    <t>Hamed</t>
  </si>
  <si>
    <t>Paz</t>
  </si>
  <si>
    <t>Nasert</t>
  </si>
  <si>
    <t>Tellado</t>
  </si>
  <si>
    <t>Amezquita</t>
  </si>
  <si>
    <t>Danzell</t>
  </si>
  <si>
    <t>VArgas</t>
  </si>
  <si>
    <t>Waul</t>
  </si>
  <si>
    <t>Redmond</t>
  </si>
  <si>
    <t>Mattis</t>
  </si>
  <si>
    <t>Clay</t>
  </si>
  <si>
    <t>Pastorello</t>
  </si>
  <si>
    <t>Allende</t>
  </si>
  <si>
    <t>Held</t>
  </si>
  <si>
    <t>Roseboro</t>
  </si>
  <si>
    <t>Tanner</t>
  </si>
  <si>
    <t>Gregg</t>
  </si>
  <si>
    <t>Maher</t>
  </si>
  <si>
    <t>Woodward</t>
  </si>
  <si>
    <t>10341 177th St</t>
  </si>
  <si>
    <t>763 Seneca Ave</t>
  </si>
  <si>
    <t>6024 71st Ave</t>
  </si>
  <si>
    <t>6916 66th Dr</t>
  </si>
  <si>
    <t>263 Wyckoff Ave</t>
  </si>
  <si>
    <t>991 Herkimer St</t>
  </si>
  <si>
    <t>1512 Pitkin Ave</t>
  </si>
  <si>
    <t>864 Elton St</t>
  </si>
  <si>
    <t>864 Elton st</t>
  </si>
  <si>
    <t>280 Milford St</t>
  </si>
  <si>
    <t>54 E 52nd St</t>
  </si>
  <si>
    <t>636 E 224th St</t>
  </si>
  <si>
    <t>240 Blair Ave</t>
  </si>
  <si>
    <t>333 East 176th Street</t>
  </si>
  <si>
    <t>124 E 176th St</t>
  </si>
  <si>
    <t>2003 Walton Ave</t>
  </si>
  <si>
    <t>1950 Andrews Ave</t>
  </si>
  <si>
    <t>121 E Clarke Pl</t>
  </si>
  <si>
    <t>77 Appleby Ave</t>
  </si>
  <si>
    <t>126 Scribner Ave</t>
  </si>
  <si>
    <t>49 Payson Ave</t>
  </si>
  <si>
    <t>100 Fort Washington Ave</t>
  </si>
  <si>
    <t>151 W 140th St</t>
  </si>
  <si>
    <t>1590 Lexington Ave</t>
  </si>
  <si>
    <t>420 E 111th St</t>
  </si>
  <si>
    <t>138 W 129th St</t>
  </si>
  <si>
    <t>139 E 27th St</t>
  </si>
  <si>
    <t>317 W 30th St</t>
  </si>
  <si>
    <t>3073 Park Ave</t>
  </si>
  <si>
    <t>396 Saratoga Ave</t>
  </si>
  <si>
    <t>287 Edgecombe Ave</t>
  </si>
  <si>
    <t>42 Wandel Ave</t>
  </si>
  <si>
    <t>816 Macon St</t>
  </si>
  <si>
    <t>220 W 98th St</t>
  </si>
  <si>
    <t>245 E 63rd St</t>
  </si>
  <si>
    <t>612 Chester St</t>
  </si>
  <si>
    <t>3609 Broadway</t>
  </si>
  <si>
    <t>314 E 100th St</t>
  </si>
  <si>
    <t>655 Warwick St</t>
  </si>
  <si>
    <t>4700 Broadway</t>
  </si>
  <si>
    <t>421 W 162nd St</t>
  </si>
  <si>
    <t>87 Saint Nicholas Pl</t>
  </si>
  <si>
    <t>1535 Univ Ave</t>
  </si>
  <si>
    <t>7836 147th St</t>
  </si>
  <si>
    <t>1883 Amsterdam Ave</t>
  </si>
  <si>
    <t>344 Soundview Ln</t>
  </si>
  <si>
    <t>1990 Lexington Ave</t>
  </si>
  <si>
    <t>444 Columbia St</t>
  </si>
  <si>
    <t>711d Seagirt Ave</t>
  </si>
  <si>
    <t>4018 24th St</t>
  </si>
  <si>
    <t>1133 Boston Rd</t>
  </si>
  <si>
    <t>272 Hamden Ave</t>
  </si>
  <si>
    <t>P.O. Box 840</t>
  </si>
  <si>
    <t>899 Montgomery St</t>
  </si>
  <si>
    <t>1015 E 179th St</t>
  </si>
  <si>
    <t>2518 Brookhaven Ave</t>
  </si>
  <si>
    <t>723 Hancock St</t>
  </si>
  <si>
    <t>2033 Mcgraw Ave</t>
  </si>
  <si>
    <t>730 Riverside Dr</t>
  </si>
  <si>
    <t>14333 Sanford Ave</t>
  </si>
  <si>
    <t>20 Tessa Ct</t>
  </si>
  <si>
    <t>1517 Taylor Ave</t>
  </si>
  <si>
    <t>950 Kent Ave</t>
  </si>
  <si>
    <t>536 Isham St</t>
  </si>
  <si>
    <t>9-11 Delancey St</t>
  </si>
  <si>
    <t>1466 Jesup Ave</t>
  </si>
  <si>
    <t>14218 60th Ave</t>
  </si>
  <si>
    <t>1512 Eastern Pkwy</t>
  </si>
  <si>
    <t>294 Grove St</t>
  </si>
  <si>
    <t>20 Richman Plz</t>
  </si>
  <si>
    <t>7744 160th St</t>
  </si>
  <si>
    <t>971 Hegeman Ave</t>
  </si>
  <si>
    <t>1130 Willoughby Ave</t>
  </si>
  <si>
    <t>445 Schenck Ave</t>
  </si>
  <si>
    <t>968 Myrtle Ave</t>
  </si>
  <si>
    <t>1523 123rd St</t>
  </si>
  <si>
    <t>150 W 197th St</t>
  </si>
  <si>
    <t>236 E 165th St</t>
  </si>
  <si>
    <t>1210 Woodycrest Ave</t>
  </si>
  <si>
    <t>3324 Parsons Blvd</t>
  </si>
  <si>
    <t>2425 27th St</t>
  </si>
  <si>
    <t>181 Vermilyea Ave</t>
  </si>
  <si>
    <t>706 E 11th St</t>
  </si>
  <si>
    <t>314 E 143rd St</t>
  </si>
  <si>
    <t>2294 Nameoke Ave</t>
  </si>
  <si>
    <t>75 Thompson St</t>
  </si>
  <si>
    <t>2020 Grand Ave</t>
  </si>
  <si>
    <t>3959 Amundson Ave</t>
  </si>
  <si>
    <t>564 Williams Ave</t>
  </si>
  <si>
    <t>506 W 172nd St</t>
  </si>
  <si>
    <t>1402 Pitkin Ave</t>
  </si>
  <si>
    <t>13 Gunther Pl</t>
  </si>
  <si>
    <t>82 Rockaway Pkwy</t>
  </si>
  <si>
    <t>144 Tapscott St</t>
  </si>
  <si>
    <t>1525 Nelson Ave</t>
  </si>
  <si>
    <t>1855 Park Pl</t>
  </si>
  <si>
    <t>1495 Grand Concourse</t>
  </si>
  <si>
    <t>204 Sumpter St</t>
  </si>
  <si>
    <t>100 Hendrix St</t>
  </si>
  <si>
    <t>1535 Undercliff Ave</t>
  </si>
  <si>
    <t>13605 Sanford Ave</t>
  </si>
  <si>
    <t>284 Targee St</t>
  </si>
  <si>
    <t>254 E 184th St</t>
  </si>
  <si>
    <t>1338 Findlay Ave</t>
  </si>
  <si>
    <t>165 Christopher St</t>
  </si>
  <si>
    <t>3039 Coddington Ave</t>
  </si>
  <si>
    <t>550 Rosedale ave</t>
  </si>
  <si>
    <t>20 Sherman Ave</t>
  </si>
  <si>
    <t>2010 Powell Ave</t>
  </si>
  <si>
    <t>12407 Jamaica Ave</t>
  </si>
  <si>
    <t>10414 171st St</t>
  </si>
  <si>
    <t>4222 Ketcham St</t>
  </si>
  <si>
    <t>268 Targee St</t>
  </si>
  <si>
    <t>339 E 94th St</t>
  </si>
  <si>
    <t>1440 Freeport Loop</t>
  </si>
  <si>
    <t>270 E 95th St</t>
  </si>
  <si>
    <t>1166 Gerard Ave</t>
  </si>
  <si>
    <t>1555 Grand Concourse</t>
  </si>
  <si>
    <t>1170 Gerard Ave</t>
  </si>
  <si>
    <t>1220 Shakespeare Ave</t>
  </si>
  <si>
    <t>1951 Park Ave</t>
  </si>
  <si>
    <t>30 Richman Plz</t>
  </si>
  <si>
    <t>1072 Woodycrest Ave</t>
  </si>
  <si>
    <t>2315 2nd Ave</t>
  </si>
  <si>
    <t>535 E 142nd St</t>
  </si>
  <si>
    <t>5 Buchanan Pl</t>
  </si>
  <si>
    <t>939 Intervale Ave</t>
  </si>
  <si>
    <t>301 E 108th St</t>
  </si>
  <si>
    <t>580 W 215th St</t>
  </si>
  <si>
    <t>535 Union Ave</t>
  </si>
  <si>
    <t>725 Miller Ave</t>
  </si>
  <si>
    <t>79 W 182nd St</t>
  </si>
  <si>
    <t>1161 Intervale Ave</t>
  </si>
  <si>
    <t>303 W 154th St</t>
  </si>
  <si>
    <t>10-22 Fairview Ave</t>
  </si>
  <si>
    <t>2823 Sedgwick Ave</t>
  </si>
  <si>
    <t>2010 Lexington Ave</t>
  </si>
  <si>
    <t>1820 Phelan Pl</t>
  </si>
  <si>
    <t>414 E 94th St</t>
  </si>
  <si>
    <t>1434 Jesup Ave</t>
  </si>
  <si>
    <t>195 Madison St</t>
  </si>
  <si>
    <t>195 Stanton St</t>
  </si>
  <si>
    <t>5 Buchan Place</t>
  </si>
  <si>
    <t>238 E 111th St</t>
  </si>
  <si>
    <t>1841 Univ Ave</t>
  </si>
  <si>
    <t>1356 Walton Ave</t>
  </si>
  <si>
    <t>506 W 151st St</t>
  </si>
  <si>
    <t>120 Vermilyea Ave</t>
  </si>
  <si>
    <t>601 W 190th St</t>
  </si>
  <si>
    <t>8806 Parsons Blvd</t>
  </si>
  <si>
    <t>105 Elliot Pl</t>
  </si>
  <si>
    <t>163 W 170th St</t>
  </si>
  <si>
    <t>127 E 107th St</t>
  </si>
  <si>
    <t>107 E 126th St # 129</t>
  </si>
  <si>
    <t>2855 Claflin Ave</t>
  </si>
  <si>
    <t>6 W Farms Square Plz</t>
  </si>
  <si>
    <t>1325 Eastern Pkwy</t>
  </si>
  <si>
    <t>801 Glenmore Ave</t>
  </si>
  <si>
    <t>2156 Cruger Ave</t>
  </si>
  <si>
    <t>305 Decatur St</t>
  </si>
  <si>
    <t>100 E 118th St</t>
  </si>
  <si>
    <t>78 Post Ave</t>
  </si>
  <si>
    <t>1416 Walton Ave</t>
  </si>
  <si>
    <t>561 W 186th St</t>
  </si>
  <si>
    <t>1808 Everdell Ave</t>
  </si>
  <si>
    <t>2558 Grand Concourse</t>
  </si>
  <si>
    <t>1104 Manor Ave</t>
  </si>
  <si>
    <t>15 E 199th St</t>
  </si>
  <si>
    <t>1889 Sedgwick Ave</t>
  </si>
  <si>
    <t>3536 Hull Ave</t>
  </si>
  <si>
    <t>289 Fountain Ave</t>
  </si>
  <si>
    <t>1908 Belmont Ave</t>
  </si>
  <si>
    <t>680 Cauldwell Ave</t>
  </si>
  <si>
    <t>153 E 105th St</t>
  </si>
  <si>
    <t>3424 Knox Pl</t>
  </si>
  <si>
    <t>2855 8th Ave</t>
  </si>
  <si>
    <t>1069 Sterling Pl</t>
  </si>
  <si>
    <t>866 E 165th St</t>
  </si>
  <si>
    <t>4255 Colden St</t>
  </si>
  <si>
    <t>1652 Univ Ave</t>
  </si>
  <si>
    <t>9 Fordham Hill Oval</t>
  </si>
  <si>
    <t>946 Leggett Ave</t>
  </si>
  <si>
    <t>611 W 148th St</t>
  </si>
  <si>
    <t>1563 Unionport Rd</t>
  </si>
  <si>
    <t>9841 64th Rd</t>
  </si>
  <si>
    <t>1014 60th St</t>
  </si>
  <si>
    <t>706 Brook Ave</t>
  </si>
  <si>
    <t>1971 Webster Ave</t>
  </si>
  <si>
    <t>1414 Wythe Pl</t>
  </si>
  <si>
    <t>228 Crystal St</t>
  </si>
  <si>
    <t>1045 Anderson Ave</t>
  </si>
  <si>
    <t>299 Rockaway Pkwy</t>
  </si>
  <si>
    <t>301 Audubon Ave</t>
  </si>
  <si>
    <t>58 E 132nd St</t>
  </si>
  <si>
    <t>1781 Riverside Dr</t>
  </si>
  <si>
    <t>1775 Walton Ave</t>
  </si>
  <si>
    <t>2130 1st Ave</t>
  </si>
  <si>
    <t>120 Beach 19th St</t>
  </si>
  <si>
    <t>979 42nd St</t>
  </si>
  <si>
    <t>15 Marcy Pl</t>
  </si>
  <si>
    <t>3141 137th St</t>
  </si>
  <si>
    <t>173 Avenue B</t>
  </si>
  <si>
    <t>85 Ada Dr</t>
  </si>
  <si>
    <t>1846 Prospect Pl</t>
  </si>
  <si>
    <t>7 Hegeman Ave</t>
  </si>
  <si>
    <t>1952 1st Ave</t>
  </si>
  <si>
    <t>2021 Seagirt BLVD</t>
  </si>
  <si>
    <t>2890 8th Ave</t>
  </si>
  <si>
    <t>2320 Aqueduct Ave</t>
  </si>
  <si>
    <t>35 E Clarke Pl</t>
  </si>
  <si>
    <t>516 Van Siclen Ave</t>
  </si>
  <si>
    <t>570 W 204th St</t>
  </si>
  <si>
    <t>524 E 119th St</t>
  </si>
  <si>
    <t>603 Isham St</t>
  </si>
  <si>
    <t>249 Thomas S Boyland St</t>
  </si>
  <si>
    <t>267 W 152nd St</t>
  </si>
  <si>
    <t>1359 Dickens St</t>
  </si>
  <si>
    <t>66 Vermilyea Ave</t>
  </si>
  <si>
    <t>463 E 147th St</t>
  </si>
  <si>
    <t>11 Metropolitan Oval</t>
  </si>
  <si>
    <t>2291 1/2 2nd Ave</t>
  </si>
  <si>
    <t>2710 Morris Ave</t>
  </si>
  <si>
    <t>90-96 Stontan street</t>
  </si>
  <si>
    <t>680 Saint Nicholas Ave</t>
  </si>
  <si>
    <t>1490 Dumont Ave</t>
  </si>
  <si>
    <t>438 E 120th St</t>
  </si>
  <si>
    <t>1004 Mongomery st</t>
  </si>
  <si>
    <t>1770 Townsend Ave</t>
  </si>
  <si>
    <t>2593 8th Ave</t>
  </si>
  <si>
    <t>11 Mckeever Pl</t>
  </si>
  <si>
    <t>2021 Lexington Ave</t>
  </si>
  <si>
    <t>95 W 162nd St</t>
  </si>
  <si>
    <t>16 Marble Hill Ave</t>
  </si>
  <si>
    <t>1115 Fdr Dr</t>
  </si>
  <si>
    <t>2630 Kingsbridge Ter</t>
  </si>
  <si>
    <t>1644 Madison Ave</t>
  </si>
  <si>
    <t>2305 Linden Blvd</t>
  </si>
  <si>
    <t>1900 Belmont Ave</t>
  </si>
  <si>
    <t>900 ogden ave</t>
  </si>
  <si>
    <t>156 Allen St</t>
  </si>
  <si>
    <t>5815 Snyder Ave</t>
  </si>
  <si>
    <t>1456 Greene Ave</t>
  </si>
  <si>
    <t>1767 Davidson Ave</t>
  </si>
  <si>
    <t>2321 1st Ave</t>
  </si>
  <si>
    <t>4240 160th St</t>
  </si>
  <si>
    <t>2204 Fulton St</t>
  </si>
  <si>
    <t>600 Concord Ave</t>
  </si>
  <si>
    <t>55 W 166th St</t>
  </si>
  <si>
    <t>238 W 122nd St</t>
  </si>
  <si>
    <t>1215 Grand Concourse</t>
  </si>
  <si>
    <t>611 Academy St</t>
  </si>
  <si>
    <t>743 Hunts Point Ave</t>
  </si>
  <si>
    <t>1515 Selwyn Ave</t>
  </si>
  <si>
    <t>1127 Nameoke St</t>
  </si>
  <si>
    <t>9610 57th Ave</t>
  </si>
  <si>
    <t>285 3rd Ave</t>
  </si>
  <si>
    <t>4004 Bowne St</t>
  </si>
  <si>
    <t>1530 plimpton street</t>
  </si>
  <si>
    <t>47 W 175th St</t>
  </si>
  <si>
    <t>1715 Nelson Ave</t>
  </si>
  <si>
    <t>2315 Creston Ave</t>
  </si>
  <si>
    <t>21 Pennsylvania Ave</t>
  </si>
  <si>
    <t>617 W 143rd St</t>
  </si>
  <si>
    <t>1113 Grant Ave</t>
  </si>
  <si>
    <t>1972 Walton Ave</t>
  </si>
  <si>
    <t>620 W 190th St</t>
  </si>
  <si>
    <t>2539 Radcliff Ave</t>
  </si>
  <si>
    <t>1864 7th Ave</t>
  </si>
  <si>
    <t>19 Vermilyea Ave</t>
  </si>
  <si>
    <t>125 Sherman Ave</t>
  </si>
  <si>
    <t>7215 41st Ave</t>
  </si>
  <si>
    <t>440 E 6th St</t>
  </si>
  <si>
    <t>1404 E 58th St</t>
  </si>
  <si>
    <t>3 Haven Plz</t>
  </si>
  <si>
    <t>107 E 126th St</t>
  </si>
  <si>
    <t>601 W 180th St</t>
  </si>
  <si>
    <t>10626 77th St</t>
  </si>
  <si>
    <t>3406 Jordan St</t>
  </si>
  <si>
    <t>175 E 105th St</t>
  </si>
  <si>
    <t>1940 Andrews Ave S</t>
  </si>
  <si>
    <t>1950 Clove Rd</t>
  </si>
  <si>
    <t>614 Saint Nicholas Ave</t>
  </si>
  <si>
    <t>122 E 103rd St</t>
  </si>
  <si>
    <t>1343 Merriam Ave</t>
  </si>
  <si>
    <t>2330 5th Ave</t>
  </si>
  <si>
    <t>4672 Broadway</t>
  </si>
  <si>
    <t>209 E 110th St</t>
  </si>
  <si>
    <t>660 E 98th St</t>
  </si>
  <si>
    <t>212 Saint Nicholas Ave</t>
  </si>
  <si>
    <t>1520 Sedgwick Ave</t>
  </si>
  <si>
    <t>14 Mount Morris Park W</t>
  </si>
  <si>
    <t>601 W 57th St</t>
  </si>
  <si>
    <t>972 Eastern Pkwy</t>
  </si>
  <si>
    <t>33 Catherine St</t>
  </si>
  <si>
    <t>1777 Grand Concourse</t>
  </si>
  <si>
    <t>102 Odell Clark Pl</t>
  </si>
  <si>
    <t>1970 Walton Ave</t>
  </si>
  <si>
    <t>225 E 106th St</t>
  </si>
  <si>
    <t>1636 Lexington Ave</t>
  </si>
  <si>
    <t>1590 Madison ave</t>
  </si>
  <si>
    <t>3353 82nd St</t>
  </si>
  <si>
    <t>2866 E 196th St</t>
  </si>
  <si>
    <t>185 E 162nd St</t>
  </si>
  <si>
    <t>413 E 114th St</t>
  </si>
  <si>
    <t>344 fort Washington ave</t>
  </si>
  <si>
    <t>11 W 172nd St</t>
  </si>
  <si>
    <t>4415 Colden St</t>
  </si>
  <si>
    <t>217 Thomas S Boyland St</t>
  </si>
  <si>
    <t>115 Ocean Ave</t>
  </si>
  <si>
    <t>969 43rd St</t>
  </si>
  <si>
    <t>1163 Prospect Ave</t>
  </si>
  <si>
    <t>76 5th Ave</t>
  </si>
  <si>
    <t>536 E 96th St</t>
  </si>
  <si>
    <t>341 Chester St</t>
  </si>
  <si>
    <t>240 Lott Ave</t>
  </si>
  <si>
    <t>1092 Willmohr st</t>
  </si>
  <si>
    <t>715 Riverdale Ave</t>
  </si>
  <si>
    <t>350 Snediker Ave</t>
  </si>
  <si>
    <t>56 E Tremont Ave</t>
  </si>
  <si>
    <t>45 Victory Blvd</t>
  </si>
  <si>
    <t>549 Isham Street</t>
  </si>
  <si>
    <t>3333 Broadway</t>
  </si>
  <si>
    <t>1749 Grand Concourse</t>
  </si>
  <si>
    <t>127 Miller Ave</t>
  </si>
  <si>
    <t>1352 Dickens St</t>
  </si>
  <si>
    <t>208 Grafton St</t>
  </si>
  <si>
    <t>99 Arlo Rd</t>
  </si>
  <si>
    <t>3971 Gouverneur Ave</t>
  </si>
  <si>
    <t>414 E 119th St</t>
  </si>
  <si>
    <t>500 E 134th St</t>
  </si>
  <si>
    <t>112 E 103rd St</t>
  </si>
  <si>
    <t>889 Saratoga Ave</t>
  </si>
  <si>
    <t>1004 Montgomery st</t>
  </si>
  <si>
    <t>668 Pennsylvania ave</t>
  </si>
  <si>
    <t>540 W 145th St</t>
  </si>
  <si>
    <t>148 Marcus Garvey Blvd</t>
  </si>
  <si>
    <t>335 E 115th St # 7</t>
  </si>
  <si>
    <t>25 Post Ave</t>
  </si>
  <si>
    <t>22 E 112th St</t>
  </si>
  <si>
    <t>124 E 117th St</t>
  </si>
  <si>
    <t>222 Logan St</t>
  </si>
  <si>
    <t>48 Post Ave</t>
  </si>
  <si>
    <t>546 Isham St</t>
  </si>
  <si>
    <t>592 W 178th St</t>
  </si>
  <si>
    <t>332 E 109th St</t>
  </si>
  <si>
    <t>2695 Heath Ave</t>
  </si>
  <si>
    <t>899 Montgomery st</t>
  </si>
  <si>
    <t>55 Nagle Ave</t>
  </si>
  <si>
    <t>152 Marcus Garvey Blvd</t>
  </si>
  <si>
    <t>494 E 167th St # 496</t>
  </si>
  <si>
    <t>14420 41st ave</t>
  </si>
  <si>
    <t>1344 Southern Blvd</t>
  </si>
  <si>
    <t>2295 2nd Ave</t>
  </si>
  <si>
    <t>506 W 178th St</t>
  </si>
  <si>
    <t>392 Rockaway Pkwy</t>
  </si>
  <si>
    <t>2300 Kings Hwy</t>
  </si>
  <si>
    <t>444 E 187th St</t>
  </si>
  <si>
    <t>205 E 17th St</t>
  </si>
  <si>
    <t>1970 85th St</t>
  </si>
  <si>
    <t>825 Boynton Ave</t>
  </si>
  <si>
    <t>10 E 116th St</t>
  </si>
  <si>
    <t>1 W 182nd St</t>
  </si>
  <si>
    <t>524 W 134th St</t>
  </si>
  <si>
    <t>517 W 212th St</t>
  </si>
  <si>
    <t>873 Intervale Ave</t>
  </si>
  <si>
    <t>163 E 106th St</t>
  </si>
  <si>
    <t>211 Essex St</t>
  </si>
  <si>
    <t>2230 Tiebout Ave</t>
  </si>
  <si>
    <t>26 Post Ave</t>
  </si>
  <si>
    <t>205 Sumpter St</t>
  </si>
  <si>
    <t>765 Macdonough St</t>
  </si>
  <si>
    <t>72 Richardson St</t>
  </si>
  <si>
    <t>1235 Morris Ave</t>
  </si>
  <si>
    <t>645 Central Ave</t>
  </si>
  <si>
    <t>1380 Univ Ave</t>
  </si>
  <si>
    <t>601 W 162nd St</t>
  </si>
  <si>
    <t>2226 Loring Pl N</t>
  </si>
  <si>
    <t>2342 Atlantic Ave</t>
  </si>
  <si>
    <t>1617 Bergen St</t>
  </si>
  <si>
    <t>1214 Shakespeare Ave</t>
  </si>
  <si>
    <t>121 Sherman Ave</t>
  </si>
  <si>
    <t>1212 Grand Concourse</t>
  </si>
  <si>
    <t>300 Grove St</t>
  </si>
  <si>
    <t>1515 Grand Concourse</t>
  </si>
  <si>
    <t>1047 Nelson Ave</t>
  </si>
  <si>
    <t>395 Woodbine St</t>
  </si>
  <si>
    <t>1685 Topping Ave</t>
  </si>
  <si>
    <t>117 Sherman Ave</t>
  </si>
  <si>
    <t>3852 10th Ave</t>
  </si>
  <si>
    <t>521 W 185th St</t>
  </si>
  <si>
    <t>181 Rockaway Pkwy</t>
  </si>
  <si>
    <t>1133 Ogden Avenue</t>
  </si>
  <si>
    <t>600 W 204th St</t>
  </si>
  <si>
    <t>115 E Mosholu Pkwy N</t>
  </si>
  <si>
    <t>231 Sherman Ave</t>
  </si>
  <si>
    <t>578 Academy St</t>
  </si>
  <si>
    <t>470 2nd Ave</t>
  </si>
  <si>
    <t>1405 Walton Ave</t>
  </si>
  <si>
    <t>22 Post Ave</t>
  </si>
  <si>
    <t>662 Halsey St</t>
  </si>
  <si>
    <t>1677 Saint Johns Pl</t>
  </si>
  <si>
    <t>418 New Jersey Ave</t>
  </si>
  <si>
    <t>184 Mount Eden Pkwy</t>
  </si>
  <si>
    <t>222 E 104th St</t>
  </si>
  <si>
    <t>100 Irving Pl</t>
  </si>
  <si>
    <t>2800 University Ave</t>
  </si>
  <si>
    <t>590 W 204th St</t>
  </si>
  <si>
    <t>3505 Broadway</t>
  </si>
  <si>
    <t>806 Drew St</t>
  </si>
  <si>
    <t>115 Hamilton Pl</t>
  </si>
  <si>
    <t>189 Sherman Ave</t>
  </si>
  <si>
    <t>13324 sanford ave</t>
  </si>
  <si>
    <t>532 W 145th St</t>
  </si>
  <si>
    <t>220 Nichols Ave</t>
  </si>
  <si>
    <t>1916 Loring Pl S</t>
  </si>
  <si>
    <t>231 E 117th St</t>
  </si>
  <si>
    <t>200 Marcy Pl</t>
  </si>
  <si>
    <t>160 Vermilyea Ave</t>
  </si>
  <si>
    <t>10 Vermilyea Ave</t>
  </si>
  <si>
    <t>875 Boynton Ave</t>
  </si>
  <si>
    <t>127 miller ave</t>
  </si>
  <si>
    <t>327 Vernon Ave</t>
  </si>
  <si>
    <t>1604 Bedford Ave</t>
  </si>
  <si>
    <t>511 W 179th St</t>
  </si>
  <si>
    <t>484 E Houston St</t>
  </si>
  <si>
    <t>2567 Decatur Ave</t>
  </si>
  <si>
    <t>362 Audubon Ave</t>
  </si>
  <si>
    <t>901 Walton Ave</t>
  </si>
  <si>
    <t>120 Veronica Pl</t>
  </si>
  <si>
    <t>1414 White Plains Rd</t>
  </si>
  <si>
    <t>38 Post Ave</t>
  </si>
  <si>
    <t>253 57th St</t>
  </si>
  <si>
    <t>33 Indian Rd</t>
  </si>
  <si>
    <t>300 E 119th St</t>
  </si>
  <si>
    <t>760 Eldert Ln</t>
  </si>
  <si>
    <t>225 E 118th St</t>
  </si>
  <si>
    <t>296 Miles Ave</t>
  </si>
  <si>
    <t>1898 Belmont Ave</t>
  </si>
  <si>
    <t>1399 Saint Johns Pl</t>
  </si>
  <si>
    <t>75 E 95th St</t>
  </si>
  <si>
    <t>3011 Heath Ave</t>
  </si>
  <si>
    <t>1459 Wythe Pl</t>
  </si>
  <si>
    <t>339 E 118th St</t>
  </si>
  <si>
    <t>350 Sheffield Ave</t>
  </si>
  <si>
    <t>1188 Grand Concourse</t>
  </si>
  <si>
    <t>1457 Ogden Ave</t>
  </si>
  <si>
    <t>34 Post Ave</t>
  </si>
  <si>
    <t>399 Kosciuszko St</t>
  </si>
  <si>
    <t>1477 Townsend Ave</t>
  </si>
  <si>
    <t>206 E 117th St</t>
  </si>
  <si>
    <t>100 Cooper St</t>
  </si>
  <si>
    <t>1661 Saint Johns Pl</t>
  </si>
  <si>
    <t>165 Nagle Ave</t>
  </si>
  <si>
    <t>1515 Macombs Rd</t>
  </si>
  <si>
    <t>165 E 99th St</t>
  </si>
  <si>
    <t>2026 Nostrand Ave</t>
  </si>
  <si>
    <t>1971 Grand Ave</t>
  </si>
  <si>
    <t>146 Marcus Garvey Blvd</t>
  </si>
  <si>
    <t>1036B Rev James A Polite Ave</t>
  </si>
  <si>
    <t>230 Clinton St</t>
  </si>
  <si>
    <t>315 Pulaski St</t>
  </si>
  <si>
    <t>347 W 55th St</t>
  </si>
  <si>
    <t>137 E 110th St</t>
  </si>
  <si>
    <t>122 E 102nd St</t>
  </si>
  <si>
    <t>979 42nd st</t>
  </si>
  <si>
    <t>77 Columbia St</t>
  </si>
  <si>
    <t>314 Chauncey St</t>
  </si>
  <si>
    <t>1774 Townsend Ave</t>
  </si>
  <si>
    <t>5421 Beverley Rd</t>
  </si>
  <si>
    <t>1309 5th Ave</t>
  </si>
  <si>
    <t>1315 Eastern Pkwy</t>
  </si>
  <si>
    <t>2569 Adam Clayton Powell Jr Blvd</t>
  </si>
  <si>
    <t>344 Marion St</t>
  </si>
  <si>
    <t>240 Nagle Ave</t>
  </si>
  <si>
    <t>603 Academy st</t>
  </si>
  <si>
    <t>328 E 78th St</t>
  </si>
  <si>
    <t>41 Park Ter W</t>
  </si>
  <si>
    <t>2925 Grand Concourse</t>
  </si>
  <si>
    <t>2049 5th Ave</t>
  </si>
  <si>
    <t>82 Rutgers Slip</t>
  </si>
  <si>
    <t>208 E 117th St</t>
  </si>
  <si>
    <t>221 E 111th St</t>
  </si>
  <si>
    <t>1004 Montgomery St</t>
  </si>
  <si>
    <t>502 W 213th St</t>
  </si>
  <si>
    <t>910 Grand Concourse</t>
  </si>
  <si>
    <t>229 Seaman ave</t>
  </si>
  <si>
    <t>105 E 117th St</t>
  </si>
  <si>
    <t>2505 Aqueduct Ave</t>
  </si>
  <si>
    <t>31 Park Ter W</t>
  </si>
  <si>
    <t>216 Newport St</t>
  </si>
  <si>
    <t>5008 Broadway</t>
  </si>
  <si>
    <t>711A Seagirt Ave</t>
  </si>
  <si>
    <t>101 Post Ave</t>
  </si>
  <si>
    <t>152 Sherman Ave</t>
  </si>
  <si>
    <t>35 Thayer St</t>
  </si>
  <si>
    <t>171 Clinton Ave</t>
  </si>
  <si>
    <t>7 Navy Pier Ct</t>
  </si>
  <si>
    <t>605 Louisiana Ave</t>
  </si>
  <si>
    <t>462 E 115th St</t>
  </si>
  <si>
    <t>609 W 158th St</t>
  </si>
  <si>
    <t>119 Rockaway Pkwy</t>
  </si>
  <si>
    <t>1434 Ogden Ave</t>
  </si>
  <si>
    <t>1553 Dekalb Ave</t>
  </si>
  <si>
    <t>60 Thayer St</t>
  </si>
  <si>
    <t>1482 Montgomery Ave</t>
  </si>
  <si>
    <t>91 Broad St</t>
  </si>
  <si>
    <t>15 Sandra Ln</t>
  </si>
  <si>
    <t>140 Vermilyea Ave</t>
  </si>
  <si>
    <t>107 E 100th St</t>
  </si>
  <si>
    <t>178 Avenue D</t>
  </si>
  <si>
    <t>1600 Sedgwick Ave</t>
  </si>
  <si>
    <t>454 E 119th St</t>
  </si>
  <si>
    <t>618 Academy St</t>
  </si>
  <si>
    <t>508 W 136th St</t>
  </si>
  <si>
    <t>2108 Ryer Ave</t>
  </si>
  <si>
    <t>1415 Bristow St</t>
  </si>
  <si>
    <t>139 Beach St</t>
  </si>
  <si>
    <t>333 Beach 32nd St</t>
  </si>
  <si>
    <t>1115 Harding Park</t>
  </si>
  <si>
    <t>1806 1st Ave</t>
  </si>
  <si>
    <t>633 E 186th St</t>
  </si>
  <si>
    <t>2364 Crotona Ave</t>
  </si>
  <si>
    <t>1414 Walton Ave</t>
  </si>
  <si>
    <t>7002 Parsons Blvd</t>
  </si>
  <si>
    <t>125 W Tremont Ave</t>
  </si>
  <si>
    <t>565 W 162nd St</t>
  </si>
  <si>
    <t>3432 Olinville Ave</t>
  </si>
  <si>
    <t>939 Thomas S Boyland St</t>
  </si>
  <si>
    <t>2100 Tiebout Ave</t>
  </si>
  <si>
    <t>1249 Clay Ave</t>
  </si>
  <si>
    <t>168 Sherman Ave</t>
  </si>
  <si>
    <t>3212 Cruger Ave</t>
  </si>
  <si>
    <t>3902 111th St</t>
  </si>
  <si>
    <t>220 Osgood Ave</t>
  </si>
  <si>
    <t>120 Chauncey St</t>
  </si>
  <si>
    <t>64 Vermilyea Ave</t>
  </si>
  <si>
    <t>643 Central Ave</t>
  </si>
  <si>
    <t>175 Trantor Pl</t>
  </si>
  <si>
    <t>40 Richman Plz</t>
  </si>
  <si>
    <t>3354 83rd St</t>
  </si>
  <si>
    <t>4237 Union St</t>
  </si>
  <si>
    <t>182 Nagle Ave</t>
  </si>
  <si>
    <t>2 Elmwood Park Dr</t>
  </si>
  <si>
    <t>2007 Lafontaine Ave</t>
  </si>
  <si>
    <t>155 Borden Ave</t>
  </si>
  <si>
    <t>709 Fairmount Pl</t>
  </si>
  <si>
    <t>1520 sedgwick ave</t>
  </si>
  <si>
    <t>40 Prospect St</t>
  </si>
  <si>
    <t>2860 Decatur Ave</t>
  </si>
  <si>
    <t>725 Garden St</t>
  </si>
  <si>
    <t>2022 3rd Ave</t>
  </si>
  <si>
    <t>1015 Bay 31st St</t>
  </si>
  <si>
    <t>170 Vermilyea Ave</t>
  </si>
  <si>
    <t>5025 Broadway</t>
  </si>
  <si>
    <t>559 W 156th St</t>
  </si>
  <si>
    <t>660 Nereid Ave</t>
  </si>
  <si>
    <t>2187 Strauss St</t>
  </si>
  <si>
    <t>805 adee ave</t>
  </si>
  <si>
    <t>1540 Walton Ave</t>
  </si>
  <si>
    <t>562 W 189th St</t>
  </si>
  <si>
    <t>20 Arden St</t>
  </si>
  <si>
    <t>3507 147th St</t>
  </si>
  <si>
    <t>134 Scribner Ave</t>
  </si>
  <si>
    <t>85 Seaman Ave</t>
  </si>
  <si>
    <t>675 E 140th St</t>
  </si>
  <si>
    <t>1189 Tinton Ave</t>
  </si>
  <si>
    <t>100 W 162nd St</t>
  </si>
  <si>
    <t>14 Thayer St</t>
  </si>
  <si>
    <t>990 Anderson Ave</t>
  </si>
  <si>
    <t>20 sherman Ave</t>
  </si>
  <si>
    <t>1175 Findlay Ave</t>
  </si>
  <si>
    <t>603 Academy St</t>
  </si>
  <si>
    <t>1050 Carroll Pl</t>
  </si>
  <si>
    <t>508 W 180th St</t>
  </si>
  <si>
    <t>2695 Briggs Ave</t>
  </si>
  <si>
    <t>73 Vermilyea Ave</t>
  </si>
  <si>
    <t>518 W 204th St</t>
  </si>
  <si>
    <t>50 E 168th St</t>
  </si>
  <si>
    <t>66 W 126th St</t>
  </si>
  <si>
    <t>25 Saint Felix St</t>
  </si>
  <si>
    <t>1111 Gerard Ave</t>
  </si>
  <si>
    <t>2028 Cross Bronx Expy</t>
  </si>
  <si>
    <t>1590 E 172nd St</t>
  </si>
  <si>
    <t>21820 Merrick Blvd</t>
  </si>
  <si>
    <t>1551 Williamsbridge Rd</t>
  </si>
  <si>
    <t>73-83 Vermilyea Avenue</t>
  </si>
  <si>
    <t>9 Sherman Ave</t>
  </si>
  <si>
    <t>128 Fort Washington Ave</t>
  </si>
  <si>
    <t>30 Post Ave</t>
  </si>
  <si>
    <t>1920 Loring Pl S</t>
  </si>
  <si>
    <t>1652 Park Ave</t>
  </si>
  <si>
    <t>541 Isham St</t>
  </si>
  <si>
    <t>509 W 212th St</t>
  </si>
  <si>
    <t>357 E 193rd St</t>
  </si>
  <si>
    <t>2430 7th Ave</t>
  </si>
  <si>
    <t>780 Concourse Vlg W</t>
  </si>
  <si>
    <t>2293 3rd Ave</t>
  </si>
  <si>
    <t>221 Sherman Ave</t>
  </si>
  <si>
    <t>315 E 103rd St</t>
  </si>
  <si>
    <t>506 W 170th St</t>
  </si>
  <si>
    <t>19 Hill St</t>
  </si>
  <si>
    <t>541 W 133rd St</t>
  </si>
  <si>
    <t>418 W 130th St</t>
  </si>
  <si>
    <t>8806 parsons blvd</t>
  </si>
  <si>
    <t>2078 2nd Ave</t>
  </si>
  <si>
    <t>5009 Broadway</t>
  </si>
  <si>
    <t>65 E Gun Hill Rd</t>
  </si>
  <si>
    <t>667 Brooklyn Ave</t>
  </si>
  <si>
    <t>177 E 101st St</t>
  </si>
  <si>
    <t>1049 Montgomery St</t>
  </si>
  <si>
    <t>221 Seaman Ave</t>
  </si>
  <si>
    <t>3620 Bowne St</t>
  </si>
  <si>
    <t>157 Vermilyea Ave</t>
  </si>
  <si>
    <t>14809 Northern blvd</t>
  </si>
  <si>
    <t>3110 Bainbridge Ave</t>
  </si>
  <si>
    <t>57 Wadsworth Ave</t>
  </si>
  <si>
    <t>50 W 139th St</t>
  </si>
  <si>
    <t>1370 Saint Nicholas Ave</t>
  </si>
  <si>
    <t>184 Nagle Ave</t>
  </si>
  <si>
    <t>252 Sherman Ave</t>
  </si>
  <si>
    <t>70 Post Ave</t>
  </si>
  <si>
    <t>140 Wadsworth Ave</t>
  </si>
  <si>
    <t>4848 Broadway</t>
  </si>
  <si>
    <t>616 W 207th St</t>
  </si>
  <si>
    <t>70 E 127th St</t>
  </si>
  <si>
    <t>888 Grand Concourse</t>
  </si>
  <si>
    <t>531 W 211th St</t>
  </si>
  <si>
    <t>980 Bergen St</t>
  </si>
  <si>
    <t>60 E 196th St</t>
  </si>
  <si>
    <t>1475 Sheridan Ave</t>
  </si>
  <si>
    <t>460n Brielle Ave</t>
  </si>
  <si>
    <t>251 Sherman Ave</t>
  </si>
  <si>
    <t>1160 Cromwell Ave</t>
  </si>
  <si>
    <t>1405 5th Ave</t>
  </si>
  <si>
    <t>304 E 156th St</t>
  </si>
  <si>
    <t>1315 Merriam Ave</t>
  </si>
  <si>
    <t>433 Rogers Ave</t>
  </si>
  <si>
    <t>1307 Merriam Ave</t>
  </si>
  <si>
    <t>108 Norwood Ave</t>
  </si>
  <si>
    <t>14435 Roosevelt Ave</t>
  </si>
  <si>
    <t>10 West 182nd Street</t>
  </si>
  <si>
    <t>420 E 102nd St</t>
  </si>
  <si>
    <t>2071 Walton Ave</t>
  </si>
  <si>
    <t>176 Nagle Ave # 182</t>
  </si>
  <si>
    <t>271 Hawthorne St</t>
  </si>
  <si>
    <t>1703 Woodbine St</t>
  </si>
  <si>
    <t>535 Jackson Ave</t>
  </si>
  <si>
    <t>112 W 117th St</t>
  </si>
  <si>
    <t>57-63 Wadsworth Terrace</t>
  </si>
  <si>
    <t>274a 9th St</t>
  </si>
  <si>
    <t>820 Colgate Ave</t>
  </si>
  <si>
    <t>3115 Sedgwick Ave</t>
  </si>
  <si>
    <t>10 Kimberly Ln</t>
  </si>
  <si>
    <t>1940 Andrews Ave</t>
  </si>
  <si>
    <t>252 E 112th St</t>
  </si>
  <si>
    <t>97 Macon St</t>
  </si>
  <si>
    <t>1 Saint Pauls Ct</t>
  </si>
  <si>
    <t>169 Washington Park</t>
  </si>
  <si>
    <t>1154 Stratford Ave</t>
  </si>
  <si>
    <t>221 E 106th St</t>
  </si>
  <si>
    <t>21 E 127th St</t>
  </si>
  <si>
    <t>453 E 117th St</t>
  </si>
  <si>
    <t>1311 Merriam Ave</t>
  </si>
  <si>
    <t>209 Ralph Ave</t>
  </si>
  <si>
    <t>9036 149th St</t>
  </si>
  <si>
    <t>8815 168th St</t>
  </si>
  <si>
    <t>149 E 118th St</t>
  </si>
  <si>
    <t>14848 88th Ave</t>
  </si>
  <si>
    <t>215 E 164th St</t>
  </si>
  <si>
    <t>880 Colgate Ave</t>
  </si>
  <si>
    <t>1900 Lexington Ave</t>
  </si>
  <si>
    <t>1295 5th Ave</t>
  </si>
  <si>
    <t>10 Park Ter E</t>
  </si>
  <si>
    <t>57 Wadsworth Ter # 63</t>
  </si>
  <si>
    <t>952 Aldus St</t>
  </si>
  <si>
    <t>482 Fort Washington Ave</t>
  </si>
  <si>
    <t>820 Boynton Ave</t>
  </si>
  <si>
    <t>20 Seaman Ave</t>
  </si>
  <si>
    <t>460 Brielle Ave</t>
  </si>
  <si>
    <t>814 Marcy ave</t>
  </si>
  <si>
    <t>600 W 218th St</t>
  </si>
  <si>
    <t>460N Brielle Ave</t>
  </si>
  <si>
    <t>38 Park Hill Ct</t>
  </si>
  <si>
    <t>1115 1st Ave</t>
  </si>
  <si>
    <t>2386 Ryer Ave</t>
  </si>
  <si>
    <t>108 E Clarke Pl</t>
  </si>
  <si>
    <t>122 Beach 59th St</t>
  </si>
  <si>
    <t>5707 Shore Front Pkwy</t>
  </si>
  <si>
    <t>249 Beach 15th St</t>
  </si>
  <si>
    <t>14710 105th Ave</t>
  </si>
  <si>
    <t>11724 126th St</t>
  </si>
  <si>
    <t>8526 Dumont Ave</t>
  </si>
  <si>
    <t>10008 157th Ave</t>
  </si>
  <si>
    <t>15817 Sanford Ave</t>
  </si>
  <si>
    <t>13446 Maple Ave</t>
  </si>
  <si>
    <t>140-40 34th Ave</t>
  </si>
  <si>
    <t>14725 Northern Blvd</t>
  </si>
  <si>
    <t>13702 Northern Blvd</t>
  </si>
  <si>
    <t>84 MacDougal St</t>
  </si>
  <si>
    <t>542 Bainbridge St</t>
  </si>
  <si>
    <t>350 Sterling St</t>
  </si>
  <si>
    <t>214 Wakeman Pl</t>
  </si>
  <si>
    <t>64 Herkimer St</t>
  </si>
  <si>
    <t>250 12th St</t>
  </si>
  <si>
    <t>1023 Hegeman Ave</t>
  </si>
  <si>
    <t>333 Milford St</t>
  </si>
  <si>
    <t>465 Elton St</t>
  </si>
  <si>
    <t>932 Belmont Ave</t>
  </si>
  <si>
    <t>376 Autumn Ave</t>
  </si>
  <si>
    <t>415 Lincoln Ave</t>
  </si>
  <si>
    <t>1049 Glenmore Ave</t>
  </si>
  <si>
    <t>642 Eldert Ln</t>
  </si>
  <si>
    <t>71 Pilling St</t>
  </si>
  <si>
    <t>144 Jamaica Ave</t>
  </si>
  <si>
    <t>2324 Pitkin Ave</t>
  </si>
  <si>
    <t>814 Knickerbocker Ave</t>
  </si>
  <si>
    <t>412 Pulaski St</t>
  </si>
  <si>
    <t>721 Willoughby Ave</t>
  </si>
  <si>
    <t>855 E 217th St</t>
  </si>
  <si>
    <t>950 East 176th Street</t>
  </si>
  <si>
    <t>1775 Davidson Ave</t>
  </si>
  <si>
    <t>955 Walton Ave</t>
  </si>
  <si>
    <t>930 Ogden Ave</t>
  </si>
  <si>
    <t>1064 Woodycrest Ave</t>
  </si>
  <si>
    <t>240 Park Hill Ave</t>
  </si>
  <si>
    <t>141 Park Hill Ave</t>
  </si>
  <si>
    <t>31 Oxford Pl</t>
  </si>
  <si>
    <t>93 Scribner Ave</t>
  </si>
  <si>
    <t>115 Stuyvesant Pl</t>
  </si>
  <si>
    <t>110 Henderson Ave</t>
  </si>
  <si>
    <t>1465 5th Ave</t>
  </si>
  <si>
    <t>1961 Madison Ave</t>
  </si>
  <si>
    <t>123 Vermilyea Ave</t>
  </si>
  <si>
    <t>500 W 213th St</t>
  </si>
  <si>
    <t>5057 Broadway</t>
  </si>
  <si>
    <t>97-103 Seaman Avenue</t>
  </si>
  <si>
    <t>164 Sherman Ave</t>
  </si>
  <si>
    <t>321 Edgecombe Ave</t>
  </si>
  <si>
    <t>2067 7th ave</t>
  </si>
  <si>
    <t>21 W 106th St</t>
  </si>
  <si>
    <t>241 W 36th St</t>
  </si>
  <si>
    <t>140 17th St</t>
  </si>
  <si>
    <t>1628 Lincoln Pl</t>
  </si>
  <si>
    <t>1729 Walton Ave</t>
  </si>
  <si>
    <t>1626 Lexington Ave</t>
  </si>
  <si>
    <t>25910 Hillside Ave</t>
  </si>
  <si>
    <t>537 E 81st St</t>
  </si>
  <si>
    <t>1920 Union St</t>
  </si>
  <si>
    <t>735 Lincoln Ave</t>
  </si>
  <si>
    <t>1293 E New York Ave</t>
  </si>
  <si>
    <t>1490 Boston Rd</t>
  </si>
  <si>
    <t>1765 Townsend Ave</t>
  </si>
  <si>
    <t>350 New Lots Ave</t>
  </si>
  <si>
    <t>185 Park Hill Ave</t>
  </si>
  <si>
    <t>1038 White Plains Rd</t>
  </si>
  <si>
    <t>9720 Van Wyck Expy</t>
  </si>
  <si>
    <t>664 Richmond Rd</t>
  </si>
  <si>
    <t>430 New Jersey Ave</t>
  </si>
  <si>
    <t>27 Truxton St</t>
  </si>
  <si>
    <t>60A Bainbridge St</t>
  </si>
  <si>
    <t>1408 Brooklyn Ave</t>
  </si>
  <si>
    <t>486 Jersey St</t>
  </si>
  <si>
    <t>1741 Norman St</t>
  </si>
  <si>
    <t>1115 Anderson Ave</t>
  </si>
  <si>
    <t>1520 Sedgwick ave</t>
  </si>
  <si>
    <t>1352 Dickens St.</t>
  </si>
  <si>
    <t>1010 Bryant Ave</t>
  </si>
  <si>
    <t>283 Linden St</t>
  </si>
  <si>
    <t>2017 Cornaga Ave</t>
  </si>
  <si>
    <t>127E 107 St</t>
  </si>
  <si>
    <t>30 3rd Ave</t>
  </si>
  <si>
    <t>1625 Fulton St</t>
  </si>
  <si>
    <t>41a Lombard Ct</t>
  </si>
  <si>
    <t>691 Halsey St</t>
  </si>
  <si>
    <t>1398 Bushwick Ave</t>
  </si>
  <si>
    <t>2170 Atlantic Ave</t>
  </si>
  <si>
    <t>276 Cooper St</t>
  </si>
  <si>
    <t>1212 Loring Ave</t>
  </si>
  <si>
    <t>45 Elliot Pl</t>
  </si>
  <si>
    <t>2081 Morris Ave</t>
  </si>
  <si>
    <t>4056 Baychester Ave</t>
  </si>
  <si>
    <t>1632 Undercliff Ave</t>
  </si>
  <si>
    <t>1779 Southern BLVD</t>
  </si>
  <si>
    <t>666 W 188th St</t>
  </si>
  <si>
    <t>298 Covert St</t>
  </si>
  <si>
    <t>2255 Creston Ave</t>
  </si>
  <si>
    <t>1821 Univ Ave</t>
  </si>
  <si>
    <t>2258 Grand Ave</t>
  </si>
  <si>
    <t>2737 Marion Ave</t>
  </si>
  <si>
    <t>134 Beach 59th St</t>
  </si>
  <si>
    <t>1660 Fulton St</t>
  </si>
  <si>
    <t>385 Chestnut St</t>
  </si>
  <si>
    <t>1114 Ward AVe</t>
  </si>
  <si>
    <t>35 E 176th St</t>
  </si>
  <si>
    <t>1849 Sedgwick Ave</t>
  </si>
  <si>
    <t>1230 Woodycrest Ave</t>
  </si>
  <si>
    <t>274 E 93rd St</t>
  </si>
  <si>
    <t>3713 12th Ave</t>
  </si>
  <si>
    <t>14337 38th Ave</t>
  </si>
  <si>
    <t>960 Grand Concourse</t>
  </si>
  <si>
    <t>1750 Sedgwick Ave</t>
  </si>
  <si>
    <t>609 W 196th St</t>
  </si>
  <si>
    <t>216 Rockaway Ave</t>
  </si>
  <si>
    <t>1935 Bergen st</t>
  </si>
  <si>
    <t>294 5th Ave</t>
  </si>
  <si>
    <t>682 Macdonough St</t>
  </si>
  <si>
    <t>830 E 163rd St</t>
  </si>
  <si>
    <t>2322 Loring Pl N</t>
  </si>
  <si>
    <t>594 Targee St</t>
  </si>
  <si>
    <t>11 Saint Marys Ave</t>
  </si>
  <si>
    <t>1873 Park Pl</t>
  </si>
  <si>
    <t>1000 Anderson Ave</t>
  </si>
  <si>
    <t>1240 Walton Ave</t>
  </si>
  <si>
    <t>1520 Sheridan Ave</t>
  </si>
  <si>
    <t>1935 Bergen St</t>
  </si>
  <si>
    <t>771 Herkimer St</t>
  </si>
  <si>
    <t>2164 Ellis Ave</t>
  </si>
  <si>
    <t>161 Boerum St</t>
  </si>
  <si>
    <t>1381 E New York Ave</t>
  </si>
  <si>
    <t>4865 Broadway</t>
  </si>
  <si>
    <t>2158 Dean st</t>
  </si>
  <si>
    <t>14345 Sanford Ave</t>
  </si>
  <si>
    <t>11 Pine St</t>
  </si>
  <si>
    <t>543 Sheffield Ave</t>
  </si>
  <si>
    <t>1419 Stanley Ave</t>
  </si>
  <si>
    <t>50 Oxford Pl</t>
  </si>
  <si>
    <t>97 Euclid Ave</t>
  </si>
  <si>
    <t>556 Thomas S Boyland St</t>
  </si>
  <si>
    <t>473 PENNSYLVANIA AVE</t>
  </si>
  <si>
    <t>1368 Eggert Pl</t>
  </si>
  <si>
    <t>73 E 96th St</t>
  </si>
  <si>
    <t>8713 97th Ave</t>
  </si>
  <si>
    <t>437 Wyona St</t>
  </si>
  <si>
    <t>143 Hull St</t>
  </si>
  <si>
    <t>180 Park Hill Ave</t>
  </si>
  <si>
    <t>844 New Lots Ave</t>
  </si>
  <si>
    <t>12 Reynolds St</t>
  </si>
  <si>
    <t>487 Elton St</t>
  </si>
  <si>
    <t>1760 Madison Ave</t>
  </si>
  <si>
    <t>365 Thatford ave</t>
  </si>
  <si>
    <t>452 53rd St</t>
  </si>
  <si>
    <t>35 Norwood Ave</t>
  </si>
  <si>
    <t>25-31 Post Avenue</t>
  </si>
  <si>
    <t>1933 Union St</t>
  </si>
  <si>
    <t>2601 Glenwood Rd</t>
  </si>
  <si>
    <t>1390 Greene Ave</t>
  </si>
  <si>
    <t>1878 Harrison Ave</t>
  </si>
  <si>
    <t>975 42nd St</t>
  </si>
  <si>
    <t>1904 Bergen St</t>
  </si>
  <si>
    <t>1730 Harrison Ave</t>
  </si>
  <si>
    <t>144-67 41st Street</t>
  </si>
  <si>
    <t>580 Sutter Ave</t>
  </si>
  <si>
    <t>2030 Walton Ave</t>
  </si>
  <si>
    <t>3124 Greenpoint Ave</t>
  </si>
  <si>
    <t>166 W 118th St</t>
  </si>
  <si>
    <t>1715 Walton Ave</t>
  </si>
  <si>
    <t>1800 Pitkin Ave</t>
  </si>
  <si>
    <t>4960 Broadway</t>
  </si>
  <si>
    <t>7250 153rd St</t>
  </si>
  <si>
    <t>2060 Pitkin Ave</t>
  </si>
  <si>
    <t>10 W 182nd St</t>
  </si>
  <si>
    <t>278 Oder Ave</t>
  </si>
  <si>
    <t>2776 Valentine Ave</t>
  </si>
  <si>
    <t>10 Richman Plz</t>
  </si>
  <si>
    <t>1408 New York Ave</t>
  </si>
  <si>
    <t>1175 Gerard Ave</t>
  </si>
  <si>
    <t>1136 44th Dr</t>
  </si>
  <si>
    <t>2244 Morris Ave</t>
  </si>
  <si>
    <t>486 Williams Ave</t>
  </si>
  <si>
    <t>545 Bradford St</t>
  </si>
  <si>
    <t>1805 Pitkin Ave</t>
  </si>
  <si>
    <t>142 Brighton Ave</t>
  </si>
  <si>
    <t>1820 Loring Pl S</t>
  </si>
  <si>
    <t>10837 37th Dr</t>
  </si>
  <si>
    <t>110 W End Ave</t>
  </si>
  <si>
    <t>1424 Dekalb Ave</t>
  </si>
  <si>
    <t>588 Wyona St</t>
  </si>
  <si>
    <t>2457 Belmont Ave</t>
  </si>
  <si>
    <t>164 Winter Ave</t>
  </si>
  <si>
    <t>140 Winter Ave</t>
  </si>
  <si>
    <t>88 Seaman Ave</t>
  </si>
  <si>
    <t>132 Scribner Ave</t>
  </si>
  <si>
    <t>30 Ebbitts St</t>
  </si>
  <si>
    <t>779 Concourse Vlg E</t>
  </si>
  <si>
    <t>1696 Nelson Ave</t>
  </si>
  <si>
    <t>1339 Bristow St</t>
  </si>
  <si>
    <t>180 Broad St</t>
  </si>
  <si>
    <t>279 Van Siclen Ave</t>
  </si>
  <si>
    <t>72 Villanova St</t>
  </si>
  <si>
    <t>130 Vandalia Ave</t>
  </si>
  <si>
    <t>505 W 167th St</t>
  </si>
  <si>
    <t>1796 Fulton St</t>
  </si>
  <si>
    <t>55 Winthrop St</t>
  </si>
  <si>
    <t>176-182  Nagle Avenue</t>
  </si>
  <si>
    <t>1015 Grand Concourse</t>
  </si>
  <si>
    <t>161 E 96th St</t>
  </si>
  <si>
    <t>3395 Nostrand Ave</t>
  </si>
  <si>
    <t>37 Avon Pl</t>
  </si>
  <si>
    <t>6623 Ridge Blvd</t>
  </si>
  <si>
    <t>455 Decatur St</t>
  </si>
  <si>
    <t>1054 Walton Ave</t>
  </si>
  <si>
    <t>50 Vandalia Ave</t>
  </si>
  <si>
    <t>925 Saratoga Ave</t>
  </si>
  <si>
    <t>485 17th St</t>
  </si>
  <si>
    <t>272 Sherman Ave</t>
  </si>
  <si>
    <t>40 Wyckoff St</t>
  </si>
  <si>
    <t>347 E 119th St</t>
  </si>
  <si>
    <t>13720 45th Ave</t>
  </si>
  <si>
    <t>1630 Macombs Rd</t>
  </si>
  <si>
    <t>51 Coursen Pl</t>
  </si>
  <si>
    <t>1652 Popham Ave</t>
  </si>
  <si>
    <t>2249 Webster Ave</t>
  </si>
  <si>
    <t>1207 Ogden Ave</t>
  </si>
  <si>
    <t>353 Himrod St</t>
  </si>
  <si>
    <t>26-47A Far Rockaway</t>
  </si>
  <si>
    <t>260 Park Hill Ave</t>
  </si>
  <si>
    <t>165 Saint Marks Pl</t>
  </si>
  <si>
    <t>130 Elliot Pl</t>
  </si>
  <si>
    <t>115 Marcy Pl</t>
  </si>
  <si>
    <t>26 Tessa Ct</t>
  </si>
  <si>
    <t>37 Castleton Ave</t>
  </si>
  <si>
    <t>218 Broad St</t>
  </si>
  <si>
    <t>20214 Hollis Ave</t>
  </si>
  <si>
    <t>124 E 177th St</t>
  </si>
  <si>
    <t>20 E 179th St</t>
  </si>
  <si>
    <t>1306 Saint Johns Pl</t>
  </si>
  <si>
    <t>83 Ryerson St</t>
  </si>
  <si>
    <t>350 Vanderbilt Ave</t>
  </si>
  <si>
    <t>177 E 117th st</t>
  </si>
  <si>
    <t>125 Sherman Avenue</t>
  </si>
  <si>
    <t>1194 Nelson Ave</t>
  </si>
  <si>
    <t>318 E 126th St</t>
  </si>
  <si>
    <t>145 E 126th St</t>
  </si>
  <si>
    <t>1410 New Haven Ave</t>
  </si>
  <si>
    <t>2170 Univ Ave</t>
  </si>
  <si>
    <t>760 E;dert Lane</t>
  </si>
  <si>
    <t>31 Mount Hope Pl # 30</t>
  </si>
  <si>
    <t>2 Elton st</t>
  </si>
  <si>
    <t>921 Brighton 1st Rd</t>
  </si>
  <si>
    <t>514 W 213th St</t>
  </si>
  <si>
    <t>719 Miller Ave</t>
  </si>
  <si>
    <t>1304 Merriam Ave</t>
  </si>
  <si>
    <t>2064 Bergen St</t>
  </si>
  <si>
    <t>3230 93rd St</t>
  </si>
  <si>
    <t>1426 Loring Ave</t>
  </si>
  <si>
    <t>444 2nd Ave</t>
  </si>
  <si>
    <t>419 East 137th Street</t>
  </si>
  <si>
    <t>2574 Bedford Ave</t>
  </si>
  <si>
    <t>327 Van Duzer St</t>
  </si>
  <si>
    <t>819 Meehan Ave</t>
  </si>
  <si>
    <t>320 Vanderbilt Ave</t>
  </si>
  <si>
    <t>350 65th St</t>
  </si>
  <si>
    <t>813 Crown St</t>
  </si>
  <si>
    <t>702 Rockaway Ave</t>
  </si>
  <si>
    <t>19 Monroe St</t>
  </si>
  <si>
    <t>15 Featherbed Ln</t>
  </si>
  <si>
    <t>37 Granite St</t>
  </si>
  <si>
    <t>382 Burgher Ave</t>
  </si>
  <si>
    <t>796 Halsey St</t>
  </si>
  <si>
    <t>900 Ogden Ave</t>
  </si>
  <si>
    <t>90 Downing St</t>
  </si>
  <si>
    <t>191 Orchard St</t>
  </si>
  <si>
    <t>517 W 160th St</t>
  </si>
  <si>
    <t>3905 Carpenter Ave</t>
  </si>
  <si>
    <t>1014 Gerard Ave</t>
  </si>
  <si>
    <t>9013 Fort Hamilton Pkwy</t>
  </si>
  <si>
    <t>580 Maple St</t>
  </si>
  <si>
    <t>10956 164th Pl</t>
  </si>
  <si>
    <t>74 W 165th St</t>
  </si>
  <si>
    <t>114 Townsend Ave</t>
  </si>
  <si>
    <t>465 Elton st</t>
  </si>
  <si>
    <t>855 E 19th St</t>
  </si>
  <si>
    <t>113 Sherman Ave</t>
  </si>
  <si>
    <t>941 Faile St</t>
  </si>
  <si>
    <t>125 Lenox Rd</t>
  </si>
  <si>
    <t>179 Riverdale Ave</t>
  </si>
  <si>
    <t>103 Vermilyea Ave</t>
  </si>
  <si>
    <t>285 E 91st St</t>
  </si>
  <si>
    <t>125 Beach 19th St</t>
  </si>
  <si>
    <t>6361 Yellowstone Blvd</t>
  </si>
  <si>
    <t>209 E 118th St</t>
  </si>
  <si>
    <t>1128 Brunswick Ave</t>
  </si>
  <si>
    <t>1331 Bay St</t>
  </si>
  <si>
    <t>1870 Crotona Ave</t>
  </si>
  <si>
    <t>3502 Kings Hwy</t>
  </si>
  <si>
    <t>2029 Shore Blvd</t>
  </si>
  <si>
    <t>1869 Eastern Pkwy</t>
  </si>
  <si>
    <t>115 E 115th St</t>
  </si>
  <si>
    <t>424 W 110th St</t>
  </si>
  <si>
    <t>134-25 Franklin Ave</t>
  </si>
  <si>
    <t>127 W 141st St</t>
  </si>
  <si>
    <t>168 E 108th St</t>
  </si>
  <si>
    <t>57 Laurel Ave</t>
  </si>
  <si>
    <t>1895 Morris Ave</t>
  </si>
  <si>
    <t>510 W 150th St</t>
  </si>
  <si>
    <t>307 Elton St</t>
  </si>
  <si>
    <t>74 Eldert St</t>
  </si>
  <si>
    <t>1041 Nelson Ave</t>
  </si>
  <si>
    <t>3415 Parsons Blvd</t>
  </si>
  <si>
    <t>69 W Burnside Ave</t>
  </si>
  <si>
    <t>107 Post Ave</t>
  </si>
  <si>
    <t>161 W 9th St</t>
  </si>
  <si>
    <t>1505 Saint Marks Ave</t>
  </si>
  <si>
    <t>8938 91st St</t>
  </si>
  <si>
    <t>120 Kenilworth Pl</t>
  </si>
  <si>
    <t>3517 146th St</t>
  </si>
  <si>
    <t>567 Decatur St</t>
  </si>
  <si>
    <t>393 Chauncey St</t>
  </si>
  <si>
    <t>402 Jersey St</t>
  </si>
  <si>
    <t>1654 Sterling Pl</t>
  </si>
  <si>
    <t>149 E 96th st</t>
  </si>
  <si>
    <t>1605 Walton Ave</t>
  </si>
  <si>
    <t>921 Saint Marks Ave</t>
  </si>
  <si>
    <t>150 Nevins St</t>
  </si>
  <si>
    <t>149 E 96th St</t>
  </si>
  <si>
    <t>822 Knickerbocker Ave</t>
  </si>
  <si>
    <t>841 Halsey St</t>
  </si>
  <si>
    <t>105 E 168th St</t>
  </si>
  <si>
    <t>912 Greene Ave</t>
  </si>
  <si>
    <t>16611 144th Dr</t>
  </si>
  <si>
    <t>482 Riverdale Ave</t>
  </si>
  <si>
    <t>228 Nagle Ave</t>
  </si>
  <si>
    <t>1146 President St</t>
  </si>
  <si>
    <t>1501 Undercliff Ave</t>
  </si>
  <si>
    <t>241 Green Valley Rd</t>
  </si>
  <si>
    <t>2080 1st Ave</t>
  </si>
  <si>
    <t>466 Alabama Ave</t>
  </si>
  <si>
    <t>90 Park Ave</t>
  </si>
  <si>
    <t>106 Gerry St</t>
  </si>
  <si>
    <t>3640 Bowne st</t>
  </si>
  <si>
    <t>2110 Fulton St</t>
  </si>
  <si>
    <t>198 Clarkson Ave</t>
  </si>
  <si>
    <t>159-04 Sanford Avemue</t>
  </si>
  <si>
    <t>55 Bowen St</t>
  </si>
  <si>
    <t>7212 4th Ave</t>
  </si>
  <si>
    <t>387 Shepherd Ave</t>
  </si>
  <si>
    <t>237 E 115th St</t>
  </si>
  <si>
    <t>1717 Walton Ave</t>
  </si>
  <si>
    <t>656 W 204th St</t>
  </si>
  <si>
    <t>330 E 100th St</t>
  </si>
  <si>
    <t>2904 Altantic Avenue</t>
  </si>
  <si>
    <t>354 Saratoga Ave</t>
  </si>
  <si>
    <t>644 W 185th St</t>
  </si>
  <si>
    <t>185 Saint Marks Pl</t>
  </si>
  <si>
    <t>306 Ellery St</t>
  </si>
  <si>
    <t>155 W 162nd St</t>
  </si>
  <si>
    <t>350 Bergen St</t>
  </si>
  <si>
    <t>4110 bowne st</t>
  </si>
  <si>
    <t>189 Sherman Avenue</t>
  </si>
  <si>
    <t>676 Willoughby Ave</t>
  </si>
  <si>
    <t>50 E 191st St</t>
  </si>
  <si>
    <t>14432 35th Ave</t>
  </si>
  <si>
    <t>117 S 4th St</t>
  </si>
  <si>
    <t>1580 Thieriot Ave</t>
  </si>
  <si>
    <t>1534 Nelson Ave</t>
  </si>
  <si>
    <t>3731 Crescent St</t>
  </si>
  <si>
    <t>46-10 Crane St</t>
  </si>
  <si>
    <t>4278 3rd Ave</t>
  </si>
  <si>
    <t>920 Prospect Ave</t>
  </si>
  <si>
    <t>92 E 53rd St</t>
  </si>
  <si>
    <t>9132 114th St</t>
  </si>
  <si>
    <t>51 E 129th St # 55</t>
  </si>
  <si>
    <t>1711 Davidson Ave</t>
  </si>
  <si>
    <t>1295 Grand Concourse</t>
  </si>
  <si>
    <t>639 Eastern Pkwy</t>
  </si>
  <si>
    <t>686 Academy St</t>
  </si>
  <si>
    <t>347 Chester St</t>
  </si>
  <si>
    <t>2818 38th Ave</t>
  </si>
  <si>
    <t>470 W 166th St</t>
  </si>
  <si>
    <t>1696 Vyse Ave</t>
  </si>
  <si>
    <t>341 E 19th St</t>
  </si>
  <si>
    <t>240 Howard Ave</t>
  </si>
  <si>
    <t>351 Legion St</t>
  </si>
  <si>
    <t>482 Ridgewood Ave</t>
  </si>
  <si>
    <t>345 Bedford Ave</t>
  </si>
  <si>
    <t>165 Rockaway Pkwy</t>
  </si>
  <si>
    <t>194 Ralph Ave</t>
  </si>
  <si>
    <t>152 E 171st St</t>
  </si>
  <si>
    <t>4128 Haight St</t>
  </si>
  <si>
    <t>109 Sherman Ave</t>
  </si>
  <si>
    <t>330 Macdougal St</t>
  </si>
  <si>
    <t>1062 Elton St</t>
  </si>
  <si>
    <t>10335 41st Ave</t>
  </si>
  <si>
    <t>9-15 Post Avenue</t>
  </si>
  <si>
    <t>571 W 139th St</t>
  </si>
  <si>
    <t>54 S Elliott Pl</t>
  </si>
  <si>
    <t>156 E 178th St</t>
  </si>
  <si>
    <t>125 Schroeders Ave</t>
  </si>
  <si>
    <t>319 Beach 98th St</t>
  </si>
  <si>
    <t>1030 Carroll St</t>
  </si>
  <si>
    <t>59 Thompson St</t>
  </si>
  <si>
    <t>13 E 9th St</t>
  </si>
  <si>
    <t>319 3rd St</t>
  </si>
  <si>
    <t>193 Chestnut St</t>
  </si>
  <si>
    <t>2929 Beach Channel Dr</t>
  </si>
  <si>
    <t>36 Ellwood St</t>
  </si>
  <si>
    <t>902 Drew St</t>
  </si>
  <si>
    <t>778 Woodward ave</t>
  </si>
  <si>
    <t>179 Milford St</t>
  </si>
  <si>
    <t>140 Henry St</t>
  </si>
  <si>
    <t>13870 Elder Ave</t>
  </si>
  <si>
    <t>163 E 115th St</t>
  </si>
  <si>
    <t>349 Rockaway Pkwy</t>
  </si>
  <si>
    <t>1990 lexington ave</t>
  </si>
  <si>
    <t>102 W 183rd St</t>
  </si>
  <si>
    <t>72 Vermilyea Ave</t>
  </si>
  <si>
    <t>2353 Pacific St</t>
  </si>
  <si>
    <t>2210 New Haven Ave</t>
  </si>
  <si>
    <t>1365 Saint Nicholas Ave</t>
  </si>
  <si>
    <t>135 W 176th St</t>
  </si>
  <si>
    <t>63 Post Ave</t>
  </si>
  <si>
    <t>100 Stuyvesant Pl</t>
  </si>
  <si>
    <t>986 Rutland Rd</t>
  </si>
  <si>
    <t>2065 Creston Ave</t>
  </si>
  <si>
    <t>185 E 92nd St</t>
  </si>
  <si>
    <t>832 Linden Blvd</t>
  </si>
  <si>
    <t>405 E 16th St</t>
  </si>
  <si>
    <t>2264 Grand Ave</t>
  </si>
  <si>
    <t>2411 2nd Ave</t>
  </si>
  <si>
    <t>611 E 76th St</t>
  </si>
  <si>
    <t>428 Ashford St</t>
  </si>
  <si>
    <t>115 E 116th St</t>
  </si>
  <si>
    <t>234 8th St</t>
  </si>
  <si>
    <t>19401 A 64th Cir</t>
  </si>
  <si>
    <t>1092 Willmohr St</t>
  </si>
  <si>
    <t>212 Beach 29th St</t>
  </si>
  <si>
    <t>1485 Macombs Rd</t>
  </si>
  <si>
    <t>16834 127th Ave</t>
  </si>
  <si>
    <t>2021 Seagirt Blvd</t>
  </si>
  <si>
    <t>444 E 82nd St</t>
  </si>
  <si>
    <t>1871 Sedgwick Ave</t>
  </si>
  <si>
    <t>336 Elton St</t>
  </si>
  <si>
    <t>1512 Townsend Ave</t>
  </si>
  <si>
    <t>182 Ralph Ave</t>
  </si>
  <si>
    <t>14745 Barclay Ave</t>
  </si>
  <si>
    <t>257 Jersey St</t>
  </si>
  <si>
    <t>37 Avon pl</t>
  </si>
  <si>
    <t>280 Park Hill Ave</t>
  </si>
  <si>
    <t>765 Lincoln Ave</t>
  </si>
  <si>
    <t>1180 Anderson Ave</t>
  </si>
  <si>
    <t>440 E 137th St</t>
  </si>
  <si>
    <t>40 Thayer St</t>
  </si>
  <si>
    <t>101 sherman ave</t>
  </si>
  <si>
    <t>3406 45th St</t>
  </si>
  <si>
    <t>526 W 158th St</t>
  </si>
  <si>
    <t>8806 Pasons Blvd</t>
  </si>
  <si>
    <t>13257 Sanford Ave</t>
  </si>
  <si>
    <t>119 Ellwood St</t>
  </si>
  <si>
    <t>2935 Ocean Pkwy</t>
  </si>
  <si>
    <t>1940 Pacific st</t>
  </si>
  <si>
    <t>245 Lenox Rd</t>
  </si>
  <si>
    <t>711D Seagrit Avenue</t>
  </si>
  <si>
    <t>1490 Hornell Loop</t>
  </si>
  <si>
    <t>444 Euclid Ave</t>
  </si>
  <si>
    <t>3738 84th St</t>
  </si>
  <si>
    <t>1092 President St</t>
  </si>
  <si>
    <t>1302 Pacific St</t>
  </si>
  <si>
    <t>1090 Saint Nicholas Ave</t>
  </si>
  <si>
    <t>645 Ocean Ave</t>
  </si>
  <si>
    <t>2015 Creston Ave</t>
  </si>
  <si>
    <t>140 Park Hill Ave</t>
  </si>
  <si>
    <t>434 Rogers Ave</t>
  </si>
  <si>
    <t>145 Highland Pl</t>
  </si>
  <si>
    <t>22 E 104th St</t>
  </si>
  <si>
    <t>413 Westervelt Ave</t>
  </si>
  <si>
    <t>2066 Morris Ave</t>
  </si>
  <si>
    <t>737 Liberty Ave</t>
  </si>
  <si>
    <t>566 Vanderbilt Ave</t>
  </si>
  <si>
    <t>963 Anderson Ave</t>
  </si>
  <si>
    <t>1238 Simpson St</t>
  </si>
  <si>
    <t>3802 Glenwood Rd</t>
  </si>
  <si>
    <t>607 New Jersey Ave</t>
  </si>
  <si>
    <t>1890 sTILLWELL aVE</t>
  </si>
  <si>
    <t>545 W 162nd St</t>
  </si>
  <si>
    <t>643 Willoughby Ave</t>
  </si>
  <si>
    <t>620 49th St</t>
  </si>
  <si>
    <t>12 E 116th St</t>
  </si>
  <si>
    <t>995 E 173rd St</t>
  </si>
  <si>
    <t>175 Ardsley Loop</t>
  </si>
  <si>
    <t>319 Beach 68th St</t>
  </si>
  <si>
    <t>1706 Davidson Ave</t>
  </si>
  <si>
    <t>425 W 205th St</t>
  </si>
  <si>
    <t>221 E 122nd St</t>
  </si>
  <si>
    <t>2854 Bronx Park E</t>
  </si>
  <si>
    <t>2027 3rd Ave</t>
  </si>
  <si>
    <t>595 W 207th St</t>
  </si>
  <si>
    <t>204 Sherman Ave</t>
  </si>
  <si>
    <t>215 W 101st St</t>
  </si>
  <si>
    <t>1468 Hoe Ave</t>
  </si>
  <si>
    <t>1118 Intervale Ave</t>
  </si>
  <si>
    <t>120 Alcott Pl</t>
  </si>
  <si>
    <t>9830 57th Ave</t>
  </si>
  <si>
    <t>571 W 175th St</t>
  </si>
  <si>
    <t>2195 Grand Concourse</t>
  </si>
  <si>
    <t>318 Hart St</t>
  </si>
  <si>
    <t>231 Steuben St</t>
  </si>
  <si>
    <t>209 Broad St</t>
  </si>
  <si>
    <t>1432 Crotona Park E</t>
  </si>
  <si>
    <t>60 E 177th St</t>
  </si>
  <si>
    <t>25-31 Post Ave</t>
  </si>
  <si>
    <t>650 W 177th St</t>
  </si>
  <si>
    <t>2525 Beverley Rd</t>
  </si>
  <si>
    <t>577 Isham St</t>
  </si>
  <si>
    <t>3605 164th St</t>
  </si>
  <si>
    <t>82 Marion St</t>
  </si>
  <si>
    <t>331 Alabama Ave</t>
  </si>
  <si>
    <t>69 Pinehurst Ave</t>
  </si>
  <si>
    <t>86 E 94th St</t>
  </si>
  <si>
    <t>67 Manhattan Ave</t>
  </si>
  <si>
    <t>528 Logan Ave</t>
  </si>
  <si>
    <t>561 W 141st St</t>
  </si>
  <si>
    <t>22 E 108th St</t>
  </si>
  <si>
    <t>1629 Lexington Ave</t>
  </si>
  <si>
    <t>14004 Quince Ave</t>
  </si>
  <si>
    <t>477 Gates Ave</t>
  </si>
  <si>
    <t>363 Grand Ave</t>
  </si>
  <si>
    <t>444 Avenue X</t>
  </si>
  <si>
    <t>1646 Union St</t>
  </si>
  <si>
    <t>101 Daniel Low Ter</t>
  </si>
  <si>
    <t>777 Macdonough St</t>
  </si>
  <si>
    <t>23 Fairway Ave</t>
  </si>
  <si>
    <t>2212 Ditmas Ave</t>
  </si>
  <si>
    <t>148 Pennsylvania ave</t>
  </si>
  <si>
    <t>119 E 102nd St</t>
  </si>
  <si>
    <t>15b Dwight St</t>
  </si>
  <si>
    <t>2065 Morris Ave</t>
  </si>
  <si>
    <t>211 Marion St</t>
  </si>
  <si>
    <t>790 Eldert Ln</t>
  </si>
  <si>
    <t>255 Pennsylvania Ave</t>
  </si>
  <si>
    <t>903 Drew St</t>
  </si>
  <si>
    <t>1730 Popham Ave</t>
  </si>
  <si>
    <t>18 Irving Ave</t>
  </si>
  <si>
    <t>210 W 262nd St</t>
  </si>
  <si>
    <t>14018 Ash Ave</t>
  </si>
  <si>
    <t>1970 85th st</t>
  </si>
  <si>
    <t>1319 50th St</t>
  </si>
  <si>
    <t>2087 Creston Ave</t>
  </si>
  <si>
    <t>2020 Walton Ave</t>
  </si>
  <si>
    <t>111 Mount Hope Pl</t>
  </si>
  <si>
    <t>628 Eldert Ln</t>
  </si>
  <si>
    <t>89 Grattan St</t>
  </si>
  <si>
    <t>1881 Sedgwick Ave</t>
  </si>
  <si>
    <t>10825 52nd Ave</t>
  </si>
  <si>
    <t>720 E 31st St</t>
  </si>
  <si>
    <t>2010 Newkirk Ave</t>
  </si>
  <si>
    <t>1068 Willmohr St</t>
  </si>
  <si>
    <t>1324 Forest Ave</t>
  </si>
  <si>
    <t>280 E 91st St</t>
  </si>
  <si>
    <t>1184 Walton Ave</t>
  </si>
  <si>
    <t>312 Stockholm St</t>
  </si>
  <si>
    <t>133 Concord St</t>
  </si>
  <si>
    <t>121 Seaman Ave</t>
  </si>
  <si>
    <t>127 e 107th St</t>
  </si>
  <si>
    <t>1789 Nostrand Ave</t>
  </si>
  <si>
    <t>375 64th St</t>
  </si>
  <si>
    <t>278 Chauncey St</t>
  </si>
  <si>
    <t>675 Lincoln Ave</t>
  </si>
  <si>
    <t>112 W 134th St</t>
  </si>
  <si>
    <t>242 E 106th St</t>
  </si>
  <si>
    <t>2032 Madison Ave</t>
  </si>
  <si>
    <t>34 Hillside Ave</t>
  </si>
  <si>
    <t>34-64 Hillside Avenue</t>
  </si>
  <si>
    <t>6023 Amboy Rd</t>
  </si>
  <si>
    <t>90 Ellwood St</t>
  </si>
  <si>
    <t>1585 Townsend Ave</t>
  </si>
  <si>
    <t>1008 Summit Ave</t>
  </si>
  <si>
    <t>297 Pleasant Ave</t>
  </si>
  <si>
    <t>1711 Fulton St</t>
  </si>
  <si>
    <t>866 E 178th St</t>
  </si>
  <si>
    <t>167 W 81st St</t>
  </si>
  <si>
    <t>1920 Osbourne Pl</t>
  </si>
  <si>
    <t>285 Schenectady Ave</t>
  </si>
  <si>
    <t>171 Morningside Ave</t>
  </si>
  <si>
    <t>256 Seaman Ave</t>
  </si>
  <si>
    <t>1005 E 217th St</t>
  </si>
  <si>
    <t>2155 Grand Concourse</t>
  </si>
  <si>
    <t>70 S Elliott Pl</t>
  </si>
  <si>
    <t>14215 Bascom Ave</t>
  </si>
  <si>
    <t>22 Park Hill Ave</t>
  </si>
  <si>
    <t>248 Sherman Ave</t>
  </si>
  <si>
    <t>3 Quincy St</t>
  </si>
  <si>
    <t>1656 Univ Ave Apt 3n</t>
  </si>
  <si>
    <t>31 Post Ave</t>
  </si>
  <si>
    <t>346 E 65th St</t>
  </si>
  <si>
    <t>516 W 167th St</t>
  </si>
  <si>
    <t>1610 Sedgwick Ave</t>
  </si>
  <si>
    <t>701 Avenue C</t>
  </si>
  <si>
    <t>608-610 West 139th St</t>
  </si>
  <si>
    <t>10 Columbia Pl</t>
  </si>
  <si>
    <t>1971 Marmion Ave</t>
  </si>
  <si>
    <t>333 E 92nd St</t>
  </si>
  <si>
    <t>1487 Shore Pkwy</t>
  </si>
  <si>
    <t>585 E 21st St</t>
  </si>
  <si>
    <t>35 Winthrop St</t>
  </si>
  <si>
    <t>1475 Geneva Loop</t>
  </si>
  <si>
    <t>2505 Bedford Ave</t>
  </si>
  <si>
    <t>1 Marble Hill Ave</t>
  </si>
  <si>
    <t>660 E.98th St</t>
  </si>
  <si>
    <t>1721 Grand Ave</t>
  </si>
  <si>
    <t>43 Sheffield Ave</t>
  </si>
  <si>
    <t>231 E 117th ST</t>
  </si>
  <si>
    <t>260 Fort Washington Ave</t>
  </si>
  <si>
    <t>2076 Creston Ave # 2078</t>
  </si>
  <si>
    <t>312 Evergreen Ave</t>
  </si>
  <si>
    <t>1490 Boone Ave</t>
  </si>
  <si>
    <t>235 W 48th St</t>
  </si>
  <si>
    <t>225 Vandalia Ave</t>
  </si>
  <si>
    <t>2R</t>
  </si>
  <si>
    <t>Basement</t>
  </si>
  <si>
    <t>Apt. 11</t>
  </si>
  <si>
    <t>Private House</t>
  </si>
  <si>
    <t>2C</t>
  </si>
  <si>
    <t>2L</t>
  </si>
  <si>
    <t>2A</t>
  </si>
  <si>
    <t>2-F</t>
  </si>
  <si>
    <t>L5</t>
  </si>
  <si>
    <t>2F</t>
  </si>
  <si>
    <t>1D</t>
  </si>
  <si>
    <t>1-D3</t>
  </si>
  <si>
    <t>3A</t>
  </si>
  <si>
    <t>2nd fl</t>
  </si>
  <si>
    <t>1st floor</t>
  </si>
  <si>
    <t>3D</t>
  </si>
  <si>
    <t>4H</t>
  </si>
  <si>
    <t>7F</t>
  </si>
  <si>
    <t>2B</t>
  </si>
  <si>
    <t>1C</t>
  </si>
  <si>
    <t>D4</t>
  </si>
  <si>
    <t>22E</t>
  </si>
  <si>
    <t>6F</t>
  </si>
  <si>
    <t>6A</t>
  </si>
  <si>
    <t>3R</t>
  </si>
  <si>
    <t>C</t>
  </si>
  <si>
    <t>Apt 3D</t>
  </si>
  <si>
    <t>Apt 4G</t>
  </si>
  <si>
    <t>5J</t>
  </si>
  <si>
    <t>J</t>
  </si>
  <si>
    <t>11F</t>
  </si>
  <si>
    <t>4C</t>
  </si>
  <si>
    <t>A</t>
  </si>
  <si>
    <t>21B</t>
  </si>
  <si>
    <t>6C</t>
  </si>
  <si>
    <t>7H</t>
  </si>
  <si>
    <t>2nd Fl</t>
  </si>
  <si>
    <t>4J</t>
  </si>
  <si>
    <t>1B</t>
  </si>
  <si>
    <t>11B</t>
  </si>
  <si>
    <t>A21</t>
  </si>
  <si>
    <t>1A</t>
  </si>
  <si>
    <t>4F</t>
  </si>
  <si>
    <t>4A</t>
  </si>
  <si>
    <t>1F</t>
  </si>
  <si>
    <t>30J</t>
  </si>
  <si>
    <t>2nd Floor</t>
  </si>
  <si>
    <t>1R</t>
  </si>
  <si>
    <t>Apt 3</t>
  </si>
  <si>
    <t>2D</t>
  </si>
  <si>
    <t>5M</t>
  </si>
  <si>
    <t>1K</t>
  </si>
  <si>
    <t>2-1</t>
  </si>
  <si>
    <t>5E</t>
  </si>
  <si>
    <t>5H</t>
  </si>
  <si>
    <t>1T</t>
  </si>
  <si>
    <t>Apt 2</t>
  </si>
  <si>
    <t>4D</t>
  </si>
  <si>
    <t>3rd FL</t>
  </si>
  <si>
    <t>#3</t>
  </si>
  <si>
    <t>3-R</t>
  </si>
  <si>
    <t>Rear</t>
  </si>
  <si>
    <t>3E</t>
  </si>
  <si>
    <t>3X</t>
  </si>
  <si>
    <t>1st Floor</t>
  </si>
  <si>
    <t>M62</t>
  </si>
  <si>
    <t>3G</t>
  </si>
  <si>
    <t>Apt 3N</t>
  </si>
  <si>
    <t>3FL</t>
  </si>
  <si>
    <t>11E</t>
  </si>
  <si>
    <t>12-E</t>
  </si>
  <si>
    <t>D6</t>
  </si>
  <si>
    <t>S1</t>
  </si>
  <si>
    <t>6-L</t>
  </si>
  <si>
    <t>N54</t>
  </si>
  <si>
    <t>3AS</t>
  </si>
  <si>
    <t>28K</t>
  </si>
  <si>
    <t>1E</t>
  </si>
  <si>
    <t>3 E</t>
  </si>
  <si>
    <t>2nd FL</t>
  </si>
  <si>
    <t>5D</t>
  </si>
  <si>
    <t>3K</t>
  </si>
  <si>
    <t>6D</t>
  </si>
  <si>
    <t>3C</t>
  </si>
  <si>
    <t>4I</t>
  </si>
  <si>
    <t>41B</t>
  </si>
  <si>
    <t>H3</t>
  </si>
  <si>
    <t>Apt 4E</t>
  </si>
  <si>
    <t>7B</t>
  </si>
  <si>
    <t>2E</t>
  </si>
  <si>
    <t>7A</t>
  </si>
  <si>
    <t>4B</t>
  </si>
  <si>
    <t>3J</t>
  </si>
  <si>
    <t>WCD</t>
  </si>
  <si>
    <t>EG</t>
  </si>
  <si>
    <t>8E</t>
  </si>
  <si>
    <t>3I</t>
  </si>
  <si>
    <t>6R</t>
  </si>
  <si>
    <t>1G</t>
  </si>
  <si>
    <t>2G</t>
  </si>
  <si>
    <t>2J</t>
  </si>
  <si>
    <t>Apt. 3D</t>
  </si>
  <si>
    <t>15E</t>
  </si>
  <si>
    <t>5C</t>
  </si>
  <si>
    <t>5F</t>
  </si>
  <si>
    <t>9C</t>
  </si>
  <si>
    <t>5B</t>
  </si>
  <si>
    <t>3F</t>
  </si>
  <si>
    <t>5f</t>
  </si>
  <si>
    <t>9F</t>
  </si>
  <si>
    <t>5I</t>
  </si>
  <si>
    <t>6M</t>
  </si>
  <si>
    <t>4 D</t>
  </si>
  <si>
    <t>9H</t>
  </si>
  <si>
    <t>Apt 1K</t>
  </si>
  <si>
    <t>6E</t>
  </si>
  <si>
    <t>2W</t>
  </si>
  <si>
    <t>12E</t>
  </si>
  <si>
    <t>6B</t>
  </si>
  <si>
    <t>3H</t>
  </si>
  <si>
    <t>5A</t>
  </si>
  <si>
    <t>Apt A2</t>
  </si>
  <si>
    <t>Apt. 3L</t>
  </si>
  <si>
    <t>4R</t>
  </si>
  <si>
    <t>A9</t>
  </si>
  <si>
    <t>D D</t>
  </si>
  <si>
    <t>6N</t>
  </si>
  <si>
    <t>2K</t>
  </si>
  <si>
    <t>4G</t>
  </si>
  <si>
    <t>C14</t>
  </si>
  <si>
    <t>14H</t>
  </si>
  <si>
    <t>8-O</t>
  </si>
  <si>
    <t>1st FL</t>
  </si>
  <si>
    <t>7D</t>
  </si>
  <si>
    <t>3B</t>
  </si>
  <si>
    <t>C2C</t>
  </si>
  <si>
    <t>8M</t>
  </si>
  <si>
    <t>2b</t>
  </si>
  <si>
    <t>12A</t>
  </si>
  <si>
    <t>13A</t>
  </si>
  <si>
    <t>2Q</t>
  </si>
  <si>
    <t>22J</t>
  </si>
  <si>
    <t>Apt D1</t>
  </si>
  <si>
    <t>BSMNT</t>
  </si>
  <si>
    <t>3b</t>
  </si>
  <si>
    <t>B3</t>
  </si>
  <si>
    <t>E8</t>
  </si>
  <si>
    <t>A2</t>
  </si>
  <si>
    <t>D25H</t>
  </si>
  <si>
    <t>7K</t>
  </si>
  <si>
    <t>6-J</t>
  </si>
  <si>
    <t>6J</t>
  </si>
  <si>
    <t>6H</t>
  </si>
  <si>
    <t>6d</t>
  </si>
  <si>
    <t>52A</t>
  </si>
  <si>
    <t>C9</t>
  </si>
  <si>
    <t>8D</t>
  </si>
  <si>
    <t>B</t>
  </si>
  <si>
    <t>10F</t>
  </si>
  <si>
    <t>5c</t>
  </si>
  <si>
    <t>2T</t>
  </si>
  <si>
    <t>33B</t>
  </si>
  <si>
    <t>Apt. 1G</t>
  </si>
  <si>
    <t>E14</t>
  </si>
  <si>
    <t>A5</t>
  </si>
  <si>
    <t>12C</t>
  </si>
  <si>
    <t>Apt. 3A</t>
  </si>
  <si>
    <t>1i</t>
  </si>
  <si>
    <t>A12</t>
  </si>
  <si>
    <t>3N</t>
  </si>
  <si>
    <t>1st Fl.</t>
  </si>
  <si>
    <t>2I</t>
  </si>
  <si>
    <t>Bsm</t>
  </si>
  <si>
    <t>4E</t>
  </si>
  <si>
    <t>1J</t>
  </si>
  <si>
    <t>1I</t>
  </si>
  <si>
    <t>basement</t>
  </si>
  <si>
    <t>1L</t>
  </si>
  <si>
    <t>apt 53</t>
  </si>
  <si>
    <t>5k</t>
  </si>
  <si>
    <t>11P</t>
  </si>
  <si>
    <t>C11</t>
  </si>
  <si>
    <t>10C</t>
  </si>
  <si>
    <t>C10</t>
  </si>
  <si>
    <t>5R</t>
  </si>
  <si>
    <t>52E</t>
  </si>
  <si>
    <t>B-45</t>
  </si>
  <si>
    <t>1M</t>
  </si>
  <si>
    <t>3S</t>
  </si>
  <si>
    <t>5G</t>
  </si>
  <si>
    <t>Apt 1</t>
  </si>
  <si>
    <t>2H</t>
  </si>
  <si>
    <t>4d</t>
  </si>
  <si>
    <t>B8</t>
  </si>
  <si>
    <t>23F</t>
  </si>
  <si>
    <t>4N</t>
  </si>
  <si>
    <t>A3</t>
  </si>
  <si>
    <t>6T</t>
  </si>
  <si>
    <t>5L</t>
  </si>
  <si>
    <t>53B</t>
  </si>
  <si>
    <t>3P</t>
  </si>
  <si>
    <t>4S</t>
  </si>
  <si>
    <t>C5</t>
  </si>
  <si>
    <t>2O</t>
  </si>
  <si>
    <t>3k</t>
  </si>
  <si>
    <t>4K</t>
  </si>
  <si>
    <t>5S</t>
  </si>
  <si>
    <t>3L</t>
  </si>
  <si>
    <t>apt 7</t>
  </si>
  <si>
    <t>Apt. 903</t>
  </si>
  <si>
    <t>8B</t>
  </si>
  <si>
    <t>A6</t>
  </si>
  <si>
    <t>4 FW</t>
  </si>
  <si>
    <t>2M</t>
  </si>
  <si>
    <t>J8</t>
  </si>
  <si>
    <t>3r</t>
  </si>
  <si>
    <t>5-E</t>
  </si>
  <si>
    <t>35D</t>
  </si>
  <si>
    <t>9G</t>
  </si>
  <si>
    <t>F2</t>
  </si>
  <si>
    <t>9J</t>
  </si>
  <si>
    <t>18A</t>
  </si>
  <si>
    <t>6S</t>
  </si>
  <si>
    <t>B4</t>
  </si>
  <si>
    <t>E7</t>
  </si>
  <si>
    <t>B42</t>
  </si>
  <si>
    <t>C1</t>
  </si>
  <si>
    <t>B23</t>
  </si>
  <si>
    <t>H53</t>
  </si>
  <si>
    <t>B22</t>
  </si>
  <si>
    <t>Apt 4D</t>
  </si>
  <si>
    <t>10N</t>
  </si>
  <si>
    <t>6O</t>
  </si>
  <si>
    <t>7J</t>
  </si>
  <si>
    <t>22A</t>
  </si>
  <si>
    <t>18H</t>
  </si>
  <si>
    <t>14F</t>
  </si>
  <si>
    <t>2WN</t>
  </si>
  <si>
    <t>1H</t>
  </si>
  <si>
    <t>C41</t>
  </si>
  <si>
    <t>18K</t>
  </si>
  <si>
    <t>L3F</t>
  </si>
  <si>
    <t>#3D</t>
  </si>
  <si>
    <t>16H</t>
  </si>
  <si>
    <t>E42</t>
  </si>
  <si>
    <t>25B</t>
  </si>
  <si>
    <t>14E</t>
  </si>
  <si>
    <t>23J</t>
  </si>
  <si>
    <t>B53</t>
  </si>
  <si>
    <t>16P</t>
  </si>
  <si>
    <t>4dd</t>
  </si>
  <si>
    <t>4P</t>
  </si>
  <si>
    <t>2a</t>
  </si>
  <si>
    <t>22D</t>
  </si>
  <si>
    <t>#1B</t>
  </si>
  <si>
    <t>F8</t>
  </si>
  <si>
    <t>Apt. B2A</t>
  </si>
  <si>
    <t>3-CAs per</t>
  </si>
  <si>
    <t>Apt. 3B</t>
  </si>
  <si>
    <t>II</t>
  </si>
  <si>
    <t>B24</t>
  </si>
  <si>
    <t>2S</t>
  </si>
  <si>
    <t>23B</t>
  </si>
  <si>
    <t>16A</t>
  </si>
  <si>
    <t>42A</t>
  </si>
  <si>
    <t>20L</t>
  </si>
  <si>
    <t>20B</t>
  </si>
  <si>
    <t>E41</t>
  </si>
  <si>
    <t>6G</t>
  </si>
  <si>
    <t>2l</t>
  </si>
  <si>
    <t>2N</t>
  </si>
  <si>
    <t>24G</t>
  </si>
  <si>
    <t>H41</t>
  </si>
  <si>
    <t>18F</t>
  </si>
  <si>
    <t>25A</t>
  </si>
  <si>
    <t>C2</t>
  </si>
  <si>
    <t>5 C</t>
  </si>
  <si>
    <t>A9B</t>
  </si>
  <si>
    <t>E2</t>
  </si>
  <si>
    <t>Apt 5F</t>
  </si>
  <si>
    <t>5-H</t>
  </si>
  <si>
    <t>20A</t>
  </si>
  <si>
    <t>F14</t>
  </si>
  <si>
    <t>24B</t>
  </si>
  <si>
    <t>1P</t>
  </si>
  <si>
    <t>4c</t>
  </si>
  <si>
    <t>1BB</t>
  </si>
  <si>
    <t>19S</t>
  </si>
  <si>
    <t>C4</t>
  </si>
  <si>
    <t>22K</t>
  </si>
  <si>
    <t>B02</t>
  </si>
  <si>
    <t>A53</t>
  </si>
  <si>
    <t>5e</t>
  </si>
  <si>
    <t>7G</t>
  </si>
  <si>
    <t>6K</t>
  </si>
  <si>
    <t>Apt. 1D</t>
  </si>
  <si>
    <t>BC</t>
  </si>
  <si>
    <t>302W</t>
  </si>
  <si>
    <t>8K</t>
  </si>
  <si>
    <t>1-I</t>
  </si>
  <si>
    <t>1-G</t>
  </si>
  <si>
    <t>12G</t>
  </si>
  <si>
    <t>D2</t>
  </si>
  <si>
    <t>2EF</t>
  </si>
  <si>
    <t>Apt. #3</t>
  </si>
  <si>
    <t>331E</t>
  </si>
  <si>
    <t>10M</t>
  </si>
  <si>
    <t>3-F</t>
  </si>
  <si>
    <t>5BW</t>
  </si>
  <si>
    <t>9B</t>
  </si>
  <si>
    <t>6P</t>
  </si>
  <si>
    <t>E4</t>
  </si>
  <si>
    <t>B11</t>
  </si>
  <si>
    <t>A15</t>
  </si>
  <si>
    <t>N52</t>
  </si>
  <si>
    <t>8A</t>
  </si>
  <si>
    <t>11R</t>
  </si>
  <si>
    <t>9i</t>
  </si>
  <si>
    <t>4-H</t>
  </si>
  <si>
    <t>9K</t>
  </si>
  <si>
    <t>5N</t>
  </si>
  <si>
    <t>#4</t>
  </si>
  <si>
    <t>2-R</t>
  </si>
  <si>
    <t>3 K</t>
  </si>
  <si>
    <t>103W</t>
  </si>
  <si>
    <t>5-J</t>
  </si>
  <si>
    <t>3-U</t>
  </si>
  <si>
    <t>C6</t>
  </si>
  <si>
    <t>B7</t>
  </si>
  <si>
    <t>BT</t>
  </si>
  <si>
    <t>2-G</t>
  </si>
  <si>
    <t>6s</t>
  </si>
  <si>
    <t>6-G</t>
  </si>
  <si>
    <t>205W</t>
  </si>
  <si>
    <t>A8</t>
  </si>
  <si>
    <t>11C</t>
  </si>
  <si>
    <t>211W</t>
  </si>
  <si>
    <t>321E</t>
  </si>
  <si>
    <t>1-N</t>
  </si>
  <si>
    <t>314W</t>
  </si>
  <si>
    <t>11J</t>
  </si>
  <si>
    <t>11D</t>
  </si>
  <si>
    <t>9S</t>
  </si>
  <si>
    <t>2-S</t>
  </si>
  <si>
    <t>108E</t>
  </si>
  <si>
    <t>8I</t>
  </si>
  <si>
    <t>D12</t>
  </si>
  <si>
    <t>Apt. 2B</t>
  </si>
  <si>
    <t>4L</t>
  </si>
  <si>
    <t>304W</t>
  </si>
  <si>
    <t>2-D</t>
  </si>
  <si>
    <t>1-A</t>
  </si>
  <si>
    <t>413E</t>
  </si>
  <si>
    <t>9D</t>
  </si>
  <si>
    <t>319E</t>
  </si>
  <si>
    <t>5-F</t>
  </si>
  <si>
    <t>C101</t>
  </si>
  <si>
    <t>1-C</t>
  </si>
  <si>
    <t>7C</t>
  </si>
  <si>
    <t>5K</t>
  </si>
  <si>
    <t>B5</t>
  </si>
  <si>
    <t>416E</t>
  </si>
  <si>
    <t>17M</t>
  </si>
  <si>
    <t>B2</t>
  </si>
  <si>
    <t>7M</t>
  </si>
  <si>
    <t>206W</t>
  </si>
  <si>
    <t>13G</t>
  </si>
  <si>
    <t>3L-3G</t>
  </si>
  <si>
    <t>6-B</t>
  </si>
  <si>
    <t>C-4</t>
  </si>
  <si>
    <t>10K</t>
  </si>
  <si>
    <t>C30</t>
  </si>
  <si>
    <t>226E</t>
  </si>
  <si>
    <t>204W</t>
  </si>
  <si>
    <t>8F</t>
  </si>
  <si>
    <t>6-D</t>
  </si>
  <si>
    <t>D9</t>
  </si>
  <si>
    <t>10H</t>
  </si>
  <si>
    <t>12L</t>
  </si>
  <si>
    <t>14K</t>
  </si>
  <si>
    <t>B14</t>
  </si>
  <si>
    <t>209W</t>
  </si>
  <si>
    <t>L</t>
  </si>
  <si>
    <t>D-1</t>
  </si>
  <si>
    <t>1-L</t>
  </si>
  <si>
    <t>14J</t>
  </si>
  <si>
    <t>9L</t>
  </si>
  <si>
    <t>18B</t>
  </si>
  <si>
    <t>10E</t>
  </si>
  <si>
    <t>F5</t>
  </si>
  <si>
    <t>C12</t>
  </si>
  <si>
    <t>12K</t>
  </si>
  <si>
    <t>12H</t>
  </si>
  <si>
    <t>17G</t>
  </si>
  <si>
    <t>1-D</t>
  </si>
  <si>
    <t>6L</t>
  </si>
  <si>
    <t>6I</t>
  </si>
  <si>
    <t>4b</t>
  </si>
  <si>
    <t>#5C1</t>
  </si>
  <si>
    <t>L310</t>
  </si>
  <si>
    <t>Apt 10C</t>
  </si>
  <si>
    <t>room 3</t>
  </si>
  <si>
    <t>22H</t>
  </si>
  <si>
    <t>1-J</t>
  </si>
  <si>
    <t>3-E</t>
  </si>
  <si>
    <t>14B</t>
  </si>
  <si>
    <t>4-F</t>
  </si>
  <si>
    <t>32B</t>
  </si>
  <si>
    <t>Apt 17D</t>
  </si>
  <si>
    <t>Apt. 2I</t>
  </si>
  <si>
    <t>Apt D7</t>
  </si>
  <si>
    <t>#1</t>
  </si>
  <si>
    <t>2nd floor</t>
  </si>
  <si>
    <t>2nd</t>
  </si>
  <si>
    <t>#4A</t>
  </si>
  <si>
    <t>16B</t>
  </si>
  <si>
    <t>6W</t>
  </si>
  <si>
    <t>C-307</t>
  </si>
  <si>
    <t>Top Floor</t>
  </si>
  <si>
    <t>2f</t>
  </si>
  <si>
    <t>1-R</t>
  </si>
  <si>
    <t>5-A</t>
  </si>
  <si>
    <t>3-A</t>
  </si>
  <si>
    <t>4M</t>
  </si>
  <si>
    <t>6l</t>
  </si>
  <si>
    <t>2 Flr.</t>
  </si>
  <si>
    <t>1-F</t>
  </si>
  <si>
    <t>F55</t>
  </si>
  <si>
    <t>BB</t>
  </si>
  <si>
    <t>2Y</t>
  </si>
  <si>
    <t>#2A</t>
  </si>
  <si>
    <t>07G</t>
  </si>
  <si>
    <t>D11</t>
  </si>
  <si>
    <t>Apt. 3</t>
  </si>
  <si>
    <t>3rd fl</t>
  </si>
  <si>
    <t>2-A</t>
  </si>
  <si>
    <t>13B</t>
  </si>
  <si>
    <t>4-D</t>
  </si>
  <si>
    <t>BSMT</t>
  </si>
  <si>
    <t>2nd Flr.</t>
  </si>
  <si>
    <t>3M</t>
  </si>
  <si>
    <t>B1</t>
  </si>
  <si>
    <t>17C</t>
  </si>
  <si>
    <t>S51</t>
  </si>
  <si>
    <t>17K</t>
  </si>
  <si>
    <t>1FL</t>
  </si>
  <si>
    <t>25E</t>
  </si>
  <si>
    <t>3 Front</t>
  </si>
  <si>
    <t>1 R</t>
  </si>
  <si>
    <t>room</t>
  </si>
  <si>
    <t>1-B</t>
  </si>
  <si>
    <t>2-E</t>
  </si>
  <si>
    <t>6-H</t>
  </si>
  <si>
    <t>43B</t>
  </si>
  <si>
    <t>5 O</t>
  </si>
  <si>
    <t>10D</t>
  </si>
  <si>
    <t>Apt 5</t>
  </si>
  <si>
    <t>E6</t>
  </si>
  <si>
    <t>51B</t>
  </si>
  <si>
    <t>apt 1</t>
  </si>
  <si>
    <t>7U</t>
  </si>
  <si>
    <t>Apt 2I</t>
  </si>
  <si>
    <t>8O</t>
  </si>
  <si>
    <t>A1</t>
  </si>
  <si>
    <t>Apt 4</t>
  </si>
  <si>
    <t>5W</t>
  </si>
  <si>
    <t>1 E</t>
  </si>
  <si>
    <t>R407</t>
  </si>
  <si>
    <t>42B</t>
  </si>
  <si>
    <t>26B</t>
  </si>
  <si>
    <t>26G</t>
  </si>
  <si>
    <t>4-B</t>
  </si>
  <si>
    <t>2DE</t>
  </si>
  <si>
    <t>Apt. 1K</t>
  </si>
  <si>
    <t>2nd Floor, #2</t>
  </si>
  <si>
    <t>1/2</t>
  </si>
  <si>
    <t>1r</t>
  </si>
  <si>
    <t>1st</t>
  </si>
  <si>
    <t>Apt 1-V</t>
  </si>
  <si>
    <t>C-8</t>
  </si>
  <si>
    <t>E</t>
  </si>
  <si>
    <t>E3</t>
  </si>
  <si>
    <t>6CE</t>
  </si>
  <si>
    <t>32b</t>
  </si>
  <si>
    <t>D10</t>
  </si>
  <si>
    <t>18M</t>
  </si>
  <si>
    <t>22G</t>
  </si>
  <si>
    <t>7T</t>
  </si>
  <si>
    <t>Apt 605</t>
  </si>
  <si>
    <t>Apt. 5-E</t>
  </si>
  <si>
    <t>4-G</t>
  </si>
  <si>
    <t>A4</t>
  </si>
  <si>
    <t>5-0</t>
  </si>
  <si>
    <t>3-H</t>
  </si>
  <si>
    <t>7E</t>
  </si>
  <si>
    <t>Basement 2</t>
  </si>
  <si>
    <t>1 B</t>
  </si>
  <si>
    <t>2-B</t>
  </si>
  <si>
    <t>Apt 1G</t>
  </si>
  <si>
    <t>#5</t>
  </si>
  <si>
    <t>5P</t>
  </si>
  <si>
    <t>#2E</t>
  </si>
  <si>
    <t>B9</t>
  </si>
  <si>
    <t>Apt. 425</t>
  </si>
  <si>
    <t>19K</t>
  </si>
  <si>
    <t>C23</t>
  </si>
  <si>
    <t>BL</t>
  </si>
  <si>
    <t>D</t>
  </si>
  <si>
    <t>1F2</t>
  </si>
  <si>
    <t>44A</t>
  </si>
  <si>
    <t>2d</t>
  </si>
  <si>
    <t>Apt. 6E</t>
  </si>
  <si>
    <t>19C</t>
  </si>
  <si>
    <t>1N</t>
  </si>
  <si>
    <t>2FL</t>
  </si>
  <si>
    <t>C8</t>
  </si>
  <si>
    <t>Apt 7R</t>
  </si>
  <si>
    <t>27D</t>
  </si>
  <si>
    <t>GF3</t>
  </si>
  <si>
    <t>15F</t>
  </si>
  <si>
    <t>6g</t>
  </si>
  <si>
    <t>23N</t>
  </si>
  <si>
    <t>Apt 5E</t>
  </si>
  <si>
    <t>M4</t>
  </si>
  <si>
    <t>35a</t>
  </si>
  <si>
    <t>A-8</t>
  </si>
  <si>
    <t>1-E</t>
  </si>
  <si>
    <t>7P</t>
  </si>
  <si>
    <t>Apt 4P</t>
  </si>
  <si>
    <t>01B</t>
  </si>
  <si>
    <t>19H</t>
  </si>
  <si>
    <t>63B</t>
  </si>
  <si>
    <t>2V</t>
  </si>
  <si>
    <t>5-B</t>
  </si>
  <si>
    <t>C17</t>
  </si>
  <si>
    <t>C7</t>
  </si>
  <si>
    <t>45A</t>
  </si>
  <si>
    <t>9P</t>
  </si>
  <si>
    <t>5th Floor, Apt. 51</t>
  </si>
  <si>
    <t>#3A</t>
  </si>
  <si>
    <t>C02</t>
  </si>
  <si>
    <t>#1A</t>
  </si>
  <si>
    <t>#4C</t>
  </si>
  <si>
    <t>S3</t>
  </si>
  <si>
    <t>D7</t>
  </si>
  <si>
    <t>4X</t>
  </si>
  <si>
    <t>6k</t>
  </si>
  <si>
    <t>B-6</t>
  </si>
  <si>
    <t>3 floor</t>
  </si>
  <si>
    <t>3Q</t>
  </si>
  <si>
    <t>2nd flr</t>
  </si>
  <si>
    <t>Apt. 1C</t>
  </si>
  <si>
    <t>15B</t>
  </si>
  <si>
    <t>19D</t>
  </si>
  <si>
    <t>5T</t>
  </si>
  <si>
    <t>18D</t>
  </si>
  <si>
    <t>6-K</t>
  </si>
  <si>
    <t>12-C</t>
  </si>
  <si>
    <t>1-LG</t>
  </si>
  <si>
    <t>2-L</t>
  </si>
  <si>
    <t>D1</t>
  </si>
  <si>
    <t>18T</t>
  </si>
  <si>
    <t>5Y</t>
  </si>
  <si>
    <t>E-12</t>
  </si>
  <si>
    <t>5i</t>
  </si>
  <si>
    <t>4 B</t>
  </si>
  <si>
    <t>3-G</t>
  </si>
  <si>
    <t>4th floor arrear</t>
  </si>
  <si>
    <t>Bsmnt</t>
  </si>
  <si>
    <t>3 D</t>
  </si>
  <si>
    <t>Apt. 40</t>
  </si>
  <si>
    <t>A10</t>
  </si>
  <si>
    <t>2-J</t>
  </si>
  <si>
    <t>12B</t>
  </si>
  <si>
    <t>Ground FL</t>
  </si>
  <si>
    <t>C75</t>
  </si>
  <si>
    <t>Apt. B34</t>
  </si>
  <si>
    <t>5-g</t>
  </si>
  <si>
    <t>E11A</t>
  </si>
  <si>
    <t>5n</t>
  </si>
  <si>
    <t>A-4</t>
  </si>
  <si>
    <t>#B52</t>
  </si>
  <si>
    <t>43E</t>
  </si>
  <si>
    <t>Jamaica</t>
  </si>
  <si>
    <t>Ridgewood</t>
  </si>
  <si>
    <t>Middle Vlg</t>
  </si>
  <si>
    <t>Brooklyn</t>
  </si>
  <si>
    <t>Bronx</t>
  </si>
  <si>
    <t>Staten Island</t>
  </si>
  <si>
    <t>New York</t>
  </si>
  <si>
    <t>Flushing</t>
  </si>
  <si>
    <t>College Point</t>
  </si>
  <si>
    <t>Far Rockaway</t>
  </si>
  <si>
    <t>Long Is City</t>
  </si>
  <si>
    <t>BronxBrooklyn</t>
  </si>
  <si>
    <t>Fresh Meadows</t>
  </si>
  <si>
    <t>Astoria</t>
  </si>
  <si>
    <t>Richmond Hill</t>
  </si>
  <si>
    <t>Elmhurst</t>
  </si>
  <si>
    <t>Rego Park</t>
  </si>
  <si>
    <t>Corona</t>
  </si>
  <si>
    <t>Woodside</t>
  </si>
  <si>
    <t>Ozone Park</t>
  </si>
  <si>
    <t>Jackson Hts</t>
  </si>
  <si>
    <t>Sprngfld Gdns</t>
  </si>
  <si>
    <t>Jackson Heights</t>
  </si>
  <si>
    <t>Arverne</t>
  </si>
  <si>
    <t>S Ozone Park</t>
  </si>
  <si>
    <t>Howard Beach</t>
  </si>
  <si>
    <t>Maspeth</t>
  </si>
  <si>
    <t>Glen Oaks</t>
  </si>
  <si>
    <t>S Richmond Hl</t>
  </si>
  <si>
    <t>brooklyn</t>
  </si>
  <si>
    <t>BROOKLYN</t>
  </si>
  <si>
    <t>New york</t>
  </si>
  <si>
    <t>Saint Albans</t>
  </si>
  <si>
    <t>East Elmhurst</t>
  </si>
  <si>
    <t>Forest Hills</t>
  </si>
  <si>
    <t>Woodhaven</t>
  </si>
  <si>
    <t>Long Island City</t>
  </si>
  <si>
    <t>Rockaway Park</t>
  </si>
  <si>
    <t>Yes</t>
  </si>
  <si>
    <t xml:space="preserve"> </t>
  </si>
  <si>
    <t>No</t>
  </si>
  <si>
    <t>586 SCQ 2018 1</t>
  </si>
  <si>
    <t>none yet</t>
  </si>
  <si>
    <t>LT-053867-18/QU</t>
  </si>
  <si>
    <t>LT-051089-18/KI</t>
  </si>
  <si>
    <t>HP14006-18/BX</t>
  </si>
  <si>
    <t>LT-045648-17/BX</t>
  </si>
  <si>
    <t>LT-059852-17/BX</t>
  </si>
  <si>
    <t>LT-016402-18/BX</t>
  </si>
  <si>
    <t>no case</t>
  </si>
  <si>
    <t>LT-051747-18/NY</t>
  </si>
  <si>
    <t>LT-083276-17/NY</t>
  </si>
  <si>
    <t>LT-85264-16/NY</t>
  </si>
  <si>
    <t>LT-078364-17/NY</t>
  </si>
  <si>
    <t>LT-050246-18/NY</t>
  </si>
  <si>
    <t>LT-810512-17/BX</t>
  </si>
  <si>
    <t>LT-61913-18/KI</t>
  </si>
  <si>
    <t>LT-079504-16/NY</t>
  </si>
  <si>
    <t>LT-051995-18/RI</t>
  </si>
  <si>
    <t>LT-75394-17/RI</t>
  </si>
  <si>
    <t>LT-072158-16/NY</t>
  </si>
  <si>
    <t>LT-059262-18/NY</t>
  </si>
  <si>
    <t>LT-063533-18/KI</t>
  </si>
  <si>
    <t>LT-051849-18/NY</t>
  </si>
  <si>
    <t>LT-081447-17/NY</t>
  </si>
  <si>
    <t>LT-058814-18/NY</t>
  </si>
  <si>
    <t>NONE</t>
  </si>
  <si>
    <t>LT-069563-17/NY</t>
  </si>
  <si>
    <t>LT-252368-17/NY</t>
  </si>
  <si>
    <t>200036-18</t>
  </si>
  <si>
    <t>LT-059438-18/QU</t>
  </si>
  <si>
    <t>LT-061327-18/QU</t>
  </si>
  <si>
    <t>LT-075593-17/QU</t>
  </si>
  <si>
    <t>LT-003407-17/KI</t>
  </si>
  <si>
    <t>LT-079158-17/NY</t>
  </si>
  <si>
    <t>none</t>
  </si>
  <si>
    <t>No Case</t>
  </si>
  <si>
    <t>LT-074719-17/NY</t>
  </si>
  <si>
    <t>LT-056625-18/NY</t>
  </si>
  <si>
    <t>LT-63096-17/BX</t>
  </si>
  <si>
    <t>LT-51640-19/KI</t>
  </si>
  <si>
    <t>LT-055076-18/KI</t>
  </si>
  <si>
    <t>LT-021662-17/BX</t>
  </si>
  <si>
    <t>LT-085068-17/KI</t>
  </si>
  <si>
    <t>LT-056465-17/BX</t>
  </si>
  <si>
    <t>LT-048486-17/BX</t>
  </si>
  <si>
    <t>no case as of 1/5/18</t>
  </si>
  <si>
    <t>LT-071105-16/QU</t>
  </si>
  <si>
    <t>LT-057287-18/QU</t>
  </si>
  <si>
    <t>None</t>
  </si>
  <si>
    <t>LT-063555-17/NY</t>
  </si>
  <si>
    <t>LT-066218-18/KI</t>
  </si>
  <si>
    <t>No case</t>
  </si>
  <si>
    <t>LT-063229-18/KI</t>
  </si>
  <si>
    <t>LT-090180-17/ki</t>
  </si>
  <si>
    <t>LT-050770-18/NY</t>
  </si>
  <si>
    <t>no case yet</t>
  </si>
  <si>
    <t>Docket No. 877690</t>
  </si>
  <si>
    <t>LT-057384-18/NY</t>
  </si>
  <si>
    <t>LT-006347-17/ki</t>
  </si>
  <si>
    <t>LT-069438-18/KI</t>
  </si>
  <si>
    <t>LT-051575-15/NY</t>
  </si>
  <si>
    <t>LT-019995-18/BX</t>
  </si>
  <si>
    <t>13861/18</t>
  </si>
  <si>
    <t>23478/18</t>
  </si>
  <si>
    <t>LT-076789-17/NY</t>
  </si>
  <si>
    <t>LT-54542-18/NY</t>
  </si>
  <si>
    <t>LT-067173-17/NY</t>
  </si>
  <si>
    <t>LT-081576-17/NY</t>
  </si>
  <si>
    <t>LT-2281-17/KI</t>
  </si>
  <si>
    <t>LT-052904-18/NY</t>
  </si>
  <si>
    <t>LT-61379-17/BX</t>
  </si>
  <si>
    <t>LT-078866-17/NY</t>
  </si>
  <si>
    <t>LT-018382-18/BX</t>
  </si>
  <si>
    <t>LT-071114-18/KI</t>
  </si>
  <si>
    <t>LT-094976-17/KI</t>
  </si>
  <si>
    <t>LT-250126-17/NY</t>
  </si>
  <si>
    <t>LT-022273-18/BX</t>
  </si>
  <si>
    <t>LT-051080-18/QU</t>
  </si>
  <si>
    <t>LT-901931-17/BX</t>
  </si>
  <si>
    <t>LT-052984-18/NY</t>
  </si>
  <si>
    <t>no case as of 5/17/18</t>
  </si>
  <si>
    <t>LT-1189-17/NY</t>
  </si>
  <si>
    <t>LT-59405/-8/KI</t>
  </si>
  <si>
    <t>LT-015505-18/BX</t>
  </si>
  <si>
    <t>LT-075337-17/NY</t>
  </si>
  <si>
    <t>LT-051179-18/NY</t>
  </si>
  <si>
    <t>LT-075708-17/QU</t>
  </si>
  <si>
    <t>LT-066463-17/NY</t>
  </si>
  <si>
    <t>94058/17</t>
  </si>
  <si>
    <t>LT-059561-17/NY</t>
  </si>
  <si>
    <t>LT-56490-18/QU</t>
  </si>
  <si>
    <t>LT-074630-17/NY</t>
  </si>
  <si>
    <t>016565-18</t>
  </si>
  <si>
    <t>679. SCK 2019 101</t>
  </si>
  <si>
    <t>LT-69606-17/NY</t>
  </si>
  <si>
    <t>L&amp;T-060651-18/NY</t>
  </si>
  <si>
    <t>LT-73583-16/KI</t>
  </si>
  <si>
    <t>LT-058359-18/NY</t>
  </si>
  <si>
    <t>LT-058869-18/QU</t>
  </si>
  <si>
    <t>LT-051991-18/NY</t>
  </si>
  <si>
    <t>LT-250336-17/NY</t>
  </si>
  <si>
    <t>LT-052899-18/NY</t>
  </si>
  <si>
    <t>LT-252619-17/NY</t>
  </si>
  <si>
    <t>LT-075503-17/NY</t>
  </si>
  <si>
    <t>LT-015277/17-BX</t>
  </si>
  <si>
    <t>LT-099527-17/KI</t>
  </si>
  <si>
    <t>lt 57660/17</t>
  </si>
  <si>
    <t>LT-082465-17/NY</t>
  </si>
  <si>
    <t>LT-099126-17/KI</t>
  </si>
  <si>
    <t>LT-005897-18/BX</t>
  </si>
  <si>
    <t>LT-86900-17/KI</t>
  </si>
  <si>
    <t>LT-50837-18/QU</t>
  </si>
  <si>
    <t>LT-079323-17/KI</t>
  </si>
  <si>
    <t>no case as of May 17, 2018</t>
  </si>
  <si>
    <t>LT-052011-18/NY</t>
  </si>
  <si>
    <t>LT-52798/18-NY</t>
  </si>
  <si>
    <t>LT-061634-18/QU</t>
  </si>
  <si>
    <t>LT-020759-18/BX</t>
  </si>
  <si>
    <t>LT-056022-18/KI</t>
  </si>
  <si>
    <t>no open case as of 5/17/18</t>
  </si>
  <si>
    <t>HP-135-18/NY</t>
  </si>
  <si>
    <t>LT-050596-17/NY</t>
  </si>
  <si>
    <t>LT-62551-18/QU</t>
  </si>
  <si>
    <t>LT-070224-17/NY</t>
  </si>
  <si>
    <t>LT-081759-17/NY</t>
  </si>
  <si>
    <t>LT-251772-14/NY</t>
  </si>
  <si>
    <t>CV-019039/18</t>
  </si>
  <si>
    <t>LT-54265-17/QU</t>
  </si>
  <si>
    <t>LT-018209-18/BX</t>
  </si>
  <si>
    <t>LT-251519-17/NY</t>
  </si>
  <si>
    <t>LT-50277-18/NY</t>
  </si>
  <si>
    <t>LT-074388-17/NY</t>
  </si>
  <si>
    <t>LT-049139-16/BX</t>
  </si>
  <si>
    <t>LT-079500-17/NY</t>
  </si>
  <si>
    <t>LT-55828/17-BX</t>
  </si>
  <si>
    <t>LT-64813-17/NY</t>
  </si>
  <si>
    <t>LT-063808-18/QU</t>
  </si>
  <si>
    <t>LT-020295-18/BX</t>
  </si>
  <si>
    <t>LT-56165-17/BX</t>
  </si>
  <si>
    <t>LT-069259-17/QU</t>
  </si>
  <si>
    <t>LT-065181-18/KI</t>
  </si>
  <si>
    <t>LT-084821-17/KI</t>
  </si>
  <si>
    <t>LT059498/18</t>
  </si>
  <si>
    <t>LT-058879-18/KI</t>
  </si>
  <si>
    <t>LT-084117-17/KI</t>
  </si>
  <si>
    <t>LT-083030-17/KI</t>
  </si>
  <si>
    <t>LT-63214-17/KI</t>
  </si>
  <si>
    <t>LT-65334-17/NY</t>
  </si>
  <si>
    <t>62651/18</t>
  </si>
  <si>
    <t>LT-022710-18/BX</t>
  </si>
  <si>
    <t>LT-069121-17/KI</t>
  </si>
  <si>
    <t>LT-071136-18/KI</t>
  </si>
  <si>
    <t>LT-011465-18/BX</t>
  </si>
  <si>
    <t>LT-045681-17/BX</t>
  </si>
  <si>
    <t>LT-002459-16/KI</t>
  </si>
  <si>
    <t>LT-035892/17/BX</t>
  </si>
  <si>
    <t>93125/17</t>
  </si>
  <si>
    <t>72356/17</t>
  </si>
  <si>
    <t>LT-013350-18/BX</t>
  </si>
  <si>
    <t>LT-072999-18/NY</t>
  </si>
  <si>
    <t>LT-056459-18/NY</t>
  </si>
  <si>
    <t>LT-001722-18/BX</t>
  </si>
  <si>
    <t>LT-062413-18/NY</t>
  </si>
  <si>
    <t>LT-51585-18/NY</t>
  </si>
  <si>
    <t>LT-056460-18/NY</t>
  </si>
  <si>
    <t>LT-053512-17/RI</t>
  </si>
  <si>
    <t>LT-060205-17/KI</t>
  </si>
  <si>
    <t>LT-053440-18/NY</t>
  </si>
  <si>
    <t>LT-090661-17/KI</t>
  </si>
  <si>
    <t>LT-56279-17/QU</t>
  </si>
  <si>
    <t>LT-200119-17/NY</t>
  </si>
  <si>
    <t>98611-AN-2018</t>
  </si>
  <si>
    <t>LT-19034/18</t>
  </si>
  <si>
    <t>LT-67395-17/KI</t>
  </si>
  <si>
    <t>LT-062839-17/KI</t>
  </si>
  <si>
    <t>LT-053239-17/RI</t>
  </si>
  <si>
    <t>LT-08129-17/NY</t>
  </si>
  <si>
    <t>020481-18</t>
  </si>
  <si>
    <t>LT-059462-18/NY</t>
  </si>
  <si>
    <t>LT-024515-18/BX</t>
  </si>
  <si>
    <t>LT-051879-18/NY</t>
  </si>
  <si>
    <t>LT-71137-17/NY</t>
  </si>
  <si>
    <t>LT-079791-17/NY</t>
  </si>
  <si>
    <t>LT-006050-18/KI</t>
  </si>
  <si>
    <t>LT-050802-18/NY</t>
  </si>
  <si>
    <t>LT-059887-18/KI</t>
  </si>
  <si>
    <t>LT-061414-17/NY</t>
  </si>
  <si>
    <t>LT-080515-17/NY</t>
  </si>
  <si>
    <t>LT-081171-17/NY</t>
  </si>
  <si>
    <t>LT-073798-17/NY</t>
  </si>
  <si>
    <t>FN410009B</t>
  </si>
  <si>
    <t>LT-069664-18/KI</t>
  </si>
  <si>
    <t>LT- 062543-18/QU</t>
  </si>
  <si>
    <t>LT-​55593/18</t>
  </si>
  <si>
    <t>LT-063899-17/BX</t>
  </si>
  <si>
    <t>LT-68048-17/NY</t>
  </si>
  <si>
    <t>ES-410086-RV</t>
  </si>
  <si>
    <t>LT-0522854-17/RI</t>
  </si>
  <si>
    <t>FU410114S</t>
  </si>
  <si>
    <t>FU410115S</t>
  </si>
  <si>
    <t>no case as of 4/6/18</t>
  </si>
  <si>
    <t>no case as of 2/2/18</t>
  </si>
  <si>
    <t>LT-060145-18/QU</t>
  </si>
  <si>
    <t>FU410110S</t>
  </si>
  <si>
    <t>LT-79309-16/KI</t>
  </si>
  <si>
    <t>LT-6050-17/KI</t>
  </si>
  <si>
    <t>LT-71783-17/NY</t>
  </si>
  <si>
    <t>no case as of March 2017</t>
  </si>
  <si>
    <t>FU410107S</t>
  </si>
  <si>
    <t>FU410113S</t>
  </si>
  <si>
    <t>FV610003HI</t>
  </si>
  <si>
    <t>FX 610016 B</t>
  </si>
  <si>
    <t>GO-610006-B</t>
  </si>
  <si>
    <t>FO-610005-RO</t>
  </si>
  <si>
    <t>FT 310036 B</t>
  </si>
  <si>
    <t>LT-52328-17/NY</t>
  </si>
  <si>
    <t>FP 0610060 RO</t>
  </si>
  <si>
    <t>DP 610083 OM</t>
  </si>
  <si>
    <t>FV 610044 OM</t>
  </si>
  <si>
    <t>GM 610001 RV</t>
  </si>
  <si>
    <t>FM 630024RT</t>
  </si>
  <si>
    <t>FV610044</t>
  </si>
  <si>
    <t>78915/17 KI</t>
  </si>
  <si>
    <t>GV-110033-R</t>
  </si>
  <si>
    <t>GO 130021 RT</t>
  </si>
  <si>
    <t>GN 130029 RT</t>
  </si>
  <si>
    <t>FT 630010 B</t>
  </si>
  <si>
    <t>EU 630005 OM</t>
  </si>
  <si>
    <t>GR610047S</t>
  </si>
  <si>
    <t>EO-610003-B</t>
  </si>
  <si>
    <t>DW110010R</t>
  </si>
  <si>
    <t>805551/16</t>
  </si>
  <si>
    <t>FT610111S</t>
  </si>
  <si>
    <t>LT-000956-18/NY</t>
  </si>
  <si>
    <t>DU-610015-OM</t>
  </si>
  <si>
    <t>DU-610009-OM</t>
  </si>
  <si>
    <t>FV610002HI</t>
  </si>
  <si>
    <t>EX610013B</t>
  </si>
  <si>
    <t>FR 210078 S</t>
  </si>
  <si>
    <t>GP 210141 S</t>
  </si>
  <si>
    <t>FR210083 S</t>
  </si>
  <si>
    <t>GM 110023 RO</t>
  </si>
  <si>
    <t>HP</t>
  </si>
  <si>
    <t>FT310036B</t>
  </si>
  <si>
    <t>LT-49468-16/BX</t>
  </si>
  <si>
    <t>GN610004-OD</t>
  </si>
  <si>
    <t>DU-610007-OM</t>
  </si>
  <si>
    <t># FV61002HI</t>
  </si>
  <si>
    <t>FV 110029 RT</t>
  </si>
  <si>
    <t>DQ1174R</t>
  </si>
  <si>
    <t>GN – 6-B30012</t>
  </si>
  <si>
    <t>DU-610011-OM</t>
  </si>
  <si>
    <t>FV61002HI</t>
  </si>
  <si>
    <t>GQ 430054 RT</t>
  </si>
  <si>
    <t>GP 410046 B</t>
  </si>
  <si>
    <t>GR210053S</t>
  </si>
  <si>
    <t>FS310036R</t>
  </si>
  <si>
    <t>GR610030R</t>
  </si>
  <si>
    <t>GR210052S</t>
  </si>
  <si>
    <t>FQ430002RO</t>
  </si>
  <si>
    <t>DR 610026 OM, DP 610083 OM</t>
  </si>
  <si>
    <t>#FV61003HI</t>
  </si>
  <si>
    <t>DM210004AD</t>
  </si>
  <si>
    <t>ER110017R</t>
  </si>
  <si>
    <t>LT-006082-17/NY</t>
  </si>
  <si>
    <t>LT-022755-18/BX</t>
  </si>
  <si>
    <t>GW-63007-RO</t>
  </si>
  <si>
    <t>GQ 610014 B</t>
  </si>
  <si>
    <t>#FV610002HI</t>
  </si>
  <si>
    <t>FX210215S</t>
  </si>
  <si>
    <t>18-3976/EDNY</t>
  </si>
  <si>
    <t>18-CV-10159</t>
  </si>
  <si>
    <t>17-6220-DAB</t>
  </si>
  <si>
    <t>LT-001441-18/BX</t>
  </si>
  <si>
    <t>HP-963-18/NY</t>
  </si>
  <si>
    <t>LT-007171-18/BX</t>
  </si>
  <si>
    <t>LT-079310-17/QU</t>
  </si>
  <si>
    <t>LT-054707-18/QU</t>
  </si>
  <si>
    <t>LT-061637-17/QU</t>
  </si>
  <si>
    <t>LT-000762-18/QU</t>
  </si>
  <si>
    <t>LT-59999-18/QU</t>
  </si>
  <si>
    <t>LT-55298-18/QU</t>
  </si>
  <si>
    <t>LT-060588-18/QU</t>
  </si>
  <si>
    <t>LT-080718-17/QU</t>
  </si>
  <si>
    <t>LT-050328-18/QU</t>
  </si>
  <si>
    <t>LT-058694-18/QU</t>
  </si>
  <si>
    <t>LT-062381-17/QU</t>
  </si>
  <si>
    <t>LT-075529-17/QU</t>
  </si>
  <si>
    <t>LT-59665-18/QU</t>
  </si>
  <si>
    <t>LT-054737-18/KI</t>
  </si>
  <si>
    <t>LT-058916-17/KI</t>
  </si>
  <si>
    <t>51355/18</t>
  </si>
  <si>
    <t>LT-104625-15/KI</t>
  </si>
  <si>
    <t>LT-079119-17/KI</t>
  </si>
  <si>
    <t>LT-70286-16/KI</t>
  </si>
  <si>
    <t>LT-056602-18/KI</t>
  </si>
  <si>
    <t>LT 64967-17/KI</t>
  </si>
  <si>
    <t>LT-099485-17/KI</t>
  </si>
  <si>
    <t>LT 2370-17/KI</t>
  </si>
  <si>
    <t>LT-078028-17/KI</t>
  </si>
  <si>
    <t>LT-98656-2017/KI</t>
  </si>
  <si>
    <t>LT-094456-17/KI</t>
  </si>
  <si>
    <t>LT-066617-17/KI</t>
  </si>
  <si>
    <t>LT-68133-17/KI</t>
  </si>
  <si>
    <t>LT-051973-18/KI</t>
  </si>
  <si>
    <t>LT-052597-18/KI</t>
  </si>
  <si>
    <t>LT-095113-17/KI</t>
  </si>
  <si>
    <t>LT-57188-18/KI</t>
  </si>
  <si>
    <t>LT-6050-18/KI</t>
  </si>
  <si>
    <t>LT-45334-16/BX</t>
  </si>
  <si>
    <t>LT-059035/17/BX</t>
  </si>
  <si>
    <t>42003/2016E</t>
  </si>
  <si>
    <t>LT-020087-18/BX</t>
  </si>
  <si>
    <t>LT-029487-18/BX</t>
  </si>
  <si>
    <t>LT-041964-17/BX</t>
  </si>
  <si>
    <t>LT-000372-18/BX</t>
  </si>
  <si>
    <t>053333-18/BX</t>
  </si>
  <si>
    <t>LT-801612-18/BX</t>
  </si>
  <si>
    <t>LT-50655-17/RI</t>
  </si>
  <si>
    <t>LT-51277-18/RI</t>
  </si>
  <si>
    <t>LT-53019-17/RI</t>
  </si>
  <si>
    <t>LT-051898-17/RI</t>
  </si>
  <si>
    <t>LT-50232-18/RI</t>
  </si>
  <si>
    <t>LT-051338-18/RI</t>
  </si>
  <si>
    <t>LT-051344-18/RI</t>
  </si>
  <si>
    <t>LT-050726-18/RI</t>
  </si>
  <si>
    <t>LT-250390-18/NY</t>
  </si>
  <si>
    <t>LT-015486-17/NY</t>
  </si>
  <si>
    <t>LT-62204-17/NY17</t>
  </si>
  <si>
    <t>LT-059728-17/NY</t>
  </si>
  <si>
    <t>LT-071392-17/NY</t>
  </si>
  <si>
    <t>LT 81151/2017</t>
  </si>
  <si>
    <t>LT-79472-17/NY</t>
  </si>
  <si>
    <t>LT-61241-18/NY</t>
  </si>
  <si>
    <t>LT-12145-18/NY</t>
  </si>
  <si>
    <t>HP-806-18/NY</t>
  </si>
  <si>
    <t>LT-06110-17/NY</t>
  </si>
  <si>
    <t>LT-66547-17/NY</t>
  </si>
  <si>
    <t>HP-1177-17</t>
  </si>
  <si>
    <t>LT-72977-17/NY</t>
  </si>
  <si>
    <t>LT-85508-16/KI</t>
  </si>
  <si>
    <t>LT-017449-18/BX</t>
  </si>
  <si>
    <t>LT-068358-17/BX</t>
  </si>
  <si>
    <t>HP-066527-17/BX</t>
  </si>
  <si>
    <t>LT-055128-18/KI</t>
  </si>
  <si>
    <t>LT-1046591/18</t>
  </si>
  <si>
    <t>LT-078915-17/KI</t>
  </si>
  <si>
    <t>LT-035907-17/BX</t>
  </si>
  <si>
    <t>LT-067512-17/NY</t>
  </si>
  <si>
    <t>LT-086193-17/KI</t>
  </si>
  <si>
    <t>LT-530701-18/NY</t>
  </si>
  <si>
    <t>LT-2802/17</t>
  </si>
  <si>
    <t>LT-056024-18/QU</t>
  </si>
  <si>
    <t>LT-76372-17/KI</t>
  </si>
  <si>
    <t>LT-76000-15/KI</t>
  </si>
  <si>
    <t>LT-051066-18/RI</t>
  </si>
  <si>
    <t>LT-15342-18</t>
  </si>
  <si>
    <t>LT-055020-18/QU</t>
  </si>
  <si>
    <t>LT-032275-17/BX</t>
  </si>
  <si>
    <t>LT-039063-17/BX</t>
  </si>
  <si>
    <t>LT-077020-17/KI</t>
  </si>
  <si>
    <t>LT-53314-17/RI</t>
  </si>
  <si>
    <t>LT-046365-17/BX</t>
  </si>
  <si>
    <t>LT-054732-18/QU</t>
  </si>
  <si>
    <t>LT-51345-18/RI</t>
  </si>
  <si>
    <t>LT-059940-18/KI</t>
  </si>
  <si>
    <t>LT-066707-17/KI</t>
  </si>
  <si>
    <t>LT-95959-16/KI</t>
  </si>
  <si>
    <t>LT-50035-18/RI</t>
  </si>
  <si>
    <t>HP-00048-16/QU</t>
  </si>
  <si>
    <t>LT-022380-18/BX</t>
  </si>
  <si>
    <t>LT-78021-17/KI</t>
  </si>
  <si>
    <t>LT-029794-18/BX</t>
  </si>
  <si>
    <t>LT-001442-17/QU</t>
  </si>
  <si>
    <t>LT-000503-18/QU</t>
  </si>
  <si>
    <t>LT-012209-18/BX</t>
  </si>
  <si>
    <t>LT-050274-18/RI</t>
  </si>
  <si>
    <t>LT-052092-18/KI</t>
  </si>
  <si>
    <t>LT-061497-18/QU</t>
  </si>
  <si>
    <t>HP-243-17/RI</t>
  </si>
  <si>
    <t>LT-075394-17/KI</t>
  </si>
  <si>
    <t>LT-055534-18/KI</t>
  </si>
  <si>
    <t>LT-022140-18/BX</t>
  </si>
  <si>
    <t>LT-65460-17/KI</t>
  </si>
  <si>
    <t>LT-50337-18/RI</t>
  </si>
  <si>
    <t>LT-053290-18/KI</t>
  </si>
  <si>
    <t>LT-073257-17/KI</t>
  </si>
  <si>
    <t>LT-71391-17/KI</t>
  </si>
  <si>
    <t>LT-052178-18/KI</t>
  </si>
  <si>
    <t>LT-016690-17/KI</t>
  </si>
  <si>
    <t>LT-051925-18/NY</t>
  </si>
  <si>
    <t>LT-052846-17/BX</t>
  </si>
  <si>
    <t>LT-035021-17/BX</t>
  </si>
  <si>
    <t>LT-081934-17/NY</t>
  </si>
  <si>
    <t>LT-43680-17/BX</t>
  </si>
  <si>
    <t>LT-025075-18/BX</t>
  </si>
  <si>
    <t>LT-015208-18/BX</t>
  </si>
  <si>
    <t>LT-059197/18-NY</t>
  </si>
  <si>
    <t>LT-50108-18/RI</t>
  </si>
  <si>
    <t>LT-84100-15/KI</t>
  </si>
  <si>
    <t>LT-050966-17/BX</t>
  </si>
  <si>
    <t>LT-089869-17/KI</t>
  </si>
  <si>
    <t>LT-030790-17/BX</t>
  </si>
  <si>
    <t>LT-86898-17/KI</t>
  </si>
  <si>
    <t>LT- 64176-17/BX</t>
  </si>
  <si>
    <t>LT-066647-17/BX</t>
  </si>
  <si>
    <t>LT-077514-17/QU</t>
  </si>
  <si>
    <t>LT-096986-16/KI</t>
  </si>
  <si>
    <t>LT-093105-17/KI</t>
  </si>
  <si>
    <t>LT-59104-17-BX</t>
  </si>
  <si>
    <t>LT-006492-18/BX</t>
  </si>
  <si>
    <t>LT-079665-16/NY</t>
  </si>
  <si>
    <t>LT-016939-18/BX</t>
  </si>
  <si>
    <t>LT-066917-18/BX</t>
  </si>
  <si>
    <t>LT-78182-17/KI</t>
  </si>
  <si>
    <t>LT-80757-16/KI</t>
  </si>
  <si>
    <t>LT-077644-17/QU</t>
  </si>
  <si>
    <t>LT-54098-18/QU</t>
  </si>
  <si>
    <t>HP- 963-18/NY</t>
  </si>
  <si>
    <t>LT-053107-17/RI</t>
  </si>
  <si>
    <t>LT-037337-17/BX</t>
  </si>
  <si>
    <t>LT-024984-17/BX</t>
  </si>
  <si>
    <t>LT-250223-18/NY</t>
  </si>
  <si>
    <t>LT-080072-17/KI</t>
  </si>
  <si>
    <t>LT-081249-15/KI</t>
  </si>
  <si>
    <t>LT-086587-16/KI</t>
  </si>
  <si>
    <t>LT-59033-18/KI</t>
  </si>
  <si>
    <t>LT-013215-18/BX</t>
  </si>
  <si>
    <t>LT-35897/17</t>
  </si>
  <si>
    <t>LT-50682-18/KI</t>
  </si>
  <si>
    <t>LT-093805-17/KI</t>
  </si>
  <si>
    <t>LT-088688-17/KI</t>
  </si>
  <si>
    <t>LT-066526-17/BX</t>
  </si>
  <si>
    <t>HP-27243-18/BX</t>
  </si>
  <si>
    <t>LT-18643-18/BX</t>
  </si>
  <si>
    <t>LT-051645-18/RI</t>
  </si>
  <si>
    <t>LT-050654-18/RI</t>
  </si>
  <si>
    <t>LT-010120-18/QU</t>
  </si>
  <si>
    <t>Index#87182/17/KI</t>
  </si>
  <si>
    <t>Lt-49021-17/BX</t>
  </si>
  <si>
    <t>LT-054598-17/BX</t>
  </si>
  <si>
    <t>LT-073145-17/BX</t>
  </si>
  <si>
    <t>LT-062239-17/BX</t>
  </si>
  <si>
    <t>LT-089856-17/KI</t>
  </si>
  <si>
    <t>CV-008370-17/QU</t>
  </si>
  <si>
    <t>LT-092573-17/KI</t>
  </si>
  <si>
    <t>LT-000929-18/BX</t>
  </si>
  <si>
    <t>LT-083926-17/KI</t>
  </si>
  <si>
    <t>LT-85061-17/KI</t>
  </si>
  <si>
    <t>64967-17/KI</t>
  </si>
  <si>
    <t>LT-3413-17/KI</t>
  </si>
  <si>
    <t>LT-078000-17/KI</t>
  </si>
  <si>
    <t>LT-077160-17/QU</t>
  </si>
  <si>
    <t>LT-050737-17/RI</t>
  </si>
  <si>
    <t>066808/18</t>
  </si>
  <si>
    <t>LT-079586-17/KI</t>
  </si>
  <si>
    <t>LT-50930-18/RI</t>
  </si>
  <si>
    <t>LT-75444-17/KI</t>
  </si>
  <si>
    <t>LT-200199-17/NY</t>
  </si>
  <si>
    <t>LT-070469-17/KI</t>
  </si>
  <si>
    <t>LT-035538-17/BX</t>
  </si>
  <si>
    <t>LT-057784-18/QU</t>
  </si>
  <si>
    <t>LT-053481-18/KI</t>
  </si>
  <si>
    <t>LT-079137-17/QU</t>
  </si>
  <si>
    <t>LT-96010-17/KI</t>
  </si>
  <si>
    <t>LT-074011-17/QU</t>
  </si>
  <si>
    <t>LT-68621-18/KI</t>
  </si>
  <si>
    <t>LT-3261-17/KI</t>
  </si>
  <si>
    <t>LT-053223-17/RI</t>
  </si>
  <si>
    <t>LT-064967-17/KI</t>
  </si>
  <si>
    <t>LT-58239-18/KI</t>
  </si>
  <si>
    <t>LT-010627-18/RI</t>
  </si>
  <si>
    <t>LT-83925-17/KI</t>
  </si>
  <si>
    <t>LT-095125-17/KI</t>
  </si>
  <si>
    <t>LT-057262-18/NY</t>
  </si>
  <si>
    <t>LT-087853-17/KI</t>
  </si>
  <si>
    <t>LT 88141-17/KI</t>
  </si>
  <si>
    <t>LT-053186-17/RI</t>
  </si>
  <si>
    <t>LT-67449-17/NY</t>
  </si>
  <si>
    <t>LT-057015-18/KI</t>
  </si>
  <si>
    <t>LT-091041-17/KI</t>
  </si>
  <si>
    <t>LT-63354-17/KI</t>
  </si>
  <si>
    <t>LT-051116-18/KI</t>
  </si>
  <si>
    <t>LT-007465-18/BX</t>
  </si>
  <si>
    <t>053673/18</t>
  </si>
  <si>
    <t>003740/17</t>
  </si>
  <si>
    <t>LT-068412-17/KI</t>
  </si>
  <si>
    <t>LT-073883-17/BX</t>
  </si>
  <si>
    <t>LT-029555-18/BX</t>
  </si>
  <si>
    <t>LT- 079326-17/QU</t>
  </si>
  <si>
    <t>LT-97887-17/KI</t>
  </si>
  <si>
    <t>LT-62684-17/BX</t>
  </si>
  <si>
    <t>HP-812-18/NY</t>
  </si>
  <si>
    <t>LT-074822-17/BX</t>
  </si>
  <si>
    <t>LT-060577-18/QU</t>
  </si>
  <si>
    <t>LT-058405-18/QU</t>
  </si>
  <si>
    <t>LT-073345-17/BX</t>
  </si>
  <si>
    <t>LT-250602-17/NY</t>
  </si>
  <si>
    <t>LT-042943-17/BX</t>
  </si>
  <si>
    <t>LT-064587-17/KI</t>
  </si>
  <si>
    <t>LT-100344-16/KI</t>
  </si>
  <si>
    <t>LT-057096-16/BX</t>
  </si>
  <si>
    <t>LT-82220-17/NY</t>
  </si>
  <si>
    <t>LT-57248-17/QU</t>
  </si>
  <si>
    <t>LT-92995-17/KI</t>
  </si>
  <si>
    <t>LT-039800-17/BX</t>
  </si>
  <si>
    <t>LT-53520-16/RI</t>
  </si>
  <si>
    <t>LT-46809-17/BX</t>
  </si>
  <si>
    <t>LT-035985-17/BX</t>
  </si>
  <si>
    <t>LT-065478-17/KI</t>
  </si>
  <si>
    <t>LT-001241-18/BX</t>
  </si>
  <si>
    <t>LT-076540-17/QU</t>
  </si>
  <si>
    <t>LT-022858-18/BX</t>
  </si>
  <si>
    <t>LT-451656/17-NY</t>
  </si>
  <si>
    <t>LT-52474-18/KI</t>
  </si>
  <si>
    <t>LT-98864-17/KI</t>
  </si>
  <si>
    <t>LT-73357-17/KI</t>
  </si>
  <si>
    <t>LT-001370-17/BX</t>
  </si>
  <si>
    <t>LT-50809-18/RI</t>
  </si>
  <si>
    <t>LT-047920-17/BX</t>
  </si>
  <si>
    <t>LT-049593-17/BX</t>
  </si>
  <si>
    <t>LT-077429-17/QU</t>
  </si>
  <si>
    <t>LT-096685-17/KI</t>
  </si>
  <si>
    <t>LT-074657-17/KI</t>
  </si>
  <si>
    <t>LT-006302-18/BX</t>
  </si>
  <si>
    <t>LT-008465-18/BX</t>
  </si>
  <si>
    <t>LT-052214-17/RI</t>
  </si>
  <si>
    <t>LT-051318-18/RI</t>
  </si>
  <si>
    <t>LT-052971-17/RI</t>
  </si>
  <si>
    <t>LT-50610-17/RI</t>
  </si>
  <si>
    <t>LT-056942-14/BX</t>
  </si>
  <si>
    <t>LT-2370-17/KI</t>
  </si>
  <si>
    <t>LT-008055-18BX</t>
  </si>
  <si>
    <t>LT-028939-18/BX</t>
  </si>
  <si>
    <t>LT-053695-17/RI</t>
  </si>
  <si>
    <t>LT-071707-18/KI</t>
  </si>
  <si>
    <t>LT-051335-17/RI</t>
  </si>
  <si>
    <t>LT-054320-18/KI</t>
  </si>
  <si>
    <t>LT-040447-18/BX</t>
  </si>
  <si>
    <t>LT-071304-18/NY</t>
  </si>
  <si>
    <t>LT-064969-17/KI</t>
  </si>
  <si>
    <t>LT-092574-17/KI</t>
  </si>
  <si>
    <t>LT-71648-18/KI</t>
  </si>
  <si>
    <t>55263/2018</t>
  </si>
  <si>
    <t>LT51733/18RI</t>
  </si>
  <si>
    <t>100. SCR2018 1</t>
  </si>
  <si>
    <t>LT-098584-17</t>
  </si>
  <si>
    <t>LT-051717-16/RI</t>
  </si>
  <si>
    <t>LT-024259-17/BX</t>
  </si>
  <si>
    <t>LT-068489-17/NY</t>
  </si>
  <si>
    <t>LT-83566-17/KI</t>
  </si>
  <si>
    <t>LT-002185-16/KI</t>
  </si>
  <si>
    <t>LT-013962-18/BX</t>
  </si>
  <si>
    <t>LT-53006-17/RI</t>
  </si>
  <si>
    <t>LT-76631-2016/KI</t>
  </si>
  <si>
    <t>LT-098300-17/KI</t>
  </si>
  <si>
    <t>LT-061584-17/KI</t>
  </si>
  <si>
    <t>LT-73919-17/BX</t>
  </si>
  <si>
    <t>LT-42934-17/BX</t>
  </si>
  <si>
    <t>LT-054220-18/KI</t>
  </si>
  <si>
    <t>LT-71145-17/KI</t>
  </si>
  <si>
    <t>HP-1753-17/KI</t>
  </si>
  <si>
    <t>LT-051784-18/RI</t>
  </si>
  <si>
    <t>LT-60458-18/NY</t>
  </si>
  <si>
    <t>LT-073833-17/KI</t>
  </si>
  <si>
    <t>LT-251271-17/NY</t>
  </si>
  <si>
    <t>LT-053713-18/QU</t>
  </si>
  <si>
    <t>LT-038005-17/BX</t>
  </si>
  <si>
    <t>LT-052047-17/RI</t>
  </si>
  <si>
    <t>LT-012981-18/BX</t>
  </si>
  <si>
    <t>LT-801107-18/BX</t>
  </si>
  <si>
    <t>LT-015952-18/BX</t>
  </si>
  <si>
    <t>LT-058651-18/KI</t>
  </si>
  <si>
    <t>LT-006718-18/BX</t>
  </si>
  <si>
    <t>LT-67782-17/NY</t>
  </si>
  <si>
    <t>LT- 057136-18/QU</t>
  </si>
  <si>
    <t>LT-051460-18/RI</t>
  </si>
  <si>
    <t>HP-775-18/NY</t>
  </si>
  <si>
    <t>HP-000936-18/NY</t>
  </si>
  <si>
    <t>LT-51076-18/RI</t>
  </si>
  <si>
    <t>LT-078571-17/KI</t>
  </si>
  <si>
    <t>LT-078355-17/NY</t>
  </si>
  <si>
    <t>LT-068312-17/BX</t>
  </si>
  <si>
    <t>LT-12235-18/BX</t>
  </si>
  <si>
    <t>LT-051159-18/RI</t>
  </si>
  <si>
    <t>LT-51062-18/RI</t>
  </si>
  <si>
    <t>LT-82220-15/NY</t>
  </si>
  <si>
    <t>LT-010348-18/RI</t>
  </si>
  <si>
    <t>LT-069234-17/NY</t>
  </si>
  <si>
    <t>100517-2018</t>
  </si>
  <si>
    <t>LT-034695-17/BX</t>
  </si>
  <si>
    <t>LT-002538-18/BX</t>
  </si>
  <si>
    <t>LT-50120-17/KI</t>
  </si>
  <si>
    <t>LT-70235-17/NY</t>
  </si>
  <si>
    <t>LT-99814-17/KI</t>
  </si>
  <si>
    <t>LT-62220-17/KI</t>
  </si>
  <si>
    <t>HP-18644-18</t>
  </si>
  <si>
    <t>LT-053577-17/RI</t>
  </si>
  <si>
    <t>LT-210014-18/HA</t>
  </si>
  <si>
    <t>LT-068048-17/NY</t>
  </si>
  <si>
    <t>LT-064892/17-NY</t>
  </si>
  <si>
    <t>LT-059415-18/NY</t>
  </si>
  <si>
    <t>LT-017364-18/BX</t>
  </si>
  <si>
    <t>LT-252099-17/NY</t>
  </si>
  <si>
    <t>94976/17</t>
  </si>
  <si>
    <t>LT-250130-18/NY</t>
  </si>
  <si>
    <t>LT-080650-17/QU</t>
  </si>
  <si>
    <t>LT-069662-17/BX</t>
  </si>
  <si>
    <t>LT-22140-18/BX</t>
  </si>
  <si>
    <t>097616/17</t>
  </si>
  <si>
    <t>LT-054186-17/BX</t>
  </si>
  <si>
    <t>LT-51617-18/NY</t>
  </si>
  <si>
    <t>LT-084095-17/BX</t>
  </si>
  <si>
    <t>LT-20832-17/BX</t>
  </si>
  <si>
    <t>HP-72527-17/BX</t>
  </si>
  <si>
    <t>LT-79051-17/KI</t>
  </si>
  <si>
    <t>LT-87276-16/KI</t>
  </si>
  <si>
    <t>LT-091194-17/KI</t>
  </si>
  <si>
    <t>LT- 065492-18/KI</t>
  </si>
  <si>
    <t>LT-016980-17/BX</t>
  </si>
  <si>
    <t>LT-052347-17/BX</t>
  </si>
  <si>
    <t>LT-056924-18/KI</t>
  </si>
  <si>
    <t>LT-56969-17/QU</t>
  </si>
  <si>
    <t>LT-088977-16/KI</t>
  </si>
  <si>
    <t>L&amp;T 63603/18</t>
  </si>
  <si>
    <t>LT-051459-17/NY</t>
  </si>
  <si>
    <t>LT-012111-17/BX</t>
  </si>
  <si>
    <t>LT-054512-18/KI</t>
  </si>
  <si>
    <t>LT-50297-18/RI</t>
  </si>
  <si>
    <t>LT-088835-17/KI</t>
  </si>
  <si>
    <t>LT-058998-18/QU</t>
  </si>
  <si>
    <t>LT-009219-18/BX</t>
  </si>
  <si>
    <t>23508-18</t>
  </si>
  <si>
    <t>LT-51341-18/RI</t>
  </si>
  <si>
    <t>HP-274-18/QU</t>
  </si>
  <si>
    <t>LT-53629-17/RI</t>
  </si>
  <si>
    <t>LT-071758-17/KI</t>
  </si>
  <si>
    <t>LT-054299-17/KI</t>
  </si>
  <si>
    <t>LT-054300-17/KI</t>
  </si>
  <si>
    <t>LT-65987-16/KI</t>
  </si>
  <si>
    <t>LT-64969-17/KI</t>
  </si>
  <si>
    <t>LT-065173-17/BX</t>
  </si>
  <si>
    <t>LT-052328-17/NY</t>
  </si>
  <si>
    <t>LT-81282-2017/NY</t>
  </si>
  <si>
    <t>LT-024014-18/BX</t>
  </si>
  <si>
    <t>LT-063234-18/KI</t>
  </si>
  <si>
    <t>LT-70173-17/KI</t>
  </si>
  <si>
    <t>LT-51637-17/RI</t>
  </si>
  <si>
    <t>64967/17</t>
  </si>
  <si>
    <t>LT-057216-18/KI</t>
  </si>
  <si>
    <t>FW430075</t>
  </si>
  <si>
    <t>LT-070339-17/BX</t>
  </si>
  <si>
    <t>LT-099157-17/KI</t>
  </si>
  <si>
    <t>LT-070268-16/NY</t>
  </si>
  <si>
    <t>LT-29487-18/BX</t>
  </si>
  <si>
    <t>LT-069116-17/KI</t>
  </si>
  <si>
    <t>LT-072636-17/BX</t>
  </si>
  <si>
    <t>LT-039207-17/BX</t>
  </si>
  <si>
    <t>LT-68058-17/NY</t>
  </si>
  <si>
    <t>LT-252000-17/NY</t>
  </si>
  <si>
    <t>LT-068428-17/NY</t>
  </si>
  <si>
    <t>LT-052305-16/KI</t>
  </si>
  <si>
    <t>4282, SCQ 2017 1</t>
  </si>
  <si>
    <t>LT-061425-17/KI</t>
  </si>
  <si>
    <t>LT-0529006-17/RI</t>
  </si>
  <si>
    <t>LT-070706-16/BX</t>
  </si>
  <si>
    <t>204-SCR-2018/RI</t>
  </si>
  <si>
    <t>LT-052058-17/RI</t>
  </si>
  <si>
    <t>L&amp;T 084796-18</t>
  </si>
  <si>
    <t>LT-52259-17/RI</t>
  </si>
  <si>
    <t>LT-067853-17/KI</t>
  </si>
  <si>
    <t>LT-060956-18/KI</t>
  </si>
  <si>
    <t>LT-57777-17/NY</t>
  </si>
  <si>
    <t>LT-023476-18/bx</t>
  </si>
  <si>
    <t>LT-072586-17/NY</t>
  </si>
  <si>
    <t>LT-069976-18/KI</t>
  </si>
  <si>
    <t>LT-084827-17-KI</t>
  </si>
  <si>
    <t>052896-18/BX</t>
  </si>
  <si>
    <t>LT-051634-18/RI</t>
  </si>
  <si>
    <t>LT-052985-17/RI</t>
  </si>
  <si>
    <t>LT-000775-18/NY</t>
  </si>
  <si>
    <t>LT-77300-17/Ny</t>
  </si>
  <si>
    <t>LT-056490-18/KI</t>
  </si>
  <si>
    <t>LT-079806-17/QU</t>
  </si>
  <si>
    <t>LT-071896-17/QU</t>
  </si>
  <si>
    <t>LT-250676-17/NY</t>
  </si>
  <si>
    <t>LT-062234-18/QU</t>
  </si>
  <si>
    <t>LT-94320-17/KI</t>
  </si>
  <si>
    <t>LT-050779-18/RI</t>
  </si>
  <si>
    <t>LT-251206-15/BX</t>
  </si>
  <si>
    <t>LT-021668-18/BX</t>
  </si>
  <si>
    <t>LT-067567-17/KI</t>
  </si>
  <si>
    <t>2018-00551 QC</t>
  </si>
  <si>
    <t>LT-069597-18/KI</t>
  </si>
  <si>
    <t>LT-051948-18/QU</t>
  </si>
  <si>
    <t>LT-67622-13/NY</t>
  </si>
  <si>
    <t>LT-068473-17/NY</t>
  </si>
  <si>
    <t>LT-60189/18-NY</t>
  </si>
  <si>
    <t>LT-57647-18/QU</t>
  </si>
  <si>
    <t>LT-074780-16/NY</t>
  </si>
  <si>
    <t>LT-062234-17/NY</t>
  </si>
  <si>
    <t>LT-52439-17/RI</t>
  </si>
  <si>
    <t>LT-062837-17/NY</t>
  </si>
  <si>
    <t>LT-023882-18/BX</t>
  </si>
  <si>
    <t>LT-68184-17/NY</t>
  </si>
  <si>
    <t>LT-070416-18/KI</t>
  </si>
  <si>
    <t>LT-3402-17/KI</t>
  </si>
  <si>
    <t>LT-6160-18/KI</t>
  </si>
  <si>
    <t>LT-1679-18/KI</t>
  </si>
  <si>
    <t>LT-073728-17/BX</t>
  </si>
  <si>
    <t>LT-85990-17/KI</t>
  </si>
  <si>
    <t>LT-070907-17/KI</t>
  </si>
  <si>
    <t>LT-060411-17/BX</t>
  </si>
  <si>
    <t>LT-050158-18/RI</t>
  </si>
  <si>
    <t>LT-069170-17/QU</t>
  </si>
  <si>
    <t>LT-14340-18-BX</t>
  </si>
  <si>
    <t>LT-83567-17/KI</t>
  </si>
  <si>
    <t>LT-026290-18/BX</t>
  </si>
  <si>
    <t>LT-80341-17/NY</t>
  </si>
  <si>
    <t>LT-065829-17/KI</t>
  </si>
  <si>
    <t>HP-1189-17/NY</t>
  </si>
  <si>
    <t>LT-073352-17/KI</t>
  </si>
  <si>
    <t>LT-051447-18/QU</t>
  </si>
  <si>
    <t>LT-097104-17/KI</t>
  </si>
  <si>
    <t>LT-68935-17/KI</t>
  </si>
  <si>
    <t>LT-059650-17/QU</t>
  </si>
  <si>
    <t>LT-089983-16/KI</t>
  </si>
  <si>
    <t>LT-81243-17/KI</t>
  </si>
  <si>
    <t>LT-052109-17/RI</t>
  </si>
  <si>
    <t>LT-077476-17/KI</t>
  </si>
  <si>
    <t>LT-35842-17-BX</t>
  </si>
  <si>
    <t>HP-697-17/KI</t>
  </si>
  <si>
    <t>LT-77503-17/KI</t>
  </si>
  <si>
    <t>LT-067085-17/NY</t>
  </si>
  <si>
    <t>LT-088929-16/KI</t>
  </si>
  <si>
    <t>LT-098894-17/KI</t>
  </si>
  <si>
    <t>LT-051832-16/BX</t>
  </si>
  <si>
    <t>251206/15</t>
  </si>
  <si>
    <t>LT-51104-18/NY</t>
  </si>
  <si>
    <t>LT-068336-17/BX</t>
  </si>
  <si>
    <t>LT-059499-18/QU</t>
  </si>
  <si>
    <t>LT-089196-17/KI</t>
  </si>
  <si>
    <t>LT-74318-17/BX</t>
  </si>
  <si>
    <t>LT-250594-18/NY</t>
  </si>
  <si>
    <t>LT-55605-17/NY</t>
  </si>
  <si>
    <t>15862/16</t>
  </si>
  <si>
    <t>LT-008929-18/BX</t>
  </si>
  <si>
    <t>2017-1480 RIC</t>
  </si>
  <si>
    <t>LT-071137-17/NY</t>
  </si>
  <si>
    <t>LT-065260-18/KI</t>
  </si>
  <si>
    <t>LT-063852-16/KI</t>
  </si>
  <si>
    <t>LT-53419-17/RI</t>
  </si>
  <si>
    <t>LT-082867-17/KI</t>
  </si>
  <si>
    <t>LT-080673-17/QU</t>
  </si>
  <si>
    <t>LT-100756-16/KI</t>
  </si>
  <si>
    <t>LT-92053-17/KI</t>
  </si>
  <si>
    <t>LT-70144-18/KI</t>
  </si>
  <si>
    <t>LT-070740-17/BX</t>
  </si>
  <si>
    <t>LT-057605-17/QU</t>
  </si>
  <si>
    <t>CV-000600-18/RI</t>
  </si>
  <si>
    <t>56134-18/KI</t>
  </si>
  <si>
    <t>LT-068016-18/ki</t>
  </si>
  <si>
    <t>LT-079714-17/NY</t>
  </si>
  <si>
    <t>LT-004368-18/BX</t>
  </si>
  <si>
    <t>LT-041874-17/BX</t>
  </si>
  <si>
    <t>LT-068477-15/NY</t>
  </si>
  <si>
    <t>LT-065525-17/KI</t>
  </si>
  <si>
    <t>LT-045588-17/BX</t>
  </si>
  <si>
    <t>LT-057252-18/KI</t>
  </si>
  <si>
    <t>LT-065350-17/NY</t>
  </si>
  <si>
    <t>LT-052910-17/RI</t>
  </si>
  <si>
    <t>LT-079217-17/KI</t>
  </si>
  <si>
    <t>LT-52693-17/BX</t>
  </si>
  <si>
    <t>LT-063517-18/KI</t>
  </si>
  <si>
    <t>LT-071623-17/BX</t>
  </si>
  <si>
    <t>LT-077142-17/QU</t>
  </si>
  <si>
    <t>LT-072661-17/NY</t>
  </si>
  <si>
    <t>LT-052365-17/BX</t>
  </si>
  <si>
    <t>LT-69077-17/QU</t>
  </si>
  <si>
    <t>LT-034793-17/BX</t>
  </si>
  <si>
    <t>LT-69411/17</t>
  </si>
  <si>
    <t>LT-053293-17/RI</t>
  </si>
  <si>
    <t>LT-72525-17/QU</t>
  </si>
  <si>
    <t>LT-053716-18/QU</t>
  </si>
  <si>
    <t>LT-028103-18/BX</t>
  </si>
  <si>
    <t>SC-100697-18/NY</t>
  </si>
  <si>
    <t>LT-070634-18/ki</t>
  </si>
  <si>
    <t>LT-050858-17/KI</t>
  </si>
  <si>
    <t>LT-56141-18/QU</t>
  </si>
  <si>
    <t>ET130078OM</t>
  </si>
  <si>
    <t>LT 250863-18/NY</t>
  </si>
  <si>
    <t>HP-018988-17/BX</t>
  </si>
  <si>
    <t>LT-044709-17/BX</t>
  </si>
  <si>
    <t>LT-103852-15/KI</t>
  </si>
  <si>
    <t>LT-082231-17/NY</t>
  </si>
  <si>
    <t>LT-75929-17/NY</t>
  </si>
  <si>
    <t>LT-80445-17/KI</t>
  </si>
  <si>
    <t>LT-074147-17/QU</t>
  </si>
  <si>
    <t>LT-078018-17/KI</t>
  </si>
  <si>
    <t>LT-58185-17/NY</t>
  </si>
  <si>
    <t>LT-023121/18 BX</t>
  </si>
  <si>
    <t>FR 210108 S</t>
  </si>
  <si>
    <t>LT-065072-18/KI</t>
  </si>
  <si>
    <t>LT-064351-17/KI</t>
  </si>
  <si>
    <t>LT-250778-17/NY</t>
  </si>
  <si>
    <t>LT-95354-17/KI</t>
  </si>
  <si>
    <t>LT-061655-17/NY</t>
  </si>
  <si>
    <t>LT-044004-17/BX</t>
  </si>
  <si>
    <t>LT-083533-17/KI</t>
  </si>
  <si>
    <t>LT-55849-17/NY</t>
  </si>
  <si>
    <t>LT-099431-17/KI</t>
  </si>
  <si>
    <t>LT-052349-18/KI</t>
  </si>
  <si>
    <t>LT-058808-17/KI</t>
  </si>
  <si>
    <t>LT-080257-17/KI</t>
  </si>
  <si>
    <t>LT-031595-17/BX</t>
  </si>
  <si>
    <t>LT-067631-17/QU</t>
  </si>
  <si>
    <t>LT-018643-18/BX</t>
  </si>
  <si>
    <t>LT-81932-17/NY</t>
  </si>
  <si>
    <t>FR 210085 S</t>
  </si>
  <si>
    <t>LT-053292-17/RI</t>
  </si>
  <si>
    <t>LT-076121-17/NY</t>
  </si>
  <si>
    <t>LT-52772-17/RI</t>
  </si>
  <si>
    <t>CIV-000126/18-RI</t>
  </si>
  <si>
    <t>LT-076720-17/KI</t>
  </si>
  <si>
    <t>LT-061454-17/BX</t>
  </si>
  <si>
    <t>LT-090083-17/KI</t>
  </si>
  <si>
    <t>LT-060748-18/QU</t>
  </si>
  <si>
    <t>LT-73958-17/NY</t>
  </si>
  <si>
    <t>Lt-093378-17/KI</t>
  </si>
  <si>
    <t>LT-04976-17/BX</t>
  </si>
  <si>
    <t>LT-094758-17/KI</t>
  </si>
  <si>
    <t>LT-040718-17/BX</t>
  </si>
  <si>
    <t>LT-69099-17/NY</t>
  </si>
  <si>
    <t>LT-251752-16/HA</t>
  </si>
  <si>
    <t>LT-051097-17/RI</t>
  </si>
  <si>
    <t>LT-084987-16/NY</t>
  </si>
  <si>
    <t>81895/17</t>
  </si>
  <si>
    <t>LT-057789-18/QU</t>
  </si>
  <si>
    <t>LT-75108/16</t>
  </si>
  <si>
    <t>LT-055799-18/KI</t>
  </si>
  <si>
    <t>LT-11164/16-QU</t>
  </si>
  <si>
    <t>SC 14-2018-QU</t>
  </si>
  <si>
    <t>30557-SCQ-2017</t>
  </si>
  <si>
    <t>LT-051355-18/BX</t>
  </si>
  <si>
    <t>LT-056829-18/QU</t>
  </si>
  <si>
    <t>LT-55621/17-KI</t>
  </si>
  <si>
    <t>LT-052984-17/BX</t>
  </si>
  <si>
    <t>LT-72831-17/NY</t>
  </si>
  <si>
    <t>LT-070308-17/QU</t>
  </si>
  <si>
    <t>LT-73594-17/KI</t>
  </si>
  <si>
    <t>LT-051200-18/QU</t>
  </si>
  <si>
    <t>LT-156955-17/NY</t>
  </si>
  <si>
    <t>LT-063707-18/KI</t>
  </si>
  <si>
    <t>LT-250836-17/NY</t>
  </si>
  <si>
    <t>LT-010374-18/BX</t>
  </si>
  <si>
    <t>L&amp;T 10374-18-BX</t>
  </si>
  <si>
    <t>LT-092218/17-KI</t>
  </si>
  <si>
    <t>LT-052770-17/KI</t>
  </si>
  <si>
    <t>LT-075996-17/QU</t>
  </si>
  <si>
    <t>LT-051777-17/RI</t>
  </si>
  <si>
    <t>LT-53585-18/NY</t>
  </si>
  <si>
    <t>LT-013741-18/BX</t>
  </si>
  <si>
    <t>LT-63791-18/NY</t>
  </si>
  <si>
    <t>LT-52949-17/RI</t>
  </si>
  <si>
    <t>LT-093462-16/KI</t>
  </si>
  <si>
    <t>LT-060424-17/BX</t>
  </si>
  <si>
    <t>LT-097515/KI</t>
  </si>
  <si>
    <t>868897/17</t>
  </si>
  <si>
    <t>1028/18</t>
  </si>
  <si>
    <t>LT-057160-18/KI</t>
  </si>
  <si>
    <t>LT-019679-18/BX</t>
  </si>
  <si>
    <t>LT-073312-17/BX</t>
  </si>
  <si>
    <t>LT-251783-17/NY</t>
  </si>
  <si>
    <t>LT-078007-17/KI</t>
  </si>
  <si>
    <t>HP-3212-16/KI</t>
  </si>
  <si>
    <t>LT-060412-18/QU</t>
  </si>
  <si>
    <t>LT-055072-18/NY</t>
  </si>
  <si>
    <t>LT-053586-17/RI</t>
  </si>
  <si>
    <t>LT-71783-15/KI</t>
  </si>
  <si>
    <t>LT-050649-18/QU</t>
  </si>
  <si>
    <t>LT-51644-17/NY</t>
  </si>
  <si>
    <t>LT-057651-17/ki</t>
  </si>
  <si>
    <t>LT-532165-18/NY</t>
  </si>
  <si>
    <t>LT-060069-18/QU</t>
  </si>
  <si>
    <t>LT-003038-17/BX</t>
  </si>
  <si>
    <t>LT-59931-16/QU</t>
  </si>
  <si>
    <t>LT-065288-17/NY</t>
  </si>
  <si>
    <t>LT-020759/18</t>
  </si>
  <si>
    <t>LT-62606-18/QU</t>
  </si>
  <si>
    <t>LT-78597-16/NY</t>
  </si>
  <si>
    <t>LT-058825-18/NY</t>
  </si>
  <si>
    <t>LT 51146-18/RI</t>
  </si>
  <si>
    <t>LT-250604-18?NY</t>
  </si>
  <si>
    <t>LT-041742-17/BX</t>
  </si>
  <si>
    <t>LT-032088-17/BX</t>
  </si>
  <si>
    <t>LT-085502-17/KI</t>
  </si>
  <si>
    <t>LT-070032-17/QU</t>
  </si>
  <si>
    <t>LT-050407-18/RI</t>
  </si>
  <si>
    <t>LT-050468-18/RI</t>
  </si>
  <si>
    <t>LT-051378-17/RI</t>
  </si>
  <si>
    <t>LT-74535-17/KI</t>
  </si>
  <si>
    <t>LT-73759-17/NY</t>
  </si>
  <si>
    <t>30606-18-BX</t>
  </si>
  <si>
    <t>LT-022658-17/BX</t>
  </si>
  <si>
    <t>HP-200119-17/NY</t>
  </si>
  <si>
    <t>LT-018458-18</t>
  </si>
  <si>
    <t>83293/17</t>
  </si>
  <si>
    <t>LT 00455/2018</t>
  </si>
  <si>
    <t>LT-067831-17/NY</t>
  </si>
  <si>
    <t>LT-076130-16/QU</t>
  </si>
  <si>
    <t>LT-060253-14/NY</t>
  </si>
  <si>
    <t>No Case yet</t>
  </si>
  <si>
    <t>LT-71649-17/QU</t>
  </si>
  <si>
    <t>LT-05582-17/NY</t>
  </si>
  <si>
    <t>LT-76674-16/QU</t>
  </si>
  <si>
    <t>LT-075993-17/KI</t>
  </si>
  <si>
    <t>LT-074208-17/KI</t>
  </si>
  <si>
    <t>LT-79334-17/KI</t>
  </si>
  <si>
    <t>LT-071939-17/QU</t>
  </si>
  <si>
    <t>LT-021143-17/BX</t>
  </si>
  <si>
    <t>LT-085203-17/KI</t>
  </si>
  <si>
    <t>LT-064850-18/KI</t>
  </si>
  <si>
    <t>LT-68018-15/QU</t>
  </si>
  <si>
    <t>LT-600905-16/KI</t>
  </si>
  <si>
    <t>LT-074981-17/NY</t>
  </si>
  <si>
    <t>11725/2015</t>
  </si>
  <si>
    <t>70426/18</t>
  </si>
  <si>
    <t>LT-065433-16/KI</t>
  </si>
  <si>
    <t>LT-057114-17/KI</t>
  </si>
  <si>
    <t>LT-016397-18/BX</t>
  </si>
  <si>
    <t>LT-051806-17/RI</t>
  </si>
  <si>
    <t>LT-53584-17/RI</t>
  </si>
  <si>
    <t>LT-158628-16/KI</t>
  </si>
  <si>
    <t>LT-095628-17/KI</t>
  </si>
  <si>
    <t>LT-61626-18/NY</t>
  </si>
  <si>
    <t>LT-052807-17/RI</t>
  </si>
  <si>
    <t>LT-038093-17/BX</t>
  </si>
  <si>
    <t>LT-055921-18/KI</t>
  </si>
  <si>
    <t>LT-014453-18/BX</t>
  </si>
  <si>
    <t>LT-009744-18/BX</t>
  </si>
  <si>
    <t>LT-069497-17/KI</t>
  </si>
  <si>
    <t>HP-2610-16/KI</t>
  </si>
  <si>
    <t>LT- 052860-18/KI</t>
  </si>
  <si>
    <t>LT-251014-17/NY</t>
  </si>
  <si>
    <t>LT-095377-17/KI</t>
  </si>
  <si>
    <t>LT-054139-17/BX</t>
  </si>
  <si>
    <t>No case yet</t>
  </si>
  <si>
    <t>LT-050667-18/KI</t>
  </si>
  <si>
    <t>LT-066673-17/KI</t>
  </si>
  <si>
    <t>LT-51014-18/NY</t>
  </si>
  <si>
    <t>LT-003315-18/BX</t>
  </si>
  <si>
    <t>LT-86814-17/KI</t>
  </si>
  <si>
    <t>LT-054176-18/QU</t>
  </si>
  <si>
    <t>LT-96690/17-KI</t>
  </si>
  <si>
    <t>LT-029205-17/BX</t>
  </si>
  <si>
    <t>LT-049466-17/BX</t>
  </si>
  <si>
    <t>LT-081453-17/NY</t>
  </si>
  <si>
    <t>2017-01983 QC</t>
  </si>
  <si>
    <t>LT-252246-17/HA</t>
  </si>
  <si>
    <t>L&amp;T Index # 65493/18</t>
  </si>
  <si>
    <t>LT-086900-17/KI</t>
  </si>
  <si>
    <t>LT-075217-17/NY</t>
  </si>
  <si>
    <t>LT-016914-18/BX</t>
  </si>
  <si>
    <t>LT-062876-17/NY</t>
  </si>
  <si>
    <t>LT-58022-18/NY</t>
  </si>
  <si>
    <t>LT-87898-15/NY</t>
  </si>
  <si>
    <t>LT-071252-17/NY</t>
  </si>
  <si>
    <t>LT-006070-17/NY</t>
  </si>
  <si>
    <t>LT-023111-18/BX</t>
  </si>
  <si>
    <t>LT-003539-18/KI</t>
  </si>
  <si>
    <t>LT-021419-18/BX</t>
  </si>
  <si>
    <t>2018-00401 RI C</t>
  </si>
  <si>
    <t>LT-50646-18/RI</t>
  </si>
  <si>
    <t>LT-053192-17/BX</t>
  </si>
  <si>
    <t>LT-074490-17/QU</t>
  </si>
  <si>
    <t>LT-057641-17/NY</t>
  </si>
  <si>
    <t>LT-147428-18/BX</t>
  </si>
  <si>
    <t>LT-095164-17/KI</t>
  </si>
  <si>
    <t>LT-053048-17/RI</t>
  </si>
  <si>
    <t>LT-77123-17/KI</t>
  </si>
  <si>
    <t>838/18</t>
  </si>
  <si>
    <t>LT-053483-17/RI</t>
  </si>
  <si>
    <t>LT-53102-17/RI</t>
  </si>
  <si>
    <t>LT-026791-18/BX</t>
  </si>
  <si>
    <t>LT-015663-18/BX</t>
  </si>
  <si>
    <t>68272/18</t>
  </si>
  <si>
    <t>LT-93971-17/KI</t>
  </si>
  <si>
    <t>LT-077927-16/NY</t>
  </si>
  <si>
    <t>LT-070411-17/KI</t>
  </si>
  <si>
    <t>LT-066798-17/NY</t>
  </si>
  <si>
    <t>LT-052592-17/RI</t>
  </si>
  <si>
    <t>LT-66795-17/QU</t>
  </si>
  <si>
    <t>LT-4364-16/KI</t>
  </si>
  <si>
    <t>LT-072152-17/KI</t>
  </si>
  <si>
    <t>LT-83147/17-NY</t>
  </si>
  <si>
    <t>HP 2906/17</t>
  </si>
  <si>
    <t>LT-68644-17/NY</t>
  </si>
  <si>
    <t>LT-095359-17/KI</t>
  </si>
  <si>
    <t>LT-090353-17/KI</t>
  </si>
  <si>
    <t>LT-029083-18/BX</t>
  </si>
  <si>
    <t>LT-26889-18/NY</t>
  </si>
  <si>
    <t>LT-070340-17/NY</t>
  </si>
  <si>
    <t>LT-074996-17/QU</t>
  </si>
  <si>
    <t>LT-57731-17/KI</t>
  </si>
  <si>
    <t>LT-81267-17/KI</t>
  </si>
  <si>
    <t>HP-241-17/RI</t>
  </si>
  <si>
    <t>LT-61761-18/NY</t>
  </si>
  <si>
    <t>LT-79643-16/KI</t>
  </si>
  <si>
    <t>LT-068560-18/KI</t>
  </si>
  <si>
    <t>1579/2017</t>
  </si>
  <si>
    <t>LT-71859-17/NY</t>
  </si>
  <si>
    <t>LT-000088/18-RI</t>
  </si>
  <si>
    <t>LT-074381-17/KI</t>
  </si>
  <si>
    <t>LT-050418-18/RI</t>
  </si>
  <si>
    <t>GN 210235 S</t>
  </si>
  <si>
    <t>LT-054967-19/NY</t>
  </si>
  <si>
    <t>LT-075119-17/KI</t>
  </si>
  <si>
    <t>LT-022014-18/BX</t>
  </si>
  <si>
    <t>LT-079443-17/KI</t>
  </si>
  <si>
    <t>LT-086495-16/KI</t>
  </si>
  <si>
    <t>LT-079382-17/KI</t>
  </si>
  <si>
    <t>LT- 22424/17/BX</t>
  </si>
  <si>
    <t>LT-066626-17/BX</t>
  </si>
  <si>
    <t>LT-053458-18/KI</t>
  </si>
  <si>
    <t>LT-064823-17/BX</t>
  </si>
  <si>
    <t>LT-071595-17/NY</t>
  </si>
  <si>
    <t>LT-079500-17/QU</t>
  </si>
  <si>
    <t>LT-067825-18/KI</t>
  </si>
  <si>
    <t>LT-001669-18/BX</t>
  </si>
  <si>
    <t>LT-50533-15/KI</t>
  </si>
  <si>
    <t>LT-052089-17/RI</t>
  </si>
  <si>
    <t>LT-252314-17/HA</t>
  </si>
  <si>
    <t>LT-032009-17/BX</t>
  </si>
  <si>
    <t>LT-019301-17/BX</t>
  </si>
  <si>
    <t>LT-079645-17/KI</t>
  </si>
  <si>
    <t>LT-092843-17/KI</t>
  </si>
  <si>
    <t>LT-85178-17/KI</t>
  </si>
  <si>
    <t>LT-071844-17/KI</t>
  </si>
  <si>
    <t>035840-18/BX</t>
  </si>
  <si>
    <t>LT-13732-17/BX</t>
  </si>
  <si>
    <t>LT-089521-16/KI</t>
  </si>
  <si>
    <t>LT-074309-17/QU</t>
  </si>
  <si>
    <t>LT-077750-17/Ki</t>
  </si>
  <si>
    <t>LT-58392-15/KI</t>
  </si>
  <si>
    <t>LT-071023-17/KI</t>
  </si>
  <si>
    <t>LT-77405-18/KI</t>
  </si>
  <si>
    <t>LT-70473-17/KI</t>
  </si>
  <si>
    <t>LT-051463-17/RI</t>
  </si>
  <si>
    <t>LT-091333-17/KI</t>
  </si>
  <si>
    <t>LT-27466-18/BX</t>
  </si>
  <si>
    <t>LT-11548-18/BX</t>
  </si>
  <si>
    <t>LT-058106-18/KI</t>
  </si>
  <si>
    <t>LT-51565/-18/KI</t>
  </si>
  <si>
    <t>FR 210106 S</t>
  </si>
  <si>
    <t>LT-070369-17/NY</t>
  </si>
  <si>
    <t>LT-78510-17/KI</t>
  </si>
  <si>
    <t>LT-251379-17/NY</t>
  </si>
  <si>
    <t>LT-095221-17/KI</t>
  </si>
  <si>
    <t>LT-081514-17/NY</t>
  </si>
  <si>
    <t>LT-067179-17/NY</t>
  </si>
  <si>
    <t>LT-252061-17/NY</t>
  </si>
  <si>
    <t>LT-066661-17/NY</t>
  </si>
  <si>
    <t>LT-073378-17/NY</t>
  </si>
  <si>
    <t>LT-82445-17/NY</t>
  </si>
  <si>
    <t>LT-059135-18/KI</t>
  </si>
  <si>
    <t>LT-93638-17/KI</t>
  </si>
  <si>
    <t>CV-764-18/RI</t>
  </si>
  <si>
    <t>LT-074654-17/NY</t>
  </si>
  <si>
    <t>Lt-37431-17/BX</t>
  </si>
  <si>
    <t>LT-024501-18/BX</t>
  </si>
  <si>
    <t>LT-452534-17/NY</t>
  </si>
  <si>
    <t>LT-053208/17</t>
  </si>
  <si>
    <t>LT-075110-17/KI</t>
  </si>
  <si>
    <t>LT-017823-18/BX</t>
  </si>
  <si>
    <t>LT-058911-18/KI</t>
  </si>
  <si>
    <t>HP-001218-18/NY</t>
  </si>
  <si>
    <t>LT-63325/18-NY</t>
  </si>
  <si>
    <t>LT-62727-17/BX</t>
  </si>
  <si>
    <t>LT-50535-15/KI</t>
  </si>
  <si>
    <t>LT-54931-18/NY</t>
  </si>
  <si>
    <t>FR 210077 S</t>
  </si>
  <si>
    <t>LT-059271-17/BX</t>
  </si>
  <si>
    <t>35480/2013E</t>
  </si>
  <si>
    <t>LT-72788-17/BX</t>
  </si>
  <si>
    <t>LT-62649-16/KI</t>
  </si>
  <si>
    <t>LT-056710-18/QU</t>
  </si>
  <si>
    <t>LT-052957-17/RI</t>
  </si>
  <si>
    <t>LT-088054-17/KI</t>
  </si>
  <si>
    <t>L&amp;T 051376-17/RI</t>
  </si>
  <si>
    <t>LT-061553-17/KI</t>
  </si>
  <si>
    <t>LT-52654-18/NY</t>
  </si>
  <si>
    <t>LT-61263-17/BX</t>
  </si>
  <si>
    <t>LT-71855-17/KI</t>
  </si>
  <si>
    <t>LT-073178-17/NY</t>
  </si>
  <si>
    <t>LT-0687713-17/BX</t>
  </si>
  <si>
    <t>LT-037945-17/BX</t>
  </si>
  <si>
    <t>LT-74771-17/NY</t>
  </si>
  <si>
    <t>LT-67890-16/BX</t>
  </si>
  <si>
    <t>LT-75815-17/KI</t>
  </si>
  <si>
    <t>LT-014518-17 NY</t>
  </si>
  <si>
    <t>FR 210082 S</t>
  </si>
  <si>
    <t>FR210110 S</t>
  </si>
  <si>
    <t>LT-050279-18/NY</t>
  </si>
  <si>
    <t>LT-50106-17/RI</t>
  </si>
  <si>
    <t>63516/18</t>
  </si>
  <si>
    <t>HP-502-18/NY</t>
  </si>
  <si>
    <t>LT-076772-17/KI</t>
  </si>
  <si>
    <t>LT-073808-17/BX</t>
  </si>
  <si>
    <t>LT-083502-17/KI</t>
  </si>
  <si>
    <t>LT-79184-17/KI</t>
  </si>
  <si>
    <t>HP-000963-18/NY</t>
  </si>
  <si>
    <t>LT-075290-17/KI</t>
  </si>
  <si>
    <t>LT-92272-17/KI</t>
  </si>
  <si>
    <t>LT-252106-16/NY</t>
  </si>
  <si>
    <t>LT-001311-17/KI</t>
  </si>
  <si>
    <t>LT-100981-16/KI</t>
  </si>
  <si>
    <t>LT-069122-17/KI</t>
  </si>
  <si>
    <t>LT-099658-17/KI</t>
  </si>
  <si>
    <t>LT-251414-17/NY</t>
  </si>
  <si>
    <t>LT-67529/17-NY</t>
  </si>
  <si>
    <t>LT-068283-18/KI</t>
  </si>
  <si>
    <t>HP-71022-17/BX</t>
  </si>
  <si>
    <t>LT-089181-17/KI</t>
  </si>
  <si>
    <t>HP-1520-18/KI</t>
  </si>
  <si>
    <t>L&amp;T-06798-18/KI</t>
  </si>
  <si>
    <t>LT-94319-17/KI</t>
  </si>
  <si>
    <t>LT-002778-18/BX</t>
  </si>
  <si>
    <t>LT-76257-17/KI</t>
  </si>
  <si>
    <t>LT-052225-17/BX</t>
  </si>
  <si>
    <t>LT-080056-17/NY</t>
  </si>
  <si>
    <t>LT-81328-16/NY</t>
  </si>
  <si>
    <t>LT-097266-17/KI</t>
  </si>
  <si>
    <t>Other Civil Court</t>
  </si>
  <si>
    <t>Holdover</t>
  </si>
  <si>
    <t>Non-payment</t>
  </si>
  <si>
    <t>Other</t>
  </si>
  <si>
    <t>HP Action</t>
  </si>
  <si>
    <t>Illegal Lockout</t>
  </si>
  <si>
    <t>Tenant Rights</t>
  </si>
  <si>
    <t>PA Issue: FEPS</t>
  </si>
  <si>
    <t>SCRIE/DRIE</t>
  </si>
  <si>
    <t>DHCR Proceeding</t>
  </si>
  <si>
    <t>Non-Litigation Advocacy</t>
  </si>
  <si>
    <t>PA Issue: Other</t>
  </si>
  <si>
    <t>Affirmative Litigation Supreme</t>
  </si>
  <si>
    <t>Section 8 other</t>
  </si>
  <si>
    <t>Sec. 8 Termination</t>
  </si>
  <si>
    <t>PA Issue: City FEPS/SEPS</t>
  </si>
  <si>
    <t>NYCHA Housing Termination</t>
  </si>
  <si>
    <t>DHCR Administrative Action</t>
  </si>
  <si>
    <t>Affirmative Litigation Federal</t>
  </si>
  <si>
    <t>NYCHA Housing Grievance</t>
  </si>
  <si>
    <t>Mitchell-Lama Termination</t>
  </si>
  <si>
    <t>Section 8 HQS</t>
  </si>
  <si>
    <t>Section 8 share</t>
  </si>
  <si>
    <t>PA Issue: RAU</t>
  </si>
  <si>
    <t>Human Rights Complaint</t>
  </si>
  <si>
    <t>HRA Fair Hearing</t>
  </si>
  <si>
    <t>Article 78</t>
  </si>
  <si>
    <t>7A Proceeding</t>
  </si>
  <si>
    <t>Appeal Supreme</t>
  </si>
  <si>
    <t>Appeal-Appellate Term</t>
  </si>
  <si>
    <t>Appeal-Appellate Division</t>
  </si>
  <si>
    <t>Other Affirmative Litigation</t>
  </si>
  <si>
    <t>Appeal</t>
  </si>
  <si>
    <t>Ejectment Action</t>
  </si>
  <si>
    <t>Advice</t>
  </si>
  <si>
    <t>Brief Service</t>
  </si>
  <si>
    <t>Hold For Review</t>
  </si>
  <si>
    <t>Out-of-Court Advocacy</t>
  </si>
  <si>
    <t>Representation - Admin. Agency</t>
  </si>
  <si>
    <t>Representation - Federal Court</t>
  </si>
  <si>
    <t>Representation - State Court</t>
  </si>
  <si>
    <t>A - Counsel and Advice</t>
  </si>
  <si>
    <t>B - Limited Action (Brief Service)</t>
  </si>
  <si>
    <t>L - Extensive Service (not resulting in Settlement of Court or Administrative Action)</t>
  </si>
  <si>
    <t>G - Negotiated Settlement with Litigation</t>
  </si>
  <si>
    <t>F - Negotiated Settlement w/out Litigation</t>
  </si>
  <si>
    <t>H - Administrative Agency Decision</t>
  </si>
  <si>
    <t>IB - Contested Court Decision</t>
  </si>
  <si>
    <t>IA - Uncontested Court Decision</t>
  </si>
  <si>
    <t>3018 Tenant Rights Coalition (TRC)</t>
  </si>
  <si>
    <t>3011 TRC FJC Initiative</t>
  </si>
  <si>
    <t>Prefer Not To Answer</t>
  </si>
  <si>
    <t>3308 Anti-Eviction and SRO Legal Services (formerly known as “HPD” Contracts)</t>
  </si>
  <si>
    <t>3307 Anti Eviction and SRO Legal Services (formerly "HPD")</t>
  </si>
  <si>
    <t>3311 Anti-Eviction and SRO Legal Services (formerly "HPD")</t>
  </si>
  <si>
    <t>5556 Robin Hood-Foreclosure and Housing</t>
  </si>
  <si>
    <t>2157 OCA-City-wide Civil Legal Services Grant</t>
  </si>
  <si>
    <t>3306 Anti-Eviction and SRO Legal Services (formerly known as “HPD” Contracts)</t>
  </si>
  <si>
    <t>3018 Tenant Rights Coalition (TRC), 3020 CLS-Civil Legal Services</t>
  </si>
  <si>
    <t>5269 H. Van Ameringen Foundation</t>
  </si>
  <si>
    <t>3308 Anti-Eviction and SRO Legal Services (formerly known as “HPD” Contracts), 5227 RH VJP (Veterans Justice Project)</t>
  </si>
  <si>
    <t>3115 HPLP-Homelessness Prevention Law Project, 3308 Anti-Eviction and SRO Legal Services (formerly known as “HPD” Contracts)</t>
  </si>
  <si>
    <t>3311 Anti-Eviction and SRO Legal Services (formerly "HPD"), 5556 Robin Hood-Foreclosure and Housing</t>
  </si>
  <si>
    <t>5510 CB9 Manhattanville-West Harlem Tenant Advocacy Project</t>
  </si>
  <si>
    <t>5221 SSUSA-Single Stop USA</t>
  </si>
  <si>
    <t>3020 CLS-Civil Legal Services</t>
  </si>
  <si>
    <t>09 Other Consumer/Finance</t>
  </si>
  <si>
    <t>63 Private Landlord/Tenant</t>
  </si>
  <si>
    <t>71 TANF</t>
  </si>
  <si>
    <t>69 Other Housing</t>
  </si>
  <si>
    <t>61 Federally Subsidized Housing</t>
  </si>
  <si>
    <t>66 Housing Discrimination</t>
  </si>
  <si>
    <t>02 Collect/Repo/Def/Garnsh</t>
  </si>
  <si>
    <t>79 Other Income Maintenence</t>
  </si>
  <si>
    <t>64 Public Housing</t>
  </si>
  <si>
    <t>85 Civil Rights</t>
  </si>
  <si>
    <t>No Stipulation; No Judgment</t>
  </si>
  <si>
    <t>Post-Judgment, Tenant in Possession-Judgment Due to Other</t>
  </si>
  <si>
    <t>Post-Judgment, Tenant in Possession-Judgment Due to Default</t>
  </si>
  <si>
    <t>Post-Stipulation, No Judgment</t>
  </si>
  <si>
    <t>Post-Judgment, Tenant Out of Possession</t>
  </si>
  <si>
    <t>On for Trial</t>
  </si>
  <si>
    <t>12/30/2017</t>
  </si>
  <si>
    <t>06/02/2018</t>
  </si>
  <si>
    <t>06/03/2018</t>
  </si>
  <si>
    <t>04/01/2018</t>
  </si>
  <si>
    <t>12/31/2017</t>
  </si>
  <si>
    <t>11/04/2017</t>
  </si>
  <si>
    <t>10/01/2017</t>
  </si>
  <si>
    <t>01/14/2018</t>
  </si>
  <si>
    <t>11/07/2017</t>
  </si>
  <si>
    <t>06/16/2018</t>
  </si>
  <si>
    <t>09/02/2017</t>
  </si>
  <si>
    <t>07/01/2017</t>
  </si>
  <si>
    <t>01/15/2018</t>
  </si>
  <si>
    <t>02/24/2018</t>
  </si>
  <si>
    <t>05/05/2018</t>
  </si>
  <si>
    <t>02/19/2018</t>
  </si>
  <si>
    <t>08/09/2017</t>
  </si>
  <si>
    <t>06/17/2018</t>
  </si>
  <si>
    <t>01/20/2018</t>
  </si>
  <si>
    <t>01/07/2018</t>
  </si>
  <si>
    <t>03/31/2018</t>
  </si>
  <si>
    <t>12/10/2017</t>
  </si>
  <si>
    <t>03/17/2018</t>
  </si>
  <si>
    <t>01/01/2018</t>
  </si>
  <si>
    <t>06/09/2018</t>
  </si>
  <si>
    <t>03/18/2018</t>
  </si>
  <si>
    <t>03/03/2018</t>
  </si>
  <si>
    <t>09/30/2017</t>
  </si>
  <si>
    <t>08/03/2017</t>
  </si>
  <si>
    <t>10/15/2017</t>
  </si>
  <si>
    <t>04/28/2018</t>
  </si>
  <si>
    <t>01/21/2018</t>
  </si>
  <si>
    <t>Queens Legal Services</t>
  </si>
  <si>
    <t>Brooklyn Legal Services</t>
  </si>
  <si>
    <t>Bronx Legal Services</t>
  </si>
  <si>
    <t>Staten Island Legal Services</t>
  </si>
  <si>
    <t>Manhattan Legal Services</t>
  </si>
  <si>
    <t>Word of mouth</t>
  </si>
  <si>
    <t>FJC Housing Intake</t>
  </si>
  <si>
    <t>HRA ELS (Assigned Counsel)</t>
  </si>
  <si>
    <t>Community Organization</t>
  </si>
  <si>
    <t>Court</t>
  </si>
  <si>
    <t>Returning Client</t>
  </si>
  <si>
    <t>HRA</t>
  </si>
  <si>
    <t>Self-referred</t>
  </si>
  <si>
    <t>Other City Agency</t>
  </si>
  <si>
    <t>Home base</t>
  </si>
  <si>
    <t>3-1-1</t>
  </si>
  <si>
    <t>Elected Official</t>
  </si>
  <si>
    <t>Tenant Support Unit</t>
  </si>
  <si>
    <t>Outreach</t>
  </si>
  <si>
    <t>Friends/Family</t>
  </si>
  <si>
    <t>School</t>
  </si>
  <si>
    <t>In-House</t>
  </si>
  <si>
    <t>ADP Hotline</t>
  </si>
  <si>
    <t>Legal Services</t>
  </si>
  <si>
    <t>Court Referral-NON HRA</t>
  </si>
  <si>
    <t>HRA ELS Part F Brooklyn</t>
  </si>
  <si>
    <t>1013-Obtained advice and counsel  on Consumer matter</t>
  </si>
  <si>
    <t>6014-Obtained advice and counsel on a Housing matter</t>
  </si>
  <si>
    <t>6017-Obtained other benefit on a Housing matter</t>
  </si>
  <si>
    <t>6003-Delayed eviction providing time to seek alternative housing</t>
  </si>
  <si>
    <t>6009-Obtained repairs, Improved housing conditions or otherwise enforced rights to decent, habitable housing</t>
  </si>
  <si>
    <t>7001-Obtained, preserved or increased public assistance, TANF or other welfare benefit/right</t>
  </si>
  <si>
    <t>6015-Obtained non-litgation advocacy services on a Housing  matter</t>
  </si>
  <si>
    <t>6002-Prevented eviction from private housing</t>
  </si>
  <si>
    <t>1015-Obtained referral on a consumer matters</t>
  </si>
  <si>
    <t>7012-Obtained advice and counsel  on an Income Maintenance matter</t>
  </si>
  <si>
    <t>6021-Provided full representation in a Housing matter, but no legal benefit achieved for the client</t>
  </si>
  <si>
    <t>7013-Obtained non-llitigation advocacy services on an Income Maintenance matter</t>
  </si>
  <si>
    <t>6007-Avoided, or obtained redress for charges by landlord</t>
  </si>
  <si>
    <t>ZZ-Client Withdrew—For ZZ Adm Closed Reason Closed Cases Only</t>
  </si>
  <si>
    <t>6001-Prevented eviction from public housing</t>
  </si>
  <si>
    <t>6008-Overcame denial of tenants rights under lease</t>
  </si>
  <si>
    <t>6013-Obtained assistance in development/renovation of affordable housing</t>
  </si>
  <si>
    <t>6016-Obtained referral on a Housing matter</t>
  </si>
  <si>
    <t>6006-Prevented denial of public housing tenant's rights</t>
  </si>
  <si>
    <t>6004-Obtained access to housing</t>
  </si>
  <si>
    <t>7006-Obtained, presrved or increased food stamps eligibility/right</t>
  </si>
  <si>
    <t>6018-Prevented eviction from subsidized housing</t>
  </si>
  <si>
    <t>7002-Overcame denial of emergency assistance</t>
  </si>
  <si>
    <t>8008-Obtained or preserved or improved rights of disabled persons</t>
  </si>
  <si>
    <t>6012-Overcame, or obtained redress for, discrimination of affordable housing</t>
  </si>
  <si>
    <t>1002-Stopped or reduced debt collection Activity</t>
  </si>
  <si>
    <t>6011-Obtained clear title to property</t>
  </si>
  <si>
    <t>02/03/1984</t>
  </si>
  <si>
    <t>03/08/1962</t>
  </si>
  <si>
    <t>02/06/1985</t>
  </si>
  <si>
    <t>01/18/1986</t>
  </si>
  <si>
    <t>10/27/1980</t>
  </si>
  <si>
    <t>10/24/1954</t>
  </si>
  <si>
    <t>09/25/1986</t>
  </si>
  <si>
    <t>03/26/1992</t>
  </si>
  <si>
    <t>06/13/1994</t>
  </si>
  <si>
    <t>03/31/1993</t>
  </si>
  <si>
    <t>09/11/1989</t>
  </si>
  <si>
    <t>10/20/1986</t>
  </si>
  <si>
    <t>10/08/1957</t>
  </si>
  <si>
    <t>06/08/1994</t>
  </si>
  <si>
    <t>09/05/1982</t>
  </si>
  <si>
    <t>07/10/1993</t>
  </si>
  <si>
    <t>07/12/1965</t>
  </si>
  <si>
    <t>12/14/1973</t>
  </si>
  <si>
    <t>11/14/1963</t>
  </si>
  <si>
    <t>08/28/1965</t>
  </si>
  <si>
    <t>02/07/1989</t>
  </si>
  <si>
    <t>11/05/1965</t>
  </si>
  <si>
    <t>06/05/1994</t>
  </si>
  <si>
    <t>10/24/1932</t>
  </si>
  <si>
    <t>01/02/1975</t>
  </si>
  <si>
    <t>07/19/1953</t>
  </si>
  <si>
    <t>04/10/1979</t>
  </si>
  <si>
    <t>04/12/1985</t>
  </si>
  <si>
    <t>03/23/1967</t>
  </si>
  <si>
    <t>04/13/1980</t>
  </si>
  <si>
    <t>04/27/1987</t>
  </si>
  <si>
    <t>07/30/1965</t>
  </si>
  <si>
    <t>06/26/1972</t>
  </si>
  <si>
    <t>03/18/1970</t>
  </si>
  <si>
    <t>07/15/1975</t>
  </si>
  <si>
    <t>12/09/1955</t>
  </si>
  <si>
    <t>07/18/1953</t>
  </si>
  <si>
    <t>01/15/1955</t>
  </si>
  <si>
    <t>09/12/1917</t>
  </si>
  <si>
    <t>02/08/1968</t>
  </si>
  <si>
    <t>08/26/1976</t>
  </si>
  <si>
    <t>01/11/1964</t>
  </si>
  <si>
    <t>02/27/1961</t>
  </si>
  <si>
    <t>02/03/1989</t>
  </si>
  <si>
    <t>04/14/1958</t>
  </si>
  <si>
    <t>06/20/1943</t>
  </si>
  <si>
    <t>11/15/1967</t>
  </si>
  <si>
    <t>03/04/1986</t>
  </si>
  <si>
    <t>07/27/1972</t>
  </si>
  <si>
    <t>09/21/1990</t>
  </si>
  <si>
    <t>06/21/1966</t>
  </si>
  <si>
    <t>03/08/1974</t>
  </si>
  <si>
    <t>10/06/1970</t>
  </si>
  <si>
    <t>04/20/1983</t>
  </si>
  <si>
    <t>06/20/1970</t>
  </si>
  <si>
    <t>04/03/1964</t>
  </si>
  <si>
    <t>01/04/1975</t>
  </si>
  <si>
    <t>08/04/1959</t>
  </si>
  <si>
    <t>03/22/1962</t>
  </si>
  <si>
    <t>03/07/1964</t>
  </si>
  <si>
    <t>10/22/1956</t>
  </si>
  <si>
    <t>10/22/1947</t>
  </si>
  <si>
    <t>06/12/1991</t>
  </si>
  <si>
    <t>06/17/1977</t>
  </si>
  <si>
    <t>12/23/1968</t>
  </si>
  <si>
    <t>03/22/1961</t>
  </si>
  <si>
    <t>04/03/1962</t>
  </si>
  <si>
    <t>03/15/1953</t>
  </si>
  <si>
    <t>06/26/1966</t>
  </si>
  <si>
    <t>09/21/1962</t>
  </si>
  <si>
    <t>06/02/1949</t>
  </si>
  <si>
    <t>05/10/1950</t>
  </si>
  <si>
    <t>12/04/1990</t>
  </si>
  <si>
    <t>08/13/1989</t>
  </si>
  <si>
    <t>02/14/1968</t>
  </si>
  <si>
    <t>12/13/1984</t>
  </si>
  <si>
    <t>03/24/1947</t>
  </si>
  <si>
    <t>10/08/1969</t>
  </si>
  <si>
    <t>07/19/1958</t>
  </si>
  <si>
    <t>11/13/1977</t>
  </si>
  <si>
    <t>08/04/1942</t>
  </si>
  <si>
    <t>06/03/1987</t>
  </si>
  <si>
    <t>01/01/1967</t>
  </si>
  <si>
    <t>12/14/1954</t>
  </si>
  <si>
    <t>01/10/1971</t>
  </si>
  <si>
    <t>01/12/1947</t>
  </si>
  <si>
    <t>09/20/1935</t>
  </si>
  <si>
    <t>04/07/1956</t>
  </si>
  <si>
    <t>01/13/1988</t>
  </si>
  <si>
    <t>04/08/1969</t>
  </si>
  <si>
    <t>09/11/1959</t>
  </si>
  <si>
    <t>12/03/1956</t>
  </si>
  <si>
    <t>01/09/1932</t>
  </si>
  <si>
    <t>09/24/1946</t>
  </si>
  <si>
    <t>10/25/1941</t>
  </si>
  <si>
    <t>06/20/1975</t>
  </si>
  <si>
    <t>05/15/1983</t>
  </si>
  <si>
    <t>09/24/1958</t>
  </si>
  <si>
    <t>12/19/1973</t>
  </si>
  <si>
    <t>08/22/1971</t>
  </si>
  <si>
    <t>11/20/1979</t>
  </si>
  <si>
    <t>08/22/1955</t>
  </si>
  <si>
    <t>07/19/1992</t>
  </si>
  <si>
    <t>03/11/1988</t>
  </si>
  <si>
    <t>05/17/1965</t>
  </si>
  <si>
    <t>04/08/1949</t>
  </si>
  <si>
    <t>12/01/1980</t>
  </si>
  <si>
    <t>09/29/1942</t>
  </si>
  <si>
    <t>08/02/1959</t>
  </si>
  <si>
    <t>03/31/1952</t>
  </si>
  <si>
    <t>11/26/1951</t>
  </si>
  <si>
    <t>01/10/1990</t>
  </si>
  <si>
    <t>04/15/1974</t>
  </si>
  <si>
    <t>04/15/1960</t>
  </si>
  <si>
    <t>02/18/1948</t>
  </si>
  <si>
    <t>06/14/1964</t>
  </si>
  <si>
    <t>08/13/1971</t>
  </si>
  <si>
    <t>04/03/1945</t>
  </si>
  <si>
    <t>08/06/1957</t>
  </si>
  <si>
    <t>12/23/1951</t>
  </si>
  <si>
    <t>03/31/1951</t>
  </si>
  <si>
    <t>07/20/1964</t>
  </si>
  <si>
    <t>05/27/1956</t>
  </si>
  <si>
    <t>04/18/1946</t>
  </si>
  <si>
    <t>05/03/1962</t>
  </si>
  <si>
    <t>06/22/1964</t>
  </si>
  <si>
    <t>12/22/1982</t>
  </si>
  <si>
    <t>06/07/1954</t>
  </si>
  <si>
    <t>11/24/1994</t>
  </si>
  <si>
    <t>02/05/1967</t>
  </si>
  <si>
    <t>03/31/1979</t>
  </si>
  <si>
    <t>03/12/1945</t>
  </si>
  <si>
    <t>05/27/1965</t>
  </si>
  <si>
    <t>03/06/1954</t>
  </si>
  <si>
    <t>10/18/1956</t>
  </si>
  <si>
    <t>11/17/1946</t>
  </si>
  <si>
    <t>07/26/1966</t>
  </si>
  <si>
    <t>03/01/1949</t>
  </si>
  <si>
    <t>10/15/1960</t>
  </si>
  <si>
    <t>10/16/1939</t>
  </si>
  <si>
    <t>09/14/1964</t>
  </si>
  <si>
    <t>03/10/1953</t>
  </si>
  <si>
    <t>01/28/1987</t>
  </si>
  <si>
    <t>05/01/1955</t>
  </si>
  <si>
    <t>11/05/1945</t>
  </si>
  <si>
    <t>01/01/1963</t>
  </si>
  <si>
    <t>01/20/1965</t>
  </si>
  <si>
    <t>10/24/1962</t>
  </si>
  <si>
    <t>08/20/1958</t>
  </si>
  <si>
    <t>06/16/1960</t>
  </si>
  <si>
    <t>07/15/1953</t>
  </si>
  <si>
    <t>07/17/1965</t>
  </si>
  <si>
    <t>12/15/1944</t>
  </si>
  <si>
    <t>03/29/1961</t>
  </si>
  <si>
    <t>07/06/1963</t>
  </si>
  <si>
    <t>03/23/1924</t>
  </si>
  <si>
    <t>08/02/1957</t>
  </si>
  <si>
    <t>02/20/1943</t>
  </si>
  <si>
    <t>06/25/1983</t>
  </si>
  <si>
    <t>04/24/1969</t>
  </si>
  <si>
    <t>09/07/1975</t>
  </si>
  <si>
    <t>07/17/1951</t>
  </si>
  <si>
    <t>12/06/1973</t>
  </si>
  <si>
    <t>08/14/1968</t>
  </si>
  <si>
    <t>09/28/1976</t>
  </si>
  <si>
    <t>03/31/1964</t>
  </si>
  <si>
    <t>01/12/1974</t>
  </si>
  <si>
    <t>02/13/1972</t>
  </si>
  <si>
    <t>12/14/1963</t>
  </si>
  <si>
    <t>05/01/1958</t>
  </si>
  <si>
    <t>05/21/1935</t>
  </si>
  <si>
    <t>06/08/1952</t>
  </si>
  <si>
    <t>07/18/1982</t>
  </si>
  <si>
    <t>12/01/1964</t>
  </si>
  <si>
    <t>04/23/1943</t>
  </si>
  <si>
    <t>03/05/1959</t>
  </si>
  <si>
    <t>01/22/1979</t>
  </si>
  <si>
    <t>05/28/1976</t>
  </si>
  <si>
    <t>07/13/1990</t>
  </si>
  <si>
    <t>06/25/1941</t>
  </si>
  <si>
    <t>06/10/1964</t>
  </si>
  <si>
    <t>03/26/1959</t>
  </si>
  <si>
    <t>09/12/1961</t>
  </si>
  <si>
    <t>11/10/1929</t>
  </si>
  <si>
    <t>07/23/1957</t>
  </si>
  <si>
    <t>03/08/1973</t>
  </si>
  <si>
    <t>12/20/1952</t>
  </si>
  <si>
    <t>05/21/1953</t>
  </si>
  <si>
    <t>01/27/1987</t>
  </si>
  <si>
    <t>09/25/1958</t>
  </si>
  <si>
    <t>08/10/1968</t>
  </si>
  <si>
    <t>02/27/1993</t>
  </si>
  <si>
    <t>06/14/1959</t>
  </si>
  <si>
    <t>04/19/1943</t>
  </si>
  <si>
    <t>06/12/1942</t>
  </si>
  <si>
    <t>12/25/1976</t>
  </si>
  <si>
    <t>03/08/1952</t>
  </si>
  <si>
    <t>02/27/1957</t>
  </si>
  <si>
    <t>05/18/1954</t>
  </si>
  <si>
    <t>04/11/1966</t>
  </si>
  <si>
    <t>11/26/1994</t>
  </si>
  <si>
    <t>12/09/1961</t>
  </si>
  <si>
    <t>12/24/1982</t>
  </si>
  <si>
    <t>11/26/1971</t>
  </si>
  <si>
    <t>11/17/1968</t>
  </si>
  <si>
    <t>11/05/1976</t>
  </si>
  <si>
    <t>12/22/1966</t>
  </si>
  <si>
    <t>09/10/1958</t>
  </si>
  <si>
    <t>03/02/1946</t>
  </si>
  <si>
    <t>12/24/1988</t>
  </si>
  <si>
    <t>07/26/1974</t>
  </si>
  <si>
    <t>02/20/1968</t>
  </si>
  <si>
    <t>04/27/1954</t>
  </si>
  <si>
    <t>04/18/1950</t>
  </si>
  <si>
    <t>12/18/1962</t>
  </si>
  <si>
    <t>11/07/1972</t>
  </si>
  <si>
    <t>02/06/1975</t>
  </si>
  <si>
    <t>10/22/1976</t>
  </si>
  <si>
    <t>10/28/1987</t>
  </si>
  <si>
    <t>02/14/1994</t>
  </si>
  <si>
    <t>04/26/1967</t>
  </si>
  <si>
    <t>06/29/1946</t>
  </si>
  <si>
    <t>04/24/1966</t>
  </si>
  <si>
    <t>04/09/1971</t>
  </si>
  <si>
    <t>01/09/1975</t>
  </si>
  <si>
    <t>06/14/1949</t>
  </si>
  <si>
    <t>11/07/1965</t>
  </si>
  <si>
    <t>11/14/1962</t>
  </si>
  <si>
    <t>02/20/1962</t>
  </si>
  <si>
    <t>02/11/1973</t>
  </si>
  <si>
    <t>11/27/1972</t>
  </si>
  <si>
    <t>11/14/1989</t>
  </si>
  <si>
    <t>05/10/1963</t>
  </si>
  <si>
    <t>06/21/1985</t>
  </si>
  <si>
    <t>08/17/1958</t>
  </si>
  <si>
    <t>02/24/1965</t>
  </si>
  <si>
    <t>04/23/1971</t>
  </si>
  <si>
    <t>11/10/1947</t>
  </si>
  <si>
    <t>08/23/1964</t>
  </si>
  <si>
    <t>03/15/1947</t>
  </si>
  <si>
    <t>03/09/1991</t>
  </si>
  <si>
    <t>10/21/1975</t>
  </si>
  <si>
    <t>07/09/1986</t>
  </si>
  <si>
    <t>06/01/1984</t>
  </si>
  <si>
    <t>09/04/1960</t>
  </si>
  <si>
    <t>06/23/1940</t>
  </si>
  <si>
    <t>06/03/1964</t>
  </si>
  <si>
    <t>06/03/1968</t>
  </si>
  <si>
    <t>05/04/1978</t>
  </si>
  <si>
    <t>11/30/1970</t>
  </si>
  <si>
    <t>01/28/1953</t>
  </si>
  <si>
    <t>06/12/1987</t>
  </si>
  <si>
    <t>06/29/1960</t>
  </si>
  <si>
    <t>12/02/1977</t>
  </si>
  <si>
    <t>12/17/1966</t>
  </si>
  <si>
    <t>12/01/1977</t>
  </si>
  <si>
    <t>07/02/1943</t>
  </si>
  <si>
    <t>08/29/1966</t>
  </si>
  <si>
    <t>10/02/1949</t>
  </si>
  <si>
    <t>10/10/1958</t>
  </si>
  <si>
    <t>04/05/1987</t>
  </si>
  <si>
    <t>11/08/1965</t>
  </si>
  <si>
    <t>04/23/1990</t>
  </si>
  <si>
    <t>10/06/1965</t>
  </si>
  <si>
    <t>09/20/1989</t>
  </si>
  <si>
    <t>10/09/1978</t>
  </si>
  <si>
    <t>08/24/1992</t>
  </si>
  <si>
    <t>02/15/1967</t>
  </si>
  <si>
    <t>03/09/1964</t>
  </si>
  <si>
    <t>04/18/1979</t>
  </si>
  <si>
    <t>02/28/1985</t>
  </si>
  <si>
    <t>07/02/1983</t>
  </si>
  <si>
    <t>08/13/1969</t>
  </si>
  <si>
    <t>03/12/1982</t>
  </si>
  <si>
    <t>04/25/1964</t>
  </si>
  <si>
    <t>10/31/1992</t>
  </si>
  <si>
    <t>11/03/1988</t>
  </si>
  <si>
    <t>11/07/1955</t>
  </si>
  <si>
    <t>07/06/1968</t>
  </si>
  <si>
    <t>12/10/1957</t>
  </si>
  <si>
    <t>08/11/1964</t>
  </si>
  <si>
    <t>01/16/1950</t>
  </si>
  <si>
    <t>01/01/1985</t>
  </si>
  <si>
    <t>10/27/1968</t>
  </si>
  <si>
    <t>01/26/1975</t>
  </si>
  <si>
    <t>11/27/1956</t>
  </si>
  <si>
    <t>07/09/1993</t>
  </si>
  <si>
    <t>03/05/1958</t>
  </si>
  <si>
    <t>05/10/1977</t>
  </si>
  <si>
    <t>11/19/1964</t>
  </si>
  <si>
    <t>05/27/1963</t>
  </si>
  <si>
    <t>02/10/1960</t>
  </si>
  <si>
    <t>05/31/1959</t>
  </si>
  <si>
    <t>04/26/1971</t>
  </si>
  <si>
    <t>01/19/1960</t>
  </si>
  <si>
    <t>05/13/1985</t>
  </si>
  <si>
    <t>04/19/1957</t>
  </si>
  <si>
    <t>09/30/1964</t>
  </si>
  <si>
    <t>09/29/1971</t>
  </si>
  <si>
    <t>01/23/1962</t>
  </si>
  <si>
    <t>05/11/1931</t>
  </si>
  <si>
    <t>10/16/1952</t>
  </si>
  <si>
    <t>10/23/1944</t>
  </si>
  <si>
    <t>04/15/1956</t>
  </si>
  <si>
    <t>09/03/1969</t>
  </si>
  <si>
    <t>08/06/1960</t>
  </si>
  <si>
    <t>10/20/1964</t>
  </si>
  <si>
    <t>06/06/1937</t>
  </si>
  <si>
    <t>07/08/1981</t>
  </si>
  <si>
    <t>04/15/1959</t>
  </si>
  <si>
    <t>02/02/1971</t>
  </si>
  <si>
    <t>04/23/1984</t>
  </si>
  <si>
    <t>10/26/1982</t>
  </si>
  <si>
    <t>04/21/1993</t>
  </si>
  <si>
    <t>08/13/1965</t>
  </si>
  <si>
    <t>01/28/1962</t>
  </si>
  <si>
    <t>02/19/1978</t>
  </si>
  <si>
    <t>10/27/1971</t>
  </si>
  <si>
    <t>07/05/1965</t>
  </si>
  <si>
    <t>07/18/1972</t>
  </si>
  <si>
    <t>05/01/1982</t>
  </si>
  <si>
    <t>01/16/1978</t>
  </si>
  <si>
    <t>05/20/1962</t>
  </si>
  <si>
    <t>01/05/1966</t>
  </si>
  <si>
    <t>10/31/1987</t>
  </si>
  <si>
    <t>12/15/1924</t>
  </si>
  <si>
    <t>12/19/1950</t>
  </si>
  <si>
    <t>03/26/1981</t>
  </si>
  <si>
    <t>05/24/1977</t>
  </si>
  <si>
    <t>08/17/1954</t>
  </si>
  <si>
    <t>08/04/1985</t>
  </si>
  <si>
    <t>07/24/1966</t>
  </si>
  <si>
    <t>06/16/1958</t>
  </si>
  <si>
    <t>12/25/1956</t>
  </si>
  <si>
    <t>09/02/1981</t>
  </si>
  <si>
    <t>10/14/1968</t>
  </si>
  <si>
    <t>02/27/1963</t>
  </si>
  <si>
    <t>04/06/1970</t>
  </si>
  <si>
    <t>09/28/1956</t>
  </si>
  <si>
    <t>05/19/1979</t>
  </si>
  <si>
    <t>11/07/1988</t>
  </si>
  <si>
    <t>05/18/1965</t>
  </si>
  <si>
    <t>09/09/1966</t>
  </si>
  <si>
    <t>06/26/1948</t>
  </si>
  <si>
    <t>05/08/1985</t>
  </si>
  <si>
    <t>12/22/1956</t>
  </si>
  <si>
    <t>06/10/1985</t>
  </si>
  <si>
    <t>01/01/1977</t>
  </si>
  <si>
    <t>02/09/1984</t>
  </si>
  <si>
    <t>05/20/1967</t>
  </si>
  <si>
    <t>01/12/1977</t>
  </si>
  <si>
    <t>07/15/1958</t>
  </si>
  <si>
    <t>03/13/1930</t>
  </si>
  <si>
    <t>03/23/1966</t>
  </si>
  <si>
    <t>10/02/1951</t>
  </si>
  <si>
    <t>03/19/1976</t>
  </si>
  <si>
    <t>10/07/1951</t>
  </si>
  <si>
    <t>02/12/1959</t>
  </si>
  <si>
    <t>01/01/1973</t>
  </si>
  <si>
    <t>09/16/1953</t>
  </si>
  <si>
    <t>03/15/1975</t>
  </si>
  <si>
    <t>01/11/1939</t>
  </si>
  <si>
    <t>10/04/1958</t>
  </si>
  <si>
    <t>01/10/1976</t>
  </si>
  <si>
    <t>12/13/1962</t>
  </si>
  <si>
    <t>03/07/1958</t>
  </si>
  <si>
    <t>03/01/1975</t>
  </si>
  <si>
    <t>11/03/1978</t>
  </si>
  <si>
    <t>03/27/1969</t>
  </si>
  <si>
    <t>02/08/1970</t>
  </si>
  <si>
    <t>10/02/1985</t>
  </si>
  <si>
    <t>12/02/1976</t>
  </si>
  <si>
    <t>10/20/1962</t>
  </si>
  <si>
    <t>10/13/1957</t>
  </si>
  <si>
    <t>01/01/1983</t>
  </si>
  <si>
    <t>05/14/1964</t>
  </si>
  <si>
    <t>01/24/1948</t>
  </si>
  <si>
    <t>06/11/1933</t>
  </si>
  <si>
    <t>03/27/1963</t>
  </si>
  <si>
    <t>02/23/1995</t>
  </si>
  <si>
    <t>02/15/1964</t>
  </si>
  <si>
    <t>05/30/1946</t>
  </si>
  <si>
    <t>02/19/1977</t>
  </si>
  <si>
    <t>02/28/1978</t>
  </si>
  <si>
    <t>03/17/1956</t>
  </si>
  <si>
    <t>05/25/1963</t>
  </si>
  <si>
    <t>12/19/1966</t>
  </si>
  <si>
    <t>01/25/1943</t>
  </si>
  <si>
    <t>02/25/1931</t>
  </si>
  <si>
    <t>07/26/1935</t>
  </si>
  <si>
    <t>09/29/1959</t>
  </si>
  <si>
    <t>07/01/1967</t>
  </si>
  <si>
    <t>10/12/1943</t>
  </si>
  <si>
    <t>10/04/1957</t>
  </si>
  <si>
    <t>02/16/1958</t>
  </si>
  <si>
    <t>10/14/1951</t>
  </si>
  <si>
    <t>08/02/1960</t>
  </si>
  <si>
    <t>01/01/1975</t>
  </si>
  <si>
    <t>08/12/1956</t>
  </si>
  <si>
    <t>02/03/1986</t>
  </si>
  <si>
    <t>12/02/1964</t>
  </si>
  <si>
    <t>10/15/1962</t>
  </si>
  <si>
    <t>06/27/1960</t>
  </si>
  <si>
    <t>09/06/1974</t>
  </si>
  <si>
    <t>07/28/1938</t>
  </si>
  <si>
    <t>07/15/1940</t>
  </si>
  <si>
    <t>06/28/1954</t>
  </si>
  <si>
    <t>05/17/1972</t>
  </si>
  <si>
    <t>04/16/1962</t>
  </si>
  <si>
    <t>07/19/1961</t>
  </si>
  <si>
    <t>02/18/1972</t>
  </si>
  <si>
    <t>08/08/1973</t>
  </si>
  <si>
    <t>10/02/1956</t>
  </si>
  <si>
    <t>03/05/1957</t>
  </si>
  <si>
    <t>01/10/1960</t>
  </si>
  <si>
    <t>04/25/1943</t>
  </si>
  <si>
    <t>08/02/1966</t>
  </si>
  <si>
    <t>06/23/1954</t>
  </si>
  <si>
    <t>06/22/1939</t>
  </si>
  <si>
    <t>05/30/1951</t>
  </si>
  <si>
    <t>12/29/1977</t>
  </si>
  <si>
    <t>03/14/1964</t>
  </si>
  <si>
    <t>09/01/1966</t>
  </si>
  <si>
    <t>11/26/1965</t>
  </si>
  <si>
    <t>04/22/1970</t>
  </si>
  <si>
    <t>07/12/1962</t>
  </si>
  <si>
    <t>09/15/1942</t>
  </si>
  <si>
    <t>05/04/1965</t>
  </si>
  <si>
    <t>02/14/1962</t>
  </si>
  <si>
    <t>03/17/1961</t>
  </si>
  <si>
    <t>02/03/1957</t>
  </si>
  <si>
    <t>09/01/1949</t>
  </si>
  <si>
    <t>08/20/1962</t>
  </si>
  <si>
    <t>11/17/1956</t>
  </si>
  <si>
    <t>03/12/1959</t>
  </si>
  <si>
    <t>06/04/1971</t>
  </si>
  <si>
    <t>05/01/1969</t>
  </si>
  <si>
    <t>09/18/1965</t>
  </si>
  <si>
    <t>04/08/1977</t>
  </si>
  <si>
    <t>12/03/1970</t>
  </si>
  <si>
    <t>11/28/1958</t>
  </si>
  <si>
    <t>06/10/1955</t>
  </si>
  <si>
    <t>03/19/1945</t>
  </si>
  <si>
    <t>03/26/1944</t>
  </si>
  <si>
    <t>07/22/1959</t>
  </si>
  <si>
    <t>05/05/1941</t>
  </si>
  <si>
    <t>03/27/1959</t>
  </si>
  <si>
    <t>08/08/1978</t>
  </si>
  <si>
    <t>10/03/1971</t>
  </si>
  <si>
    <t>10/25/1945</t>
  </si>
  <si>
    <t>07/27/1940</t>
  </si>
  <si>
    <t>04/01/1969</t>
  </si>
  <si>
    <t>03/05/1963</t>
  </si>
  <si>
    <t>05/30/1955</t>
  </si>
  <si>
    <t>12/16/1928</t>
  </si>
  <si>
    <t>07/23/1947</t>
  </si>
  <si>
    <t>09/23/1945</t>
  </si>
  <si>
    <t>06/12/1988</t>
  </si>
  <si>
    <t>01/15/1989</t>
  </si>
  <si>
    <t>10/12/1969</t>
  </si>
  <si>
    <t>11/17/1953</t>
  </si>
  <si>
    <t>09/27/1959</t>
  </si>
  <si>
    <t>06/18/1959</t>
  </si>
  <si>
    <t>04/29/1974</t>
  </si>
  <si>
    <t>03/06/1956</t>
  </si>
  <si>
    <t>06/11/1946</t>
  </si>
  <si>
    <t>08/28/1957</t>
  </si>
  <si>
    <t>10/14/1980</t>
  </si>
  <si>
    <t>02/20/1987</t>
  </si>
  <si>
    <t>02/12/1953</t>
  </si>
  <si>
    <t>06/22/1947</t>
  </si>
  <si>
    <t>11/24/1970</t>
  </si>
  <si>
    <t>04/24/1950</t>
  </si>
  <si>
    <t>12/22/1945</t>
  </si>
  <si>
    <t>08/09/1955</t>
  </si>
  <si>
    <t>03/11/1951</t>
  </si>
  <si>
    <t>07/15/1959</t>
  </si>
  <si>
    <t>10/26/1979</t>
  </si>
  <si>
    <t>07/20/1942</t>
  </si>
  <si>
    <t>03/24/1985</t>
  </si>
  <si>
    <t>05/03/1965</t>
  </si>
  <si>
    <t>12/16/1993</t>
  </si>
  <si>
    <t>05/02/1936</t>
  </si>
  <si>
    <t>02/25/1965</t>
  </si>
  <si>
    <t>06/11/1961</t>
  </si>
  <si>
    <t>04/09/1989</t>
  </si>
  <si>
    <t>10/16/1930</t>
  </si>
  <si>
    <t>07/02/1987</t>
  </si>
  <si>
    <t>12/17/1991</t>
  </si>
  <si>
    <t>12/06/1949</t>
  </si>
  <si>
    <t>09/12/1948</t>
  </si>
  <si>
    <t>08/18/1948</t>
  </si>
  <si>
    <t>05/18/1986</t>
  </si>
  <si>
    <t>08/14/1987</t>
  </si>
  <si>
    <t>04/03/1951</t>
  </si>
  <si>
    <t>05/27/1953</t>
  </si>
  <si>
    <t>09/25/1955</t>
  </si>
  <si>
    <t>09/26/1972</t>
  </si>
  <si>
    <t>01/08/1949</t>
  </si>
  <si>
    <t>04/23/1959</t>
  </si>
  <si>
    <t>12/17/1954</t>
  </si>
  <si>
    <t>03/31/1961</t>
  </si>
  <si>
    <t>04/06/1961</t>
  </si>
  <si>
    <t>03/09/1950</t>
  </si>
  <si>
    <t>07/21/1964</t>
  </si>
  <si>
    <t>07/16/1963</t>
  </si>
  <si>
    <t>04/07/1986</t>
  </si>
  <si>
    <t>03/19/1955</t>
  </si>
  <si>
    <t>12/27/1946</t>
  </si>
  <si>
    <t>11/19/1981</t>
  </si>
  <si>
    <t>01/23/1937</t>
  </si>
  <si>
    <t>05/17/1947</t>
  </si>
  <si>
    <t>12/25/1950</t>
  </si>
  <si>
    <t>03/20/1945</t>
  </si>
  <si>
    <t>02/17/1961</t>
  </si>
  <si>
    <t>08/28/1963</t>
  </si>
  <si>
    <t>11/18/1958</t>
  </si>
  <si>
    <t>04/23/1952</t>
  </si>
  <si>
    <t>06/22/1954</t>
  </si>
  <si>
    <t>08/02/1973</t>
  </si>
  <si>
    <t>03/19/1936</t>
  </si>
  <si>
    <t>09/05/1939</t>
  </si>
  <si>
    <t>09/26/1961</t>
  </si>
  <si>
    <t>09/16/1973</t>
  </si>
  <si>
    <t>03/02/1968</t>
  </si>
  <si>
    <t>06/19/1984</t>
  </si>
  <si>
    <t>04/21/1968</t>
  </si>
  <si>
    <t>05/18/1947</t>
  </si>
  <si>
    <t>11/25/1970</t>
  </si>
  <si>
    <t>12/01/1979</t>
  </si>
  <si>
    <t>03/09/1965</t>
  </si>
  <si>
    <t>05/05/1960</t>
  </si>
  <si>
    <t>05/16/1969</t>
  </si>
  <si>
    <t>12/12/1939</t>
  </si>
  <si>
    <t>03/14/1966</t>
  </si>
  <si>
    <t>03/18/1946</t>
  </si>
  <si>
    <t>10/09/1968</t>
  </si>
  <si>
    <t>04/02/1949</t>
  </si>
  <si>
    <t>05/14/1956</t>
  </si>
  <si>
    <t>03/21/1980</t>
  </si>
  <si>
    <t>09/04/1958</t>
  </si>
  <si>
    <t>08/13/1954</t>
  </si>
  <si>
    <t>09/10/1955</t>
  </si>
  <si>
    <t>10/09/1971</t>
  </si>
  <si>
    <t>11/23/1947</t>
  </si>
  <si>
    <t>09/29/1954</t>
  </si>
  <si>
    <t>09/06/1970</t>
  </si>
  <si>
    <t>01/13/1981</t>
  </si>
  <si>
    <t>07/20/1960</t>
  </si>
  <si>
    <t>02/01/1979</t>
  </si>
  <si>
    <t>08/22/1965</t>
  </si>
  <si>
    <t>10/19/1959</t>
  </si>
  <si>
    <t>08/06/1962</t>
  </si>
  <si>
    <t>10/16/1957</t>
  </si>
  <si>
    <t>01/09/1955</t>
  </si>
  <si>
    <t>11/09/1993</t>
  </si>
  <si>
    <t>11/01/1968</t>
  </si>
  <si>
    <t>05/14/1963</t>
  </si>
  <si>
    <t>02/02/1952</t>
  </si>
  <si>
    <t>01/22/1972</t>
  </si>
  <si>
    <t>08/19/1954</t>
  </si>
  <si>
    <t>09/08/1935</t>
  </si>
  <si>
    <t>08/19/1950</t>
  </si>
  <si>
    <t>01/01/1941</t>
  </si>
  <si>
    <t>11/26/1975</t>
  </si>
  <si>
    <t>12/12/1956</t>
  </si>
  <si>
    <t>09/03/1983</t>
  </si>
  <si>
    <t>10/04/1964</t>
  </si>
  <si>
    <t>06/20/1990</t>
  </si>
  <si>
    <t>10/08/1967</t>
  </si>
  <si>
    <t>12/21/1943</t>
  </si>
  <si>
    <t>01/10/1966</t>
  </si>
  <si>
    <t>04/07/1970</t>
  </si>
  <si>
    <t>07/18/1962</t>
  </si>
  <si>
    <t>04/25/1984</t>
  </si>
  <si>
    <t>11/08/1988</t>
  </si>
  <si>
    <t>11/23/1942</t>
  </si>
  <si>
    <t>09/06/1960</t>
  </si>
  <si>
    <t>05/18/1953</t>
  </si>
  <si>
    <t>07/06/1979</t>
  </si>
  <si>
    <t>03/03/1984</t>
  </si>
  <si>
    <t>06/29/1974</t>
  </si>
  <si>
    <t>01/30/1983</t>
  </si>
  <si>
    <t>10/21/1956</t>
  </si>
  <si>
    <t>06/27/1963</t>
  </si>
  <si>
    <t>06/02/1976</t>
  </si>
  <si>
    <t>01/22/1960</t>
  </si>
  <si>
    <t>04/07/1966</t>
  </si>
  <si>
    <t>03/13/1960</t>
  </si>
  <si>
    <t>08/14/1965</t>
  </si>
  <si>
    <t>08/12/1981</t>
  </si>
  <si>
    <t>04/19/1950</t>
  </si>
  <si>
    <t>03/04/1980</t>
  </si>
  <si>
    <t>04/14/1973</t>
  </si>
  <si>
    <t>06/22/1966</t>
  </si>
  <si>
    <t>12/30/1983</t>
  </si>
  <si>
    <t>10/28/1959</t>
  </si>
  <si>
    <t>04/24/1943</t>
  </si>
  <si>
    <t>04/14/1975</t>
  </si>
  <si>
    <t>04/12/1995</t>
  </si>
  <si>
    <t>08/01/1966</t>
  </si>
  <si>
    <t>04/13/1964</t>
  </si>
  <si>
    <t>04/22/1993</t>
  </si>
  <si>
    <t>08/12/1934</t>
  </si>
  <si>
    <t>10/09/1984</t>
  </si>
  <si>
    <t>11/28/1964</t>
  </si>
  <si>
    <t>10/10/1973</t>
  </si>
  <si>
    <t>08/26/1969</t>
  </si>
  <si>
    <t>03/05/1993</t>
  </si>
  <si>
    <t>04/04/1922</t>
  </si>
  <si>
    <t>07/09/1975</t>
  </si>
  <si>
    <t>09/10/1979</t>
  </si>
  <si>
    <t>05/04/1963</t>
  </si>
  <si>
    <t>02/10/1973</t>
  </si>
  <si>
    <t>06/10/1939</t>
  </si>
  <si>
    <t>11/21/1962</t>
  </si>
  <si>
    <t>05/04/1964</t>
  </si>
  <si>
    <t>09/20/1990</t>
  </si>
  <si>
    <t>08/31/1957</t>
  </si>
  <si>
    <t>03/02/1978</t>
  </si>
  <si>
    <t>09/17/1977</t>
  </si>
  <si>
    <t>08/01/1972</t>
  </si>
  <si>
    <t>07/06/1992</t>
  </si>
  <si>
    <t>01/01/1945</t>
  </si>
  <si>
    <t>08/16/1983</t>
  </si>
  <si>
    <t>08/15/1988</t>
  </si>
  <si>
    <t>01/17/1972</t>
  </si>
  <si>
    <t>12/29/1991</t>
  </si>
  <si>
    <t>11/19/1988</t>
  </si>
  <si>
    <t>01/11/1968</t>
  </si>
  <si>
    <t>06/13/1965</t>
  </si>
  <si>
    <t>01/18/1982</t>
  </si>
  <si>
    <t>05/17/1954</t>
  </si>
  <si>
    <t>04/10/1988</t>
  </si>
  <si>
    <t>03/20/1966</t>
  </si>
  <si>
    <t>07/05/1971</t>
  </si>
  <si>
    <t>02/09/1982</t>
  </si>
  <si>
    <t>07/29/1993</t>
  </si>
  <si>
    <t>06/25/1988</t>
  </si>
  <si>
    <t>04/25/1962</t>
  </si>
  <si>
    <t>03/20/1956</t>
  </si>
  <si>
    <t>07/17/1955</t>
  </si>
  <si>
    <t>01/02/1944</t>
  </si>
  <si>
    <t>10/07/1958</t>
  </si>
  <si>
    <t>01/29/1964</t>
  </si>
  <si>
    <t>12/31/1953</t>
  </si>
  <si>
    <t>01/16/1972</t>
  </si>
  <si>
    <t>01/25/1949</t>
  </si>
  <si>
    <t>09/05/1967</t>
  </si>
  <si>
    <t>11/07/1932</t>
  </si>
  <si>
    <t>07/08/1980</t>
  </si>
  <si>
    <t>03/21/1975</t>
  </si>
  <si>
    <t>09/21/1949</t>
  </si>
  <si>
    <t>10/12/1986</t>
  </si>
  <si>
    <t>08/09/1964</t>
  </si>
  <si>
    <t>05/20/1959</t>
  </si>
  <si>
    <t>04/07/1994</t>
  </si>
  <si>
    <t>10/21/1965</t>
  </si>
  <si>
    <t>03/04/1988</t>
  </si>
  <si>
    <t>11/09/1984</t>
  </si>
  <si>
    <t>03/18/1976</t>
  </si>
  <si>
    <t>09/22/1973</t>
  </si>
  <si>
    <t>07/17/1980</t>
  </si>
  <si>
    <t>05/18/1976</t>
  </si>
  <si>
    <t>12/23/1987</t>
  </si>
  <si>
    <t>03/13/1934</t>
  </si>
  <si>
    <t>09/01/1983</t>
  </si>
  <si>
    <t>04/20/1964</t>
  </si>
  <si>
    <t>12/10/1956</t>
  </si>
  <si>
    <t>07/21/1985</t>
  </si>
  <si>
    <t>04/15/1939</t>
  </si>
  <si>
    <t>08/25/1967</t>
  </si>
  <si>
    <t>12/03/1954</t>
  </si>
  <si>
    <t>10/23/1960</t>
  </si>
  <si>
    <t>10/02/1979</t>
  </si>
  <si>
    <t>01/05/1964</t>
  </si>
  <si>
    <t>03/16/1935</t>
  </si>
  <si>
    <t>11/04/1969</t>
  </si>
  <si>
    <t>11/29/1957</t>
  </si>
  <si>
    <t>06/01/1981</t>
  </si>
  <si>
    <t>02/02/1976</t>
  </si>
  <si>
    <t>09/21/1978</t>
  </si>
  <si>
    <t>04/16/1971</t>
  </si>
  <si>
    <t>05/05/1986</t>
  </si>
  <si>
    <t>09/11/1978</t>
  </si>
  <si>
    <t>07/22/1967</t>
  </si>
  <si>
    <t>03/26/1955</t>
  </si>
  <si>
    <t>08/24/1978</t>
  </si>
  <si>
    <t>07/30/1960</t>
  </si>
  <si>
    <t>02/22/1947</t>
  </si>
  <si>
    <t>01/25/1963</t>
  </si>
  <si>
    <t>11/20/1959</t>
  </si>
  <si>
    <t>01/01/1968</t>
  </si>
  <si>
    <t>11/23/1974</t>
  </si>
  <si>
    <t>04/08/1976</t>
  </si>
  <si>
    <t>01/19/1941</t>
  </si>
  <si>
    <t>06/20/1964</t>
  </si>
  <si>
    <t>07/03/1946</t>
  </si>
  <si>
    <t>06/15/1946</t>
  </si>
  <si>
    <t>03/10/1975</t>
  </si>
  <si>
    <t>06/24/1976</t>
  </si>
  <si>
    <t>11/19/1945</t>
  </si>
  <si>
    <t>06/18/1948</t>
  </si>
  <si>
    <t>10/16/1968</t>
  </si>
  <si>
    <t>09/27/1954</t>
  </si>
  <si>
    <t>03/04/1960</t>
  </si>
  <si>
    <t>09/12/1985</t>
  </si>
  <si>
    <t>06/13/1963</t>
  </si>
  <si>
    <t>07/05/1989</t>
  </si>
  <si>
    <t>09/06/1956</t>
  </si>
  <si>
    <t>01/10/1950</t>
  </si>
  <si>
    <t>08/21/1959</t>
  </si>
  <si>
    <t>07/15/1957</t>
  </si>
  <si>
    <t>12/12/1952</t>
  </si>
  <si>
    <t>10/31/1950</t>
  </si>
  <si>
    <t>12/04/1953</t>
  </si>
  <si>
    <t>02/23/1967</t>
  </si>
  <si>
    <t>01/04/1976</t>
  </si>
  <si>
    <t>02/10/1958</t>
  </si>
  <si>
    <t>06/10/1962</t>
  </si>
  <si>
    <t>12/09/1931</t>
  </si>
  <si>
    <t>02/15/1933</t>
  </si>
  <si>
    <t>10/25/1955</t>
  </si>
  <si>
    <t>11/28/1961</t>
  </si>
  <si>
    <t>01/26/1926</t>
  </si>
  <si>
    <t>03/30/1937</t>
  </si>
  <si>
    <t>02/10/1962</t>
  </si>
  <si>
    <t>10/04/1963</t>
  </si>
  <si>
    <t>07/25/1931</t>
  </si>
  <si>
    <t>07/04/1968</t>
  </si>
  <si>
    <t>12/08/1936</t>
  </si>
  <si>
    <t>01/27/1958</t>
  </si>
  <si>
    <t>03/08/1957</t>
  </si>
  <si>
    <t>02/24/1926</t>
  </si>
  <si>
    <t>07/01/1955</t>
  </si>
  <si>
    <t>05/09/1969</t>
  </si>
  <si>
    <t>02/26/1981</t>
  </si>
  <si>
    <t>08/20/1947</t>
  </si>
  <si>
    <t>09/29/1967</t>
  </si>
  <si>
    <t>06/29/1959</t>
  </si>
  <si>
    <t>01/21/1975</t>
  </si>
  <si>
    <t>09/25/1953</t>
  </si>
  <si>
    <t>11/02/1944</t>
  </si>
  <si>
    <t>01/01/1950</t>
  </si>
  <si>
    <t>01/26/1963</t>
  </si>
  <si>
    <t>09/30/1982</t>
  </si>
  <si>
    <t>02/04/1961</t>
  </si>
  <si>
    <t>06/01/1951</t>
  </si>
  <si>
    <t>06/28/1993</t>
  </si>
  <si>
    <t>05/22/1957</t>
  </si>
  <si>
    <t>06/10/1954</t>
  </si>
  <si>
    <t>01/21/1984</t>
  </si>
  <si>
    <t>06/17/1966</t>
  </si>
  <si>
    <t>11/02/1959</t>
  </si>
  <si>
    <t>08/13/1952</t>
  </si>
  <si>
    <t>11/15/1969</t>
  </si>
  <si>
    <t>01/26/1954</t>
  </si>
  <si>
    <t>07/08/1959</t>
  </si>
  <si>
    <t>12/15/1985</t>
  </si>
  <si>
    <t>11/29/1965</t>
  </si>
  <si>
    <t>12/22/1973</t>
  </si>
  <si>
    <t>12/23/1965</t>
  </si>
  <si>
    <t>01/15/1962</t>
  </si>
  <si>
    <t>04/28/1949</t>
  </si>
  <si>
    <t>12/25/1944</t>
  </si>
  <si>
    <t>05/13/1951</t>
  </si>
  <si>
    <t>06/23/1944</t>
  </si>
  <si>
    <t>07/07/1979</t>
  </si>
  <si>
    <t>01/11/1982</t>
  </si>
  <si>
    <t>12/31/1977</t>
  </si>
  <si>
    <t>06/20/1951</t>
  </si>
  <si>
    <t>04/19/1960</t>
  </si>
  <si>
    <t>11/22/1978</t>
  </si>
  <si>
    <t>04/06/1976</t>
  </si>
  <si>
    <t>05/17/1964</t>
  </si>
  <si>
    <t>08/15/1954</t>
  </si>
  <si>
    <t>12/22/1959</t>
  </si>
  <si>
    <t>09/21/1960</t>
  </si>
  <si>
    <t>02/11/1951</t>
  </si>
  <si>
    <t>10/30/1972</t>
  </si>
  <si>
    <t>01/10/1961</t>
  </si>
  <si>
    <t>09/16/1960</t>
  </si>
  <si>
    <t>05/25/1970</t>
  </si>
  <si>
    <t>09/30/1949</t>
  </si>
  <si>
    <t>10/30/1983</t>
  </si>
  <si>
    <t>04/23/1956</t>
  </si>
  <si>
    <t>09/26/1954</t>
  </si>
  <si>
    <t>09/27/1957</t>
  </si>
  <si>
    <t>09/03/1976</t>
  </si>
  <si>
    <t>02/18/1982</t>
  </si>
  <si>
    <t>11/16/1939</t>
  </si>
  <si>
    <t>01/01/1951</t>
  </si>
  <si>
    <t>10/04/1947</t>
  </si>
  <si>
    <t>11/10/1976</t>
  </si>
  <si>
    <t>08/24/1954</t>
  </si>
  <si>
    <t>10/26/1961</t>
  </si>
  <si>
    <t>04/04/1967</t>
  </si>
  <si>
    <t>11/20/1941</t>
  </si>
  <si>
    <t>07/03/1948</t>
  </si>
  <si>
    <t>06/25/1986</t>
  </si>
  <si>
    <t>10/16/1973</t>
  </si>
  <si>
    <t>08/22/1977</t>
  </si>
  <si>
    <t>09/08/1974</t>
  </si>
  <si>
    <t>05/20/1987</t>
  </si>
  <si>
    <t>11/29/1958</t>
  </si>
  <si>
    <t>02/05/1970</t>
  </si>
  <si>
    <t>05/23/1945</t>
  </si>
  <si>
    <t>06/05/1986</t>
  </si>
  <si>
    <t>01/20/1942</t>
  </si>
  <si>
    <t>04/06/1952</t>
  </si>
  <si>
    <t>10/17/1973</t>
  </si>
  <si>
    <t>09/25/1952</t>
  </si>
  <si>
    <t>07/10/1960</t>
  </si>
  <si>
    <t>04/25/1966</t>
  </si>
  <si>
    <t>05/02/1971</t>
  </si>
  <si>
    <t>04/24/1942</t>
  </si>
  <si>
    <t>07/31/1961</t>
  </si>
  <si>
    <t>08/04/1955</t>
  </si>
  <si>
    <t>06/18/1949</t>
  </si>
  <si>
    <t>04/06/1979</t>
  </si>
  <si>
    <t>10/06/1951</t>
  </si>
  <si>
    <t>06/01/1994</t>
  </si>
  <si>
    <t>11/25/1944</t>
  </si>
  <si>
    <t>06/28/1966</t>
  </si>
  <si>
    <t>11/01/1973</t>
  </si>
  <si>
    <t>08/17/1982</t>
  </si>
  <si>
    <t>09/01/1968</t>
  </si>
  <si>
    <t>01/18/1958</t>
  </si>
  <si>
    <t>12/06/1968</t>
  </si>
  <si>
    <t>10/21/1934</t>
  </si>
  <si>
    <t>12/03/1961</t>
  </si>
  <si>
    <t>10/26/1980</t>
  </si>
  <si>
    <t>04/09/1952</t>
  </si>
  <si>
    <t>01/13/1970</t>
  </si>
  <si>
    <t>01/25/1959</t>
  </si>
  <si>
    <t>08/28/1959</t>
  </si>
  <si>
    <t>01/13/1940</t>
  </si>
  <si>
    <t>03/10/1984</t>
  </si>
  <si>
    <t>03/04/1969</t>
  </si>
  <si>
    <t>08/11/1967</t>
  </si>
  <si>
    <t>09/16/1970</t>
  </si>
  <si>
    <t>01/20/1941</t>
  </si>
  <si>
    <t>02/14/1975</t>
  </si>
  <si>
    <t>09/21/1987</t>
  </si>
  <si>
    <t>01/17/1963</t>
  </si>
  <si>
    <t>01/20/1944</t>
  </si>
  <si>
    <t>12/04/1941</t>
  </si>
  <si>
    <t>08/20/1981</t>
  </si>
  <si>
    <t>09/23/1992</t>
  </si>
  <si>
    <t>02/17/1928</t>
  </si>
  <si>
    <t>05/01/1935</t>
  </si>
  <si>
    <t>12/31/1973</t>
  </si>
  <si>
    <t>06/17/1949</t>
  </si>
  <si>
    <t>01/01/1978</t>
  </si>
  <si>
    <t>06/23/1980</t>
  </si>
  <si>
    <t>11/20/1954</t>
  </si>
  <si>
    <t>08/15/1963</t>
  </si>
  <si>
    <t>12/22/1954</t>
  </si>
  <si>
    <t>11/01/1963</t>
  </si>
  <si>
    <t>11/18/1985</t>
  </si>
  <si>
    <t>04/02/1967</t>
  </si>
  <si>
    <t>07/25/1990</t>
  </si>
  <si>
    <t>07/25/1960</t>
  </si>
  <si>
    <t>05/05/1961</t>
  </si>
  <si>
    <t>05/24/1987</t>
  </si>
  <si>
    <t>11/02/1968</t>
  </si>
  <si>
    <t>11/23/1989</t>
  </si>
  <si>
    <t>07/12/1974</t>
  </si>
  <si>
    <t>01/01/1981</t>
  </si>
  <si>
    <t>04/28/1931</t>
  </si>
  <si>
    <t>02/02/1929</t>
  </si>
  <si>
    <t>04/02/1993</t>
  </si>
  <si>
    <t>01/19/1955</t>
  </si>
  <si>
    <t>04/03/1956</t>
  </si>
  <si>
    <t>12/01/1987</t>
  </si>
  <si>
    <t>02/06/1944</t>
  </si>
  <si>
    <t>10/26/1977</t>
  </si>
  <si>
    <t>02/25/1962</t>
  </si>
  <si>
    <t>03/29/1955</t>
  </si>
  <si>
    <t>10/19/1977</t>
  </si>
  <si>
    <t>02/25/1979</t>
  </si>
  <si>
    <t>10/05/1978</t>
  </si>
  <si>
    <t>12/31/1960</t>
  </si>
  <si>
    <t>12/29/1966</t>
  </si>
  <si>
    <t>01/04/1970</t>
  </si>
  <si>
    <t>05/01/1949</t>
  </si>
  <si>
    <t>02/01/1965</t>
  </si>
  <si>
    <t>12/25/1935</t>
  </si>
  <si>
    <t>12/08/1961</t>
  </si>
  <si>
    <t>05/24/1959</t>
  </si>
  <si>
    <t>07/01/1982</t>
  </si>
  <si>
    <t>09/07/1944</t>
  </si>
  <si>
    <t>01/03/1979</t>
  </si>
  <si>
    <t>11/23/1977</t>
  </si>
  <si>
    <t>11/04/1980</t>
  </si>
  <si>
    <t>05/10/1944</t>
  </si>
  <si>
    <t>03/14/1972</t>
  </si>
  <si>
    <t>10/16/1970</t>
  </si>
  <si>
    <t>11/20/1950</t>
  </si>
  <si>
    <t>02/27/1982</t>
  </si>
  <si>
    <t>11/10/1981</t>
  </si>
  <si>
    <t>05/19/1962</t>
  </si>
  <si>
    <t>11/27/1966</t>
  </si>
  <si>
    <t>03/24/1951</t>
  </si>
  <si>
    <t>06/03/1956</t>
  </si>
  <si>
    <t>07/27/1966</t>
  </si>
  <si>
    <t>11/15/1981</t>
  </si>
  <si>
    <t>02/23/1959</t>
  </si>
  <si>
    <t>10/11/1972</t>
  </si>
  <si>
    <t>05/01/1954</t>
  </si>
  <si>
    <t>03/20/1971</t>
  </si>
  <si>
    <t>01/09/1988</t>
  </si>
  <si>
    <t>07/25/1947</t>
  </si>
  <si>
    <t>01/02/1965</t>
  </si>
  <si>
    <t>10/30/1950</t>
  </si>
  <si>
    <t>07/01/1958</t>
  </si>
  <si>
    <t>03/16/1953</t>
  </si>
  <si>
    <t>09/18/1960</t>
  </si>
  <si>
    <t>08/27/1953</t>
  </si>
  <si>
    <t>11/25/1950</t>
  </si>
  <si>
    <t>12/26/1973</t>
  </si>
  <si>
    <t>07/09/1957</t>
  </si>
  <si>
    <t>06/26/1945</t>
  </si>
  <si>
    <t>05/16/1962</t>
  </si>
  <si>
    <t>09/10/1957</t>
  </si>
  <si>
    <t>10/29/1954</t>
  </si>
  <si>
    <t>05/23/1954</t>
  </si>
  <si>
    <t>12/13/1971</t>
  </si>
  <si>
    <t>09/14/1940</t>
  </si>
  <si>
    <t>09/24/1955</t>
  </si>
  <si>
    <t>05/16/1944</t>
  </si>
  <si>
    <t>06/02/1963</t>
  </si>
  <si>
    <t>03/20/1963</t>
  </si>
  <si>
    <t>12/18/1936</t>
  </si>
  <si>
    <t>03/30/1956</t>
  </si>
  <si>
    <t>01/28/1949</t>
  </si>
  <si>
    <t>06/04/1952</t>
  </si>
  <si>
    <t>12/20/1943</t>
  </si>
  <si>
    <t>06/15/1948</t>
  </si>
  <si>
    <t>03/27/1946</t>
  </si>
  <si>
    <t>09/07/1955</t>
  </si>
  <si>
    <t>12/08/1944</t>
  </si>
  <si>
    <t>12/21/1957</t>
  </si>
  <si>
    <t>04/21/1944</t>
  </si>
  <si>
    <t>03/13/1962</t>
  </si>
  <si>
    <t>06/07/1946</t>
  </si>
  <si>
    <t>01/06/1939</t>
  </si>
  <si>
    <t>04/08/1979</t>
  </si>
  <si>
    <t>11/04/1970</t>
  </si>
  <si>
    <t>02/03/1969</t>
  </si>
  <si>
    <t>03/04/1945</t>
  </si>
  <si>
    <t>08/03/1939</t>
  </si>
  <si>
    <t>12/03/1946</t>
  </si>
  <si>
    <t>09/26/1955</t>
  </si>
  <si>
    <t>10/18/1965</t>
  </si>
  <si>
    <t>03/19/1956</t>
  </si>
  <si>
    <t>10/24/1951</t>
  </si>
  <si>
    <t>12/02/1958</t>
  </si>
  <si>
    <t>03/05/1987</t>
  </si>
  <si>
    <t>10/14/1923</t>
  </si>
  <si>
    <t>08/20/1950</t>
  </si>
  <si>
    <t>09/18/1979</t>
  </si>
  <si>
    <t>07/20/1973</t>
  </si>
  <si>
    <t>03/12/1987</t>
  </si>
  <si>
    <t>11/11/1939</t>
  </si>
  <si>
    <t>06/14/1947</t>
  </si>
  <si>
    <t>01/22/1956</t>
  </si>
  <si>
    <t>02/23/1943</t>
  </si>
  <si>
    <t>05/25/1964</t>
  </si>
  <si>
    <t>07/27/1954</t>
  </si>
  <si>
    <t>02/12/1974</t>
  </si>
  <si>
    <t>06/26/1963</t>
  </si>
  <si>
    <t>04/18/1948</t>
  </si>
  <si>
    <t>11/18/1965</t>
  </si>
  <si>
    <t>06/13/1973</t>
  </si>
  <si>
    <t>03/01/1951</t>
  </si>
  <si>
    <t>03/24/1974</t>
  </si>
  <si>
    <t>05/08/1962</t>
  </si>
  <si>
    <t>09/22/1946</t>
  </si>
  <si>
    <t>05/14/1931</t>
  </si>
  <si>
    <t>01/15/1976</t>
  </si>
  <si>
    <t>04/07/1983</t>
  </si>
  <si>
    <t>03/13/1973</t>
  </si>
  <si>
    <t>12/29/1972</t>
  </si>
  <si>
    <t>08/01/1970</t>
  </si>
  <si>
    <t>07/03/1940</t>
  </si>
  <si>
    <t>03/20/1949</t>
  </si>
  <si>
    <t>08/20/1967</t>
  </si>
  <si>
    <t>08/01/1953</t>
  </si>
  <si>
    <t>08/21/1984</t>
  </si>
  <si>
    <t>03/24/1989</t>
  </si>
  <si>
    <t>04/24/1992</t>
  </si>
  <si>
    <t>12/01/1944</t>
  </si>
  <si>
    <t>12/23/1962</t>
  </si>
  <si>
    <t>07/10/1953</t>
  </si>
  <si>
    <t>09/20/1972</t>
  </si>
  <si>
    <t>10/27/1984</t>
  </si>
  <si>
    <t>12/24/1989</t>
  </si>
  <si>
    <t>01/30/1957</t>
  </si>
  <si>
    <t>08/02/1934</t>
  </si>
  <si>
    <t>09/07/1947</t>
  </si>
  <si>
    <t>10/10/1971</t>
  </si>
  <si>
    <t>08/27/1962</t>
  </si>
  <si>
    <t>05/16/1970</t>
  </si>
  <si>
    <t>11/06/1964</t>
  </si>
  <si>
    <t>06/10/1943</t>
  </si>
  <si>
    <t>12/25/1957</t>
  </si>
  <si>
    <t>06/30/1974</t>
  </si>
  <si>
    <t>06/09/1945</t>
  </si>
  <si>
    <t>12/20/1964</t>
  </si>
  <si>
    <t>01/04/1948</t>
  </si>
  <si>
    <t>03/03/1961</t>
  </si>
  <si>
    <t>10/31/1977</t>
  </si>
  <si>
    <t>05/18/1971</t>
  </si>
  <si>
    <t>03/03/1957</t>
  </si>
  <si>
    <t>03/02/1936</t>
  </si>
  <si>
    <t>05/13/1963</t>
  </si>
  <si>
    <t>04/25/1967</t>
  </si>
  <si>
    <t>03/17/1951</t>
  </si>
  <si>
    <t>09/29/1982</t>
  </si>
  <si>
    <t>02/13/1934</t>
  </si>
  <si>
    <t>06/17/1970</t>
  </si>
  <si>
    <t>04/29/1948</t>
  </si>
  <si>
    <t>08/22/1964</t>
  </si>
  <si>
    <t>04/22/1953</t>
  </si>
  <si>
    <t>01/06/1953</t>
  </si>
  <si>
    <t>03/30/1940</t>
  </si>
  <si>
    <t>11/04/1941</t>
  </si>
  <si>
    <t>01/01/1996</t>
  </si>
  <si>
    <t>06/21/1959</t>
  </si>
  <si>
    <t>08/04/1971</t>
  </si>
  <si>
    <t>04/20/1966</t>
  </si>
  <si>
    <t>12/02/1943</t>
  </si>
  <si>
    <t>01/10/1952</t>
  </si>
  <si>
    <t>12/02/1959</t>
  </si>
  <si>
    <t>12/14/1948</t>
  </si>
  <si>
    <t>02/03/1948</t>
  </si>
  <si>
    <t>07/19/1942</t>
  </si>
  <si>
    <t>10/21/1984</t>
  </si>
  <si>
    <t>11/28/1973</t>
  </si>
  <si>
    <t>06/10/1957</t>
  </si>
  <si>
    <t>05/05/1949</t>
  </si>
  <si>
    <t>10/04/1920</t>
  </si>
  <si>
    <t>06/19/1955</t>
  </si>
  <si>
    <t>07/02/1968</t>
  </si>
  <si>
    <t>07/07/1932</t>
  </si>
  <si>
    <t>12/03/1972</t>
  </si>
  <si>
    <t>10/19/1966</t>
  </si>
  <si>
    <t>01/03/1958</t>
  </si>
  <si>
    <t>07/13/1962</t>
  </si>
  <si>
    <t>08/02/1945</t>
  </si>
  <si>
    <t>03/02/1928</t>
  </si>
  <si>
    <t>04/26/1987</t>
  </si>
  <si>
    <t>07/27/1978</t>
  </si>
  <si>
    <t>11/27/1962</t>
  </si>
  <si>
    <t>06/14/1955</t>
  </si>
  <si>
    <t>09/05/1971</t>
  </si>
  <si>
    <t>08/01/1967</t>
  </si>
  <si>
    <t>05/17/1942</t>
  </si>
  <si>
    <t>09/17/1970</t>
  </si>
  <si>
    <t>01/12/1978</t>
  </si>
  <si>
    <t>10/12/1984</t>
  </si>
  <si>
    <t>11/15/1949</t>
  </si>
  <si>
    <t>11/14/1973</t>
  </si>
  <si>
    <t>12/08/1981</t>
  </si>
  <si>
    <t>01/11/1935</t>
  </si>
  <si>
    <t>04/05/1946</t>
  </si>
  <si>
    <t>05/11/1994</t>
  </si>
  <si>
    <t>01/21/1965</t>
  </si>
  <si>
    <t>02/09/1952</t>
  </si>
  <si>
    <t>01/08/1941</t>
  </si>
  <si>
    <t>08/26/1966</t>
  </si>
  <si>
    <t>12/15/1960</t>
  </si>
  <si>
    <t>08/31/1978</t>
  </si>
  <si>
    <t>11/26/1966</t>
  </si>
  <si>
    <t>02/15/1979</t>
  </si>
  <si>
    <t>07/13/1954</t>
  </si>
  <si>
    <t>04/30/1952</t>
  </si>
  <si>
    <t>07/01/1952</t>
  </si>
  <si>
    <t>08/04/1950</t>
  </si>
  <si>
    <t>12/30/1942</t>
  </si>
  <si>
    <t>12/11/1978</t>
  </si>
  <si>
    <t>07/10/1992</t>
  </si>
  <si>
    <t>03/10/1932</t>
  </si>
  <si>
    <t>06/03/1943</t>
  </si>
  <si>
    <t>05/09/1990</t>
  </si>
  <si>
    <t>07/12/1951</t>
  </si>
  <si>
    <t>05/30/1983</t>
  </si>
  <si>
    <t>09/25/1978</t>
  </si>
  <si>
    <t>07/09/1955</t>
  </si>
  <si>
    <t>11/07/1964</t>
  </si>
  <si>
    <t>07/01/1937</t>
  </si>
  <si>
    <t>03/21/1950</t>
  </si>
  <si>
    <t>12/28/1953</t>
  </si>
  <si>
    <t>06/26/1983</t>
  </si>
  <si>
    <t>11/01/1971</t>
  </si>
  <si>
    <t>11/03/1986</t>
  </si>
  <si>
    <t>01/15/1957</t>
  </si>
  <si>
    <t>08/07/1949</t>
  </si>
  <si>
    <t>12/17/1946</t>
  </si>
  <si>
    <t>04/18/1928</t>
  </si>
  <si>
    <t>08/18/1964</t>
  </si>
  <si>
    <t>10/25/1965</t>
  </si>
  <si>
    <t>01/24/1993</t>
  </si>
  <si>
    <t>06/04/1954</t>
  </si>
  <si>
    <t>03/20/1965</t>
  </si>
  <si>
    <t>08/22/1978</t>
  </si>
  <si>
    <t>03/20/1943</t>
  </si>
  <si>
    <t>11/15/1944</t>
  </si>
  <si>
    <t>07/16/1958</t>
  </si>
  <si>
    <t>06/14/1960</t>
  </si>
  <si>
    <t>10/10/1976</t>
  </si>
  <si>
    <t>01/18/1947</t>
  </si>
  <si>
    <t>03/28/1949</t>
  </si>
  <si>
    <t>06/20/1957</t>
  </si>
  <si>
    <t>05/17/1957</t>
  </si>
  <si>
    <t>04/25/1956</t>
  </si>
  <si>
    <t>02/14/1959</t>
  </si>
  <si>
    <t>09/13/1964</t>
  </si>
  <si>
    <t>09/18/1971</t>
  </si>
  <si>
    <t>05/08/1953</t>
  </si>
  <si>
    <t>01/13/1952</t>
  </si>
  <si>
    <t>06/09/1952</t>
  </si>
  <si>
    <t>11/22/1976</t>
  </si>
  <si>
    <t>09/28/1970</t>
  </si>
  <si>
    <t>08/06/1980</t>
  </si>
  <si>
    <t>03/22/1971</t>
  </si>
  <si>
    <t>09/28/1959</t>
  </si>
  <si>
    <t>01/01/1966</t>
  </si>
  <si>
    <t>08/18/1973</t>
  </si>
  <si>
    <t>09/14/1991</t>
  </si>
  <si>
    <t>07/19/1955</t>
  </si>
  <si>
    <t>02/10/1983</t>
  </si>
  <si>
    <t>03/18/1966</t>
  </si>
  <si>
    <t>10/07/1983</t>
  </si>
  <si>
    <t>06/08/1958</t>
  </si>
  <si>
    <t>09/11/1954</t>
  </si>
  <si>
    <t>05/02/1975</t>
  </si>
  <si>
    <t>04/26/1973</t>
  </si>
  <si>
    <t>08/06/1989</t>
  </si>
  <si>
    <t>08/21/1971</t>
  </si>
  <si>
    <t>09/17/1971</t>
  </si>
  <si>
    <t>10/01/1968</t>
  </si>
  <si>
    <t>05/27/1968</t>
  </si>
  <si>
    <t>05/24/1980</t>
  </si>
  <si>
    <t>06/19/1977</t>
  </si>
  <si>
    <t>08/10/1956</t>
  </si>
  <si>
    <t>01/10/1964</t>
  </si>
  <si>
    <t>09/05/1973</t>
  </si>
  <si>
    <t>10/25/1996</t>
  </si>
  <si>
    <t>12/01/1969</t>
  </si>
  <si>
    <t>06/06/1969</t>
  </si>
  <si>
    <t>05/24/1976</t>
  </si>
  <si>
    <t>11/02/1974</t>
  </si>
  <si>
    <t>12/28/1972</t>
  </si>
  <si>
    <t>11/04/1957</t>
  </si>
  <si>
    <t>03/16/1988</t>
  </si>
  <si>
    <t>11/11/1964</t>
  </si>
  <si>
    <t>10/20/1972</t>
  </si>
  <si>
    <t>05/04/1986</t>
  </si>
  <si>
    <t>11/27/1976</t>
  </si>
  <si>
    <t>01/10/1988</t>
  </si>
  <si>
    <t>12/04/1979</t>
  </si>
  <si>
    <t>10/31/1976</t>
  </si>
  <si>
    <t>07/18/1974</t>
  </si>
  <si>
    <t>05/21/1988</t>
  </si>
  <si>
    <t>05/28/1982</t>
  </si>
  <si>
    <t>07/08/1974</t>
  </si>
  <si>
    <t>02/05/1980</t>
  </si>
  <si>
    <t>10/04/1976</t>
  </si>
  <si>
    <t>06/09/1986</t>
  </si>
  <si>
    <t>11/05/1975</t>
  </si>
  <si>
    <t>09/14/1982</t>
  </si>
  <si>
    <t>08/11/1972</t>
  </si>
  <si>
    <t>01/24/1983</t>
  </si>
  <si>
    <t>03/22/1954</t>
  </si>
  <si>
    <t>09/12/1990</t>
  </si>
  <si>
    <t>11/03/1989</t>
  </si>
  <si>
    <t>04/06/1965</t>
  </si>
  <si>
    <t>04/17/1954</t>
  </si>
  <si>
    <t>11/20/1962</t>
  </si>
  <si>
    <t>04/13/1975</t>
  </si>
  <si>
    <t>08/24/1976</t>
  </si>
  <si>
    <t>01/08/1992</t>
  </si>
  <si>
    <t>06/03/1980</t>
  </si>
  <si>
    <t>11/16/1973</t>
  </si>
  <si>
    <t>11/25/1949</t>
  </si>
  <si>
    <t>05/12/1965</t>
  </si>
  <si>
    <t>06/27/1991</t>
  </si>
  <si>
    <t>06/07/1996</t>
  </si>
  <si>
    <t>05/19/1991</t>
  </si>
  <si>
    <t>12/02/1970</t>
  </si>
  <si>
    <t>10/14/1972</t>
  </si>
  <si>
    <t>08/28/1976</t>
  </si>
  <si>
    <t>05/28/1962</t>
  </si>
  <si>
    <t>08/12/1973</t>
  </si>
  <si>
    <t>06/02/1984</t>
  </si>
  <si>
    <t>11/28/1971</t>
  </si>
  <si>
    <t>12/19/2011</t>
  </si>
  <si>
    <t>05/28/1981</t>
  </si>
  <si>
    <t>04/02/1989</t>
  </si>
  <si>
    <t>01/02/1968</t>
  </si>
  <si>
    <t>01/07/1955</t>
  </si>
  <si>
    <t>07/29/1977</t>
  </si>
  <si>
    <t>02/10/1963</t>
  </si>
  <si>
    <t>10/08/1962</t>
  </si>
  <si>
    <t>03/11/1954</t>
  </si>
  <si>
    <t>08/16/1985</t>
  </si>
  <si>
    <t>10/01/1976</t>
  </si>
  <si>
    <t>03/31/1985</t>
  </si>
  <si>
    <t>07/08/1983</t>
  </si>
  <si>
    <t>02/15/1982</t>
  </si>
  <si>
    <t>06/22/1985</t>
  </si>
  <si>
    <t>11/08/1959</t>
  </si>
  <si>
    <t>05/06/1971</t>
  </si>
  <si>
    <t>07/10/1978</t>
  </si>
  <si>
    <t>11/29/1945</t>
  </si>
  <si>
    <t>01/08/1966</t>
  </si>
  <si>
    <t>08/15/1970</t>
  </si>
  <si>
    <t>06/29/1987</t>
  </si>
  <si>
    <t>04/22/1969</t>
  </si>
  <si>
    <t>02/18/1973</t>
  </si>
  <si>
    <t>10/14/1955</t>
  </si>
  <si>
    <t>02/04/1956</t>
  </si>
  <si>
    <t>10/27/1982</t>
  </si>
  <si>
    <t>01/10/1979</t>
  </si>
  <si>
    <t>06/26/1978</t>
  </si>
  <si>
    <t>07/02/1979</t>
  </si>
  <si>
    <t>04/14/1971</t>
  </si>
  <si>
    <t>12/03/1959</t>
  </si>
  <si>
    <t>11/18/1987</t>
  </si>
  <si>
    <t>09/22/1949</t>
  </si>
  <si>
    <t>12/14/1962</t>
  </si>
  <si>
    <t>07/07/1961</t>
  </si>
  <si>
    <t>10/03/1954</t>
  </si>
  <si>
    <t>07/01/1971</t>
  </si>
  <si>
    <t>07/24/1997</t>
  </si>
  <si>
    <t>08/07/1983</t>
  </si>
  <si>
    <t>12/26/1967</t>
  </si>
  <si>
    <t>07/11/1960</t>
  </si>
  <si>
    <t>08/20/1963</t>
  </si>
  <si>
    <t>11/18/1982</t>
  </si>
  <si>
    <t>04/27/1963</t>
  </si>
  <si>
    <t>07/18/1975</t>
  </si>
  <si>
    <t>09/04/1986</t>
  </si>
  <si>
    <t>04/01/1952</t>
  </si>
  <si>
    <t>09/17/1963</t>
  </si>
  <si>
    <t>12/17/1960</t>
  </si>
  <si>
    <t>11/12/1971</t>
  </si>
  <si>
    <t>08/14/1954</t>
  </si>
  <si>
    <t>08/27/1980</t>
  </si>
  <si>
    <t>04/11/1990</t>
  </si>
  <si>
    <t>11/25/1951</t>
  </si>
  <si>
    <t>12/19/1974</t>
  </si>
  <si>
    <t>09/05/1989</t>
  </si>
  <si>
    <t>05/15/1961</t>
  </si>
  <si>
    <t>10/12/1992</t>
  </si>
  <si>
    <t>01/27/1968</t>
  </si>
  <si>
    <t>01/12/1987</t>
  </si>
  <si>
    <t>09/27/1976</t>
  </si>
  <si>
    <t>07/01/1990</t>
  </si>
  <si>
    <t>01/26/1968</t>
  </si>
  <si>
    <t>11/17/1978</t>
  </si>
  <si>
    <t>10/21/1964</t>
  </si>
  <si>
    <t>08/08/1975</t>
  </si>
  <si>
    <t>05/27/1989</t>
  </si>
  <si>
    <t>01/12/1983</t>
  </si>
  <si>
    <t>07/29/1982</t>
  </si>
  <si>
    <t>01/25/1965</t>
  </si>
  <si>
    <t>03/13/1985</t>
  </si>
  <si>
    <t>04/09/1972</t>
  </si>
  <si>
    <t>11/19/1990</t>
  </si>
  <si>
    <t>01/06/1979</t>
  </si>
  <si>
    <t>05/05/1983</t>
  </si>
  <si>
    <t>02/15/1988</t>
  </si>
  <si>
    <t>02/18/2018</t>
  </si>
  <si>
    <t>05/19/1971</t>
  </si>
  <si>
    <t>09/02/1971</t>
  </si>
  <si>
    <t>06/15/1989</t>
  </si>
  <si>
    <t>04/11/1958</t>
  </si>
  <si>
    <t>07/28/1960</t>
  </si>
  <si>
    <t>04/25/1960</t>
  </si>
  <si>
    <t>03/03/1949</t>
  </si>
  <si>
    <t>02/16/1960</t>
  </si>
  <si>
    <t>08/12/1980</t>
  </si>
  <si>
    <t>03/08/1950</t>
  </si>
  <si>
    <t>02/28/1977</t>
  </si>
  <si>
    <t>03/26/1952</t>
  </si>
  <si>
    <t>08/22/1963</t>
  </si>
  <si>
    <t>06/22/1980</t>
  </si>
  <si>
    <t>04/28/1953</t>
  </si>
  <si>
    <t>09/28/1990</t>
  </si>
  <si>
    <t>12/23/1959</t>
  </si>
  <si>
    <t>06/03/1971</t>
  </si>
  <si>
    <t>07/07/1960</t>
  </si>
  <si>
    <t>04/07/1995</t>
  </si>
  <si>
    <t>09/04/1982</t>
  </si>
  <si>
    <t>07/15/1989</t>
  </si>
  <si>
    <t>07/13/1972</t>
  </si>
  <si>
    <t>12/28/1954</t>
  </si>
  <si>
    <t>09/20/1991</t>
  </si>
  <si>
    <t>12/22/1970</t>
  </si>
  <si>
    <t>01/12/1957</t>
  </si>
  <si>
    <t>09/05/1977</t>
  </si>
  <si>
    <t>04/28/1956</t>
  </si>
  <si>
    <t>03/27/1965</t>
  </si>
  <si>
    <t>03/31/1965</t>
  </si>
  <si>
    <t>10/31/1982</t>
  </si>
  <si>
    <t>02/01/1980</t>
  </si>
  <si>
    <t>12/13/1983</t>
  </si>
  <si>
    <t>03/22/1966</t>
  </si>
  <si>
    <t>07/28/1962</t>
  </si>
  <si>
    <t>08/28/1987</t>
  </si>
  <si>
    <t>07/18/1956</t>
  </si>
  <si>
    <t>09/27/1973</t>
  </si>
  <si>
    <t>02/05/1946</t>
  </si>
  <si>
    <t>02/05/1958</t>
  </si>
  <si>
    <t>04/29/1937</t>
  </si>
  <si>
    <t>04/22/1964</t>
  </si>
  <si>
    <t>01/14/1992</t>
  </si>
  <si>
    <t>12/26/1962</t>
  </si>
  <si>
    <t>04/06/1987</t>
  </si>
  <si>
    <t>09/17/1979</t>
  </si>
  <si>
    <t>02/07/1959</t>
  </si>
  <si>
    <t>05/19/1960</t>
  </si>
  <si>
    <t>09/25/1965</t>
  </si>
  <si>
    <t>12/07/1960</t>
  </si>
  <si>
    <t>08/28/1971</t>
  </si>
  <si>
    <t>10/08/1983</t>
  </si>
  <si>
    <t>03/26/1986</t>
  </si>
  <si>
    <t>09/09/1984</t>
  </si>
  <si>
    <t>04/17/1977</t>
  </si>
  <si>
    <t>01/02/1963</t>
  </si>
  <si>
    <t>07/19/1984</t>
  </si>
  <si>
    <t>10/03/1987</t>
  </si>
  <si>
    <t>03/28/1981</t>
  </si>
  <si>
    <t>09/14/1974</t>
  </si>
  <si>
    <t>03/26/1964</t>
  </si>
  <si>
    <t>10/13/1941</t>
  </si>
  <si>
    <t>11/08/1960</t>
  </si>
  <si>
    <t>10/01/1977</t>
  </si>
  <si>
    <t>09/08/1960</t>
  </si>
  <si>
    <t>11/29/1971</t>
  </si>
  <si>
    <t>04/02/1959</t>
  </si>
  <si>
    <t>03/07/1957</t>
  </si>
  <si>
    <t>01/08/1969</t>
  </si>
  <si>
    <t>02/01/1990</t>
  </si>
  <si>
    <t>02/24/1966</t>
  </si>
  <si>
    <t>02/15/1989</t>
  </si>
  <si>
    <t>01/28/1966</t>
  </si>
  <si>
    <t>04/14/1956</t>
  </si>
  <si>
    <t>02/29/1960</t>
  </si>
  <si>
    <t>05/11/1983</t>
  </si>
  <si>
    <t>06/16/1977</t>
  </si>
  <si>
    <t>07/11/1973</t>
  </si>
  <si>
    <t>05/09/1977</t>
  </si>
  <si>
    <t>01/03/1933</t>
  </si>
  <si>
    <t>06/24/1955</t>
  </si>
  <si>
    <t>12/28/1941</t>
  </si>
  <si>
    <t>05/05/1950</t>
  </si>
  <si>
    <t>08/12/1989</t>
  </si>
  <si>
    <t>01/14/1980</t>
  </si>
  <si>
    <t>12/29/1968</t>
  </si>
  <si>
    <t>09/25/1979</t>
  </si>
  <si>
    <t>10/20/1927</t>
  </si>
  <si>
    <t>12/20/1940</t>
  </si>
  <si>
    <t>02/28/1963</t>
  </si>
  <si>
    <t>10/17/1968</t>
  </si>
  <si>
    <t>11/07/1953</t>
  </si>
  <si>
    <t>11/15/1965</t>
  </si>
  <si>
    <t>08/27/1985</t>
  </si>
  <si>
    <t>02/23/1985</t>
  </si>
  <si>
    <t>07/05/1978</t>
  </si>
  <si>
    <t>01/07/1963</t>
  </si>
  <si>
    <t>08/31/1967</t>
  </si>
  <si>
    <t>11/04/1953</t>
  </si>
  <si>
    <t>10/05/1965</t>
  </si>
  <si>
    <t>02/21/1954</t>
  </si>
  <si>
    <t>06/11/1936</t>
  </si>
  <si>
    <t>02/19/1944</t>
  </si>
  <si>
    <t>01/04/1938</t>
  </si>
  <si>
    <t>09/13/1963</t>
  </si>
  <si>
    <t>04/02/1958</t>
  </si>
  <si>
    <t>08/23/1955</t>
  </si>
  <si>
    <t>01/26/1977</t>
  </si>
  <si>
    <t>05/12/1970</t>
  </si>
  <si>
    <t>11/30/1979</t>
  </si>
  <si>
    <t>06/25/1963</t>
  </si>
  <si>
    <t>04/05/1993</t>
  </si>
  <si>
    <t>07/27/1995</t>
  </si>
  <si>
    <t>04/15/1981</t>
  </si>
  <si>
    <t>01/27/1980</t>
  </si>
  <si>
    <t>01/13/1982</t>
  </si>
  <si>
    <t>10/03/1975</t>
  </si>
  <si>
    <t>02/22/1980</t>
  </si>
  <si>
    <t>11/21/1956</t>
  </si>
  <si>
    <t>02/05/1955</t>
  </si>
  <si>
    <t>05/29/1968</t>
  </si>
  <si>
    <t>12/18/1958</t>
  </si>
  <si>
    <t>12/11/1960</t>
  </si>
  <si>
    <t>02/11/1972</t>
  </si>
  <si>
    <t>04/05/1966</t>
  </si>
  <si>
    <t>06/18/1965</t>
  </si>
  <si>
    <t>05/26/1964</t>
  </si>
  <si>
    <t>08/19/1986</t>
  </si>
  <si>
    <t>04/19/1988</t>
  </si>
  <si>
    <t>05/03/1968</t>
  </si>
  <si>
    <t>04/04/1952</t>
  </si>
  <si>
    <t>09/25/1919</t>
  </si>
  <si>
    <t>10/12/1962</t>
  </si>
  <si>
    <t>01/01/1990</t>
  </si>
  <si>
    <t>08/15/1973</t>
  </si>
  <si>
    <t>03/17/1953</t>
  </si>
  <si>
    <t>12/05/1978</t>
  </si>
  <si>
    <t>10/25/1975</t>
  </si>
  <si>
    <t>04/08/1957</t>
  </si>
  <si>
    <t>04/28/1968</t>
  </si>
  <si>
    <t>10/15/1981</t>
  </si>
  <si>
    <t>08/04/1957</t>
  </si>
  <si>
    <t>03/25/1973</t>
  </si>
  <si>
    <t>04/30/1965</t>
  </si>
  <si>
    <t>10/19/1969</t>
  </si>
  <si>
    <t>01/08/1956</t>
  </si>
  <si>
    <t>05/17/1930</t>
  </si>
  <si>
    <t>03/06/1977</t>
  </si>
  <si>
    <t>07/17/1967</t>
  </si>
  <si>
    <t>01/29/1956</t>
  </si>
  <si>
    <t>11/22/1947</t>
  </si>
  <si>
    <t>10/23/1964</t>
  </si>
  <si>
    <t>01/08/1948</t>
  </si>
  <si>
    <t>05/17/1946</t>
  </si>
  <si>
    <t>08/09/1961</t>
  </si>
  <si>
    <t>07/03/1956</t>
  </si>
  <si>
    <t>04/25/1929</t>
  </si>
  <si>
    <t>03/17/1960</t>
  </si>
  <si>
    <t>11/17/1986</t>
  </si>
  <si>
    <t>05/04/1955</t>
  </si>
  <si>
    <t>07/23/1938</t>
  </si>
  <si>
    <t>08/30/1985</t>
  </si>
  <si>
    <t>08/08/1976</t>
  </si>
  <si>
    <t>08/09/1970</t>
  </si>
  <si>
    <t>08/07/1940</t>
  </si>
  <si>
    <t>11/13/1936</t>
  </si>
  <si>
    <t>01/30/1959</t>
  </si>
  <si>
    <t>12/23/1960</t>
  </si>
  <si>
    <t>03/27/1983</t>
  </si>
  <si>
    <t>11/19/1982</t>
  </si>
  <si>
    <t>03/15/1956</t>
  </si>
  <si>
    <t>10/04/1944</t>
  </si>
  <si>
    <t>06/16/1947</t>
  </si>
  <si>
    <t>04/07/1963</t>
  </si>
  <si>
    <t>02/08/1961</t>
  </si>
  <si>
    <t>10/18/1954</t>
  </si>
  <si>
    <t>08/01/1961</t>
  </si>
  <si>
    <t>04/23/1968</t>
  </si>
  <si>
    <t>06/27/1961</t>
  </si>
  <si>
    <t>12/21/1956</t>
  </si>
  <si>
    <t>07/27/1969</t>
  </si>
  <si>
    <t>05/19/1945</t>
  </si>
  <si>
    <t>05/22/1969</t>
  </si>
  <si>
    <t>07/09/1964</t>
  </si>
  <si>
    <t>03/15/1961</t>
  </si>
  <si>
    <t>03/25/1961</t>
  </si>
  <si>
    <t>03/06/1957</t>
  </si>
  <si>
    <t>08/27/1967</t>
  </si>
  <si>
    <t>08/20/1965</t>
  </si>
  <si>
    <t>03/31/1971</t>
  </si>
  <si>
    <t>01/29/1985</t>
  </si>
  <si>
    <t>10/19/1984</t>
  </si>
  <si>
    <t>02/03/1956</t>
  </si>
  <si>
    <t>03/18/1988</t>
  </si>
  <si>
    <t>11/15/1975</t>
  </si>
  <si>
    <t>10/19/1944</t>
  </si>
  <si>
    <t>08/28/1942</t>
  </si>
  <si>
    <t>03/23/1963</t>
  </si>
  <si>
    <t>12/07/1970</t>
  </si>
  <si>
    <t>12/30/1945</t>
  </si>
  <si>
    <t>09/22/1964</t>
  </si>
  <si>
    <t>10/14/1927</t>
  </si>
  <si>
    <t>10/28/1897</t>
  </si>
  <si>
    <t>07/12/1949</t>
  </si>
  <si>
    <t>10/29/1970</t>
  </si>
  <si>
    <t>02/19/1953</t>
  </si>
  <si>
    <t>09/24/1974</t>
  </si>
  <si>
    <t>10/23/1988</t>
  </si>
  <si>
    <t>05/18/1979</t>
  </si>
  <si>
    <t>12/24/1968</t>
  </si>
  <si>
    <t>01/14/1983</t>
  </si>
  <si>
    <t>04/23/1967</t>
  </si>
  <si>
    <t>12/05/1992</t>
  </si>
  <si>
    <t>10/23/1942</t>
  </si>
  <si>
    <t>04/29/1961</t>
  </si>
  <si>
    <t>03/26/1956</t>
  </si>
  <si>
    <t>05/10/1982</t>
  </si>
  <si>
    <t>05/07/1965</t>
  </si>
  <si>
    <t>03/10/1964</t>
  </si>
  <si>
    <t>06/13/1956</t>
  </si>
  <si>
    <t>12/16/1978</t>
  </si>
  <si>
    <t>08/06/1985</t>
  </si>
  <si>
    <t>04/05/1955</t>
  </si>
  <si>
    <t>01/21/1948</t>
  </si>
  <si>
    <t>03/15/1958</t>
  </si>
  <si>
    <t>12/10/1976</t>
  </si>
  <si>
    <t>02/09/1981</t>
  </si>
  <si>
    <t>09/16/1978</t>
  </si>
  <si>
    <t>03/15/1954</t>
  </si>
  <si>
    <t>07/31/1936</t>
  </si>
  <si>
    <t>07/16/1938</t>
  </si>
  <si>
    <t>05/10/1946</t>
  </si>
  <si>
    <t>03/04/1974</t>
  </si>
  <si>
    <t>10/12/1968</t>
  </si>
  <si>
    <t>08/03/1952</t>
  </si>
  <si>
    <t>06/08/1953</t>
  </si>
  <si>
    <t>02/12/1969</t>
  </si>
  <si>
    <t>03/30/1982</t>
  </si>
  <si>
    <t>02/15/1953</t>
  </si>
  <si>
    <t>12/03/1962</t>
  </si>
  <si>
    <t>04/01/1948</t>
  </si>
  <si>
    <t>09/13/1955</t>
  </si>
  <si>
    <t>10/08/1977</t>
  </si>
  <si>
    <t>06/06/1968</t>
  </si>
  <si>
    <t>04/20/1986</t>
  </si>
  <si>
    <t>06/09/1964</t>
  </si>
  <si>
    <t>09/20/1964</t>
  </si>
  <si>
    <t>01/20/1989</t>
  </si>
  <si>
    <t>07/27/1948</t>
  </si>
  <si>
    <t>10/12/1938</t>
  </si>
  <si>
    <t>02/06/1981</t>
  </si>
  <si>
    <t>07/03/1951</t>
  </si>
  <si>
    <t>08/04/1943</t>
  </si>
  <si>
    <t>09/30/1965</t>
  </si>
  <si>
    <t>01/01/1960</t>
  </si>
  <si>
    <t>04/04/1965</t>
  </si>
  <si>
    <t>11/25/1962</t>
  </si>
  <si>
    <t>03/04/1958</t>
  </si>
  <si>
    <t>12/08/1950</t>
  </si>
  <si>
    <t>12/29/1947</t>
  </si>
  <si>
    <t>01/21/1980</t>
  </si>
  <si>
    <t>09/07/1981</t>
  </si>
  <si>
    <t>12/16/1974</t>
  </si>
  <si>
    <t>08/19/1939</t>
  </si>
  <si>
    <t>12/28/1951</t>
  </si>
  <si>
    <t>12/07/1956</t>
  </si>
  <si>
    <t>04/14/1967</t>
  </si>
  <si>
    <t>12/30/1961</t>
  </si>
  <si>
    <t>03/18/1945</t>
  </si>
  <si>
    <t>05/10/1940</t>
  </si>
  <si>
    <t>12/29/1920</t>
  </si>
  <si>
    <t>12/11/1932</t>
  </si>
  <si>
    <t>06/26/1958</t>
  </si>
  <si>
    <t>06/15/1957</t>
  </si>
  <si>
    <t>08/09/1963</t>
  </si>
  <si>
    <t>06/06/1973</t>
  </si>
  <si>
    <t>05/19/1947</t>
  </si>
  <si>
    <t>08/13/1983</t>
  </si>
  <si>
    <t>08/04/1946</t>
  </si>
  <si>
    <t>12/14/1956</t>
  </si>
  <si>
    <t>08/02/1958</t>
  </si>
  <si>
    <t>08/06/1945</t>
  </si>
  <si>
    <t>12/27/1954</t>
  </si>
  <si>
    <t>08/03/1960</t>
  </si>
  <si>
    <t>08/18/1955</t>
  </si>
  <si>
    <t>08/18/1978</t>
  </si>
  <si>
    <t>12/18/1980</t>
  </si>
  <si>
    <t>07/18/1951</t>
  </si>
  <si>
    <t>10/16/1954</t>
  </si>
  <si>
    <t>01/09/1952</t>
  </si>
  <si>
    <t>12/01/1958</t>
  </si>
  <si>
    <t>10/11/1958</t>
  </si>
  <si>
    <t>11/03/1957</t>
  </si>
  <si>
    <t>11/21/1923</t>
  </si>
  <si>
    <t>12/27/1987</t>
  </si>
  <si>
    <t>08/27/1963</t>
  </si>
  <si>
    <t>04/05/1959</t>
  </si>
  <si>
    <t>05/24/1951</t>
  </si>
  <si>
    <t>08/16/1981</t>
  </si>
  <si>
    <t>08/09/1966</t>
  </si>
  <si>
    <t>01/30/1990</t>
  </si>
  <si>
    <t>06/11/1980</t>
  </si>
  <si>
    <t>01/01/1955</t>
  </si>
  <si>
    <t>10/01/1961</t>
  </si>
  <si>
    <t>08/10/1984</t>
  </si>
  <si>
    <t>02/25/1951</t>
  </si>
  <si>
    <t>05/13/1958</t>
  </si>
  <si>
    <t>08/13/1937</t>
  </si>
  <si>
    <t>06/13/1957</t>
  </si>
  <si>
    <t>06/06/1963</t>
  </si>
  <si>
    <t>07/30/1935</t>
  </si>
  <si>
    <t>03/03/1935</t>
  </si>
  <si>
    <t>11/05/1984</t>
  </si>
  <si>
    <t>11/13/1989</t>
  </si>
  <si>
    <t>04/07/1957</t>
  </si>
  <si>
    <t>11/06/1960</t>
  </si>
  <si>
    <t>06/12/1954</t>
  </si>
  <si>
    <t>07/13/1982</t>
  </si>
  <si>
    <t>10/22/1930</t>
  </si>
  <si>
    <t>11/25/1972</t>
  </si>
  <si>
    <t>02/12/1987</t>
  </si>
  <si>
    <t>08/01/1959</t>
  </si>
  <si>
    <t>07/04/1978</t>
  </si>
  <si>
    <t>09/23/1971</t>
  </si>
  <si>
    <t>07/29/1966</t>
  </si>
  <si>
    <t>09/06/1957</t>
  </si>
  <si>
    <t>12/31/1970</t>
  </si>
  <si>
    <t>11/09/1982</t>
  </si>
  <si>
    <t>12/23/1982</t>
  </si>
  <si>
    <t>10/23/1954</t>
  </si>
  <si>
    <t>10/20/1948</t>
  </si>
  <si>
    <t>06/03/1991</t>
  </si>
  <si>
    <t>12/07/1983</t>
  </si>
  <si>
    <t>01/19/1988</t>
  </si>
  <si>
    <t>04/24/1975</t>
  </si>
  <si>
    <t>10/03/1963</t>
  </si>
  <si>
    <t>08/07/1978</t>
  </si>
  <si>
    <t>12/23/1986</t>
  </si>
  <si>
    <t>09/12/1947</t>
  </si>
  <si>
    <t>02/23/1987</t>
  </si>
  <si>
    <t>10/26/1990</t>
  </si>
  <si>
    <t>08/03/1953</t>
  </si>
  <si>
    <t>03/23/1960</t>
  </si>
  <si>
    <t>12/30/1960</t>
  </si>
  <si>
    <t>04/07/1974</t>
  </si>
  <si>
    <t>10/08/1981</t>
  </si>
  <si>
    <t>03/03/1958</t>
  </si>
  <si>
    <t>07/16/1965</t>
  </si>
  <si>
    <t>02/12/1967</t>
  </si>
  <si>
    <t>08/31/1975</t>
  </si>
  <si>
    <t>08/08/1988</t>
  </si>
  <si>
    <t>05/26/1961</t>
  </si>
  <si>
    <t>09/16/1974</t>
  </si>
  <si>
    <t>10/02/1947</t>
  </si>
  <si>
    <t>01/19/1975</t>
  </si>
  <si>
    <t>12/15/1964</t>
  </si>
  <si>
    <t>04/22/1986</t>
  </si>
  <si>
    <t>08/24/1961</t>
  </si>
  <si>
    <t>07/31/1970</t>
  </si>
  <si>
    <t>11/23/1993</t>
  </si>
  <si>
    <t>07/10/1959</t>
  </si>
  <si>
    <t>12/14/1972</t>
  </si>
  <si>
    <t>10/19/1965</t>
  </si>
  <si>
    <t>09/24/1980</t>
  </si>
  <si>
    <t>01/03/1967</t>
  </si>
  <si>
    <t>10/19/1982</t>
  </si>
  <si>
    <t>03/10/1960</t>
  </si>
  <si>
    <t>11/11/1989</t>
  </si>
  <si>
    <t>05/26/1965</t>
  </si>
  <si>
    <t>02/01/1962</t>
  </si>
  <si>
    <t>08/07/1962</t>
  </si>
  <si>
    <t>01/06/1969</t>
  </si>
  <si>
    <t>01/09/1960</t>
  </si>
  <si>
    <t>10/09/1987</t>
  </si>
  <si>
    <t>10/21/1967</t>
  </si>
  <si>
    <t>07/22/1970</t>
  </si>
  <si>
    <t>06/07/1965</t>
  </si>
  <si>
    <t>01/27/1984</t>
  </si>
  <si>
    <t>11/29/1988</t>
  </si>
  <si>
    <t>03/06/1961</t>
  </si>
  <si>
    <t>10/20/1970</t>
  </si>
  <si>
    <t>12/24/1945</t>
  </si>
  <si>
    <t>07/25/1983</t>
  </si>
  <si>
    <t>12/13/1975</t>
  </si>
  <si>
    <t>09/05/1947</t>
  </si>
  <si>
    <t>07/03/1966</t>
  </si>
  <si>
    <t>06/02/1955</t>
  </si>
  <si>
    <t>07/04/1988</t>
  </si>
  <si>
    <t>11/15/1955</t>
  </si>
  <si>
    <t>02/28/1969</t>
  </si>
  <si>
    <t>12/10/1958</t>
  </si>
  <si>
    <t>09/18/1978</t>
  </si>
  <si>
    <t>02/02/1962</t>
  </si>
  <si>
    <t>07/01/1974</t>
  </si>
  <si>
    <t>06/05/1974</t>
  </si>
  <si>
    <t>05/20/1953</t>
  </si>
  <si>
    <t>07/07/1986</t>
  </si>
  <si>
    <t>03/17/1978</t>
  </si>
  <si>
    <t>10/07/1966</t>
  </si>
  <si>
    <t>03/18/1944</t>
  </si>
  <si>
    <t>01/28/1956</t>
  </si>
  <si>
    <t>12/26/1951</t>
  </si>
  <si>
    <t>05/27/1980</t>
  </si>
  <si>
    <t>09/26/1968</t>
  </si>
  <si>
    <t>12/07/1959</t>
  </si>
  <si>
    <t>01/19/1972</t>
  </si>
  <si>
    <t>07/24/1965</t>
  </si>
  <si>
    <t>01/25/1977</t>
  </si>
  <si>
    <t>12/15/1978</t>
  </si>
  <si>
    <t>10/31/1979</t>
  </si>
  <si>
    <t>04/18/1973</t>
  </si>
  <si>
    <t>11/07/1949</t>
  </si>
  <si>
    <t>12/10/1979</t>
  </si>
  <si>
    <t>10/28/1957</t>
  </si>
  <si>
    <t>05/26/1945</t>
  </si>
  <si>
    <t>02/23/1986</t>
  </si>
  <si>
    <t>01/06/1967</t>
  </si>
  <si>
    <t>12/31/1952</t>
  </si>
  <si>
    <t>06/20/1981</t>
  </si>
  <si>
    <t>02/26/1967</t>
  </si>
  <si>
    <t>02/21/1975</t>
  </si>
  <si>
    <t>09/01/1992</t>
  </si>
  <si>
    <t>09/22/1974</t>
  </si>
  <si>
    <t>12/20/1946</t>
  </si>
  <si>
    <t>09/05/1962</t>
  </si>
  <si>
    <t>01/26/1985</t>
  </si>
  <si>
    <t>02/19/1964</t>
  </si>
  <si>
    <t>12/09/1970</t>
  </si>
  <si>
    <t>09/24/1971</t>
  </si>
  <si>
    <t>06/12/1972</t>
  </si>
  <si>
    <t>12/05/1967</t>
  </si>
  <si>
    <t>10/15/1972</t>
  </si>
  <si>
    <t>02/22/1948</t>
  </si>
  <si>
    <t>05/27/1993</t>
  </si>
  <si>
    <t>10/28/1950</t>
  </si>
  <si>
    <t>09/19/1964</t>
  </si>
  <si>
    <t>04/13/1991</t>
  </si>
  <si>
    <t>06/12/1979</t>
  </si>
  <si>
    <t>07/03/1978</t>
  </si>
  <si>
    <t>01/19/1952</t>
  </si>
  <si>
    <t>01/01/1972</t>
  </si>
  <si>
    <t>10/17/1981</t>
  </si>
  <si>
    <t>06/27/1970</t>
  </si>
  <si>
    <t>05/16/1973</t>
  </si>
  <si>
    <t>07/08/1982</t>
  </si>
  <si>
    <t>06/14/1935</t>
  </si>
  <si>
    <t>02/26/1965</t>
  </si>
  <si>
    <t>09/17/1951</t>
  </si>
  <si>
    <t>02/10/1986</t>
  </si>
  <si>
    <t>05/02/1982</t>
  </si>
  <si>
    <t>12/01/1994</t>
  </si>
  <si>
    <t>04/20/1944</t>
  </si>
  <si>
    <t>02/18/1961</t>
  </si>
  <si>
    <t>10/17/1984</t>
  </si>
  <si>
    <t>10/30/1981</t>
  </si>
  <si>
    <t>03/05/1997</t>
  </si>
  <si>
    <t>07/28/1978</t>
  </si>
  <si>
    <t>12/12/1988</t>
  </si>
  <si>
    <t>04/02/1965</t>
  </si>
  <si>
    <t>11/27/1989</t>
  </si>
  <si>
    <t>02/22/1985</t>
  </si>
  <si>
    <t>03/02/1971</t>
  </si>
  <si>
    <t>07/04/1981</t>
  </si>
  <si>
    <t>05/02/1960</t>
  </si>
  <si>
    <t>07/15/1973</t>
  </si>
  <si>
    <t>08/08/1955</t>
  </si>
  <si>
    <t>07/27/1984</t>
  </si>
  <si>
    <t>01/31/1962</t>
  </si>
  <si>
    <t>03/23/1961</t>
  </si>
  <si>
    <t>02/02/1973</t>
  </si>
  <si>
    <t>04/25/1957</t>
  </si>
  <si>
    <t>08/25/1959</t>
  </si>
  <si>
    <t>04/09/1984</t>
  </si>
  <si>
    <t>02/06/1971</t>
  </si>
  <si>
    <t>03/11/1960</t>
  </si>
  <si>
    <t>01/13/1967</t>
  </si>
  <si>
    <t>11/10/1972</t>
  </si>
  <si>
    <t>11/13/1965</t>
  </si>
  <si>
    <t>10/02/1967</t>
  </si>
  <si>
    <t>01/27/1963</t>
  </si>
  <si>
    <t>10/03/1947</t>
  </si>
  <si>
    <t>12/16/1983</t>
  </si>
  <si>
    <t>04/30/1979</t>
  </si>
  <si>
    <t>05/10/1938</t>
  </si>
  <si>
    <t>11/12/1963</t>
  </si>
  <si>
    <t>06/06/1977</t>
  </si>
  <si>
    <t>06/10/1952</t>
  </si>
  <si>
    <t>02/20/1969</t>
  </si>
  <si>
    <t>09/20/1954</t>
  </si>
  <si>
    <t>10/30/1963</t>
  </si>
  <si>
    <t>01/16/1988</t>
  </si>
  <si>
    <t>09/04/1965</t>
  </si>
  <si>
    <t>06/16/1954</t>
  </si>
  <si>
    <t>09/19/1973</t>
  </si>
  <si>
    <t>08/25/1976</t>
  </si>
  <si>
    <t>06/30/1963</t>
  </si>
  <si>
    <t>09/01/1956</t>
  </si>
  <si>
    <t>07/25/1966</t>
  </si>
  <si>
    <t>02/27/1974</t>
  </si>
  <si>
    <t>08/26/1934</t>
  </si>
  <si>
    <t>07/20/1990</t>
  </si>
  <si>
    <t>07/18/1967</t>
  </si>
  <si>
    <t>08/11/1925</t>
  </si>
  <si>
    <t>09/27/1990</t>
  </si>
  <si>
    <t>07/05/1977</t>
  </si>
  <si>
    <t>07/04/1959</t>
  </si>
  <si>
    <t>12/11/1982</t>
  </si>
  <si>
    <t>03/04/1982</t>
  </si>
  <si>
    <t>05/08/1983</t>
  </si>
  <si>
    <t>09/25/2014</t>
  </si>
  <si>
    <t>07/27/1956</t>
  </si>
  <si>
    <t>11/05/1969</t>
  </si>
  <si>
    <t>07/02/1938</t>
  </si>
  <si>
    <t>02/15/1948</t>
  </si>
  <si>
    <t>01/01/1959</t>
  </si>
  <si>
    <t>06/22/1968</t>
  </si>
  <si>
    <t>04/23/1944</t>
  </si>
  <si>
    <t>12/05/1961</t>
  </si>
  <si>
    <t>02/18/1968</t>
  </si>
  <si>
    <t>02/20/1982</t>
  </si>
  <si>
    <t>02/08/1967</t>
  </si>
  <si>
    <t>05/30/1963</t>
  </si>
  <si>
    <t>12/31/1964</t>
  </si>
  <si>
    <t>12/20/1967</t>
  </si>
  <si>
    <t>08/23/1948</t>
  </si>
  <si>
    <t>05/05/1974</t>
  </si>
  <si>
    <t>08/23/1958</t>
  </si>
  <si>
    <t>01/05/1954</t>
  </si>
  <si>
    <t>08/06/1978</t>
  </si>
  <si>
    <t>10/19/1954</t>
  </si>
  <si>
    <t>07/25/1985</t>
  </si>
  <si>
    <t>11/03/1963</t>
  </si>
  <si>
    <t>06/30/1959</t>
  </si>
  <si>
    <t>07/06/1953</t>
  </si>
  <si>
    <t>07/19/1971</t>
  </si>
  <si>
    <t>03/17/1987</t>
  </si>
  <si>
    <t>08/05/1967</t>
  </si>
  <si>
    <t>06/02/1965</t>
  </si>
  <si>
    <t>12/18/1995</t>
  </si>
  <si>
    <t>09/17/1975</t>
  </si>
  <si>
    <t>05/24/1971</t>
  </si>
  <si>
    <t>01/29/1973</t>
  </si>
  <si>
    <t>08/21/1990</t>
  </si>
  <si>
    <t>09/12/1955</t>
  </si>
  <si>
    <t>07/05/1984</t>
  </si>
  <si>
    <t>08/03/1965</t>
  </si>
  <si>
    <t>01/05/1977</t>
  </si>
  <si>
    <t>10/07/1986</t>
  </si>
  <si>
    <t>03/04/1962</t>
  </si>
  <si>
    <t>10/16/1958</t>
  </si>
  <si>
    <t>06/29/1941</t>
  </si>
  <si>
    <t>12/01/1957</t>
  </si>
  <si>
    <t>10/18/1950</t>
  </si>
  <si>
    <t>02/15/1945</t>
  </si>
  <si>
    <t>03/21/1955</t>
  </si>
  <si>
    <t>07/05/1961</t>
  </si>
  <si>
    <t>06/15/1966</t>
  </si>
  <si>
    <t>04/01/1937</t>
  </si>
  <si>
    <t>04/13/1966</t>
  </si>
  <si>
    <t>11/12/1973</t>
  </si>
  <si>
    <t>03/04/1961</t>
  </si>
  <si>
    <t>02/09/1962</t>
  </si>
  <si>
    <t>02/13/1987</t>
  </si>
  <si>
    <t>04/27/1959</t>
  </si>
  <si>
    <t>10/01/1967</t>
  </si>
  <si>
    <t>02/27/1950</t>
  </si>
  <si>
    <t>08/31/1962</t>
  </si>
  <si>
    <t>08/16/1967</t>
  </si>
  <si>
    <t>09/23/1963</t>
  </si>
  <si>
    <t>07/15/1978</t>
  </si>
  <si>
    <t>07/11/1982</t>
  </si>
  <si>
    <t>08/03/1963</t>
  </si>
  <si>
    <t>09/09/1948</t>
  </si>
  <si>
    <t>07/01/1976</t>
  </si>
  <si>
    <t>07/19/1968</t>
  </si>
  <si>
    <t>01/11/1984</t>
  </si>
  <si>
    <t>01/20/1975</t>
  </si>
  <si>
    <t>02/08/1966</t>
  </si>
  <si>
    <t>11/25/1993</t>
  </si>
  <si>
    <t>11/25/1965</t>
  </si>
  <si>
    <t>04/14/1974</t>
  </si>
  <si>
    <t>09/28/1984</t>
  </si>
  <si>
    <t>08/23/1962</t>
  </si>
  <si>
    <t>07/25/1958</t>
  </si>
  <si>
    <t>07/07/1965</t>
  </si>
  <si>
    <t>09/01/1957</t>
  </si>
  <si>
    <t>09/30/1968</t>
  </si>
  <si>
    <t>11/07/1952</t>
  </si>
  <si>
    <t>09/17/1962</t>
  </si>
  <si>
    <t>05/17/1966</t>
  </si>
  <si>
    <t>08/11/1951</t>
  </si>
  <si>
    <t>11/05/1947</t>
  </si>
  <si>
    <t>12/15/1973</t>
  </si>
  <si>
    <t>05/02/1972</t>
  </si>
  <si>
    <t>08/17/1949</t>
  </si>
  <si>
    <t>11/21/1939</t>
  </si>
  <si>
    <t>08/22/1986</t>
  </si>
  <si>
    <t>06/16/1972</t>
  </si>
  <si>
    <t>06/26/1977</t>
  </si>
  <si>
    <t>05/31/1973</t>
  </si>
  <si>
    <t>09/03/1951</t>
  </si>
  <si>
    <t>05/13/1950</t>
  </si>
  <si>
    <t>03/16/1931</t>
  </si>
  <si>
    <t>10/29/1977</t>
  </si>
  <si>
    <t>10/02/1980</t>
  </si>
  <si>
    <t>03/01/1959</t>
  </si>
  <si>
    <t>09/30/1981</t>
  </si>
  <si>
    <t>08/03/1962</t>
  </si>
  <si>
    <t>07/15/1985</t>
  </si>
  <si>
    <t>08/31/1973</t>
  </si>
  <si>
    <t>04/11/1968</t>
  </si>
  <si>
    <t>02/21/1952</t>
  </si>
  <si>
    <t>09/27/1949</t>
  </si>
  <si>
    <t>10/02/1974</t>
  </si>
  <si>
    <t>08/06/1947</t>
  </si>
  <si>
    <t>02/03/1977</t>
  </si>
  <si>
    <t>10/09/1960</t>
  </si>
  <si>
    <t>02/04/1983</t>
  </si>
  <si>
    <t>08/22/1960</t>
  </si>
  <si>
    <t>05/11/1992</t>
  </si>
  <si>
    <t>03/22/1972</t>
  </si>
  <si>
    <t>07/14/1984</t>
  </si>
  <si>
    <t>08/01/1957</t>
  </si>
  <si>
    <t>11/01/1994</t>
  </si>
  <si>
    <t>10/03/1976</t>
  </si>
  <si>
    <t>01/09/1958</t>
  </si>
  <si>
    <t>12/11/1971</t>
  </si>
  <si>
    <t>08/10/1982</t>
  </si>
  <si>
    <t>08/19/1984</t>
  </si>
  <si>
    <t>02/08/1991</t>
  </si>
  <si>
    <t>01/20/1977</t>
  </si>
  <si>
    <t>04/28/1960</t>
  </si>
  <si>
    <t>05/07/1979</t>
  </si>
  <si>
    <t>02/13/1971</t>
  </si>
  <si>
    <t>05/12/1979</t>
  </si>
  <si>
    <t>09/17/1982</t>
  </si>
  <si>
    <t>08/08/1985</t>
  </si>
  <si>
    <t>10/18/1978</t>
  </si>
  <si>
    <t>03/01/1971</t>
  </si>
  <si>
    <t>11/16/1955</t>
  </si>
  <si>
    <t>01/27/1975</t>
  </si>
  <si>
    <t>03/21/1994</t>
  </si>
  <si>
    <t>03/01/1967</t>
  </si>
  <si>
    <t>12/11/1984</t>
  </si>
  <si>
    <t>08/10/1964</t>
  </si>
  <si>
    <t>04/18/1980</t>
  </si>
  <si>
    <t>03/02/1974</t>
  </si>
  <si>
    <t>11/08/1963</t>
  </si>
  <si>
    <t>01/28/1980</t>
  </si>
  <si>
    <t>08/20/1986</t>
  </si>
  <si>
    <t>10/31/1971</t>
  </si>
  <si>
    <t>07/31/1955</t>
  </si>
  <si>
    <t>12/22/1978</t>
  </si>
  <si>
    <t>12/02/1956</t>
  </si>
  <si>
    <t>06/06/1934</t>
  </si>
  <si>
    <t>01/02/1959</t>
  </si>
  <si>
    <t>05/30/1975</t>
  </si>
  <si>
    <t>01/21/1988</t>
  </si>
  <si>
    <t>09/08/1978</t>
  </si>
  <si>
    <t>02/04/1981</t>
  </si>
  <si>
    <t>04/29/1941</t>
  </si>
  <si>
    <t>06/22/1936</t>
  </si>
  <si>
    <t>01/18/1961</t>
  </si>
  <si>
    <t>03/04/1954</t>
  </si>
  <si>
    <t>11/08/1954</t>
  </si>
  <si>
    <t>10/25/1929</t>
  </si>
  <si>
    <t>08/25/1969</t>
  </si>
  <si>
    <t>01/24/1974</t>
  </si>
  <si>
    <t>01/22/1988</t>
  </si>
  <si>
    <t>01/29/1962</t>
  </si>
  <si>
    <t>05/22/1962</t>
  </si>
  <si>
    <t>02/02/1954</t>
  </si>
  <si>
    <t>08/23/1968</t>
  </si>
  <si>
    <t>02/02/1974</t>
  </si>
  <si>
    <t>06/01/1967</t>
  </si>
  <si>
    <t>02/02/1959</t>
  </si>
  <si>
    <t>01/17/1962</t>
  </si>
  <si>
    <t>06/27/1953</t>
  </si>
  <si>
    <t>08/15/1989</t>
  </si>
  <si>
    <t>08/28/1972</t>
  </si>
  <si>
    <t>04/14/1982</t>
  </si>
  <si>
    <t>09/10/1968</t>
  </si>
  <si>
    <t>06/04/1985</t>
  </si>
  <si>
    <t>10/11/1961</t>
  </si>
  <si>
    <t>04/13/1965</t>
  </si>
  <si>
    <t>08/30/1952</t>
  </si>
  <si>
    <t>04/27/1956</t>
  </si>
  <si>
    <t>10/12/1972</t>
  </si>
  <si>
    <t>08/16/1958</t>
  </si>
  <si>
    <t>12/13/1969</t>
  </si>
  <si>
    <t>04/05/1958</t>
  </si>
  <si>
    <t>03/11/1980</t>
  </si>
  <si>
    <t>08/27/1968</t>
  </si>
  <si>
    <t>03/20/1976</t>
  </si>
  <si>
    <t>07/03/1953</t>
  </si>
  <si>
    <t>03/01/1976</t>
  </si>
  <si>
    <t>03/28/1970</t>
  </si>
  <si>
    <t>03/08/1947</t>
  </si>
  <si>
    <t>04/12/1948</t>
  </si>
  <si>
    <t>02/28/1957</t>
  </si>
  <si>
    <t>08/07/1950</t>
  </si>
  <si>
    <t>06/05/1962</t>
  </si>
  <si>
    <t>11/16/1965</t>
  </si>
  <si>
    <t>08/04/1960</t>
  </si>
  <si>
    <t>09/08/1989</t>
  </si>
  <si>
    <t>01/18/1957</t>
  </si>
  <si>
    <t>01/07/1972</t>
  </si>
  <si>
    <t>11/12/1954</t>
  </si>
  <si>
    <t>04/22/1977</t>
  </si>
  <si>
    <t>09/29/1960</t>
  </si>
  <si>
    <t>02/21/1961</t>
  </si>
  <si>
    <t>10/07/1975</t>
  </si>
  <si>
    <t>05/08/1961</t>
  </si>
  <si>
    <t>04/19/1991</t>
  </si>
  <si>
    <t>02/21/1984</t>
  </si>
  <si>
    <t>09/14/1977</t>
  </si>
  <si>
    <t>05/22/1967</t>
  </si>
  <si>
    <t>01/19/1950</t>
  </si>
  <si>
    <t>04/14/1990</t>
  </si>
  <si>
    <t>05/04/1988</t>
  </si>
  <si>
    <t>01/01/1979</t>
  </si>
  <si>
    <t>03/09/1970</t>
  </si>
  <si>
    <t>11/15/1973</t>
  </si>
  <si>
    <t>12/11/1965</t>
  </si>
  <si>
    <t>01/31/1971</t>
  </si>
  <si>
    <t>07/15/1951</t>
  </si>
  <si>
    <t>03/12/1974</t>
  </si>
  <si>
    <t>12/15/1970</t>
  </si>
  <si>
    <t>03/11/1955</t>
  </si>
  <si>
    <t>06/08/1961</t>
  </si>
  <si>
    <t>03/18/1967</t>
  </si>
  <si>
    <t>06/27/1984</t>
  </si>
  <si>
    <t>03/26/1947</t>
  </si>
  <si>
    <t>06/25/1978</t>
  </si>
  <si>
    <t>08/14/1964</t>
  </si>
  <si>
    <t>01/24/1971</t>
  </si>
  <si>
    <t>05/03/1974</t>
  </si>
  <si>
    <t>12/24/1961</t>
  </si>
  <si>
    <t>09/19/1956</t>
  </si>
  <si>
    <t>11/02/1950</t>
  </si>
  <si>
    <t>03/28/1992</t>
  </si>
  <si>
    <t>09/20/1978</t>
  </si>
  <si>
    <t>11/01/1952</t>
  </si>
  <si>
    <t>04/02/1962</t>
  </si>
  <si>
    <t>01/11/1974</t>
  </si>
  <si>
    <t>10/23/1958</t>
  </si>
  <si>
    <t>11/11/1969</t>
  </si>
  <si>
    <t>05/04/1980</t>
  </si>
  <si>
    <t>07/27/1977</t>
  </si>
  <si>
    <t>01/25/1957</t>
  </si>
  <si>
    <t>02/24/1991</t>
  </si>
  <si>
    <t>08/13/1993</t>
  </si>
  <si>
    <t>07/07/1959</t>
  </si>
  <si>
    <t>12/29/1964</t>
  </si>
  <si>
    <t>05/07/1972</t>
  </si>
  <si>
    <t>10/29/1980</t>
  </si>
  <si>
    <t>09/10/1969</t>
  </si>
  <si>
    <t>02/21/1956</t>
  </si>
  <si>
    <t>07/16/1960</t>
  </si>
  <si>
    <t>09/17/1984</t>
  </si>
  <si>
    <t>09/09/1959</t>
  </si>
  <si>
    <t>03/11/1958</t>
  </si>
  <si>
    <t>06/04/1988</t>
  </si>
  <si>
    <t>08/14/1957</t>
  </si>
  <si>
    <t>017814517D</t>
  </si>
  <si>
    <t>037076422H</t>
  </si>
  <si>
    <t>37068322-J</t>
  </si>
  <si>
    <t>034950978J</t>
  </si>
  <si>
    <t>21724188-E</t>
  </si>
  <si>
    <t>15593630F</t>
  </si>
  <si>
    <t>34498316I</t>
  </si>
  <si>
    <t>018125829E</t>
  </si>
  <si>
    <t>011710099A</t>
  </si>
  <si>
    <t>2105952C</t>
  </si>
  <si>
    <t>31625574E</t>
  </si>
  <si>
    <t>9363224-I</t>
  </si>
  <si>
    <t>6058962J</t>
  </si>
  <si>
    <t>004691401G</t>
  </si>
  <si>
    <t>034921174I</t>
  </si>
  <si>
    <t>031815776F</t>
  </si>
  <si>
    <t>XH62023N &amp; 37028377</t>
  </si>
  <si>
    <t>00017064908B</t>
  </si>
  <si>
    <t>027288849G</t>
  </si>
  <si>
    <t>003120517C</t>
  </si>
  <si>
    <t>036914940G</t>
  </si>
  <si>
    <t>011199890C</t>
  </si>
  <si>
    <t>006564985H</t>
  </si>
  <si>
    <t>011472015E</t>
  </si>
  <si>
    <t>Unknown</t>
  </si>
  <si>
    <t>014826372G</t>
  </si>
  <si>
    <t>012496750G</t>
  </si>
  <si>
    <t>18032183I</t>
  </si>
  <si>
    <t>17649739E</t>
  </si>
  <si>
    <t>006692067J</t>
  </si>
  <si>
    <t>004646000C</t>
  </si>
  <si>
    <t>009322488J</t>
  </si>
  <si>
    <t>004015610B</t>
  </si>
  <si>
    <t>037220948G</t>
  </si>
  <si>
    <t>06319318J</t>
  </si>
  <si>
    <t>036810496E</t>
  </si>
  <si>
    <t>Unavailable</t>
  </si>
  <si>
    <t>037144733F</t>
  </si>
  <si>
    <t>018044338E</t>
  </si>
  <si>
    <t>unavailable</t>
  </si>
  <si>
    <t>016680259S</t>
  </si>
  <si>
    <t>034955573A</t>
  </si>
  <si>
    <t>not available</t>
  </si>
  <si>
    <t>9833754G</t>
  </si>
  <si>
    <t>see DHCI</t>
  </si>
  <si>
    <t>031779802D</t>
  </si>
  <si>
    <t>035415130A</t>
  </si>
  <si>
    <t>012069633B</t>
  </si>
  <si>
    <t>8926466-01-01</t>
  </si>
  <si>
    <t>QB30946Z</t>
  </si>
  <si>
    <t>0036782007-01-01</t>
  </si>
  <si>
    <t>008992980G-1</t>
  </si>
  <si>
    <t>00007168641E</t>
  </si>
  <si>
    <t>034840489 I</t>
  </si>
  <si>
    <t>010426121J</t>
  </si>
  <si>
    <t>004308398J</t>
  </si>
  <si>
    <t>002879729I</t>
  </si>
  <si>
    <t>003149788G</t>
  </si>
  <si>
    <t>00016552865E</t>
  </si>
  <si>
    <t>017878781I</t>
  </si>
  <si>
    <t>009002867B</t>
  </si>
  <si>
    <t>036923684J</t>
  </si>
  <si>
    <t>006766160D</t>
  </si>
  <si>
    <t>013962707J</t>
  </si>
  <si>
    <t>unknown</t>
  </si>
  <si>
    <t>0953089A</t>
  </si>
  <si>
    <t>1032868A</t>
  </si>
  <si>
    <t>001132902G</t>
  </si>
  <si>
    <t>ZM03312E</t>
  </si>
  <si>
    <t>011088100A</t>
  </si>
  <si>
    <t>012028464B</t>
  </si>
  <si>
    <t>9592685D</t>
  </si>
  <si>
    <t>000024739457H</t>
  </si>
  <si>
    <t>16501749-C</t>
  </si>
  <si>
    <t>35340208E</t>
  </si>
  <si>
    <t>Will provide</t>
  </si>
  <si>
    <t>004121711I</t>
  </si>
  <si>
    <t>012195973I</t>
  </si>
  <si>
    <t>MP79472V</t>
  </si>
  <si>
    <t>010376151G</t>
  </si>
  <si>
    <t>00037041768F</t>
  </si>
  <si>
    <t>3080707H</t>
  </si>
  <si>
    <t>009637380I</t>
  </si>
  <si>
    <t>017616145D</t>
  </si>
  <si>
    <t>000668073A</t>
  </si>
  <si>
    <t>0001090484F</t>
  </si>
  <si>
    <t>037935024c</t>
  </si>
  <si>
    <t>003136228I</t>
  </si>
  <si>
    <t>012084386H</t>
  </si>
  <si>
    <t>002548716 G</t>
  </si>
  <si>
    <t>004812859J</t>
  </si>
  <si>
    <t>036831046C</t>
  </si>
  <si>
    <t>0310362J</t>
  </si>
  <si>
    <t>033684292H</t>
  </si>
  <si>
    <t>837516E</t>
  </si>
  <si>
    <t>37130634B</t>
  </si>
  <si>
    <t>36023382J</t>
  </si>
  <si>
    <t>003138885D</t>
  </si>
  <si>
    <t>021311175A</t>
  </si>
  <si>
    <t>00005967951e</t>
  </si>
  <si>
    <t>6426652B</t>
  </si>
  <si>
    <t>009910931G</t>
  </si>
  <si>
    <t>002807146C</t>
  </si>
  <si>
    <t>004255687I</t>
  </si>
  <si>
    <t>009901474I</t>
  </si>
  <si>
    <t>018164729I</t>
  </si>
  <si>
    <t>011712805I</t>
  </si>
  <si>
    <t>15878359H</t>
  </si>
  <si>
    <t>036804804H</t>
  </si>
  <si>
    <t>012722047D</t>
  </si>
  <si>
    <t>008733583C</t>
  </si>
  <si>
    <t>11947164H</t>
  </si>
  <si>
    <t>10387099E</t>
  </si>
  <si>
    <t>00011393020A</t>
  </si>
  <si>
    <t>011661225A</t>
  </si>
  <si>
    <t>00036758422E</t>
  </si>
  <si>
    <t>017118631F</t>
  </si>
  <si>
    <t>002725091J</t>
  </si>
  <si>
    <t>37326989d</t>
  </si>
  <si>
    <t>037208809G</t>
  </si>
  <si>
    <t>006595453J</t>
  </si>
  <si>
    <t>37034794A</t>
  </si>
  <si>
    <t>4290714H-1</t>
  </si>
  <si>
    <t>018137653E</t>
  </si>
  <si>
    <t>015646123I</t>
  </si>
  <si>
    <t>00009296327B</t>
  </si>
  <si>
    <t>005095220J</t>
  </si>
  <si>
    <t>8970740A</t>
  </si>
  <si>
    <t>017670212E</t>
  </si>
  <si>
    <t>07418087I</t>
  </si>
  <si>
    <t>00007053579E</t>
  </si>
  <si>
    <t>007767205D</t>
  </si>
  <si>
    <t>016506898C</t>
  </si>
  <si>
    <t>005205074H</t>
  </si>
  <si>
    <t>Y548370C</t>
  </si>
  <si>
    <t>009013556H</t>
  </si>
  <si>
    <t>013291180B</t>
  </si>
  <si>
    <t>10349076J</t>
  </si>
  <si>
    <t>17915410J</t>
  </si>
  <si>
    <t>015066138H</t>
  </si>
  <si>
    <t>033946207J</t>
  </si>
  <si>
    <t>004650250G</t>
  </si>
  <si>
    <t>013217898J</t>
  </si>
  <si>
    <t>0035378116E</t>
  </si>
  <si>
    <t>017630476E</t>
  </si>
  <si>
    <t>016494433C</t>
  </si>
  <si>
    <t>037228598B</t>
  </si>
  <si>
    <t>036875305J</t>
  </si>
  <si>
    <t>032620033E</t>
  </si>
  <si>
    <t>00005548191F</t>
  </si>
  <si>
    <t>38033855I</t>
  </si>
  <si>
    <t>000286707F</t>
  </si>
  <si>
    <t>002375651D</t>
  </si>
  <si>
    <t>037040787G</t>
  </si>
  <si>
    <t>015567695A</t>
  </si>
  <si>
    <t>6860824H</t>
  </si>
  <si>
    <t>Client will provide</t>
  </si>
  <si>
    <t>11754828J</t>
  </si>
  <si>
    <t>12931011G</t>
  </si>
  <si>
    <t>14300399-E</t>
  </si>
  <si>
    <t>08782738C</t>
  </si>
  <si>
    <t>004084447E</t>
  </si>
  <si>
    <t>015779025E</t>
  </si>
  <si>
    <t>11587303G</t>
  </si>
  <si>
    <t>003434089D</t>
  </si>
  <si>
    <t>037464983I</t>
  </si>
  <si>
    <t>37137544F</t>
  </si>
  <si>
    <t>037071729A</t>
  </si>
  <si>
    <t>015627659E</t>
  </si>
  <si>
    <t>009764446C</t>
  </si>
  <si>
    <t>000996653C</t>
  </si>
  <si>
    <t>8970740-A</t>
  </si>
  <si>
    <t>9318140C</t>
  </si>
  <si>
    <t>003384436G</t>
  </si>
  <si>
    <t>003213220B</t>
  </si>
  <si>
    <t>00006514343A-01</t>
  </si>
  <si>
    <t>05360208C</t>
  </si>
  <si>
    <t>007168641E</t>
  </si>
  <si>
    <t>006028775C</t>
  </si>
  <si>
    <t>9948658B</t>
  </si>
  <si>
    <t>01770815H</t>
  </si>
  <si>
    <t>006005043C</t>
  </si>
  <si>
    <t>4179881-1</t>
  </si>
  <si>
    <t>37101560A</t>
  </si>
  <si>
    <t>002925242G</t>
  </si>
  <si>
    <t>00007312532A</t>
  </si>
  <si>
    <t>0066364411I</t>
  </si>
  <si>
    <t>009627604D</t>
  </si>
  <si>
    <t>7000177-01-01</t>
  </si>
  <si>
    <t>030505740I</t>
  </si>
  <si>
    <t>003080707H</t>
  </si>
  <si>
    <t>9363224I</t>
  </si>
  <si>
    <t>1204323I</t>
  </si>
  <si>
    <t>034931442H</t>
  </si>
  <si>
    <t>017934316F</t>
  </si>
  <si>
    <t>8473337H</t>
  </si>
  <si>
    <t>009184460F</t>
  </si>
  <si>
    <t>2277549I</t>
  </si>
  <si>
    <t>004897948I</t>
  </si>
  <si>
    <t>004648799H</t>
  </si>
  <si>
    <t>391390C</t>
  </si>
  <si>
    <t>8164888D</t>
  </si>
  <si>
    <t>6004868123351288357</t>
  </si>
  <si>
    <t>will provide</t>
  </si>
  <si>
    <t>000589957A</t>
  </si>
  <si>
    <t>000799098J</t>
  </si>
  <si>
    <t>002618358C</t>
  </si>
  <si>
    <t>37247157D</t>
  </si>
  <si>
    <t>008198000F</t>
  </si>
  <si>
    <t>08700712G</t>
  </si>
  <si>
    <t>0036982304-01-02</t>
  </si>
  <si>
    <t>9122537F</t>
  </si>
  <si>
    <t>037182602F</t>
  </si>
  <si>
    <t>6838243I</t>
  </si>
  <si>
    <t>033336858H</t>
  </si>
  <si>
    <t>001989501A</t>
  </si>
  <si>
    <t>006471621A</t>
  </si>
  <si>
    <t>01532195D</t>
  </si>
  <si>
    <t>00032751364E</t>
  </si>
  <si>
    <t>017023117J</t>
  </si>
  <si>
    <t>8063598-A</t>
  </si>
  <si>
    <t>3374519F</t>
  </si>
  <si>
    <t>037023285C</t>
  </si>
  <si>
    <t>010767009D</t>
  </si>
  <si>
    <t>034949099F</t>
  </si>
  <si>
    <t>018290026G</t>
  </si>
  <si>
    <t>008003294J</t>
  </si>
  <si>
    <t>007962456F</t>
  </si>
  <si>
    <t>0028797291I</t>
  </si>
  <si>
    <t>16048528A</t>
  </si>
  <si>
    <t>009823371B</t>
  </si>
  <si>
    <t>359338-B</t>
  </si>
  <si>
    <t>033253626H</t>
  </si>
  <si>
    <t>031444206C</t>
  </si>
  <si>
    <t>18147051J</t>
  </si>
  <si>
    <t>001127098A</t>
  </si>
  <si>
    <t>004230342A</t>
  </si>
  <si>
    <t>005127913B</t>
  </si>
  <si>
    <t>015255995B</t>
  </si>
  <si>
    <t>4803928D</t>
  </si>
  <si>
    <t>000593663 I</t>
  </si>
  <si>
    <t>00804873I</t>
  </si>
  <si>
    <t>6692067J</t>
  </si>
  <si>
    <t>004629355B</t>
  </si>
  <si>
    <t>008743010E</t>
  </si>
  <si>
    <t>ZZ90421R</t>
  </si>
  <si>
    <t>018210455E</t>
  </si>
  <si>
    <t>037116869B</t>
  </si>
  <si>
    <t>005075269A</t>
  </si>
  <si>
    <t>008388746D</t>
  </si>
  <si>
    <t>001048527E</t>
  </si>
  <si>
    <t>4939993E</t>
  </si>
  <si>
    <t>0050149176A</t>
  </si>
  <si>
    <t>003565579E</t>
  </si>
  <si>
    <t>015648924H</t>
  </si>
  <si>
    <t>4654974 H</t>
  </si>
  <si>
    <t>00SM92337F</t>
  </si>
  <si>
    <t>37230501B</t>
  </si>
  <si>
    <t>8297358H</t>
  </si>
  <si>
    <t>009440393I</t>
  </si>
  <si>
    <t>022296022B</t>
  </si>
  <si>
    <t>06882415A</t>
  </si>
  <si>
    <t>18138059D</t>
  </si>
  <si>
    <t>017634481A</t>
  </si>
  <si>
    <t>09038864G</t>
  </si>
  <si>
    <t>014318419A</t>
  </si>
  <si>
    <t>006110973C</t>
  </si>
  <si>
    <t>00640375C</t>
  </si>
  <si>
    <t>00037372338G</t>
  </si>
  <si>
    <t>16772307-B</t>
  </si>
  <si>
    <t>12535710-D</t>
  </si>
  <si>
    <t>8830571J</t>
  </si>
  <si>
    <t>017724945F</t>
  </si>
  <si>
    <t>ZE003B55X</t>
  </si>
  <si>
    <t>016305383I</t>
  </si>
  <si>
    <t>779490C</t>
  </si>
  <si>
    <t>36861046-F</t>
  </si>
  <si>
    <t>30207543h</t>
  </si>
  <si>
    <t>No available</t>
  </si>
  <si>
    <t>018099459C</t>
  </si>
  <si>
    <t>09593510C</t>
  </si>
  <si>
    <t>018185585J</t>
  </si>
  <si>
    <t>035642302A</t>
  </si>
  <si>
    <t>006413087F</t>
  </si>
  <si>
    <t>2899390F</t>
  </si>
  <si>
    <t>006960092C</t>
  </si>
  <si>
    <t>006057252G</t>
  </si>
  <si>
    <t>012294354B</t>
  </si>
  <si>
    <t>010765441A</t>
  </si>
  <si>
    <t>010344699D</t>
  </si>
  <si>
    <t>032823738D</t>
  </si>
  <si>
    <t>002625850J</t>
  </si>
  <si>
    <t>011230015H</t>
  </si>
  <si>
    <t>007365724J</t>
  </si>
  <si>
    <t>009768675C</t>
  </si>
  <si>
    <t>7573934C</t>
  </si>
  <si>
    <t>00011260505A</t>
  </si>
  <si>
    <t>007152735C</t>
  </si>
  <si>
    <t>017967204D</t>
  </si>
  <si>
    <t>00010387846I</t>
  </si>
  <si>
    <t>008237975B</t>
  </si>
  <si>
    <t>37291726A</t>
  </si>
  <si>
    <t>007351849A</t>
  </si>
  <si>
    <t>008290480G</t>
  </si>
  <si>
    <t>000234730A</t>
  </si>
  <si>
    <t>18026397-C</t>
  </si>
  <si>
    <t>0044944596C</t>
  </si>
  <si>
    <t>036848514A</t>
  </si>
  <si>
    <t>006948976A</t>
  </si>
  <si>
    <t>30060810G</t>
  </si>
  <si>
    <t>033975458C</t>
  </si>
  <si>
    <t>006656905E</t>
  </si>
  <si>
    <t>x4503755</t>
  </si>
  <si>
    <t>34166080B</t>
  </si>
  <si>
    <t>017721976D</t>
  </si>
  <si>
    <t>006132629E</t>
  </si>
  <si>
    <t>013085459J</t>
  </si>
  <si>
    <t>00640368F</t>
  </si>
  <si>
    <t>010025819D</t>
  </si>
  <si>
    <t>20424114F</t>
  </si>
  <si>
    <t>00017901973C</t>
  </si>
  <si>
    <t>0011552526D</t>
  </si>
  <si>
    <t>002807156C</t>
  </si>
  <si>
    <t>5808414G</t>
  </si>
  <si>
    <t>037239559A</t>
  </si>
  <si>
    <t>34907666B</t>
  </si>
  <si>
    <t>32803552-C</t>
  </si>
  <si>
    <t>015984867A</t>
  </si>
  <si>
    <t>017977004F</t>
  </si>
  <si>
    <t>she will provide</t>
  </si>
  <si>
    <t>017974491H</t>
  </si>
  <si>
    <t>016770169H</t>
  </si>
  <si>
    <t>037097702H</t>
  </si>
  <si>
    <t>017124377-H</t>
  </si>
  <si>
    <t>004494596C</t>
  </si>
  <si>
    <t>06644156J</t>
  </si>
  <si>
    <t>003817334A</t>
  </si>
  <si>
    <t>37184969-G</t>
  </si>
  <si>
    <t>03748188H</t>
  </si>
  <si>
    <t>007700352D</t>
  </si>
  <si>
    <t>012210461F</t>
  </si>
  <si>
    <t>016344251A</t>
  </si>
  <si>
    <t>034748553E</t>
  </si>
  <si>
    <t>037269710C</t>
  </si>
  <si>
    <t>008599443C</t>
  </si>
  <si>
    <t>011189630E</t>
  </si>
  <si>
    <t>017849278B</t>
  </si>
  <si>
    <t>011581438G; 36564838F</t>
  </si>
  <si>
    <t>013217898」</t>
  </si>
  <si>
    <t>0007153570C</t>
  </si>
  <si>
    <t>006214345I</t>
  </si>
  <si>
    <t>35435380H</t>
  </si>
  <si>
    <t>33220945B</t>
  </si>
  <si>
    <t>0036935046H</t>
  </si>
  <si>
    <t>10499267C</t>
  </si>
  <si>
    <t>10839771C</t>
  </si>
  <si>
    <t>005140050F</t>
  </si>
  <si>
    <t>037484228E</t>
  </si>
  <si>
    <t>011273974D</t>
  </si>
  <si>
    <t>000323674C</t>
  </si>
  <si>
    <t>16769875C</t>
  </si>
  <si>
    <t>18210256-G</t>
  </si>
  <si>
    <t>0000625824OI</t>
  </si>
  <si>
    <t>003123169J</t>
  </si>
  <si>
    <t>009815736F</t>
  </si>
  <si>
    <t>021850997E</t>
  </si>
  <si>
    <t>036935666C</t>
  </si>
  <si>
    <t>01274820I</t>
  </si>
  <si>
    <t>011440991F</t>
  </si>
  <si>
    <t>017703655F</t>
  </si>
  <si>
    <t>037176369J</t>
  </si>
  <si>
    <t>035098964G</t>
  </si>
  <si>
    <t>037747629G</t>
  </si>
  <si>
    <t>A/N</t>
  </si>
  <si>
    <t>017118632F</t>
  </si>
  <si>
    <t>017735029F</t>
  </si>
  <si>
    <t>018024817B</t>
  </si>
  <si>
    <t>00030065518A</t>
  </si>
  <si>
    <t>37006961J</t>
  </si>
  <si>
    <t>008518001G</t>
  </si>
  <si>
    <t>018309808G</t>
  </si>
  <si>
    <t>00009754550D</t>
  </si>
  <si>
    <t>037225944A</t>
  </si>
  <si>
    <t>037312114E</t>
  </si>
  <si>
    <t>016860203F</t>
  </si>
  <si>
    <t>037199384B</t>
  </si>
  <si>
    <t>051649647D</t>
  </si>
  <si>
    <t>8659986H</t>
  </si>
  <si>
    <t>0003697523I</t>
  </si>
  <si>
    <t>037213445C</t>
  </si>
  <si>
    <t>017947952C</t>
  </si>
  <si>
    <t>MK14402R</t>
  </si>
  <si>
    <t>036750093B</t>
  </si>
  <si>
    <t>036881204G</t>
  </si>
  <si>
    <t>037079455E</t>
  </si>
  <si>
    <t>3688855-E</t>
  </si>
  <si>
    <t>037277688A</t>
  </si>
  <si>
    <t>12599403-I</t>
  </si>
  <si>
    <t>13275662I</t>
  </si>
  <si>
    <t>034428319H</t>
  </si>
  <si>
    <t>009231816B</t>
  </si>
  <si>
    <t>15252169G</t>
  </si>
  <si>
    <t>702-69-8554</t>
  </si>
  <si>
    <t>108-56-0839</t>
  </si>
  <si>
    <t>057-80-5755</t>
  </si>
  <si>
    <t>631-20-1799</t>
  </si>
  <si>
    <t>323-79-4106</t>
  </si>
  <si>
    <t>133-90-2132</t>
  </si>
  <si>
    <t>101-72-4981</t>
  </si>
  <si>
    <t>000-00-9614</t>
  </si>
  <si>
    <t>065-90-5775</t>
  </si>
  <si>
    <t>119-82-7084</t>
  </si>
  <si>
    <t>089-96-7146</t>
  </si>
  <si>
    <t>599-40-4929</t>
  </si>
  <si>
    <t>116-84-3721</t>
  </si>
  <si>
    <t>230-17-6837</t>
  </si>
  <si>
    <t>117-84-8602</t>
  </si>
  <si>
    <t>083-78-5035</t>
  </si>
  <si>
    <t>072-84-0060</t>
  </si>
  <si>
    <t>580-06-3447</t>
  </si>
  <si>
    <t>583-46-0471</t>
  </si>
  <si>
    <t>065-62-4845</t>
  </si>
  <si>
    <t>348-02-3965</t>
  </si>
  <si>
    <t>583-55-8265</t>
  </si>
  <si>
    <t>146-76-4244</t>
  </si>
  <si>
    <t>105-72-1010</t>
  </si>
  <si>
    <t>105-54-7468</t>
  </si>
  <si>
    <t>101-58-9580</t>
  </si>
  <si>
    <t>139-58-2893</t>
  </si>
  <si>
    <t>056-60-4272</t>
  </si>
  <si>
    <t>140-52-1247</t>
  </si>
  <si>
    <t>074-68-0699</t>
  </si>
  <si>
    <t>058-48-5480</t>
  </si>
  <si>
    <t>273-26-3291</t>
  </si>
  <si>
    <t>094-54-1025</t>
  </si>
  <si>
    <t>134-64-5979</t>
  </si>
  <si>
    <t>526-67-9146</t>
  </si>
  <si>
    <t>068-62-6586</t>
  </si>
  <si>
    <t>181-70-3984</t>
  </si>
  <si>
    <t>154-50-6113</t>
  </si>
  <si>
    <t>118-86-1219</t>
  </si>
  <si>
    <t>110-70-7840</t>
  </si>
  <si>
    <t>128-56-8954</t>
  </si>
  <si>
    <t>063-78-4141</t>
  </si>
  <si>
    <t>056-64-7054</t>
  </si>
  <si>
    <t>067-58-4990</t>
  </si>
  <si>
    <t>113-84-8217</t>
  </si>
  <si>
    <t>132-66-8621</t>
  </si>
  <si>
    <t>078-58-9506</t>
  </si>
  <si>
    <t>216-88-9553</t>
  </si>
  <si>
    <t>593-64-4485</t>
  </si>
  <si>
    <t>239-04-6654</t>
  </si>
  <si>
    <t>100-58-4353</t>
  </si>
  <si>
    <t>107-48-6531</t>
  </si>
  <si>
    <t>065-88-8309</t>
  </si>
  <si>
    <t>114-78-5474</t>
  </si>
  <si>
    <t>114-60-8502</t>
  </si>
  <si>
    <t>000-00-0718</t>
  </si>
  <si>
    <t>000-00-6923</t>
  </si>
  <si>
    <t>052-86-8097</t>
  </si>
  <si>
    <t>071-90-0719</t>
  </si>
  <si>
    <t>085-58-0497</t>
  </si>
  <si>
    <t>062-02-1731</t>
  </si>
  <si>
    <t>123-62-7910</t>
  </si>
  <si>
    <t>071-46-3273</t>
  </si>
  <si>
    <t>119-64-0682</t>
  </si>
  <si>
    <t>058-86-8162</t>
  </si>
  <si>
    <t>084-56-6234</t>
  </si>
  <si>
    <t>000-00-0000</t>
  </si>
  <si>
    <t>126-66-5002</t>
  </si>
  <si>
    <t>121-56-8527</t>
  </si>
  <si>
    <t>094-82-4352</t>
  </si>
  <si>
    <t>580-11-2753</t>
  </si>
  <si>
    <t>070-76-6876</t>
  </si>
  <si>
    <t>123-72-1744</t>
  </si>
  <si>
    <t>069-78-1650</t>
  </si>
  <si>
    <t>092-46-6256</t>
  </si>
  <si>
    <t>012-82-2924</t>
  </si>
  <si>
    <t>131-82-1660</t>
  </si>
  <si>
    <t>118-74-0086</t>
  </si>
  <si>
    <t>123-08-7714</t>
  </si>
  <si>
    <t>123-52-5916</t>
  </si>
  <si>
    <t>058-76-6167</t>
  </si>
  <si>
    <t>074-86-3965</t>
  </si>
  <si>
    <t>063-80-3680</t>
  </si>
  <si>
    <t>090-66-5322</t>
  </si>
  <si>
    <t>115-68-0785</t>
  </si>
  <si>
    <t>081-58-0273</t>
  </si>
  <si>
    <t>052-02-9690</t>
  </si>
  <si>
    <t>085-02-9570</t>
  </si>
  <si>
    <t>130-46-6639</t>
  </si>
  <si>
    <t>380-65-4349</t>
  </si>
  <si>
    <t>099-02-7480</t>
  </si>
  <si>
    <t>584-14-2656</t>
  </si>
  <si>
    <t>056-74-1814</t>
  </si>
  <si>
    <t>071-44-7298</t>
  </si>
  <si>
    <t>073-54-3797</t>
  </si>
  <si>
    <t>065-44-9123</t>
  </si>
  <si>
    <t>084-44-1324</t>
  </si>
  <si>
    <t>106-76-0965</t>
  </si>
  <si>
    <t>067-66-4348</t>
  </si>
  <si>
    <t>095-54-1955</t>
  </si>
  <si>
    <t>118-84-8594</t>
  </si>
  <si>
    <t>094-86-2522</t>
  </si>
  <si>
    <t>134-56-2511</t>
  </si>
  <si>
    <t>104-66-7145</t>
  </si>
  <si>
    <t>081-46-7670</t>
  </si>
  <si>
    <t>120-62-1463</t>
  </si>
  <si>
    <t>085-76-4596</t>
  </si>
  <si>
    <t>097-52-3186</t>
  </si>
  <si>
    <t>123-80-9838</t>
  </si>
  <si>
    <t>097-70-8229</t>
  </si>
  <si>
    <t>581-39-3031</t>
  </si>
  <si>
    <t>072-66-2408</t>
  </si>
  <si>
    <t>089-74-3644</t>
  </si>
  <si>
    <t>090-46-2626</t>
  </si>
  <si>
    <t>059-84-0214</t>
  </si>
  <si>
    <t>056-64-1289</t>
  </si>
  <si>
    <t>729-05-3873</t>
  </si>
  <si>
    <t>582-88-5070</t>
  </si>
  <si>
    <t>121-60-0864</t>
  </si>
  <si>
    <t>117-66-0643</t>
  </si>
  <si>
    <t>554-37-1224</t>
  </si>
  <si>
    <t>051-36-7226</t>
  </si>
  <si>
    <t>262-85-1529</t>
  </si>
  <si>
    <t>081-54-4611</t>
  </si>
  <si>
    <t>073-50-6538</t>
  </si>
  <si>
    <t>581-72-9385</t>
  </si>
  <si>
    <t>097-58-3954</t>
  </si>
  <si>
    <t>079-46-4191</t>
  </si>
  <si>
    <t>069-72-5781</t>
  </si>
  <si>
    <t>052-48-7021</t>
  </si>
  <si>
    <t>069-54-9142</t>
  </si>
  <si>
    <t>123-74-4530</t>
  </si>
  <si>
    <t>067-58-6341</t>
  </si>
  <si>
    <t>203-58-0262</t>
  </si>
  <si>
    <t>104-48-8068</t>
  </si>
  <si>
    <t>081-82-2948</t>
  </si>
  <si>
    <t>094-46-8118</t>
  </si>
  <si>
    <t>581-27-3809</t>
  </si>
  <si>
    <t>098-82-2284</t>
  </si>
  <si>
    <t>596-50-8468</t>
  </si>
  <si>
    <t>124-16-3531</t>
  </si>
  <si>
    <t>074-88-9813</t>
  </si>
  <si>
    <t>130-64-4279</t>
  </si>
  <si>
    <t>065-94-3400</t>
  </si>
  <si>
    <t>000-00-9077</t>
  </si>
  <si>
    <t>057-58-6188</t>
  </si>
  <si>
    <t>113-42-4934</t>
  </si>
  <si>
    <t>057-88-9773</t>
  </si>
  <si>
    <t>584-57-2042</t>
  </si>
  <si>
    <t>193-66-9860</t>
  </si>
  <si>
    <t>063-58-1778</t>
  </si>
  <si>
    <t>122-88-1351</t>
  </si>
  <si>
    <t>060-58-0895</t>
  </si>
  <si>
    <t>427-35-1965</t>
  </si>
  <si>
    <t>120-80-9776</t>
  </si>
  <si>
    <t>133-42-1761</t>
  </si>
  <si>
    <t>130-78-7616</t>
  </si>
  <si>
    <t>065-64-2626</t>
  </si>
  <si>
    <t>112-58-2018</t>
  </si>
  <si>
    <t>894-96-0866</t>
  </si>
  <si>
    <t>580-76-5300</t>
  </si>
  <si>
    <t>133-78-7827</t>
  </si>
  <si>
    <t>584-23-5714</t>
  </si>
  <si>
    <t>132-98-7115</t>
  </si>
  <si>
    <t>095-32-6839</t>
  </si>
  <si>
    <t>092-54-1860</t>
  </si>
  <si>
    <t>110-60-2502</t>
  </si>
  <si>
    <t>113-86-1223</t>
  </si>
  <si>
    <t>052-48-7988</t>
  </si>
  <si>
    <t>687-97-2493</t>
  </si>
  <si>
    <t>131-64-0098</t>
  </si>
  <si>
    <t>076-74-4400</t>
  </si>
  <si>
    <t>061-54-0769</t>
  </si>
  <si>
    <t>071-34-7149</t>
  </si>
  <si>
    <t>041-35-0790</t>
  </si>
  <si>
    <t>030-79-6727</t>
  </si>
  <si>
    <t>083-68-3747</t>
  </si>
  <si>
    <t>078-66-4170</t>
  </si>
  <si>
    <t>122-94-6437</t>
  </si>
  <si>
    <t>076-84-0295</t>
  </si>
  <si>
    <t>073-48-4529</t>
  </si>
  <si>
    <t>000-00-1321</t>
  </si>
  <si>
    <t>116-58-6979</t>
  </si>
  <si>
    <t>132-58-3551</t>
  </si>
  <si>
    <t>052-02-4281</t>
  </si>
  <si>
    <t>075-74-9515</t>
  </si>
  <si>
    <t>000-00-0106</t>
  </si>
  <si>
    <t>114-36-7437</t>
  </si>
  <si>
    <t>124-74-6305</t>
  </si>
  <si>
    <t>080-52-0011</t>
  </si>
  <si>
    <t>129-98-9579</t>
  </si>
  <si>
    <t>124-44-3852</t>
  </si>
  <si>
    <t>055-58-4249</t>
  </si>
  <si>
    <t>088-52-1215</t>
  </si>
  <si>
    <t>000-00-6029</t>
  </si>
  <si>
    <t>105-74-5002</t>
  </si>
  <si>
    <t>096-74-0921</t>
  </si>
  <si>
    <t>109-82-2802</t>
  </si>
  <si>
    <t>063-66-6588</t>
  </si>
  <si>
    <t>584-03-7301</t>
  </si>
  <si>
    <t>073-62-6495</t>
  </si>
  <si>
    <t>704-29-2519</t>
  </si>
  <si>
    <t>127-92-7310</t>
  </si>
  <si>
    <t>100-42-4525</t>
  </si>
  <si>
    <t>589-45-0391</t>
  </si>
  <si>
    <t>122-60-7510</t>
  </si>
  <si>
    <t>091-58-4417</t>
  </si>
  <si>
    <t>057-40-5683</t>
  </si>
  <si>
    <t>063-58-0427</t>
  </si>
  <si>
    <t>138-66-3193</t>
  </si>
  <si>
    <t>110-54-1701</t>
  </si>
  <si>
    <t>108-76-7594</t>
  </si>
  <si>
    <t>127-52-8702</t>
  </si>
  <si>
    <t>100-58-9486</t>
  </si>
  <si>
    <t>084-40-2736</t>
  </si>
  <si>
    <t>078-78-8976</t>
  </si>
  <si>
    <t>054-82-1812</t>
  </si>
  <si>
    <t>129-62-9716</t>
  </si>
  <si>
    <t>103-68-8774</t>
  </si>
  <si>
    <t>066-80-6069</t>
  </si>
  <si>
    <t>061-32-7533</t>
  </si>
  <si>
    <t>078-80-9089</t>
  </si>
  <si>
    <t>081-78-1130</t>
  </si>
  <si>
    <t>067-58-8394</t>
  </si>
  <si>
    <t>358-46-9377</t>
  </si>
  <si>
    <t>000-00-6532</t>
  </si>
  <si>
    <t>109-78-8416</t>
  </si>
  <si>
    <t>100-80-7356</t>
  </si>
  <si>
    <t>108-84-0160</t>
  </si>
  <si>
    <t>122-64-7141</t>
  </si>
  <si>
    <t>708-63-0474</t>
  </si>
  <si>
    <t>095-76-1728</t>
  </si>
  <si>
    <t>078-88-1476</t>
  </si>
  <si>
    <t>071-72-9289</t>
  </si>
  <si>
    <t>115-62-3288</t>
  </si>
  <si>
    <t>056-78-5503</t>
  </si>
  <si>
    <t>079-76-7296</t>
  </si>
  <si>
    <t>068-94-1417</t>
  </si>
  <si>
    <t>059-86-4419</t>
  </si>
  <si>
    <t>126-62-9968</t>
  </si>
  <si>
    <t>124-92-6877</t>
  </si>
  <si>
    <t>123-84-5154</t>
  </si>
  <si>
    <t>062-48-6659</t>
  </si>
  <si>
    <t>083-96-6084</t>
  </si>
  <si>
    <t>113-80-8709</t>
  </si>
  <si>
    <t>118-98-9317</t>
  </si>
  <si>
    <t>249-06-2670</t>
  </si>
  <si>
    <t>119-04-4378</t>
  </si>
  <si>
    <t>114-98-1180</t>
  </si>
  <si>
    <t>058-62-8269</t>
  </si>
  <si>
    <t>584-40-5559</t>
  </si>
  <si>
    <t>070-90-8978</t>
  </si>
  <si>
    <t>076-82-9852</t>
  </si>
  <si>
    <t>073-50-8454</t>
  </si>
  <si>
    <t>072-82-5915</t>
  </si>
  <si>
    <t>122-60-1755</t>
  </si>
  <si>
    <t>089-62-3062</t>
  </si>
  <si>
    <t>000-00-5168</t>
  </si>
  <si>
    <t>094-54-2184</t>
  </si>
  <si>
    <t>067-56-9535</t>
  </si>
  <si>
    <t>081-88-5295</t>
  </si>
  <si>
    <t>000-00-8439</t>
  </si>
  <si>
    <t>069-70-1285</t>
  </si>
  <si>
    <t>108-56-0491</t>
  </si>
  <si>
    <t>112-98-0891</t>
  </si>
  <si>
    <t>068-62-6152</t>
  </si>
  <si>
    <t>100-80-4498</t>
  </si>
  <si>
    <t>081-26-4199</t>
  </si>
  <si>
    <t>095-98-6053</t>
  </si>
  <si>
    <t>060-36-0589</t>
  </si>
  <si>
    <t>076-90-0840</t>
  </si>
  <si>
    <t>052-96-3480</t>
  </si>
  <si>
    <t>073-56-9098</t>
  </si>
  <si>
    <t>089-64-7687</t>
  </si>
  <si>
    <t>150-46-5333</t>
  </si>
  <si>
    <t>095-64-6584</t>
  </si>
  <si>
    <t>054-66-7213</t>
  </si>
  <si>
    <t>096-52-8035</t>
  </si>
  <si>
    <t>055-80-1799</t>
  </si>
  <si>
    <t>131-66-4155</t>
  </si>
  <si>
    <t>054-82-8173</t>
  </si>
  <si>
    <t>072-74-4553</t>
  </si>
  <si>
    <t>120-96-9129</t>
  </si>
  <si>
    <t>596-01-7757</t>
  </si>
  <si>
    <t>122-56-8086</t>
  </si>
  <si>
    <t>099-68-1862</t>
  </si>
  <si>
    <t>130-66-2783</t>
  </si>
  <si>
    <t>087-64-4202</t>
  </si>
  <si>
    <t>277-68-8219</t>
  </si>
  <si>
    <t>058-60-3820</t>
  </si>
  <si>
    <t>131-84-4132</t>
  </si>
  <si>
    <t>256-24-9496</t>
  </si>
  <si>
    <t>076-76-0436</t>
  </si>
  <si>
    <t>729-03-4082</t>
  </si>
  <si>
    <t>077-70-2876</t>
  </si>
  <si>
    <t>078-70-1165</t>
  </si>
  <si>
    <t>498-76-9811</t>
  </si>
  <si>
    <t>054-74-3321</t>
  </si>
  <si>
    <t>106-48-4610</t>
  </si>
  <si>
    <t>112-64-9330</t>
  </si>
  <si>
    <t>081-68-4521</t>
  </si>
  <si>
    <t>006-58-7145</t>
  </si>
  <si>
    <t>000-00-2113</t>
  </si>
  <si>
    <t>133-94-7011</t>
  </si>
  <si>
    <t>124-53-4060</t>
  </si>
  <si>
    <t>093-86-5439</t>
  </si>
  <si>
    <t>123-56-8341</t>
  </si>
  <si>
    <t>812-99-2204</t>
  </si>
  <si>
    <t>099-33-3777</t>
  </si>
  <si>
    <t>129-82-3101</t>
  </si>
  <si>
    <t>092-68-7608</t>
  </si>
  <si>
    <t>132-60-5602</t>
  </si>
  <si>
    <t>053-56-3098</t>
  </si>
  <si>
    <t>109-70-5752</t>
  </si>
  <si>
    <t>058-64-4017</t>
  </si>
  <si>
    <t>000-00-0288</t>
  </si>
  <si>
    <t>098-58-1834</t>
  </si>
  <si>
    <t>055-46-0017</t>
  </si>
  <si>
    <t>091-88-7807</t>
  </si>
  <si>
    <t>094-94-2610</t>
  </si>
  <si>
    <t>110-46-3605</t>
  </si>
  <si>
    <t>072-60-7017</t>
  </si>
  <si>
    <t>130-70-9624</t>
  </si>
  <si>
    <t>099-58-9452</t>
  </si>
  <si>
    <t>095-48-2005</t>
  </si>
  <si>
    <t>154-50-2613</t>
  </si>
  <si>
    <t>101-98-2508</t>
  </si>
  <si>
    <t>123-96-3167</t>
  </si>
  <si>
    <t>080-38-1345</t>
  </si>
  <si>
    <t>092-58-2616</t>
  </si>
  <si>
    <t>072-84-9522</t>
  </si>
  <si>
    <t>099-64-0003</t>
  </si>
  <si>
    <t>069-96-0647</t>
  </si>
  <si>
    <t>124-56-7070</t>
  </si>
  <si>
    <t>070-58-0175</t>
  </si>
  <si>
    <t>580-96-5802</t>
  </si>
  <si>
    <t>108-80-7706</t>
  </si>
  <si>
    <t>066-86-4507</t>
  </si>
  <si>
    <t>584-43-2161</t>
  </si>
  <si>
    <t>086-70-8663</t>
  </si>
  <si>
    <t>063-84-4924</t>
  </si>
  <si>
    <t>057-62-7020</t>
  </si>
  <si>
    <t>096-60-4197</t>
  </si>
  <si>
    <t>103-80-6285</t>
  </si>
  <si>
    <t>798-60-9637</t>
  </si>
  <si>
    <t>073-34-6968</t>
  </si>
  <si>
    <t>063-50-5057</t>
  </si>
  <si>
    <t>099-86-6156</t>
  </si>
  <si>
    <t>103-80-7633</t>
  </si>
  <si>
    <t>153-08-9240</t>
  </si>
  <si>
    <t>078-66-2160</t>
  </si>
  <si>
    <t>065-50-9938</t>
  </si>
  <si>
    <t>097-60-6198</t>
  </si>
  <si>
    <t>107-54-3719</t>
  </si>
  <si>
    <t>120-64-2683</t>
  </si>
  <si>
    <t>096-78-1258</t>
  </si>
  <si>
    <t>057-58-3720</t>
  </si>
  <si>
    <t>089-74-8020</t>
  </si>
  <si>
    <t>099-52-9805</t>
  </si>
  <si>
    <t>086-86-3074</t>
  </si>
  <si>
    <t>100-84-5426</t>
  </si>
  <si>
    <t>110-50-1957</t>
  </si>
  <si>
    <t>584-54-1641</t>
  </si>
  <si>
    <t>067-70-2623</t>
  </si>
  <si>
    <t>584-92-5580</t>
  </si>
  <si>
    <t>098-56-3958</t>
  </si>
  <si>
    <t>116-56-2852</t>
  </si>
  <si>
    <t>082-88-7518</t>
  </si>
  <si>
    <t>599-18-6322</t>
  </si>
  <si>
    <t>062-54-8575</t>
  </si>
  <si>
    <t>084-48-8874</t>
  </si>
  <si>
    <t>086-80-0657</t>
  </si>
  <si>
    <t>150-31-3673</t>
  </si>
  <si>
    <t>000-00-5135</t>
  </si>
  <si>
    <t>138-76-3594</t>
  </si>
  <si>
    <t>078-64-5589</t>
  </si>
  <si>
    <t>121-80-1806</t>
  </si>
  <si>
    <t>085-60-5128</t>
  </si>
  <si>
    <t>067-58-7323</t>
  </si>
  <si>
    <t>581-51-6633</t>
  </si>
  <si>
    <t>081-62-7349</t>
  </si>
  <si>
    <t>057-82-0876</t>
  </si>
  <si>
    <t>085-58-7207</t>
  </si>
  <si>
    <t>420-96-6005</t>
  </si>
  <si>
    <t>114-48-4408</t>
  </si>
  <si>
    <t>103-38-4939</t>
  </si>
  <si>
    <t>053-58-2734</t>
  </si>
  <si>
    <t>000-00-6118</t>
  </si>
  <si>
    <t>582-25-4346</t>
  </si>
  <si>
    <t>062-58-3100</t>
  </si>
  <si>
    <t>069-50-3824</t>
  </si>
  <si>
    <t>133-82-3246</t>
  </si>
  <si>
    <t>112-60-9132</t>
  </si>
  <si>
    <t>266-51-4230</t>
  </si>
  <si>
    <t>123-94-3368</t>
  </si>
  <si>
    <t>127-46-0890</t>
  </si>
  <si>
    <t>063-42-0530</t>
  </si>
  <si>
    <t>582-17-4975</t>
  </si>
  <si>
    <t>104-44-1194</t>
  </si>
  <si>
    <t>104-54-1690</t>
  </si>
  <si>
    <t>115-58-4954</t>
  </si>
  <si>
    <t>093-36-1877</t>
  </si>
  <si>
    <t>229-52-0227</t>
  </si>
  <si>
    <t>584-43-3697</t>
  </si>
  <si>
    <t>103-48-9848</t>
  </si>
  <si>
    <t>060-68-2700</t>
  </si>
  <si>
    <t>075-82-6297</t>
  </si>
  <si>
    <t>052-66-1232</t>
  </si>
  <si>
    <t>089-62-5307</t>
  </si>
  <si>
    <t>094-52-9995</t>
  </si>
  <si>
    <t>055-82-0408</t>
  </si>
  <si>
    <t>066-76-6019</t>
  </si>
  <si>
    <t>082-46-0013</t>
  </si>
  <si>
    <t>099-94-8492</t>
  </si>
  <si>
    <t>115-64-0488</t>
  </si>
  <si>
    <t>062-72-4938</t>
  </si>
  <si>
    <t>119-50-8670</t>
  </si>
  <si>
    <t>127-68-9449</t>
  </si>
  <si>
    <t>075-94-2752</t>
  </si>
  <si>
    <t>067-72-0783</t>
  </si>
  <si>
    <t>054-44-3650</t>
  </si>
  <si>
    <t>066-50-6743</t>
  </si>
  <si>
    <t>054-78-6213</t>
  </si>
  <si>
    <t>130-52-8703</t>
  </si>
  <si>
    <t>089-74-0675</t>
  </si>
  <si>
    <t>297-52-0072</t>
  </si>
  <si>
    <t>065-96-2357</t>
  </si>
  <si>
    <t>085-58-1987</t>
  </si>
  <si>
    <t>022-33-7143</t>
  </si>
  <si>
    <t>133-92-2894</t>
  </si>
  <si>
    <t>075-70-2664</t>
  </si>
  <si>
    <t>053-72-0575</t>
  </si>
  <si>
    <t>101-82-8138</t>
  </si>
  <si>
    <t>581-05-8727</t>
  </si>
  <si>
    <t>079-74-5579</t>
  </si>
  <si>
    <t>064-80-7566</t>
  </si>
  <si>
    <t>109-44-6533</t>
  </si>
  <si>
    <t>148-15-6208</t>
  </si>
  <si>
    <t>357-42-5222</t>
  </si>
  <si>
    <t>056-72-6281</t>
  </si>
  <si>
    <t>101-72-6411</t>
  </si>
  <si>
    <t>110-42-7376</t>
  </si>
  <si>
    <t>069-66-3606</t>
  </si>
  <si>
    <t>089-72-7546</t>
  </si>
  <si>
    <t>066-78-6248</t>
  </si>
  <si>
    <t>240-84-2850</t>
  </si>
  <si>
    <t>051-92-8490</t>
  </si>
  <si>
    <t>160-78-2188</t>
  </si>
  <si>
    <t>081-56-0920</t>
  </si>
  <si>
    <t>086-70-6554</t>
  </si>
  <si>
    <t>099-76-2482</t>
  </si>
  <si>
    <t>056-60-3288</t>
  </si>
  <si>
    <t>067-82-8001</t>
  </si>
  <si>
    <t>790-04-8236</t>
  </si>
  <si>
    <t>101-48-7732</t>
  </si>
  <si>
    <t>130-36-5133</t>
  </si>
  <si>
    <t>059-74-1870</t>
  </si>
  <si>
    <t>127-46-4488</t>
  </si>
  <si>
    <t>119-54-7613</t>
  </si>
  <si>
    <t>000-00-0897</t>
  </si>
  <si>
    <t>062-72-3825</t>
  </si>
  <si>
    <t>418-02-2761</t>
  </si>
  <si>
    <t>111-50-6293</t>
  </si>
  <si>
    <t>130-46-6891</t>
  </si>
  <si>
    <t>071-02-6250</t>
  </si>
  <si>
    <t>234-54-5216</t>
  </si>
  <si>
    <t>583-53-1327</t>
  </si>
  <si>
    <t>072-58-3508</t>
  </si>
  <si>
    <t>056-58-6114</t>
  </si>
  <si>
    <t>114-68-2548</t>
  </si>
  <si>
    <t>053-58-2772</t>
  </si>
  <si>
    <t>063-46-7910</t>
  </si>
  <si>
    <t>112-72-1164</t>
  </si>
  <si>
    <t>101-64-1739</t>
  </si>
  <si>
    <t>155-86-4711</t>
  </si>
  <si>
    <t>085-54-3591</t>
  </si>
  <si>
    <t>056-64-6322</t>
  </si>
  <si>
    <t>110-64-2505</t>
  </si>
  <si>
    <t>122-86-8029</t>
  </si>
  <si>
    <t>245-78-2352</t>
  </si>
  <si>
    <t>084-60-9348</t>
  </si>
  <si>
    <t>107-82-3716</t>
  </si>
  <si>
    <t>050-54-8998</t>
  </si>
  <si>
    <t>408-69-3048</t>
  </si>
  <si>
    <t>129-70-4236</t>
  </si>
  <si>
    <t>069-86-5424</t>
  </si>
  <si>
    <t>098-66-2673</t>
  </si>
  <si>
    <t>123-94-1657</t>
  </si>
  <si>
    <t>107-68-2449</t>
  </si>
  <si>
    <t>743-67-8515</t>
  </si>
  <si>
    <t>057-86-9388</t>
  </si>
  <si>
    <t>081-68-8144</t>
  </si>
  <si>
    <t>127-94-8649</t>
  </si>
  <si>
    <t>000-00-0113</t>
  </si>
  <si>
    <t>096-60-7761</t>
  </si>
  <si>
    <t>000-00-3458</t>
  </si>
  <si>
    <t>108-94-1234</t>
  </si>
  <si>
    <t>075-92-6984</t>
  </si>
  <si>
    <t>101-50-5485</t>
  </si>
  <si>
    <t>054-96-4729</t>
  </si>
  <si>
    <t>062-94-6814</t>
  </si>
  <si>
    <t>068-84-7940</t>
  </si>
  <si>
    <t>464-65-6021</t>
  </si>
  <si>
    <t>116-88-5632</t>
  </si>
  <si>
    <t>077-40-9319</t>
  </si>
  <si>
    <t>062-40-6843</t>
  </si>
  <si>
    <t>104-40-3787</t>
  </si>
  <si>
    <t>053-64-8976</t>
  </si>
  <si>
    <t>183-62-5011</t>
  </si>
  <si>
    <t>082-76-1487</t>
  </si>
  <si>
    <t>100-48-1393</t>
  </si>
  <si>
    <t>078-68-2786</t>
  </si>
  <si>
    <t>242-17-8288</t>
  </si>
  <si>
    <t>596-28-4158</t>
  </si>
  <si>
    <t>840-12-9685</t>
  </si>
  <si>
    <t>066-34-0058</t>
  </si>
  <si>
    <t>169-85-9123</t>
  </si>
  <si>
    <t>085-58-3440</t>
  </si>
  <si>
    <t>584-65-9244</t>
  </si>
  <si>
    <t>082-72-7245</t>
  </si>
  <si>
    <t>070-56-8409</t>
  </si>
  <si>
    <t>000-00-2380</t>
  </si>
  <si>
    <t>554-57-1707</t>
  </si>
  <si>
    <t>057-82-0343</t>
  </si>
  <si>
    <t>058-92-1819</t>
  </si>
  <si>
    <t>130-96-9134</t>
  </si>
  <si>
    <t>157-64-5403</t>
  </si>
  <si>
    <t>113-62-4848</t>
  </si>
  <si>
    <t>000-00-8549</t>
  </si>
  <si>
    <t>118-56-8101</t>
  </si>
  <si>
    <t>132-74-9052</t>
  </si>
  <si>
    <t>729-07-8907</t>
  </si>
  <si>
    <t>061-64-0761</t>
  </si>
  <si>
    <t>133-64-1041</t>
  </si>
  <si>
    <t>077-44-8917</t>
  </si>
  <si>
    <t>097-86-6773</t>
  </si>
  <si>
    <t>076-58-3823</t>
  </si>
  <si>
    <t>086-68-6846</t>
  </si>
  <si>
    <t>075-68-4646</t>
  </si>
  <si>
    <t>078-60-1030</t>
  </si>
  <si>
    <t>077-84-1469</t>
  </si>
  <si>
    <t>097-84-4014</t>
  </si>
  <si>
    <t>085-60-1268</t>
  </si>
  <si>
    <t>594-41-7571</t>
  </si>
  <si>
    <t>063-82-3048</t>
  </si>
  <si>
    <t>108-24-6957</t>
  </si>
  <si>
    <t>513-79-4535</t>
  </si>
  <si>
    <t>080-78-7731</t>
  </si>
  <si>
    <t>029-64-8922</t>
  </si>
  <si>
    <t>103-86-0479</t>
  </si>
  <si>
    <t>062-94-0416</t>
  </si>
  <si>
    <t>259-14-8787</t>
  </si>
  <si>
    <t>667-95-9594</t>
  </si>
  <si>
    <t>079-64-1163</t>
  </si>
  <si>
    <t>094-54-4763</t>
  </si>
  <si>
    <t>117-92-3511</t>
  </si>
  <si>
    <t>098-50-1869</t>
  </si>
  <si>
    <t>598-05-6774</t>
  </si>
  <si>
    <t>058-70-0472</t>
  </si>
  <si>
    <t>017-74-5779</t>
  </si>
  <si>
    <t>119-48-0519</t>
  </si>
  <si>
    <t>058-60-5720</t>
  </si>
  <si>
    <t>159-29-5522</t>
  </si>
  <si>
    <t>074-36-0623</t>
  </si>
  <si>
    <t>092-72-5970</t>
  </si>
  <si>
    <t>632-18-9677</t>
  </si>
  <si>
    <t>130-80-4496</t>
  </si>
  <si>
    <t>592-29-8930</t>
  </si>
  <si>
    <t>063-44-8592</t>
  </si>
  <si>
    <t>088-76-9243</t>
  </si>
  <si>
    <t>078-62-4116</t>
  </si>
  <si>
    <t>069-82-2409</t>
  </si>
  <si>
    <t>123-58-5412</t>
  </si>
  <si>
    <t>077-52-7007</t>
  </si>
  <si>
    <t>118-56-3843</t>
  </si>
  <si>
    <t>073-62-0120</t>
  </si>
  <si>
    <t>081-62-3720</t>
  </si>
  <si>
    <t>116-98-9403</t>
  </si>
  <si>
    <t>000-00-7558</t>
  </si>
  <si>
    <t>584-41-4508</t>
  </si>
  <si>
    <t>149-70-9947</t>
  </si>
  <si>
    <t>078-64-2748</t>
  </si>
  <si>
    <t>073-41-4007</t>
  </si>
  <si>
    <t>101-58-4186</t>
  </si>
  <si>
    <t>159-42-4807</t>
  </si>
  <si>
    <t>204-66-1234</t>
  </si>
  <si>
    <t>061-82-9718</t>
  </si>
  <si>
    <t>060-66-9335</t>
  </si>
  <si>
    <t>123-82-2454</t>
  </si>
  <si>
    <t>175-46-5894</t>
  </si>
  <si>
    <t>117-94-2357</t>
  </si>
  <si>
    <t>132-70-8181</t>
  </si>
  <si>
    <t>107-58-0710</t>
  </si>
  <si>
    <t>077-58-1285</t>
  </si>
  <si>
    <t>111-68-7912</t>
  </si>
  <si>
    <t>131-72-8165</t>
  </si>
  <si>
    <t>123-90-0586</t>
  </si>
  <si>
    <t>090-58-8842</t>
  </si>
  <si>
    <t>106-70-6789</t>
  </si>
  <si>
    <t>107-70-2081</t>
  </si>
  <si>
    <t>138-78-2180</t>
  </si>
  <si>
    <t>068-66-3568</t>
  </si>
  <si>
    <t>111-64-6178</t>
  </si>
  <si>
    <t>597-38-5631</t>
  </si>
  <si>
    <t>085-64-7147</t>
  </si>
  <si>
    <t>074-78-8599</t>
  </si>
  <si>
    <t>091-58-9784</t>
  </si>
  <si>
    <t>059-34-7012</t>
  </si>
  <si>
    <t>120-56-4700</t>
  </si>
  <si>
    <t>015-58-8409</t>
  </si>
  <si>
    <t>107-98-6020</t>
  </si>
  <si>
    <t>731-20-4815</t>
  </si>
  <si>
    <t>130-98-8445</t>
  </si>
  <si>
    <t>113-70-0714</t>
  </si>
  <si>
    <t>131-66-2287</t>
  </si>
  <si>
    <t>865-95-6138</t>
  </si>
  <si>
    <t>129-62-0570</t>
  </si>
  <si>
    <t>110-82-4076</t>
  </si>
  <si>
    <t>069-58-7163</t>
  </si>
  <si>
    <t>058-54-7934</t>
  </si>
  <si>
    <t>119-70-6629</t>
  </si>
  <si>
    <t>289-86-9682</t>
  </si>
  <si>
    <t>113-56-6213</t>
  </si>
  <si>
    <t>129-58-2135</t>
  </si>
  <si>
    <t>075-94-6958</t>
  </si>
  <si>
    <t>067-92-9002</t>
  </si>
  <si>
    <t>067-46-3319</t>
  </si>
  <si>
    <t>055-88-3084</t>
  </si>
  <si>
    <t>097-56-6242</t>
  </si>
  <si>
    <t>094-64-5359</t>
  </si>
  <si>
    <t>100-74-6024</t>
  </si>
  <si>
    <t>000-00-2162</t>
  </si>
  <si>
    <t>584-28-7879</t>
  </si>
  <si>
    <t>099-44-4782</t>
  </si>
  <si>
    <t>581-29-4740</t>
  </si>
  <si>
    <t>082-70-7223</t>
  </si>
  <si>
    <t>098-56-3990</t>
  </si>
  <si>
    <t>067-76-7736</t>
  </si>
  <si>
    <t>065-50-4884</t>
  </si>
  <si>
    <t>079-60-1008</t>
  </si>
  <si>
    <t>120-66-0383</t>
  </si>
  <si>
    <t>069-54-1343</t>
  </si>
  <si>
    <t>056-72-5267</t>
  </si>
  <si>
    <t>070-68-5110</t>
  </si>
  <si>
    <t>072-48-5680</t>
  </si>
  <si>
    <t>582-63-5855</t>
  </si>
  <si>
    <t>083-02-1727</t>
  </si>
  <si>
    <t>085-50-9042</t>
  </si>
  <si>
    <t>059-62-3743</t>
  </si>
  <si>
    <t>118-44-8420</t>
  </si>
  <si>
    <t>466-63-1980</t>
  </si>
  <si>
    <t>121-48-2558</t>
  </si>
  <si>
    <t>094-86-1714</t>
  </si>
  <si>
    <t>107-54-2511</t>
  </si>
  <si>
    <t>123-84-0628</t>
  </si>
  <si>
    <t>058-58-9581</t>
  </si>
  <si>
    <t>063-46-8196</t>
  </si>
  <si>
    <t>584-38-9148</t>
  </si>
  <si>
    <t>094-64-2536</t>
  </si>
  <si>
    <t>584-88-4501</t>
  </si>
  <si>
    <t>126-48-1193</t>
  </si>
  <si>
    <t>069-48-6041</t>
  </si>
  <si>
    <t>106-48-4642</t>
  </si>
  <si>
    <t>584-90-0146</t>
  </si>
  <si>
    <t>115-96-5208</t>
  </si>
  <si>
    <t>125-44-5536</t>
  </si>
  <si>
    <t>118-80-0158</t>
  </si>
  <si>
    <t>108-52-5052</t>
  </si>
  <si>
    <t>732-09-4918</t>
  </si>
  <si>
    <t>079-66-9759</t>
  </si>
  <si>
    <t>098-86-3735</t>
  </si>
  <si>
    <t>124-36-4090</t>
  </si>
  <si>
    <t>110-60-2709</t>
  </si>
  <si>
    <t>106-66-9292</t>
  </si>
  <si>
    <t>085-54-6248</t>
  </si>
  <si>
    <t>083-02-8331</t>
  </si>
  <si>
    <t>071-50-5851</t>
  </si>
  <si>
    <t>338-68-9472</t>
  </si>
  <si>
    <t>108-48-9889</t>
  </si>
  <si>
    <t>070-96-5128</t>
  </si>
  <si>
    <t>135-56-3272</t>
  </si>
  <si>
    <t>109-60-7584</t>
  </si>
  <si>
    <t>582-13-3711</t>
  </si>
  <si>
    <t>015-54-1988</t>
  </si>
  <si>
    <t>112-92-4236</t>
  </si>
  <si>
    <t>102-82-3870</t>
  </si>
  <si>
    <t>100-48-3760</t>
  </si>
  <si>
    <t>279-84-6135</t>
  </si>
  <si>
    <t>133-54-0173</t>
  </si>
  <si>
    <t>116-56-9320</t>
  </si>
  <si>
    <t>090-54-3325</t>
  </si>
  <si>
    <t>056-58-7995</t>
  </si>
  <si>
    <t>099-80-8189</t>
  </si>
  <si>
    <t>107-74-1133</t>
  </si>
  <si>
    <t>089-74-7504</t>
  </si>
  <si>
    <t>118-46-5839</t>
  </si>
  <si>
    <t>892-42-4664</t>
  </si>
  <si>
    <t>080-66-7601</t>
  </si>
  <si>
    <t>584-83-5399</t>
  </si>
  <si>
    <t>052-46-1521</t>
  </si>
  <si>
    <t>100-60-0075</t>
  </si>
  <si>
    <t>062-86-0980</t>
  </si>
  <si>
    <t>120-94-3094</t>
  </si>
  <si>
    <t>122-56-3924</t>
  </si>
  <si>
    <t>104-68-1523</t>
  </si>
  <si>
    <t>086-56-6671</t>
  </si>
  <si>
    <t>097-56-3803</t>
  </si>
  <si>
    <t>070-46-7621</t>
  </si>
  <si>
    <t>122-66-4959</t>
  </si>
  <si>
    <t>093-68-3563</t>
  </si>
  <si>
    <t>154-54-4346</t>
  </si>
  <si>
    <t>119-74-3867</t>
  </si>
  <si>
    <t>081-42-5318</t>
  </si>
  <si>
    <t>106-78-5829</t>
  </si>
  <si>
    <t>571-11-8639</t>
  </si>
  <si>
    <t>058-50-5191</t>
  </si>
  <si>
    <t>135-82-7358</t>
  </si>
  <si>
    <t>111-68-8389</t>
  </si>
  <si>
    <t>113-42-6200</t>
  </si>
  <si>
    <t>128-40-0492</t>
  </si>
  <si>
    <t>114-36-9098</t>
  </si>
  <si>
    <t>800-05-9584</t>
  </si>
  <si>
    <t>065-94-9438</t>
  </si>
  <si>
    <t>066-50-7724</t>
  </si>
  <si>
    <t>055-60-2755</t>
  </si>
  <si>
    <t>059-38-5896</t>
  </si>
  <si>
    <t>311-52-7914</t>
  </si>
  <si>
    <t>046-57-8942</t>
  </si>
  <si>
    <t>117-94-1513</t>
  </si>
  <si>
    <t>104-98-7984</t>
  </si>
  <si>
    <t>054-58-0461</t>
  </si>
  <si>
    <t>885-47-0587</t>
  </si>
  <si>
    <t>122-86-7356</t>
  </si>
  <si>
    <t>090-62-9973</t>
  </si>
  <si>
    <t>110-34-6585</t>
  </si>
  <si>
    <t>091-74-2717</t>
  </si>
  <si>
    <t>121-70-3303</t>
  </si>
  <si>
    <t>116-60-4039</t>
  </si>
  <si>
    <t>055-94-2834</t>
  </si>
  <si>
    <t>080-72-5732</t>
  </si>
  <si>
    <t>582-21-6737</t>
  </si>
  <si>
    <t>092-58-6099</t>
  </si>
  <si>
    <t>150-58-0973</t>
  </si>
  <si>
    <t>082-98-3712</t>
  </si>
  <si>
    <t>118-46-1284</t>
  </si>
  <si>
    <t>118-56-7529</t>
  </si>
  <si>
    <t>063-48-3487</t>
  </si>
  <si>
    <t>229-70-4751</t>
  </si>
  <si>
    <t>109-86-8864</t>
  </si>
  <si>
    <t>134-82-4930</t>
  </si>
  <si>
    <t>127-48-3860</t>
  </si>
  <si>
    <t>098-64-9756</t>
  </si>
  <si>
    <t>521-29-8677</t>
  </si>
  <si>
    <t>103-66-2330</t>
  </si>
  <si>
    <t>093-62-2465</t>
  </si>
  <si>
    <t>103-82-4642</t>
  </si>
  <si>
    <t>128-28-3667</t>
  </si>
  <si>
    <t>154-64-4612</t>
  </si>
  <si>
    <t>129-78-7469</t>
  </si>
  <si>
    <t>122-44-0909</t>
  </si>
  <si>
    <t>077-56-9567</t>
  </si>
  <si>
    <t>114-74-4019</t>
  </si>
  <si>
    <t>065-82-8806</t>
  </si>
  <si>
    <t>590-88-6973</t>
  </si>
  <si>
    <t>126-68-6897</t>
  </si>
  <si>
    <t>104-94-3890</t>
  </si>
  <si>
    <t>066-58-0254</t>
  </si>
  <si>
    <t>110-42-7078</t>
  </si>
  <si>
    <t>731-14-9420</t>
  </si>
  <si>
    <t>104-78-4668</t>
  </si>
  <si>
    <t>092-54-5311</t>
  </si>
  <si>
    <t>422-54-6311</t>
  </si>
  <si>
    <t>117-90-8472</t>
  </si>
  <si>
    <t>104-20-7294</t>
  </si>
  <si>
    <t>064-66-6893</t>
  </si>
  <si>
    <t>100-72-5803</t>
  </si>
  <si>
    <t>098-36-9473</t>
  </si>
  <si>
    <t>353-76-3637</t>
  </si>
  <si>
    <t>126-88-2671</t>
  </si>
  <si>
    <t>078-58-3565</t>
  </si>
  <si>
    <t>083-46-9945</t>
  </si>
  <si>
    <t>070-46-5788</t>
  </si>
  <si>
    <t>580-06-7408</t>
  </si>
  <si>
    <t>054-72-8130</t>
  </si>
  <si>
    <t>082-68-5412</t>
  </si>
  <si>
    <t>077-78-6123</t>
  </si>
  <si>
    <t>064-54-7199</t>
  </si>
  <si>
    <t>134-78-1792</t>
  </si>
  <si>
    <t>096-58-8067</t>
  </si>
  <si>
    <t>126-86-5759</t>
  </si>
  <si>
    <t>100-86-2283</t>
  </si>
  <si>
    <t>057-66-0901</t>
  </si>
  <si>
    <t>053-22-0067</t>
  </si>
  <si>
    <t>057-82-7996</t>
  </si>
  <si>
    <t>094-46-5657</t>
  </si>
  <si>
    <t>052-96-4422</t>
  </si>
  <si>
    <t>241-72-7381</t>
  </si>
  <si>
    <t>237-27-4083</t>
  </si>
  <si>
    <t>082-56-3606</t>
  </si>
  <si>
    <t>060-46-4077</t>
  </si>
  <si>
    <t>075-88-0209</t>
  </si>
  <si>
    <t>116-62-0301</t>
  </si>
  <si>
    <t>097-74-9704</t>
  </si>
  <si>
    <t>055-64-8607</t>
  </si>
  <si>
    <t>106-96-5684</t>
  </si>
  <si>
    <t>108-62-1028</t>
  </si>
  <si>
    <t>110-54-1036</t>
  </si>
  <si>
    <t>067-80-8159</t>
  </si>
  <si>
    <t>119-50-7486</t>
  </si>
  <si>
    <t>599-24-9884</t>
  </si>
  <si>
    <t>125-34-3188</t>
  </si>
  <si>
    <t>059-66-6674</t>
  </si>
  <si>
    <t>040-04-2795</t>
  </si>
  <si>
    <t>747-15-1768</t>
  </si>
  <si>
    <t>051-50-3891</t>
  </si>
  <si>
    <t>582-97-9094</t>
  </si>
  <si>
    <t>146-58-9958</t>
  </si>
  <si>
    <t>098-74-1628</t>
  </si>
  <si>
    <t>050-86-6029</t>
  </si>
  <si>
    <t>075-66-7396</t>
  </si>
  <si>
    <t>116-68-0220</t>
  </si>
  <si>
    <t>169-96-6851</t>
  </si>
  <si>
    <t>584-40-5931</t>
  </si>
  <si>
    <t>114-48-3317</t>
  </si>
  <si>
    <t>149-86-5224</t>
  </si>
  <si>
    <t>084-92-6353</t>
  </si>
  <si>
    <t>125-68-3178</t>
  </si>
  <si>
    <t>084-86-5826</t>
  </si>
  <si>
    <t>063-92-5565</t>
  </si>
  <si>
    <t>092-92-8197</t>
  </si>
  <si>
    <t>120-36-7920</t>
  </si>
  <si>
    <t>069-58-3502</t>
  </si>
  <si>
    <t>077-42-7526</t>
  </si>
  <si>
    <t>103-62-8929</t>
  </si>
  <si>
    <t>583-72-8789</t>
  </si>
  <si>
    <t>582-13-8902</t>
  </si>
  <si>
    <t>000-00-7494</t>
  </si>
  <si>
    <t>000-00-2861</t>
  </si>
  <si>
    <t>078-48-5186</t>
  </si>
  <si>
    <t>090-60-3515</t>
  </si>
  <si>
    <t>246-96-4175</t>
  </si>
  <si>
    <t>054-48-1528</t>
  </si>
  <si>
    <t>087-72-6308</t>
  </si>
  <si>
    <t>061-50-6188</t>
  </si>
  <si>
    <t>071-74-7982</t>
  </si>
  <si>
    <t>113-48-2147</t>
  </si>
  <si>
    <t>075-84-5743</t>
  </si>
  <si>
    <t>105-58-4466</t>
  </si>
  <si>
    <t>105-70-3556</t>
  </si>
  <si>
    <t>076-34-3865</t>
  </si>
  <si>
    <t>096-56-5451</t>
  </si>
  <si>
    <t>085-56-5725</t>
  </si>
  <si>
    <t>584-69-6751</t>
  </si>
  <si>
    <t>133-44-4184</t>
  </si>
  <si>
    <t>110-40-2548</t>
  </si>
  <si>
    <t>147-70-9786</t>
  </si>
  <si>
    <t>101-34-8698</t>
  </si>
  <si>
    <t>072-62-4298</t>
  </si>
  <si>
    <t>052-36-9061</t>
  </si>
  <si>
    <t>140-48-8902</t>
  </si>
  <si>
    <t>121-34-4394</t>
  </si>
  <si>
    <t>583-78-4894</t>
  </si>
  <si>
    <t>249-70-2850</t>
  </si>
  <si>
    <t>535-15-1743</t>
  </si>
  <si>
    <t>113-42-0501</t>
  </si>
  <si>
    <t>581-60-3285</t>
  </si>
  <si>
    <t>088-92-1616</t>
  </si>
  <si>
    <t>597-40-8290</t>
  </si>
  <si>
    <t>079-84-7650</t>
  </si>
  <si>
    <t>246-33-3750</t>
  </si>
  <si>
    <t>074-92-1483</t>
  </si>
  <si>
    <t>089-44-4104</t>
  </si>
  <si>
    <t>125-52-9600</t>
  </si>
  <si>
    <t>096-56-2643</t>
  </si>
  <si>
    <t>598-05-6577</t>
  </si>
  <si>
    <t>054-70-4093</t>
  </si>
  <si>
    <t>114-82-1003</t>
  </si>
  <si>
    <t>103-72-4430</t>
  </si>
  <si>
    <t>058-18-2192</t>
  </si>
  <si>
    <t>087-48-8948</t>
  </si>
  <si>
    <t>083-94-0429</t>
  </si>
  <si>
    <t>733-05-2838</t>
  </si>
  <si>
    <t>596-16-6926</t>
  </si>
  <si>
    <t>116-90-9987</t>
  </si>
  <si>
    <t>115-98-0633</t>
  </si>
  <si>
    <t>088-34-7461</t>
  </si>
  <si>
    <t>083-78-0059</t>
  </si>
  <si>
    <t>083-46-1736</t>
  </si>
  <si>
    <t>132-94-8185</t>
  </si>
  <si>
    <t>102-82-2004</t>
  </si>
  <si>
    <t>085-64-0271</t>
  </si>
  <si>
    <t>084-78-8704</t>
  </si>
  <si>
    <t>120-66-3972</t>
  </si>
  <si>
    <t>099-56-1493</t>
  </si>
  <si>
    <t>134-56-1630</t>
  </si>
  <si>
    <t>584-15-8854</t>
  </si>
  <si>
    <t>133-28-5883</t>
  </si>
  <si>
    <t>077-84-6710</t>
  </si>
  <si>
    <t>129-66-6965</t>
  </si>
  <si>
    <t>094-92-8551</t>
  </si>
  <si>
    <t>054-68-5875</t>
  </si>
  <si>
    <t>000-00-4692</t>
  </si>
  <si>
    <t>061-32-8680</t>
  </si>
  <si>
    <t>108-52-1632</t>
  </si>
  <si>
    <t>068-82-8426</t>
  </si>
  <si>
    <t>130-80-2657</t>
  </si>
  <si>
    <t>056-76-7386</t>
  </si>
  <si>
    <t>766-56-6623</t>
  </si>
  <si>
    <t>066-34-0320</t>
  </si>
  <si>
    <t>082-86-3651</t>
  </si>
  <si>
    <t>079-02-8670</t>
  </si>
  <si>
    <t>188-37-5724</t>
  </si>
  <si>
    <t>089-02-4592</t>
  </si>
  <si>
    <t>085-94-8329</t>
  </si>
  <si>
    <t>108-88-7034</t>
  </si>
  <si>
    <t>102-48-6275</t>
  </si>
  <si>
    <t>124-26-0192</t>
  </si>
  <si>
    <t>101-38-3154</t>
  </si>
  <si>
    <t>134-64-1815</t>
  </si>
  <si>
    <t>133-58-6211</t>
  </si>
  <si>
    <t>079-88-7448</t>
  </si>
  <si>
    <t>082-74-9395</t>
  </si>
  <si>
    <t>093-34-8982</t>
  </si>
  <si>
    <t>117-62-8978</t>
  </si>
  <si>
    <t>071-78-4076</t>
  </si>
  <si>
    <t>133-48-3936</t>
  </si>
  <si>
    <t>151-94-5584</t>
  </si>
  <si>
    <t>088-36-7616</t>
  </si>
  <si>
    <t>076-56-6299</t>
  </si>
  <si>
    <t>449-91-5721</t>
  </si>
  <si>
    <t>078-86-8539</t>
  </si>
  <si>
    <t>103-74-3186</t>
  </si>
  <si>
    <t>093-28-3027</t>
  </si>
  <si>
    <t>122-84-4117</t>
  </si>
  <si>
    <t>584-47-4471</t>
  </si>
  <si>
    <t>132-44-9135</t>
  </si>
  <si>
    <t>122-54-8240</t>
  </si>
  <si>
    <t>106-66-9442</t>
  </si>
  <si>
    <t>098-26-8006</t>
  </si>
  <si>
    <t>081-84-8621</t>
  </si>
  <si>
    <t>123-40-1481</t>
  </si>
  <si>
    <t>089-74-7270</t>
  </si>
  <si>
    <t>583-48-8298</t>
  </si>
  <si>
    <t>584-14-8854</t>
  </si>
  <si>
    <t>580-68-6204</t>
  </si>
  <si>
    <t>117-32-2632</t>
  </si>
  <si>
    <t>091-70-7063</t>
  </si>
  <si>
    <t>119-78-3173</t>
  </si>
  <si>
    <t>097-60-0690</t>
  </si>
  <si>
    <t>101-34-6952</t>
  </si>
  <si>
    <t>095-64-7361</t>
  </si>
  <si>
    <t>104-52-1182</t>
  </si>
  <si>
    <t>582-11-8987</t>
  </si>
  <si>
    <t>050-40-3168</t>
  </si>
  <si>
    <t>101-34-7187</t>
  </si>
  <si>
    <t>114-58-9652</t>
  </si>
  <si>
    <t>131-48-0459</t>
  </si>
  <si>
    <t>000-00-2474</t>
  </si>
  <si>
    <t>134-26-0575</t>
  </si>
  <si>
    <t>065-62-7819</t>
  </si>
  <si>
    <t>111-98-9820</t>
  </si>
  <si>
    <t>153-24-0319</t>
  </si>
  <si>
    <t>138-58-5066</t>
  </si>
  <si>
    <t>133-58-3224</t>
  </si>
  <si>
    <t>079-62-6501</t>
  </si>
  <si>
    <t>062-66-9344</t>
  </si>
  <si>
    <t>101-34-6937</t>
  </si>
  <si>
    <t>146-22-0296</t>
  </si>
  <si>
    <t>114-96-7551</t>
  </si>
  <si>
    <t>131-66-9344</t>
  </si>
  <si>
    <t>057-78-3888</t>
  </si>
  <si>
    <t>059-64-8094</t>
  </si>
  <si>
    <t>048-08-6305</t>
  </si>
  <si>
    <t>051-36-4965</t>
  </si>
  <si>
    <t>131-48-9249</t>
  </si>
  <si>
    <t>124-40-2309</t>
  </si>
  <si>
    <t>058-98-5033</t>
  </si>
  <si>
    <t>126-26-7792</t>
  </si>
  <si>
    <t>093-36-9999</t>
  </si>
  <si>
    <t>120-82-7224</t>
  </si>
  <si>
    <t>114-50-5090</t>
  </si>
  <si>
    <t>055-34-4046</t>
  </si>
  <si>
    <t>114-62-3466</t>
  </si>
  <si>
    <t>151-88-8002</t>
  </si>
  <si>
    <t>081-64-3250</t>
  </si>
  <si>
    <t>062-88-4934</t>
  </si>
  <si>
    <t>096-88-6073</t>
  </si>
  <si>
    <t>116-76-2017</t>
  </si>
  <si>
    <t>120-62-7819</t>
  </si>
  <si>
    <t>089-48-3494</t>
  </si>
  <si>
    <t>030-58-4547</t>
  </si>
  <si>
    <t>103-80-5108</t>
  </si>
  <si>
    <t>050-26-5581</t>
  </si>
  <si>
    <t>061-34-8157</t>
  </si>
  <si>
    <t>119-94-5025</t>
  </si>
  <si>
    <t>084-42-7014</t>
  </si>
  <si>
    <t>733-26-4467</t>
  </si>
  <si>
    <t>584-50-4068</t>
  </si>
  <si>
    <t>075-56-9004</t>
  </si>
  <si>
    <t>262-50-5491</t>
  </si>
  <si>
    <t>114-66-8020</t>
  </si>
  <si>
    <t>119-44-4295</t>
  </si>
  <si>
    <t>053-68-6270</t>
  </si>
  <si>
    <t>101-50-9696</t>
  </si>
  <si>
    <t>088-72-2827</t>
  </si>
  <si>
    <t>101-48-8498</t>
  </si>
  <si>
    <t>066-72-0430</t>
  </si>
  <si>
    <t>108-92-9390</t>
  </si>
  <si>
    <t>126-20-7882</t>
  </si>
  <si>
    <t>143-04-3885</t>
  </si>
  <si>
    <t>128-60-2390</t>
  </si>
  <si>
    <t>025-76-0532</t>
  </si>
  <si>
    <t>100-48-2729</t>
  </si>
  <si>
    <t>098-58-1108</t>
  </si>
  <si>
    <t>202-58-8094</t>
  </si>
  <si>
    <t>070-34-8997</t>
  </si>
  <si>
    <t>081-34-2260</t>
  </si>
  <si>
    <t>082-88-4185</t>
  </si>
  <si>
    <t>084-54-0240</t>
  </si>
  <si>
    <t>088-86-1972</t>
  </si>
  <si>
    <t>054-68-6606</t>
  </si>
  <si>
    <t>094-38-8543</t>
  </si>
  <si>
    <t>102-40-6471</t>
  </si>
  <si>
    <t>070-46-2919</t>
  </si>
  <si>
    <t>018-62-5871</t>
  </si>
  <si>
    <t>085-50-5243</t>
  </si>
  <si>
    <t>082-46-5961</t>
  </si>
  <si>
    <t>123-50-4119</t>
  </si>
  <si>
    <t>087-50-8343</t>
  </si>
  <si>
    <t>063-58-1888</t>
  </si>
  <si>
    <t>128-56-7187</t>
  </si>
  <si>
    <t>080-54-3328</t>
  </si>
  <si>
    <t>241-90-1980</t>
  </si>
  <si>
    <t>064-46-5198</t>
  </si>
  <si>
    <t>014-70-1864</t>
  </si>
  <si>
    <t>124-64-6297</t>
  </si>
  <si>
    <t>098-64-6827</t>
  </si>
  <si>
    <t>050-64-6373</t>
  </si>
  <si>
    <t>123-70-4799</t>
  </si>
  <si>
    <t>101-52-8768</t>
  </si>
  <si>
    <t>158-64-9685</t>
  </si>
  <si>
    <t>051-64-7680</t>
  </si>
  <si>
    <t>720-89-1735</t>
  </si>
  <si>
    <t>116-50-0917</t>
  </si>
  <si>
    <t>154-50-2433</t>
  </si>
  <si>
    <t>114-70-4886</t>
  </si>
  <si>
    <t>028-52-0629</t>
  </si>
  <si>
    <t>078-46-3716</t>
  </si>
  <si>
    <t>090-64-2426</t>
  </si>
  <si>
    <t>319-62-8269</t>
  </si>
  <si>
    <t>144-60-7868</t>
  </si>
  <si>
    <t>096-62-7716</t>
  </si>
  <si>
    <t>254-33-6713</t>
  </si>
  <si>
    <t>598-28-2790</t>
  </si>
  <si>
    <t>052-60-1452</t>
  </si>
  <si>
    <t>401-17-2518</t>
  </si>
  <si>
    <t>084-58-4925</t>
  </si>
  <si>
    <t>105-60-3642</t>
  </si>
  <si>
    <t>125-44-7472</t>
  </si>
  <si>
    <t>118-56-0732</t>
  </si>
  <si>
    <t>131-58-9169</t>
  </si>
  <si>
    <t>074-86-1420</t>
  </si>
  <si>
    <t>591-08-9414</t>
  </si>
  <si>
    <t>035-48-3362</t>
  </si>
  <si>
    <t>112-60-3983</t>
  </si>
  <si>
    <t>116-64-5152</t>
  </si>
  <si>
    <t>106-92-2623</t>
  </si>
  <si>
    <t>077-74-7206</t>
  </si>
  <si>
    <t>062-94-3502</t>
  </si>
  <si>
    <t>318-31-8974</t>
  </si>
  <si>
    <t>003-90-9520</t>
  </si>
  <si>
    <t>076-60-1107</t>
  </si>
  <si>
    <t>134-80-1625</t>
  </si>
  <si>
    <t>116-78-3559</t>
  </si>
  <si>
    <t>516-81-8368</t>
  </si>
  <si>
    <t>090-62-1045</t>
  </si>
  <si>
    <t>089-74-4100</t>
  </si>
  <si>
    <t>102-66-2303</t>
  </si>
  <si>
    <t>128-69-5223</t>
  </si>
  <si>
    <t>092-62-3713</t>
  </si>
  <si>
    <t>098-82-4609</t>
  </si>
  <si>
    <t>062-58-8710</t>
  </si>
  <si>
    <t>000-00-7590</t>
  </si>
  <si>
    <t>054-64-7860</t>
  </si>
  <si>
    <t>117-66-4502</t>
  </si>
  <si>
    <t>111-44-4994</t>
  </si>
  <si>
    <t>110-82-6081</t>
  </si>
  <si>
    <t>097-76-6239</t>
  </si>
  <si>
    <t>094-56-3704</t>
  </si>
  <si>
    <t>000-00-3768</t>
  </si>
  <si>
    <t>056-60-5379</t>
  </si>
  <si>
    <t>018-86-5014</t>
  </si>
  <si>
    <t>565-57-5353</t>
  </si>
  <si>
    <t>070-80-3213</t>
  </si>
  <si>
    <t>732-20-4759</t>
  </si>
  <si>
    <t>120-94-3103</t>
  </si>
  <si>
    <t>587-36-2325</t>
  </si>
  <si>
    <t>089-82-9866</t>
  </si>
  <si>
    <t>168-76-2600</t>
  </si>
  <si>
    <t>054-86-3355</t>
  </si>
  <si>
    <t>110-78-0022</t>
  </si>
  <si>
    <t>072-58-2888</t>
  </si>
  <si>
    <t>128-56-6474</t>
  </si>
  <si>
    <t>098-80-7771</t>
  </si>
  <si>
    <t>562-37-8999</t>
  </si>
  <si>
    <t>097-40-3668</t>
  </si>
  <si>
    <t>157-80-3601</t>
  </si>
  <si>
    <t>151-92-3244</t>
  </si>
  <si>
    <t>134-94-4776</t>
  </si>
  <si>
    <t>052-02-4827</t>
  </si>
  <si>
    <t>204-25-2738</t>
  </si>
  <si>
    <t>078-72-8653</t>
  </si>
  <si>
    <t>108-76-1353</t>
  </si>
  <si>
    <t>057-02-8667</t>
  </si>
  <si>
    <t>131-94-3359</t>
  </si>
  <si>
    <t>000-00-0634</t>
  </si>
  <si>
    <t>085-56-5177</t>
  </si>
  <si>
    <t>070-58-9030</t>
  </si>
  <si>
    <t>062-02-6135</t>
  </si>
  <si>
    <t>000-00-6615</t>
  </si>
  <si>
    <t>047-98-2023</t>
  </si>
  <si>
    <t>067-70-8458</t>
  </si>
  <si>
    <t>089-68-1455</t>
  </si>
  <si>
    <t>120-90-3690</t>
  </si>
  <si>
    <t>112-72-0664</t>
  </si>
  <si>
    <t>102-58-5219</t>
  </si>
  <si>
    <t>070-58-7867</t>
  </si>
  <si>
    <t>088-62-5754</t>
  </si>
  <si>
    <t>065-88-5382</t>
  </si>
  <si>
    <t>086-72-2995</t>
  </si>
  <si>
    <t>075-68-0642</t>
  </si>
  <si>
    <t>673-04-8806</t>
  </si>
  <si>
    <t>104-56-2006</t>
  </si>
  <si>
    <t>089-98-9277</t>
  </si>
  <si>
    <t>091-64-9908</t>
  </si>
  <si>
    <t>094-62-3300</t>
  </si>
  <si>
    <t>094-66-3109</t>
  </si>
  <si>
    <t>096-56-9764</t>
  </si>
  <si>
    <t>115-52-6605</t>
  </si>
  <si>
    <t>618-35-8668</t>
  </si>
  <si>
    <t>051-60-0790</t>
  </si>
  <si>
    <t>133-58-3032</t>
  </si>
  <si>
    <t>041-90-1232</t>
  </si>
  <si>
    <t>059-58-7878</t>
  </si>
  <si>
    <t>107-86-0951</t>
  </si>
  <si>
    <t>098-58-3477</t>
  </si>
  <si>
    <t>126-50-9775</t>
  </si>
  <si>
    <t>097-56-2174</t>
  </si>
  <si>
    <t>109-66-2686</t>
  </si>
  <si>
    <t>051-60-5913</t>
  </si>
  <si>
    <t>097-56-7787</t>
  </si>
  <si>
    <t>100-58-9207</t>
  </si>
  <si>
    <t>132-70-4659</t>
  </si>
  <si>
    <t>128-46-9210</t>
  </si>
  <si>
    <t>073-60-6586</t>
  </si>
  <si>
    <t>114-60-0074</t>
  </si>
  <si>
    <t>126-56-9597</t>
  </si>
  <si>
    <t>084-58-0784</t>
  </si>
  <si>
    <t>094-46-6038</t>
  </si>
  <si>
    <t>092-64-0752</t>
  </si>
  <si>
    <t>058-80-8568</t>
  </si>
  <si>
    <t>069-62-9676</t>
  </si>
  <si>
    <t>066-96-0421</t>
  </si>
  <si>
    <t>078-76-0861</t>
  </si>
  <si>
    <t>117-56-9577</t>
  </si>
  <si>
    <t>115-80-6486</t>
  </si>
  <si>
    <t>061-66-9828</t>
  </si>
  <si>
    <t>356-85-2801</t>
  </si>
  <si>
    <t>063-78-5005</t>
  </si>
  <si>
    <t>592-03-5421</t>
  </si>
  <si>
    <t>120-62-6650</t>
  </si>
  <si>
    <t>078-52-4545</t>
  </si>
  <si>
    <t>150-98-8301</t>
  </si>
  <si>
    <t>778-84-7693</t>
  </si>
  <si>
    <t>089-02-0329</t>
  </si>
  <si>
    <t>102-66-3903</t>
  </si>
  <si>
    <t>087-70-5730</t>
  </si>
  <si>
    <t>117-84-1912</t>
  </si>
  <si>
    <t>098-78-0228</t>
  </si>
  <si>
    <t>502-94-0045</t>
  </si>
  <si>
    <t>057-86-3392</t>
  </si>
  <si>
    <t>088-70-1174</t>
  </si>
  <si>
    <t>078-68-8908</t>
  </si>
  <si>
    <t>078-56-8425</t>
  </si>
  <si>
    <t>060-76-2435</t>
  </si>
  <si>
    <t>106-50-4390</t>
  </si>
  <si>
    <t>111-68-2832</t>
  </si>
  <si>
    <t>732-01-0975</t>
  </si>
  <si>
    <t>617-96-6713</t>
  </si>
  <si>
    <t>063-72-4216</t>
  </si>
  <si>
    <t>054-40-5007</t>
  </si>
  <si>
    <t>108-60-8852</t>
  </si>
  <si>
    <t>069-54-8548</t>
  </si>
  <si>
    <t>583-89-7141</t>
  </si>
  <si>
    <t>087-64-4748</t>
  </si>
  <si>
    <t>058-50-5702</t>
  </si>
  <si>
    <t>086-52-9506</t>
  </si>
  <si>
    <t>055-58-5672</t>
  </si>
  <si>
    <t>059-58-2325</t>
  </si>
  <si>
    <t>116-52-2850</t>
  </si>
  <si>
    <t>090-84-8536</t>
  </si>
  <si>
    <t>127-66-3068</t>
  </si>
  <si>
    <t>068-76-9185</t>
  </si>
  <si>
    <t>080-58-2243</t>
  </si>
  <si>
    <t>050-70-5889</t>
  </si>
  <si>
    <t>151-94-7000</t>
  </si>
  <si>
    <t>111-96-1571</t>
  </si>
  <si>
    <t>052-58-1202</t>
  </si>
  <si>
    <t>154-66-8902</t>
  </si>
  <si>
    <t>108-74-5045</t>
  </si>
  <si>
    <t>101-98-1762</t>
  </si>
  <si>
    <t>101-90-3812</t>
  </si>
  <si>
    <t>612-42-4270</t>
  </si>
  <si>
    <t>074-58-6680</t>
  </si>
  <si>
    <t>094-58-3956</t>
  </si>
  <si>
    <t>130-72-8745</t>
  </si>
  <si>
    <t>000-00-0214</t>
  </si>
  <si>
    <t>000-00-6760</t>
  </si>
  <si>
    <t>115-90-3854</t>
  </si>
  <si>
    <t>104-54-1265</t>
  </si>
  <si>
    <t>101-76-7562</t>
  </si>
  <si>
    <t>117-56-3625</t>
  </si>
  <si>
    <t>070-80-6409</t>
  </si>
  <si>
    <t>123-58-9136</t>
  </si>
  <si>
    <t>075-72-6943</t>
  </si>
  <si>
    <t>053-68-1940</t>
  </si>
  <si>
    <t>119-86-5571</t>
  </si>
  <si>
    <t>580-04-3719</t>
  </si>
  <si>
    <t>101-64-6690</t>
  </si>
  <si>
    <t>245-15-0391</t>
  </si>
  <si>
    <t>077-58-1358</t>
  </si>
  <si>
    <t>731-03-7622</t>
  </si>
  <si>
    <t>105-70-7111</t>
  </si>
  <si>
    <t>058-64-4800</t>
  </si>
  <si>
    <t>108-60-5084</t>
  </si>
  <si>
    <t>123-76-1083</t>
  </si>
  <si>
    <t>056-76-4360</t>
  </si>
  <si>
    <t>092-66-0388</t>
  </si>
  <si>
    <t>619-48-3789</t>
  </si>
  <si>
    <t>101-68-3715</t>
  </si>
  <si>
    <t>126-50-9074</t>
  </si>
  <si>
    <t>052-62-5787</t>
  </si>
  <si>
    <t>050-54-7894</t>
  </si>
  <si>
    <t>057-58-7777</t>
  </si>
  <si>
    <t>117-68-8378</t>
  </si>
  <si>
    <t>118-66-6868</t>
  </si>
  <si>
    <t>077-54-6495</t>
  </si>
  <si>
    <t>083-90-9494</t>
  </si>
  <si>
    <t>121-76-1885</t>
  </si>
  <si>
    <t>095-98-5341</t>
  </si>
  <si>
    <t>583-15-2256</t>
  </si>
  <si>
    <t>045-04-0378</t>
  </si>
  <si>
    <t>111-66-7226</t>
  </si>
  <si>
    <t>060-66-9013</t>
  </si>
  <si>
    <t>178-76-2980</t>
  </si>
  <si>
    <t>091-96-7497</t>
  </si>
  <si>
    <t>087-92-2869</t>
  </si>
  <si>
    <t>109-48-7449</t>
  </si>
  <si>
    <t>117-88-8602</t>
  </si>
  <si>
    <t>112-82-7959</t>
  </si>
  <si>
    <t>076-94-5152</t>
  </si>
  <si>
    <t>127-86-7880</t>
  </si>
  <si>
    <t>067-60-3079</t>
  </si>
  <si>
    <t>058-64-2990</t>
  </si>
  <si>
    <t>077-22-0693</t>
  </si>
  <si>
    <t>134-68-4268</t>
  </si>
  <si>
    <t>597-68-9140</t>
  </si>
  <si>
    <t>088-54-5564</t>
  </si>
  <si>
    <t>112-88-1236</t>
  </si>
  <si>
    <t>126-76-8395</t>
  </si>
  <si>
    <t>099-86-7411</t>
  </si>
  <si>
    <t>100-70-3380</t>
  </si>
  <si>
    <t>124-70-7722</t>
  </si>
  <si>
    <t>074-62-8677</t>
  </si>
  <si>
    <t>089-54-3407</t>
  </si>
  <si>
    <t>120-56-7922</t>
  </si>
  <si>
    <t>123-42-4299</t>
  </si>
  <si>
    <t>070-58-6543</t>
  </si>
  <si>
    <t>073-74-2796</t>
  </si>
  <si>
    <t>079-40-7898</t>
  </si>
  <si>
    <t>264-92-1758</t>
  </si>
  <si>
    <t>070-46-5583</t>
  </si>
  <si>
    <t>584-08-3286</t>
  </si>
  <si>
    <t>122-80-5608</t>
  </si>
  <si>
    <t>106-66-8618</t>
  </si>
  <si>
    <t>119-78-1168</t>
  </si>
  <si>
    <t>262-93-0699</t>
  </si>
  <si>
    <t>114-68-3550</t>
  </si>
  <si>
    <t>089-86-0039</t>
  </si>
  <si>
    <t>584-97-9052</t>
  </si>
  <si>
    <t>098-84-2564</t>
  </si>
  <si>
    <t>071-82-1687</t>
  </si>
  <si>
    <t>067-64-1155</t>
  </si>
  <si>
    <t>081-66-8033</t>
  </si>
  <si>
    <t>067-88-8257</t>
  </si>
  <si>
    <t>067-64-8634</t>
  </si>
  <si>
    <t>141-52-2879</t>
  </si>
  <si>
    <t>099-48-4990</t>
  </si>
  <si>
    <t>095-74-7488</t>
  </si>
  <si>
    <t>439-13-8150</t>
  </si>
  <si>
    <t>064-56-9288</t>
  </si>
  <si>
    <t>060-58-4309</t>
  </si>
  <si>
    <t>082-58-7533</t>
  </si>
  <si>
    <t>061-54-7681</t>
  </si>
  <si>
    <t>126-60-2476</t>
  </si>
  <si>
    <t>120-74-5250</t>
  </si>
  <si>
    <t>598-52-7423</t>
  </si>
  <si>
    <t>102-66-9527</t>
  </si>
  <si>
    <t>041-48-5332</t>
  </si>
  <si>
    <t>124-36-9787</t>
  </si>
  <si>
    <t>587-49-6492</t>
  </si>
  <si>
    <t>128-70-3312</t>
  </si>
  <si>
    <t>061-70-2322</t>
  </si>
  <si>
    <t>098-98-9501</t>
  </si>
  <si>
    <t>080-84-5229</t>
  </si>
  <si>
    <t>131-54-2121</t>
  </si>
  <si>
    <t>268-58-1948</t>
  </si>
  <si>
    <t>227-75-5421</t>
  </si>
  <si>
    <t>089-54-7188</t>
  </si>
  <si>
    <t>090-66-3629</t>
  </si>
  <si>
    <t>127-62-7439</t>
  </si>
  <si>
    <t>571-45-4429</t>
  </si>
  <si>
    <t>133-58-5169</t>
  </si>
  <si>
    <t>126-46-7114</t>
  </si>
  <si>
    <t>170-23-8625</t>
  </si>
  <si>
    <t>128-58-7577</t>
  </si>
  <si>
    <t>107-70-2763</t>
  </si>
  <si>
    <t>598-09-9388</t>
  </si>
  <si>
    <t>097-30-1594</t>
  </si>
  <si>
    <t>087-52-8907</t>
  </si>
  <si>
    <t>090-72-3222</t>
  </si>
  <si>
    <t>582-58-2794</t>
  </si>
  <si>
    <t>078-70-2318</t>
  </si>
  <si>
    <t>120-80-0204</t>
  </si>
  <si>
    <t>094-58-1320</t>
  </si>
  <si>
    <t>130-32-4630</t>
  </si>
  <si>
    <t>090-90-1372</t>
  </si>
  <si>
    <t>581-39-4268</t>
  </si>
  <si>
    <t>054-56-7384</t>
  </si>
  <si>
    <t>598-18-6322</t>
  </si>
  <si>
    <t>133-66-5074</t>
  </si>
  <si>
    <t>131-88-4770</t>
  </si>
  <si>
    <t>584-57-7771</t>
  </si>
  <si>
    <t>098-56-3164</t>
  </si>
  <si>
    <t>584-53-0563</t>
  </si>
  <si>
    <t>060-92-5089</t>
  </si>
  <si>
    <t>069-58-3444</t>
  </si>
  <si>
    <t>257-04-0672</t>
  </si>
  <si>
    <t>264-95-8500</t>
  </si>
  <si>
    <t>114-60-0279</t>
  </si>
  <si>
    <t>119-66-8456</t>
  </si>
  <si>
    <t>129-62-1216</t>
  </si>
  <si>
    <t>078-54-3044</t>
  </si>
  <si>
    <t>598-32-5713</t>
  </si>
  <si>
    <t>580-16-9290</t>
  </si>
  <si>
    <t>096-56-8778</t>
  </si>
  <si>
    <t>118-80-4401</t>
  </si>
  <si>
    <t>064-70-2624</t>
  </si>
  <si>
    <t>119-68-1483</t>
  </si>
  <si>
    <t>122-46-9252</t>
  </si>
  <si>
    <t>106-82-1244</t>
  </si>
  <si>
    <t>090-34-6179</t>
  </si>
  <si>
    <t>116-44-7745</t>
  </si>
  <si>
    <t>060-58-9695</t>
  </si>
  <si>
    <t>065-60-2461</t>
  </si>
  <si>
    <t>095-56-7549</t>
  </si>
  <si>
    <t>089-64-5832</t>
  </si>
  <si>
    <t>105-58-4719</t>
  </si>
  <si>
    <t>583-20-3861</t>
  </si>
  <si>
    <t>083-74-8344</t>
  </si>
  <si>
    <t>051-44-1357</t>
  </si>
  <si>
    <t>128-62-7121</t>
  </si>
  <si>
    <t>059-60-3785</t>
  </si>
  <si>
    <t>129-82-5332</t>
  </si>
  <si>
    <t>050-68-9744</t>
  </si>
  <si>
    <t>101-84-8874</t>
  </si>
  <si>
    <t>093-84-1205</t>
  </si>
  <si>
    <t>072-70-8004</t>
  </si>
  <si>
    <t>114-56-7600</t>
  </si>
  <si>
    <t>113-80-0724</t>
  </si>
  <si>
    <t>080-56-4778</t>
  </si>
  <si>
    <t>057-50-7484</t>
  </si>
  <si>
    <t>598-01-9855</t>
  </si>
  <si>
    <t>083-60-8246</t>
  </si>
  <si>
    <t>579-78-0674</t>
  </si>
  <si>
    <t>063-99-5992</t>
  </si>
  <si>
    <t>036-70-6970</t>
  </si>
  <si>
    <t>111-88-6866</t>
  </si>
  <si>
    <t>118-40-1779</t>
  </si>
  <si>
    <t>590-71-1635</t>
  </si>
  <si>
    <t>119-64-4480</t>
  </si>
  <si>
    <t>011-23-8306</t>
  </si>
  <si>
    <t>131-44-1848</t>
  </si>
  <si>
    <t>114-56-0496</t>
  </si>
  <si>
    <t>040-66-0266</t>
  </si>
  <si>
    <t>427-02-9235</t>
  </si>
  <si>
    <t>114-64-8527</t>
  </si>
  <si>
    <t>066-58-9399</t>
  </si>
  <si>
    <t>092-66-9996</t>
  </si>
  <si>
    <t>062-56-4122</t>
  </si>
  <si>
    <t>077-42-1910</t>
  </si>
  <si>
    <t>097-46-4066</t>
  </si>
  <si>
    <t>086-86-4978</t>
  </si>
  <si>
    <t>051-82-3570</t>
  </si>
  <si>
    <t>103-70-5919</t>
  </si>
  <si>
    <t>091-52-0807</t>
  </si>
  <si>
    <t>068-56-4028</t>
  </si>
  <si>
    <t>121-84-6027</t>
  </si>
  <si>
    <t>079-62-9332</t>
  </si>
  <si>
    <t>584-52-3029</t>
  </si>
  <si>
    <t>107-66-0018</t>
  </si>
  <si>
    <t>583-16-6470</t>
  </si>
  <si>
    <t>070-52-7819</t>
  </si>
  <si>
    <t>082-58-3470</t>
  </si>
  <si>
    <t>080-98-5183</t>
  </si>
  <si>
    <t>121-56-4694</t>
  </si>
  <si>
    <t>081-56-7233</t>
  </si>
  <si>
    <t>073-50-5837</t>
  </si>
  <si>
    <t>072-58-2738</t>
  </si>
  <si>
    <t>100-52-7948</t>
  </si>
  <si>
    <t>095-52-1829</t>
  </si>
  <si>
    <t>091-42-0419</t>
  </si>
  <si>
    <t>584-07-4877</t>
  </si>
  <si>
    <t>071-64-1848</t>
  </si>
  <si>
    <t>591-54-8293</t>
  </si>
  <si>
    <t>154-96-0555</t>
  </si>
  <si>
    <t>131-58-0925</t>
  </si>
  <si>
    <t>582-88-7519</t>
  </si>
  <si>
    <t>583-54-9823</t>
  </si>
  <si>
    <t>132-58-5078</t>
  </si>
  <si>
    <t>123-82-6213</t>
  </si>
  <si>
    <t>129-88-1526</t>
  </si>
  <si>
    <t>050-38-3713</t>
  </si>
  <si>
    <t>091-40-5580</t>
  </si>
  <si>
    <t>075-44-4072</t>
  </si>
  <si>
    <t>109-40-1629</t>
  </si>
  <si>
    <t>552-23-3022</t>
  </si>
  <si>
    <t>553-13-3526</t>
  </si>
  <si>
    <t>133-56-8298</t>
  </si>
  <si>
    <t>116-68-2410</t>
  </si>
  <si>
    <t>082-46-0247</t>
  </si>
  <si>
    <t>090-68-1494</t>
  </si>
  <si>
    <t>084-36-8606</t>
  </si>
  <si>
    <t>006-40-9368</t>
  </si>
  <si>
    <t>055-48-1819</t>
  </si>
  <si>
    <t>070-40-3145</t>
  </si>
  <si>
    <t>020-62-8738</t>
  </si>
  <si>
    <t>071-86-4001</t>
  </si>
  <si>
    <t>583-23-3749</t>
  </si>
  <si>
    <t>081-46-5204</t>
  </si>
  <si>
    <t>583-67-1712</t>
  </si>
  <si>
    <t>038-50-3253</t>
  </si>
  <si>
    <t>090-60-5962</t>
  </si>
  <si>
    <t>083-98-0467</t>
  </si>
  <si>
    <t>693-16-2188</t>
  </si>
  <si>
    <t>000-00-5961</t>
  </si>
  <si>
    <t>088-52-8780</t>
  </si>
  <si>
    <t>124-48-7173</t>
  </si>
  <si>
    <t>250-16-6879</t>
  </si>
  <si>
    <t>100-86-5662</t>
  </si>
  <si>
    <t>099-56-9455</t>
  </si>
  <si>
    <t>118-44-5329</t>
  </si>
  <si>
    <t>088-82-5748</t>
  </si>
  <si>
    <t>045-86-5294</t>
  </si>
  <si>
    <t>377-88-6199</t>
  </si>
  <si>
    <t>256-72-1058</t>
  </si>
  <si>
    <t>076-54-8412</t>
  </si>
  <si>
    <t>079-84-5714</t>
  </si>
  <si>
    <t>114-68-3712</t>
  </si>
  <si>
    <t>105-86-2630</t>
  </si>
  <si>
    <t>075-70-7231</t>
  </si>
  <si>
    <t>063-54-1845</t>
  </si>
  <si>
    <t>098-68-8473</t>
  </si>
  <si>
    <t>611-78-7081</t>
  </si>
  <si>
    <t>103-28-8469</t>
  </si>
  <si>
    <t>594-01-0763</t>
  </si>
  <si>
    <t>731-01-6266</t>
  </si>
  <si>
    <t>685-44-8132</t>
  </si>
  <si>
    <t>147-11-9870</t>
  </si>
  <si>
    <t>000-00-1769</t>
  </si>
  <si>
    <t>083-46-6466</t>
  </si>
  <si>
    <t>096-58-3019</t>
  </si>
  <si>
    <t>068-72-0410</t>
  </si>
  <si>
    <t>766-20-5401</t>
  </si>
  <si>
    <t>110-86-0540</t>
  </si>
  <si>
    <t>112-74-1725</t>
  </si>
  <si>
    <t>709-67-2347</t>
  </si>
  <si>
    <t>057-58-1206</t>
  </si>
  <si>
    <t>069-50-0950</t>
  </si>
  <si>
    <t>057-60-1532</t>
  </si>
  <si>
    <t>135-13-2934</t>
  </si>
  <si>
    <t>082-68-0219</t>
  </si>
  <si>
    <t>238-96-0135</t>
  </si>
  <si>
    <t>069-68-6602</t>
  </si>
  <si>
    <t>037-60-9283</t>
  </si>
  <si>
    <t>063-88-1640</t>
  </si>
  <si>
    <t>373-25-7192</t>
  </si>
  <si>
    <t>101-68-1828</t>
  </si>
  <si>
    <t>570-59-2305</t>
  </si>
  <si>
    <t>051-72-9794</t>
  </si>
  <si>
    <t>083-72-8387</t>
  </si>
  <si>
    <t>430-79-3756</t>
  </si>
  <si>
    <t>105-46-5265</t>
  </si>
  <si>
    <t>500-19-3895</t>
  </si>
  <si>
    <t>741-04-8434</t>
  </si>
  <si>
    <t>084-56-6428</t>
  </si>
  <si>
    <t>060-66-4045</t>
  </si>
  <si>
    <t>060-54-3247</t>
  </si>
  <si>
    <t>065-58-2370</t>
  </si>
  <si>
    <t>119-56-8769</t>
  </si>
  <si>
    <t>766-49-8785</t>
  </si>
  <si>
    <t>082-02-9275</t>
  </si>
  <si>
    <t>000-00-7216</t>
  </si>
  <si>
    <t>127-62-8926</t>
  </si>
  <si>
    <t>096-68-6113</t>
  </si>
  <si>
    <t>154-76-3581</t>
  </si>
  <si>
    <t>057-84-1407</t>
  </si>
  <si>
    <t>110-50-4700</t>
  </si>
  <si>
    <t>122-92-9571</t>
  </si>
  <si>
    <t>087-50-5640</t>
  </si>
  <si>
    <t>079-60-0010</t>
  </si>
  <si>
    <t>598-16-7837</t>
  </si>
  <si>
    <t>092-82-5997</t>
  </si>
  <si>
    <t>105-94-1709</t>
  </si>
  <si>
    <t>103-66-8913</t>
  </si>
  <si>
    <t>064-56-2791</t>
  </si>
  <si>
    <t>731-12-0823</t>
  </si>
  <si>
    <t>050-90-4665</t>
  </si>
  <si>
    <t>098-58-9463</t>
  </si>
  <si>
    <t>086-58-0031</t>
  </si>
  <si>
    <t>073-62-1482</t>
  </si>
  <si>
    <t>106-76-4351</t>
  </si>
  <si>
    <t>672-34-0050</t>
  </si>
  <si>
    <t>078-68-7457</t>
  </si>
  <si>
    <t>126-92-2117</t>
  </si>
  <si>
    <t>113-90-0545</t>
  </si>
  <si>
    <t>050-96-3260</t>
  </si>
  <si>
    <t>000-00-7163</t>
  </si>
  <si>
    <t>096-46-5282</t>
  </si>
  <si>
    <t>065-02-5228</t>
  </si>
  <si>
    <t>103-58-9121</t>
  </si>
  <si>
    <t>069-36-8847</t>
  </si>
  <si>
    <t>063-78-3563</t>
  </si>
  <si>
    <t>108-48-4045</t>
  </si>
  <si>
    <t>101-74-0225</t>
  </si>
  <si>
    <t>248-08-3303</t>
  </si>
  <si>
    <t>056-56-5309</t>
  </si>
  <si>
    <t>113-88-7087</t>
  </si>
  <si>
    <t>088-62-3285</t>
  </si>
  <si>
    <t>124-64-2855</t>
  </si>
  <si>
    <t>122-66-5089</t>
  </si>
  <si>
    <t>131-66-8029</t>
  </si>
  <si>
    <t>133-90-9528</t>
  </si>
  <si>
    <t>074-44-7191</t>
  </si>
  <si>
    <t>113-70-9056</t>
  </si>
  <si>
    <t>000-00-6309</t>
  </si>
  <si>
    <t>133-96-8598</t>
  </si>
  <si>
    <t>242-68-3277</t>
  </si>
  <si>
    <t>051-90-3096</t>
  </si>
  <si>
    <t>062-78-5730</t>
  </si>
  <si>
    <t>112-76-0386</t>
  </si>
  <si>
    <t>086-66-3609</t>
  </si>
  <si>
    <t>071-76-5501</t>
  </si>
  <si>
    <t>082-84-6040</t>
  </si>
  <si>
    <t>583-59-7177</t>
  </si>
  <si>
    <t>086-58-7064</t>
  </si>
  <si>
    <t>580-08-3235</t>
  </si>
  <si>
    <t>096-76-2304</t>
  </si>
  <si>
    <t>118-46-5849</t>
  </si>
  <si>
    <t>101-98-7674</t>
  </si>
  <si>
    <t>079-60-5154</t>
  </si>
  <si>
    <t>064-58-8598</t>
  </si>
  <si>
    <t>070-70-4295</t>
  </si>
  <si>
    <t>646-83-6634</t>
  </si>
  <si>
    <t>110-60-4539</t>
  </si>
  <si>
    <t>083-58-5375</t>
  </si>
  <si>
    <t>110-80-3549</t>
  </si>
  <si>
    <t>126-54-8172</t>
  </si>
  <si>
    <t>582-23-4012</t>
  </si>
  <si>
    <t>072-44-2807</t>
  </si>
  <si>
    <t>083-86-5042</t>
  </si>
  <si>
    <t>050-70-2508</t>
  </si>
  <si>
    <t>129-56-5517</t>
  </si>
  <si>
    <t>000-00-0127</t>
  </si>
  <si>
    <t>113-56-1529</t>
  </si>
  <si>
    <t>583-95-5306</t>
  </si>
  <si>
    <t>094-58-2377</t>
  </si>
  <si>
    <t>000-00-6407</t>
  </si>
  <si>
    <t>064-82-0688</t>
  </si>
  <si>
    <t>124-96-6483</t>
  </si>
  <si>
    <t>088-86-5102</t>
  </si>
  <si>
    <t>109-78-4414</t>
  </si>
  <si>
    <t>097-96-8389</t>
  </si>
  <si>
    <t>073-62-7430</t>
  </si>
  <si>
    <t>076-66-9474</t>
  </si>
  <si>
    <t>322-54-5541</t>
  </si>
  <si>
    <t>124-88-9917</t>
  </si>
  <si>
    <t>898-49-0941</t>
  </si>
  <si>
    <t>065-58-5015</t>
  </si>
  <si>
    <t>124-60-4367</t>
  </si>
  <si>
    <t>064-72-6490</t>
  </si>
  <si>
    <t>090-40-9189</t>
  </si>
  <si>
    <t>052-92-7820</t>
  </si>
  <si>
    <t>053-40-1053</t>
  </si>
  <si>
    <t>096-70-2527</t>
  </si>
  <si>
    <t>574-35-2034</t>
  </si>
  <si>
    <t>417-56-7433</t>
  </si>
  <si>
    <t>084-56-1786</t>
  </si>
  <si>
    <t>118-68-4588</t>
  </si>
  <si>
    <t>080-58-3640</t>
  </si>
  <si>
    <t>062-66-3818</t>
  </si>
  <si>
    <t>691-37-3976</t>
  </si>
  <si>
    <t>074-90-9034</t>
  </si>
  <si>
    <t>051-76-8141</t>
  </si>
  <si>
    <t>079-84-9810</t>
  </si>
  <si>
    <t>090-76-0133</t>
  </si>
  <si>
    <t>057-84-7056</t>
  </si>
  <si>
    <t>586-33-1121</t>
  </si>
  <si>
    <t>090-84-1156</t>
  </si>
  <si>
    <t>073-74-1372</t>
  </si>
  <si>
    <t>116-68-8053</t>
  </si>
  <si>
    <t>092-70-6247</t>
  </si>
  <si>
    <t>095-58-6506</t>
  </si>
  <si>
    <t>079-76-1430</t>
  </si>
  <si>
    <t>062-58-7425</t>
  </si>
  <si>
    <t>063-94-2348</t>
  </si>
  <si>
    <t>420-82-9814</t>
  </si>
  <si>
    <t>068-02-7826</t>
  </si>
  <si>
    <t>123-52-0020</t>
  </si>
  <si>
    <t>077-58-3195</t>
  </si>
  <si>
    <t>070-58-6766</t>
  </si>
  <si>
    <t>095-78-7647</t>
  </si>
  <si>
    <t>102-98-2065</t>
  </si>
  <si>
    <t>058-58-9783</t>
  </si>
  <si>
    <t>118-50-0945</t>
  </si>
  <si>
    <t>072-92-8463</t>
  </si>
  <si>
    <t>058-68-5861</t>
  </si>
  <si>
    <t>094-30-0378</t>
  </si>
  <si>
    <t>156-64-5588</t>
  </si>
  <si>
    <t>125-84-2959</t>
  </si>
  <si>
    <t>111-46-7139</t>
  </si>
  <si>
    <t>102-56-0370</t>
  </si>
  <si>
    <t>590-70-0408</t>
  </si>
  <si>
    <t>107-60-9853</t>
  </si>
  <si>
    <t>079-46-7006</t>
  </si>
  <si>
    <t>060-70-1076</t>
  </si>
  <si>
    <t>106-60-8320</t>
  </si>
  <si>
    <t>249-11-6071</t>
  </si>
  <si>
    <t>085-66-5517</t>
  </si>
  <si>
    <t>050-90-0088</t>
  </si>
  <si>
    <t>063-58-3744</t>
  </si>
  <si>
    <t>075-72-9612</t>
  </si>
  <si>
    <t>103-48-7936</t>
  </si>
  <si>
    <t>132-90-8651</t>
  </si>
  <si>
    <t>058-76-4870</t>
  </si>
  <si>
    <t>069-78-0382</t>
  </si>
  <si>
    <t>111-60-5783</t>
  </si>
  <si>
    <t>103-84-7847</t>
  </si>
  <si>
    <t>106-68-9795</t>
  </si>
  <si>
    <t>598-52-6650</t>
  </si>
  <si>
    <t>691-47-3625</t>
  </si>
  <si>
    <t>711-84-9275</t>
  </si>
  <si>
    <t>120-54-8932</t>
  </si>
  <si>
    <t>089-82-7270</t>
  </si>
  <si>
    <t>099-88-1606</t>
  </si>
  <si>
    <t>087-38-4341</t>
  </si>
  <si>
    <t>066-66-3114</t>
  </si>
  <si>
    <t>324-47-8551</t>
  </si>
  <si>
    <t>124-48-3696</t>
  </si>
  <si>
    <t>126-70-7984</t>
  </si>
  <si>
    <t>053-94-7031</t>
  </si>
  <si>
    <t>133-88-0842</t>
  </si>
  <si>
    <t>589-79-5841</t>
  </si>
  <si>
    <t>769-52-7169</t>
  </si>
  <si>
    <t>084-40-6019</t>
  </si>
  <si>
    <t>095-58-3276</t>
  </si>
  <si>
    <t>099-88-9742</t>
  </si>
  <si>
    <t>118-70-0239</t>
  </si>
  <si>
    <t>523-79-8489</t>
  </si>
  <si>
    <t>063-74-6753</t>
  </si>
  <si>
    <t>561-70-2782</t>
  </si>
  <si>
    <t>123-88-2878</t>
  </si>
  <si>
    <t>121-76-8606</t>
  </si>
  <si>
    <t>065-96-1465</t>
  </si>
  <si>
    <t>096-64-9252</t>
  </si>
  <si>
    <t>124-84-9942</t>
  </si>
  <si>
    <t>058-58-6254</t>
  </si>
  <si>
    <t>130-60-9884</t>
  </si>
  <si>
    <t>118-56-2374</t>
  </si>
  <si>
    <t>084-78-2051</t>
  </si>
  <si>
    <t>083-82-9591</t>
  </si>
  <si>
    <t>159-72-3199</t>
  </si>
  <si>
    <t>095-76-2639</t>
  </si>
  <si>
    <t>096-48-8179</t>
  </si>
  <si>
    <t>731-03-6150</t>
  </si>
  <si>
    <t>244-08-9724</t>
  </si>
  <si>
    <t>078-82-0956</t>
  </si>
  <si>
    <t>098-48-5409</t>
  </si>
  <si>
    <t>130-64-2142</t>
  </si>
  <si>
    <t>131-74-2298</t>
  </si>
  <si>
    <t>057-88-6806</t>
  </si>
  <si>
    <t>152-84-0637</t>
  </si>
  <si>
    <t>107-64-9982</t>
  </si>
  <si>
    <t>103-46-1869</t>
  </si>
  <si>
    <t>129-56-8348</t>
  </si>
  <si>
    <t>000-00-8993</t>
  </si>
  <si>
    <t>060-58-1447</t>
  </si>
  <si>
    <t>111-62-8620</t>
  </si>
  <si>
    <t>103-86-4885</t>
  </si>
  <si>
    <t>100-42-0062</t>
  </si>
  <si>
    <t>056-56-5891</t>
  </si>
  <si>
    <t>157-80-1043</t>
  </si>
  <si>
    <t>090-58-9288</t>
  </si>
  <si>
    <t>115-68-4799</t>
  </si>
  <si>
    <t>059-74-5659</t>
  </si>
  <si>
    <t>130-60-0021</t>
  </si>
  <si>
    <t>127-76-3882</t>
  </si>
  <si>
    <t>052-88-8572</t>
  </si>
  <si>
    <t>056-50-4503</t>
  </si>
  <si>
    <t>088-68-0053</t>
  </si>
  <si>
    <t>117-56-2288</t>
  </si>
  <si>
    <t>084-56-5301</t>
  </si>
  <si>
    <t>091-82-6365</t>
  </si>
  <si>
    <t>053-78-5931</t>
  </si>
  <si>
    <t>720-74-5961</t>
  </si>
  <si>
    <t>116-68-4095</t>
  </si>
  <si>
    <t>120-68-6525</t>
  </si>
  <si>
    <t>058-60-9824</t>
  </si>
  <si>
    <t>054-92-5164</t>
  </si>
  <si>
    <t>063-78-4635</t>
  </si>
  <si>
    <t>057-84-7972</t>
  </si>
  <si>
    <t>449-19-8968</t>
  </si>
  <si>
    <t>091-58-0537</t>
  </si>
  <si>
    <t>085-44-1655</t>
  </si>
  <si>
    <t>093-62-0854</t>
  </si>
  <si>
    <t>876-85-4460</t>
  </si>
  <si>
    <t>000-00-7736</t>
  </si>
  <si>
    <t>065-58-8771</t>
  </si>
  <si>
    <t>122-40-7661</t>
  </si>
  <si>
    <t>058-48-9956</t>
  </si>
  <si>
    <t>098-96-9727</t>
  </si>
  <si>
    <t>093-90-9933</t>
  </si>
  <si>
    <t>108-60-0300</t>
  </si>
  <si>
    <t>074-80-2152</t>
  </si>
  <si>
    <t>130-42-6136</t>
  </si>
  <si>
    <t>077-44-3456</t>
  </si>
  <si>
    <t>822-50-4209</t>
  </si>
  <si>
    <t>062-58-1705</t>
  </si>
  <si>
    <t>067-66-6357</t>
  </si>
  <si>
    <t>941-88-0186</t>
  </si>
  <si>
    <t>054-58-8420</t>
  </si>
  <si>
    <t>112-52-5280</t>
  </si>
  <si>
    <t>108-90-5966</t>
  </si>
  <si>
    <t>099-64-5464</t>
  </si>
  <si>
    <t>109-94-7585</t>
  </si>
  <si>
    <t>128-82-2653</t>
  </si>
  <si>
    <t>126-52-6253</t>
  </si>
  <si>
    <t>084-42-1070</t>
  </si>
  <si>
    <t>077-68-9112</t>
  </si>
  <si>
    <t>082-84-6186</t>
  </si>
  <si>
    <t>051-38-4529</t>
  </si>
  <si>
    <t>114-96-7528</t>
  </si>
  <si>
    <t>142-66-3704</t>
  </si>
  <si>
    <t>000-00-9654</t>
  </si>
  <si>
    <t>124-82-4641</t>
  </si>
  <si>
    <t>091-80-8140</t>
  </si>
  <si>
    <t>127-60-0446</t>
  </si>
  <si>
    <t>105-68-6294</t>
  </si>
  <si>
    <t>091-48-2060</t>
  </si>
  <si>
    <t>074-84-8231</t>
  </si>
  <si>
    <t>058-60-6529</t>
  </si>
  <si>
    <t>121-48-3029</t>
  </si>
  <si>
    <t>058-70-9793</t>
  </si>
  <si>
    <t>119-98-8759</t>
  </si>
  <si>
    <t>112-84-2369</t>
  </si>
  <si>
    <t>110-64-1450</t>
  </si>
  <si>
    <t>104-92-6160</t>
  </si>
  <si>
    <t>141-78-4009</t>
  </si>
  <si>
    <t>099-66-0555</t>
  </si>
  <si>
    <t>127-66-4001</t>
  </si>
  <si>
    <t>062-94-2663</t>
  </si>
  <si>
    <t>000-00-0517</t>
  </si>
  <si>
    <t>127-76-5318</t>
  </si>
  <si>
    <t>071-88-4675</t>
  </si>
  <si>
    <t>325-90-8011</t>
  </si>
  <si>
    <t>058-58-7362</t>
  </si>
  <si>
    <t>056-80-7825</t>
  </si>
  <si>
    <t>101-52-3818</t>
  </si>
  <si>
    <t>122-64-5045</t>
  </si>
  <si>
    <t>130-88-1779</t>
  </si>
  <si>
    <t>077-64-1756</t>
  </si>
  <si>
    <t>241-31-8230</t>
  </si>
  <si>
    <t>113-80-7028</t>
  </si>
  <si>
    <t>100-56-2313</t>
  </si>
  <si>
    <t>064-48-8713</t>
  </si>
  <si>
    <t>054-54-3068</t>
  </si>
  <si>
    <t>098-48-1039</t>
  </si>
  <si>
    <t>591-10-9797</t>
  </si>
  <si>
    <t>065-98-2164</t>
  </si>
  <si>
    <t>114-92-6705</t>
  </si>
  <si>
    <t>069-64-5982</t>
  </si>
  <si>
    <t>120-64-4755</t>
  </si>
  <si>
    <t>582-80-4582</t>
  </si>
  <si>
    <t>423-48-4634</t>
  </si>
  <si>
    <t>597-14-5220</t>
  </si>
  <si>
    <t>120-52-9945</t>
  </si>
  <si>
    <t>122-26-4117</t>
  </si>
  <si>
    <t>581-53-2280</t>
  </si>
  <si>
    <t>092-80-0572</t>
  </si>
  <si>
    <t>079-74-3300</t>
  </si>
  <si>
    <t>130-64-0671</t>
  </si>
  <si>
    <t>064-94-6632</t>
  </si>
  <si>
    <t>128-58-5815</t>
  </si>
  <si>
    <t>076-46-6695</t>
  </si>
  <si>
    <t>099-56-2975</t>
  </si>
  <si>
    <t>118-94-9395</t>
  </si>
  <si>
    <t>099-62-8279</t>
  </si>
  <si>
    <t>123-68-9577</t>
  </si>
  <si>
    <t>084-74-4436</t>
  </si>
  <si>
    <t>231-02-6878</t>
  </si>
  <si>
    <t>075-44-2502</t>
  </si>
  <si>
    <t>109-82-8251</t>
  </si>
  <si>
    <t>093-66-0720</t>
  </si>
  <si>
    <t>108-54-4962</t>
  </si>
  <si>
    <t>079-56-6550</t>
  </si>
  <si>
    <t>074-62-1096</t>
  </si>
  <si>
    <t>062-44-2816</t>
  </si>
  <si>
    <t>000-00-9307</t>
  </si>
  <si>
    <t>112-60-6284</t>
  </si>
  <si>
    <t>157-52-9303</t>
  </si>
  <si>
    <t>895-74-5218</t>
  </si>
  <si>
    <t>121-52-4439</t>
  </si>
  <si>
    <t>130-66-2477</t>
  </si>
  <si>
    <t>553-75-7115</t>
  </si>
  <si>
    <t>449-63-4687</t>
  </si>
  <si>
    <t>059-60-0684</t>
  </si>
  <si>
    <t>043-46-7970</t>
  </si>
  <si>
    <t>092-58-1884</t>
  </si>
  <si>
    <t>088-56-2760</t>
  </si>
  <si>
    <t>087-58-5089</t>
  </si>
  <si>
    <t>106-36-5349</t>
  </si>
  <si>
    <t>051-36-7081</t>
  </si>
  <si>
    <t>061-68-9397</t>
  </si>
  <si>
    <t>098-48-1323</t>
  </si>
  <si>
    <t>128-80-5920</t>
  </si>
  <si>
    <t>000-00-9114</t>
  </si>
  <si>
    <t>098-56-3262</t>
  </si>
  <si>
    <t>082-66-5942</t>
  </si>
  <si>
    <t>242-31-3012</t>
  </si>
  <si>
    <t>060-80-7160</t>
  </si>
  <si>
    <t>000-00-3157</t>
  </si>
  <si>
    <t>107-62-3292</t>
  </si>
  <si>
    <t>096-46-5313</t>
  </si>
  <si>
    <t>097-74-7068</t>
  </si>
  <si>
    <t>073-56-2898</t>
  </si>
  <si>
    <t>115-66-1735</t>
  </si>
  <si>
    <t>073-92-8368</t>
  </si>
  <si>
    <t>058-58-8667</t>
  </si>
  <si>
    <t>262-63-6872</t>
  </si>
  <si>
    <t>099-78-6640</t>
  </si>
  <si>
    <t>092-68-8393</t>
  </si>
  <si>
    <t>133-70-2172</t>
  </si>
  <si>
    <t>106-56-3592</t>
  </si>
  <si>
    <t>070-44-8371</t>
  </si>
  <si>
    <t>523-79-7621</t>
  </si>
  <si>
    <t>091-56-0965</t>
  </si>
  <si>
    <t>058-58-5356</t>
  </si>
  <si>
    <t>059-70-2497</t>
  </si>
  <si>
    <t>106-62-5375</t>
  </si>
  <si>
    <t>076-74-6615</t>
  </si>
  <si>
    <t>000-00-5808</t>
  </si>
  <si>
    <t>115-56-5159</t>
  </si>
  <si>
    <t>000-00-8736</t>
  </si>
  <si>
    <t>086-66-2650</t>
  </si>
  <si>
    <t>079-88-3563</t>
  </si>
  <si>
    <t>064-58-4390</t>
  </si>
  <si>
    <t>072-56-2719</t>
  </si>
  <si>
    <t>598-20-6414</t>
  </si>
  <si>
    <t>071-48-7598</t>
  </si>
  <si>
    <t>128-66-9210</t>
  </si>
  <si>
    <t>111-60-9031</t>
  </si>
  <si>
    <t>057-58-8627</t>
  </si>
  <si>
    <t>051-56-8784</t>
  </si>
  <si>
    <t>074-68-3568</t>
  </si>
  <si>
    <t>091-72-9748</t>
  </si>
  <si>
    <t>053-56-8391</t>
  </si>
  <si>
    <t>043-90-5832</t>
  </si>
  <si>
    <t>088-90-0969</t>
  </si>
  <si>
    <t>118-44-9523</t>
  </si>
  <si>
    <t>105-56-7824</t>
  </si>
  <si>
    <t>539-06-9985</t>
  </si>
  <si>
    <t>041-66-0804</t>
  </si>
  <si>
    <t>108-78-8589</t>
  </si>
  <si>
    <t>134-70-5522</t>
  </si>
  <si>
    <t>128-48-3852</t>
  </si>
  <si>
    <t>647-96-2587</t>
  </si>
  <si>
    <t>085-60-5786</t>
  </si>
  <si>
    <t>563-77-9158</t>
  </si>
  <si>
    <t>101-76-1048</t>
  </si>
  <si>
    <t>092-80-4639</t>
  </si>
  <si>
    <t>116-68-1435</t>
  </si>
  <si>
    <t>052-54-5396</t>
  </si>
  <si>
    <t>102-48-7935</t>
  </si>
  <si>
    <t>115-50-3287</t>
  </si>
  <si>
    <t>Unregulated</t>
  </si>
  <si>
    <t>Rent Stabilized</t>
  </si>
  <si>
    <t>Rent Controlled</t>
  </si>
  <si>
    <t>Public Housing</t>
  </si>
  <si>
    <t>Project-based Sec. 8</t>
  </si>
  <si>
    <t>Unregulated – Other</t>
  </si>
  <si>
    <t>Mitchell-Lama</t>
  </si>
  <si>
    <t>Supportive Housing</t>
  </si>
  <si>
    <t>Unregulated – Co-Op</t>
  </si>
  <si>
    <t>HDFC</t>
  </si>
  <si>
    <t>Other Subsidized Housing</t>
  </si>
  <si>
    <t>Low Income Tax Credit</t>
  </si>
  <si>
    <t>Public Housing/NYCHA</t>
  </si>
  <si>
    <t>Tenant-interim-lease</t>
  </si>
  <si>
    <t>Unregulated – Sublet</t>
  </si>
  <si>
    <t>LINC</t>
  </si>
  <si>
    <t>Section 8</t>
  </si>
  <si>
    <t>SEPS</t>
  </si>
  <si>
    <t>City FEPS</t>
  </si>
  <si>
    <t>FEPS</t>
  </si>
  <si>
    <t>DRIE/SCRIE</t>
  </si>
  <si>
    <t>Pathways Home</t>
  </si>
  <si>
    <t>HASA</t>
  </si>
  <si>
    <t>HUD VASH</t>
  </si>
  <si>
    <t>11/28/2016</t>
  </si>
  <si>
    <t>07/11/2018</t>
  </si>
  <si>
    <t>03/16/2017</t>
  </si>
  <si>
    <t>08/29/2016</t>
  </si>
  <si>
    <t>02/28/2017</t>
  </si>
  <si>
    <t>01/19/2017</t>
  </si>
  <si>
    <t>08/22/2016</t>
  </si>
  <si>
    <t>05/03/2017</t>
  </si>
  <si>
    <t>04/23/2015</t>
  </si>
  <si>
    <t>08/01/2016</t>
  </si>
  <si>
    <t>01/11/2017</t>
  </si>
  <si>
    <t>08/31/2016</t>
  </si>
  <si>
    <t>12/12/2016</t>
  </si>
  <si>
    <t>08/10/2016</t>
  </si>
  <si>
    <t>07/17/2016</t>
  </si>
  <si>
    <t>CAT1: HRA Referral</t>
  </si>
  <si>
    <t>FJC Waiver</t>
  </si>
  <si>
    <t>CAT3: Cases Involving Rent-Regulated Housing Or Housing Subsidies Vouchers</t>
  </si>
  <si>
    <t>CAT2: Housing Court Referral</t>
  </si>
  <si>
    <t>Income Waiver</t>
  </si>
  <si>
    <t>Zip Code Waiver</t>
  </si>
  <si>
    <t>Spanish</t>
  </si>
  <si>
    <t>English</t>
  </si>
  <si>
    <t>Mandarin</t>
  </si>
  <si>
    <t>Korean</t>
  </si>
  <si>
    <t>Chinese/Mandarin</t>
  </si>
  <si>
    <t>Cantonese</t>
  </si>
  <si>
    <t>Urdu</t>
  </si>
  <si>
    <t>Russian</t>
  </si>
  <si>
    <t>Dutch</t>
  </si>
  <si>
    <t>Amer. Sign Lang.</t>
  </si>
  <si>
    <t>Bengali</t>
  </si>
  <si>
    <t>Arabic</t>
  </si>
  <si>
    <t>Samoan</t>
  </si>
  <si>
    <t>Polish</t>
  </si>
  <si>
    <t>French</t>
  </si>
  <si>
    <t>Portuguese</t>
  </si>
  <si>
    <t>Hindi</t>
  </si>
  <si>
    <t xml:space="preserve">Chinese </t>
  </si>
  <si>
    <t>French Creole</t>
  </si>
  <si>
    <t>Creole</t>
  </si>
  <si>
    <t>Finnish</t>
  </si>
  <si>
    <t>Turkish</t>
  </si>
  <si>
    <t>Consumer debt case</t>
  </si>
  <si>
    <t>Intake hasn't happened yet</t>
  </si>
  <si>
    <t>DHCI Signed</t>
  </si>
  <si>
    <t>Advice only - declined rep due to conflict</t>
  </si>
  <si>
    <t>DHCI form done</t>
  </si>
  <si>
    <t>need DHCI if no benefits</t>
  </si>
  <si>
    <t>consumer case</t>
  </si>
  <si>
    <t>DHCI Form Completed</t>
  </si>
  <si>
    <t>DHCI form done HRA</t>
  </si>
  <si>
    <t>Advise only; no intake packet.</t>
  </si>
  <si>
    <t>client refuses to call me back with missing info</t>
  </si>
  <si>
    <t>HRA referral</t>
  </si>
  <si>
    <t>CASA advice</t>
  </si>
  <si>
    <t>client refused to give social</t>
  </si>
  <si>
    <t>Request Income Waiver</t>
  </si>
  <si>
    <t>Over income</t>
  </si>
  <si>
    <t>HH over income</t>
  </si>
  <si>
    <t>Income Waiver Needed</t>
  </si>
  <si>
    <t>SS # not provided</t>
  </si>
  <si>
    <t>&gt;200% FPL, advice only</t>
  </si>
  <si>
    <t>no PA benefits, HRA verified 7/20/17</t>
  </si>
  <si>
    <t>COMPLIANCEDOCS: HRA RELEASE AND DECLARATION OF INCOME IN 17-0827132, RR-7/25/17</t>
  </si>
  <si>
    <t>compliancedocs: hra release in 15-0780976  rr-7/20/17</t>
  </si>
  <si>
    <t>DO-Docs signed and uploaded</t>
  </si>
  <si>
    <t>Did not provide SS #</t>
  </si>
  <si>
    <t>DO-Docs signed and uploaded-File is under the compliance folder as "Attestation"</t>
  </si>
  <si>
    <t>refused to give SS#</t>
  </si>
  <si>
    <t>Forms are in 63 file, 18-1859859</t>
  </si>
  <si>
    <t>PA case comp AC 5/7/2018, forms for this client are in 63 file - 18-1866404</t>
  </si>
  <si>
    <t>Have DHCI form</t>
  </si>
  <si>
    <t>upload in 18-1871730</t>
  </si>
  <si>
    <t>DHCI Form uploaded to case no 18-1855933</t>
  </si>
  <si>
    <t>no citizenship signed</t>
  </si>
  <si>
    <t>COMPLIANCEDOCS: HRA RELEASE, DECLARATION OF INCOME IN 16-0805776, RR-7/27/17</t>
  </si>
  <si>
    <t>DHCI in "consent forms" doc</t>
  </si>
  <si>
    <t>CASA advice?</t>
  </si>
  <si>
    <t>Upload in compliance folder</t>
  </si>
  <si>
    <t>Releases in 18-1875383</t>
  </si>
  <si>
    <t>18-1871414)</t>
  </si>
  <si>
    <t>FJC  Client</t>
  </si>
  <si>
    <t>no SS # provided</t>
  </si>
  <si>
    <t>did not provide SS#</t>
  </si>
  <si>
    <t>non-resident. DV victim</t>
  </si>
  <si>
    <t>DV-No SSN</t>
  </si>
  <si>
    <t>HRA consent and DHCI form are in 63 file for this client, 17-1847494</t>
  </si>
  <si>
    <t>HRA consent and DHCI form are in 63 file for this client, 17-1833530</t>
  </si>
  <si>
    <t>see file # 17-1852657 for forms</t>
  </si>
  <si>
    <t>HRA consent and DHCI form are in 63 file for this client, 17-1851051</t>
  </si>
  <si>
    <t>Consent/DHCI forms are in 63 file, 17-1844285</t>
  </si>
  <si>
    <t>no signed retainer</t>
  </si>
  <si>
    <t>DHCI &amp; consent in file # 17-1843834</t>
  </si>
  <si>
    <t>did not provide ss #</t>
  </si>
  <si>
    <t>HRA consent and DHCI form are in 63 file for this client, 17-1846923</t>
  </si>
  <si>
    <t>Cimpliance docs in 17-1852487</t>
  </si>
  <si>
    <t>HRA consent and DHCI form are in 63 file for this client, 17-1847944</t>
  </si>
  <si>
    <t>HRA waiver approved on 11/7/17</t>
  </si>
  <si>
    <t>need waiver &gt;200%</t>
  </si>
  <si>
    <t>Did not provide ss #</t>
  </si>
  <si>
    <t>&gt;200%</t>
  </si>
  <si>
    <t>did not provide SS #</t>
  </si>
  <si>
    <t>HRA consent in 2016 file</t>
  </si>
  <si>
    <t>Compliance Docs located in parent file 18-1855866</t>
  </si>
  <si>
    <t>Cl is over 200%, income waiver granted by HRA 11/22/17</t>
  </si>
  <si>
    <t>HRA consent is in 2016 file and HRA approved income waiver in Nov. 2017</t>
  </si>
  <si>
    <t>No real 4 month issue but reporting 4 months apart so we can count them both, see case notes</t>
  </si>
  <si>
    <t>HPD rollover case</t>
  </si>
  <si>
    <t>Client gave verbal consent to report to HRA</t>
  </si>
  <si>
    <t>No 4 month issue, rent reduction was done in 2016, PAR was done in 2017, just obtained forms in 2018</t>
  </si>
  <si>
    <t>Consented via phone</t>
  </si>
  <si>
    <t>HRA consent form is in 2016 file</t>
  </si>
  <si>
    <t>HRA consent is in 2016 file, DHCI form is in other 2018 file</t>
  </si>
  <si>
    <t>No 4 month issue, rent reduction was done in 2016, PAR was done in 2017, just obtained forms in 2018, DHCI form in other 63 file</t>
  </si>
  <si>
    <t>HRA verified benefits in April, have DHCI form in other 2018 file and HRA consent form in 2016 file</t>
  </si>
  <si>
    <t>need DHCI to bill</t>
  </si>
  <si>
    <t>HRA Consent uploaded</t>
  </si>
  <si>
    <t>Obtain consent via phone 6/4/18</t>
  </si>
  <si>
    <t>compliance docs in 18-1872064</t>
  </si>
  <si>
    <t>&gt;200% need waiver</t>
  </si>
  <si>
    <t>No benefit, HRA verified, 7/20/17</t>
  </si>
  <si>
    <t>COmp Docs (18-1869188)</t>
  </si>
  <si>
    <t>compliance docs are in retainer folder</t>
  </si>
  <si>
    <t>HRA budget ltr</t>
  </si>
  <si>
    <t>No DHCI- PA number</t>
  </si>
  <si>
    <t>no retainer signed</t>
  </si>
  <si>
    <t>no formed signed opended by shang</t>
  </si>
  <si>
    <t>non permanent resident dv victim</t>
  </si>
  <si>
    <t>CASA</t>
  </si>
  <si>
    <t>Client did not wnat to provide her SS number</t>
  </si>
  <si>
    <t>upload in 17-1852920</t>
  </si>
  <si>
    <t>compliancedocs: HRA release in 17-0828947 RR-7/20/17</t>
  </si>
  <si>
    <t>upload in 17-1835050</t>
  </si>
  <si>
    <t>Releases at case 17-1851828</t>
  </si>
  <si>
    <t>DHCI Pending</t>
  </si>
  <si>
    <t>COmpliance Docs in 17-1842005)</t>
  </si>
  <si>
    <t>CL gave verbal consent to report to HRA on 1/11/18</t>
  </si>
  <si>
    <t>upload in 17-1852179</t>
  </si>
  <si>
    <t>HPLP Income Waiver granted by HRA 8-29-17</t>
  </si>
  <si>
    <t>HPLP billable if not TRC</t>
  </si>
  <si>
    <t>bill HPLP if advice only</t>
  </si>
  <si>
    <t>need DHCI</t>
  </si>
  <si>
    <t>Client non-cooperative; withdrew from rep; canb't get releases</t>
  </si>
  <si>
    <t>Compliance Docs in 18-1855981</t>
  </si>
  <si>
    <t>REleases are at https://cms.ls-nyc.org/matter/dynamic-profile/view/1843576</t>
  </si>
  <si>
    <t>Client refused to sign HRA Consent</t>
  </si>
  <si>
    <t>PA PO</t>
  </si>
  <si>
    <t>See email from Joseph Jones on 08.17.2017 for waiver approval</t>
  </si>
  <si>
    <t>RAU approval 1/9/2018</t>
  </si>
  <si>
    <t>DECLARATION OF INCOME IN 16-0820656, RR-7/27/17</t>
  </si>
  <si>
    <t>income &gt; 200%</t>
  </si>
  <si>
    <t>DHCI in other 63 file</t>
  </si>
  <si>
    <t>Need Income Waiver</t>
  </si>
  <si>
    <t>client refused to give SS#</t>
  </si>
  <si>
    <t>HPD case</t>
  </si>
  <si>
    <t>AHTP income waiver approval received on 11/03/2017</t>
  </si>
  <si>
    <t>LPR</t>
  </si>
  <si>
    <t>&gt;200% FPL, need income waiver</t>
  </si>
  <si>
    <t>HRA denied waiver on 7/11/2018</t>
  </si>
  <si>
    <t>Submitted income waiver to Kim on 4/2</t>
  </si>
  <si>
    <t>original intake Feb 2017 was onsite at FJC LS#17-0826742. See case note for more details.</t>
  </si>
  <si>
    <t>Filed/Argued/Supplemented Dispositive or other Substantive Motion</t>
  </si>
  <si>
    <t>Filed for an Emergency Order to Show Cause</t>
  </si>
  <si>
    <t>Counsel Assisted in Filing or Refiling of Answer</t>
  </si>
  <si>
    <t>Counsel Assisted in Filing or Refiling of Answer, Filed for an Emergency Order to Show Cause</t>
  </si>
  <si>
    <t>Counsel Assisted in Filing or Refiling of Answer, Filed/Argued/Supplemented Dispositive or other Substantive Motion, Filed for an Emergency Order to Show Cause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</si>
  <si>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</si>
  <si>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</si>
  <si>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Commenced Trial</t>
  </si>
  <si>
    <t>Commenced Trial, Counsel Assisted in Filing or Refiling of Answer</t>
  </si>
  <si>
    <t>Filed Appeal</t>
  </si>
  <si>
    <t>Commenced Trial, Conducted Evidentiary Hearing, Counsel Assisted in Filing or Refiling of Answer, Filed/Argued/Supplemented Dispositive or other Substantive Motion</t>
  </si>
  <si>
    <t>Case Resolved without Judgment of Eviction Against Client, Secured 6 Months or Longer in Residence</t>
  </si>
  <si>
    <t>Provided Housing-related Consumer Debt Legal Assistance</t>
  </si>
  <si>
    <t>Secured Order or Agreement for Repairs in Apartment/Building</t>
  </si>
  <si>
    <t>Obtained Renewal of Lease, Obtain Ongoing Rent Subsidy</t>
  </si>
  <si>
    <t>Obtained Renewal of Lease, Other</t>
  </si>
  <si>
    <t>Secured Order or Agreement for Repairs in Apartment/Building, Secured Rent Abatement</t>
  </si>
  <si>
    <t>Case Discontinued/Dismissed/Landlord Fails to Prosecute, Obtained Renewal of Lease</t>
  </si>
  <si>
    <t>Case Discontinued/Dismissed/Landlord Fails to Prosecute, Obtained Succession Rights to Residence</t>
  </si>
  <si>
    <t>Overcame Housing Discrimination, Secured Rent Abatement</t>
  </si>
  <si>
    <t>Case Resolved without Judgment of Eviction Against Client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</si>
  <si>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</si>
  <si>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Other</t>
  </si>
  <si>
    <t>Case Discontinued/Dismissed/Landlord Fails to Prosecute</t>
  </si>
  <si>
    <t>Secured 6 Months or Longer in Residence</t>
  </si>
  <si>
    <t>Case Resolved without Judgment of Eviction Against Client, Obtained Negotiated Buyout, Secured 6 Months or Longer in Residence, Secured Order or Agreement for Repairs in Apartment/Building</t>
  </si>
  <si>
    <t>Case Discontinued/Dismissed/Landlord Fails to Prosecute, Case Resolved without Judgment of Eviction Against Client, Secured Order or Agreement for Repairs in Apartment/Building, Secured Rent Abatement, Secured Rent Reduction</t>
  </si>
  <si>
    <t>Case Discontinued/Dismissed/Landlord Fails to Prosecute, Case Resolved without Judgment of Eviction Against Client, Obtain Ongoing Rent Subsidy, Secured Order or Agreement for Repairs in Apartment/Building</t>
  </si>
  <si>
    <t>Case Discontinued/Dismissed/Landlord Fails to Prosecute, Case Resolved without Judgment of Eviction Against Client, Obtain Ongoing Rent Subsidy, Other</t>
  </si>
  <si>
    <t>Case Discontinued/Dismissed/Landlord Fails to Prosecute, Obtain Ongoing Rent Subsidy, Secured Order or Agreement for Repairs in Apartment/Building</t>
  </si>
  <si>
    <t>Case Discontinued/Dismissed/Landlord Fails to Prosecute, Obtain Ongoing Rent Subsidy</t>
  </si>
  <si>
    <t>Obtained Renewal of Lease</t>
  </si>
  <si>
    <t>Case Resolved without Judgment of Eviction Against Client, Secured Order or Agreement for Repairs in Apartment/Building</t>
  </si>
  <si>
    <t>Case Discontinued/Dismissed/Landlord Fails to Prosecute, Other, Provided Housing-related Consumer Debt Legal Assistance</t>
  </si>
  <si>
    <t>Case Discontinued/Dismissed/Landlord Fails to Prosecute, Case Resolved without Judgment of Eviction Against Client, Secured Rent Abatement</t>
  </si>
  <si>
    <t>Case Discontinued/Dismissed/Landlord Fails to Prosecute, Case Resolved without Judgment of Eviction Against Client, Obtained Negotiated Buyout, Secured 6 Months or Longer in Residence, Secured Order or Agreement for Repairs in Apartment/Building</t>
  </si>
  <si>
    <t>Case Discontinued/Dismissed/Landlord Fails to Prosecute, Obtained Renewal of Lease, Obtained Succession Rights to Residence, Obtain Ongoing Rent Subsidy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</si>
  <si>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</si>
  <si>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Client, Obtained Renewal of Lease</t>
  </si>
  <si>
    <t>Case Discontinued/Dismissed/Landlord Fails to Prosecute, Secured Order or Agreement for Repairs in Apartment/Building</t>
  </si>
  <si>
    <t>Case Discontinued/Dismissed/Landlord Fails to Prosecute, Case Resolved without Judgment of Eviction Against Client, Obtain Ongoing Rent Subsidy</t>
  </si>
  <si>
    <t>Case Discontinued/Dismissed/Landlord Fails to Prosecute, Case Resolved without Judgment of Eviction Against Client, Obtained Negotiated Buyout, Secured Order or Agreement for Repairs in Apartment/Building</t>
  </si>
  <si>
    <t>Case Discontinued/Dismissed/Landlord Fails to Prosecute, Obtained Renewal of Lease, Obtained Succession Rights to Residence, Secured Order or Agreement for Repairs in Apartment/Building</t>
  </si>
  <si>
    <t>Case Discontinued/Dismissed/Landlord Fails to Prosecute, Obtained Renewal of Lease, Secured Rent Abatement</t>
  </si>
  <si>
    <t>Case Resolved without Judgment of Eviction Against Client, Other, Secured Order or Agreement for Repairs in Apartment/Building</t>
  </si>
  <si>
    <t>Case Resolved without Judgment of Eviction Against Client, Other</t>
  </si>
  <si>
    <t>Case Discontinued/Dismissed/Landlord Fails to Prosecute, Other</t>
  </si>
  <si>
    <t>Other, Secured Order or Agreement for Repairs in Apartment/Building</t>
  </si>
  <si>
    <t>Other, Secured 6 Months or Longer in Residence</t>
  </si>
  <si>
    <t>Case Discontinued/Dismissed/Landlord Fails to Prosecute, Case Resolved without Judgment of Eviction Against Client, Secured Order or Agreement for Repairs in Apartment/Building, Secured Rent Abatement</t>
  </si>
  <si>
    <t>Case Discontinued/Dismissed/Landlord Fails to Prosecute, Provided Housing-related Consumer Debt Legal Assistance</t>
  </si>
  <si>
    <t>Case Discontinued/Dismissed/Landlord Fails to Prosecute, Secured Rent Abatement</t>
  </si>
  <si>
    <t>Restored Access to Personal Property</t>
  </si>
  <si>
    <t>Obtained Negotiated Buyout</t>
  </si>
  <si>
    <t>Case Discontinued/Dismissed/Landlord Fails to Prosecute, Case Resolved without Judgment of Eviction Against Client, Obtained Renewal of Lease, Obtain Ongoing Rent Subsidy</t>
  </si>
  <si>
    <t>Case Discontinued/Dismissed/Landlord Fails to Prosecute, Returned Unit to Rent Regulation, Secured Rent Abatement, Secured Rent Reduction</t>
  </si>
  <si>
    <t>Case Resolved without Judgment of Eviction Against Client, Other, Secured Order or Agreement for Repairs in Apartment/Building, Secured Rent Abatement, Secured Rent Reduction</t>
  </si>
  <si>
    <t>Case Discontinued/Dismissed/Landlord Fails to Prosecute, Obtained Negotiated Buyout</t>
  </si>
  <si>
    <t>Obtained Renewal of Lease, Obtained Succession Rights to Residence</t>
  </si>
  <si>
    <t>Case Discontinued/Dismissed/Landlord Fails to Prosecute, Case Resolved without Judgment of Eviction Against Client, Obtained Renewal of Lease, Provided Housing-related Consumer Debt Legal Assistance, Secured Order or Agreement for Repairs in Apartment/Building, Secured Rent Abatement, Secured Rent Reduction</t>
  </si>
  <si>
    <t>Obtained Negotiated Buyout, Secured 6 Months or Longer in Residence</t>
  </si>
  <si>
    <t>Case Discontinued/Dismissed/Landlord Fails to Prosecute, Case Resolved without Judgment of Eviction Against Client, Obtained Renewal of Lease, Other, Secured Order or Agreement for Repairs in Apartment/Building, Secured Rent Abatement</t>
  </si>
  <si>
    <t>Client Required to be Displaced from Residence</t>
  </si>
  <si>
    <t>Client Allowed to Remain in Residence</t>
  </si>
  <si>
    <t>Client Discharged Attorney</t>
  </si>
  <si>
    <t>Attorney Withdrew</t>
  </si>
  <si>
    <t>2019-02-28</t>
  </si>
  <si>
    <t>2018-07-01</t>
  </si>
  <si>
    <t>2019-05-23</t>
  </si>
  <si>
    <t>2018-05-01</t>
  </si>
  <si>
    <t>2018-03-12</t>
  </si>
  <si>
    <t>2018-11-05</t>
  </si>
  <si>
    <t>2018-10-24</t>
  </si>
  <si>
    <t>2018-04-20</t>
  </si>
  <si>
    <t>2018-03-02</t>
  </si>
  <si>
    <t>2018-09-21</t>
  </si>
  <si>
    <t>2018-07-31</t>
  </si>
  <si>
    <t>2019-01-19</t>
  </si>
  <si>
    <t>2018-07-05</t>
  </si>
  <si>
    <t>2018-01-18</t>
  </si>
  <si>
    <t>2018-07-02</t>
  </si>
  <si>
    <t>2018-05-29</t>
  </si>
  <si>
    <t>2018-06-13</t>
  </si>
  <si>
    <t>2018-04-18</t>
  </si>
  <si>
    <t>2018-12-10</t>
  </si>
  <si>
    <t>2018-06-07</t>
  </si>
  <si>
    <t>2018-06-19</t>
  </si>
  <si>
    <t>2018-07-18</t>
  </si>
  <si>
    <t>2018-09-10</t>
  </si>
  <si>
    <t>2018-11-07</t>
  </si>
  <si>
    <t>2018-09-14</t>
  </si>
  <si>
    <t>2018-10-18</t>
  </si>
  <si>
    <t>2018-08-13</t>
  </si>
  <si>
    <t>2018-11-30</t>
  </si>
  <si>
    <t>2018-03-22</t>
  </si>
  <si>
    <t>2018-08-09</t>
  </si>
  <si>
    <t>2018-06-27</t>
  </si>
  <si>
    <t>2018-03-23</t>
  </si>
  <si>
    <t>2018-12-03</t>
  </si>
  <si>
    <t>2018-01-11</t>
  </si>
  <si>
    <t>2018-10-25</t>
  </si>
  <si>
    <t>2018-05-08</t>
  </si>
  <si>
    <t>2018-09-06</t>
  </si>
  <si>
    <t>2018-07-17</t>
  </si>
  <si>
    <t>2018-07-03</t>
  </si>
  <si>
    <t>2018-06-29</t>
  </si>
  <si>
    <t>2018-11-04</t>
  </si>
  <si>
    <t>2018-10-16</t>
  </si>
  <si>
    <t>2018-08-30</t>
  </si>
  <si>
    <t>2018-04-06</t>
  </si>
  <si>
    <t>2018-09-18</t>
  </si>
  <si>
    <t>2018-11-29</t>
  </si>
  <si>
    <t>2018-01-30</t>
  </si>
  <si>
    <t>2018-08-22</t>
  </si>
  <si>
    <t>2018-10-22</t>
  </si>
  <si>
    <t>2018-08-17</t>
  </si>
  <si>
    <t>2018-05-03</t>
  </si>
  <si>
    <t>2018-07-15</t>
  </si>
  <si>
    <t>2018-01-16</t>
  </si>
  <si>
    <t>2019-03-11</t>
  </si>
  <si>
    <t>2018-09-20</t>
  </si>
  <si>
    <t>2018-08-19</t>
  </si>
  <si>
    <t>2019-05-19</t>
  </si>
  <si>
    <t>2018-02-07</t>
  </si>
  <si>
    <t>2018-05-30</t>
  </si>
  <si>
    <t>2018-08-31</t>
  </si>
  <si>
    <t>2018-06-01</t>
  </si>
  <si>
    <t>2018-09-15</t>
  </si>
  <si>
    <t>2019-03-28</t>
  </si>
  <si>
    <t>2018-08-20</t>
  </si>
  <si>
    <t>2018-04-30</t>
  </si>
  <si>
    <t>2018-07-10</t>
  </si>
  <si>
    <t>2018-05-14</t>
  </si>
  <si>
    <t>2018-07-09</t>
  </si>
  <si>
    <t>2018-06-30</t>
  </si>
  <si>
    <t>2018-07-24</t>
  </si>
  <si>
    <t>2018-07-30</t>
  </si>
  <si>
    <t>2018-01-09</t>
  </si>
  <si>
    <t>2019-05-17</t>
  </si>
  <si>
    <t>2018-08-08</t>
  </si>
  <si>
    <t>2018-06-12</t>
  </si>
  <si>
    <t>2018-01-31</t>
  </si>
  <si>
    <t>2018-09-30</t>
  </si>
  <si>
    <t>2018-07-06</t>
  </si>
  <si>
    <t>2018-10-13</t>
  </si>
  <si>
    <t>2018-10-01</t>
  </si>
  <si>
    <t>2018-08-01</t>
  </si>
  <si>
    <t>2019-01-15</t>
  </si>
  <si>
    <t>2018-03-29</t>
  </si>
  <si>
    <t>2018-10-30</t>
  </si>
  <si>
    <t>2018-06-06</t>
  </si>
  <si>
    <t>2019-04-02</t>
  </si>
  <si>
    <t>2018-11-15</t>
  </si>
  <si>
    <t>2018-02-28</t>
  </si>
  <si>
    <t>2019-01-04</t>
  </si>
  <si>
    <t>2018-09-19</t>
  </si>
  <si>
    <t>2018-09-07</t>
  </si>
  <si>
    <t>2018-12-31</t>
  </si>
  <si>
    <t>2019-02-08</t>
  </si>
  <si>
    <t>2017-12-31</t>
  </si>
  <si>
    <t>2018-10-31</t>
  </si>
  <si>
    <t>2018-09-11</t>
  </si>
  <si>
    <t>2018-07-12</t>
  </si>
  <si>
    <t>2018-10-10</t>
  </si>
  <si>
    <t>2018-08-23</t>
  </si>
  <si>
    <t>2018-10-15</t>
  </si>
  <si>
    <t>2018-05-24</t>
  </si>
  <si>
    <t>2019-01-25</t>
  </si>
  <si>
    <t>2019-02-15</t>
  </si>
  <si>
    <t>2018-02-23</t>
  </si>
  <si>
    <t>2018-07-13</t>
  </si>
  <si>
    <t>2018-08-03</t>
  </si>
  <si>
    <t>2018-11-19</t>
  </si>
  <si>
    <t>2018-11-27</t>
  </si>
  <si>
    <t>2018-09-27</t>
  </si>
  <si>
    <t>2018-08-29</t>
  </si>
  <si>
    <t>2018-02-16</t>
  </si>
  <si>
    <t>2018-11-08</t>
  </si>
  <si>
    <t>2018-10-04</t>
  </si>
  <si>
    <t>2018-03-28</t>
  </si>
  <si>
    <t>2018-08-02</t>
  </si>
  <si>
    <t>2019-03-01</t>
  </si>
  <si>
    <t>2019-02-04</t>
  </si>
  <si>
    <t>2018-05-16</t>
  </si>
  <si>
    <t>2018-09-28</t>
  </si>
  <si>
    <t>2018-10-29</t>
  </si>
  <si>
    <t>2018-07-19</t>
  </si>
  <si>
    <t>2018-04-17</t>
  </si>
  <si>
    <t>2018-08-14</t>
  </si>
  <si>
    <t>2018-08-06</t>
  </si>
  <si>
    <t>2018-09-24</t>
  </si>
  <si>
    <t>2017-12-11</t>
  </si>
  <si>
    <t>2018-02-06</t>
  </si>
  <si>
    <t>2018-06-26</t>
  </si>
  <si>
    <t>2017-10-11</t>
  </si>
  <si>
    <t>2018-12-11</t>
  </si>
  <si>
    <t>2018-03-14</t>
  </si>
  <si>
    <t>2019-01-24</t>
  </si>
  <si>
    <t>2018-05-09</t>
  </si>
  <si>
    <t>2018-10-08</t>
  </si>
  <si>
    <t>2018-02-15</t>
  </si>
  <si>
    <t>2018-03-27</t>
  </si>
  <si>
    <t>2017-03-30</t>
  </si>
  <si>
    <t>2018-02-22</t>
  </si>
  <si>
    <t>2018-03-07</t>
  </si>
  <si>
    <t>2017-10-04</t>
  </si>
  <si>
    <t>2019-01-11</t>
  </si>
  <si>
    <t>2018-08-16</t>
  </si>
  <si>
    <t>2018-08-28</t>
  </si>
  <si>
    <t>2018-01-08</t>
  </si>
  <si>
    <t>2018-08-15</t>
  </si>
  <si>
    <t>2018-05-21</t>
  </si>
  <si>
    <t>2018-07-27</t>
  </si>
  <si>
    <t>2018-08-21</t>
  </si>
  <si>
    <t>2018-07-26</t>
  </si>
  <si>
    <t>2019-06-05</t>
  </si>
  <si>
    <t>2018-12-07</t>
  </si>
  <si>
    <t>2019-03-26</t>
  </si>
  <si>
    <t>2018-06-15</t>
  </si>
  <si>
    <t>2018-05-02</t>
  </si>
  <si>
    <t>2018-06-05</t>
  </si>
  <si>
    <t>2019-05-21</t>
  </si>
  <si>
    <t>2018-02-01</t>
  </si>
  <si>
    <t>2018-10-17</t>
  </si>
  <si>
    <t>2018-10-23</t>
  </si>
  <si>
    <t>2019-06-11</t>
  </si>
  <si>
    <t>2018-07-16</t>
  </si>
  <si>
    <t>2018-02-05</t>
  </si>
  <si>
    <t>2018-04-27</t>
  </si>
  <si>
    <t>2018-06-08</t>
  </si>
  <si>
    <t>2019-04-17</t>
  </si>
  <si>
    <t>2018-06-28</t>
  </si>
  <si>
    <t>2019-04-26</t>
  </si>
  <si>
    <t>2018-09-26</t>
  </si>
  <si>
    <t>2018-09-22</t>
  </si>
  <si>
    <t>2018-12-25</t>
  </si>
  <si>
    <t>2019-04-24</t>
  </si>
  <si>
    <t>2018-03-05</t>
  </si>
  <si>
    <t>2018-11-02</t>
  </si>
  <si>
    <t>2018-04-03</t>
  </si>
  <si>
    <t>2018-11-09</t>
  </si>
  <si>
    <t>2018-08-27</t>
  </si>
  <si>
    <t>2019-03-04</t>
  </si>
  <si>
    <t>01/02/2019</t>
  </si>
  <si>
    <t>04/18/2019</t>
  </si>
  <si>
    <t>01/07/2019</t>
  </si>
  <si>
    <t>02/06/2019</t>
  </si>
  <si>
    <t>01/29/2019</t>
  </si>
  <si>
    <t>06/10/2019</t>
  </si>
  <si>
    <t>02/03/2017</t>
  </si>
  <si>
    <t>06/28/2017</t>
  </si>
  <si>
    <t>09/05/2018</t>
  </si>
  <si>
    <t>05/09/2019</t>
  </si>
  <si>
    <t>02/07/2019</t>
  </si>
  <si>
    <t>08/26/2018</t>
  </si>
  <si>
    <t>01/05/2019</t>
  </si>
  <si>
    <t>01/17/2019</t>
  </si>
  <si>
    <t>05/01/2019</t>
  </si>
  <si>
    <t>05/20/2019</t>
  </si>
  <si>
    <t>01/04/2019</t>
  </si>
  <si>
    <t>01/18/2019</t>
  </si>
  <si>
    <t>06/12/2019</t>
  </si>
  <si>
    <t>06/19/2017</t>
  </si>
  <si>
    <t>05/17/2019</t>
  </si>
  <si>
    <t>01/08/2019</t>
  </si>
  <si>
    <t>01/28/2019</t>
  </si>
  <si>
    <t>11/15/2018</t>
  </si>
  <si>
    <t>11/14/2018</t>
  </si>
  <si>
    <t>04/19/2019</t>
  </si>
  <si>
    <t>08/11/2018</t>
  </si>
  <si>
    <t>04/06/2019</t>
  </si>
  <si>
    <t>02/27/2019</t>
  </si>
  <si>
    <t>04/30/2019</t>
  </si>
  <si>
    <t>06/06/2019</t>
  </si>
  <si>
    <t>09/27/2018</t>
  </si>
  <si>
    <t>01/30/2019</t>
  </si>
  <si>
    <t>06/15/2019</t>
  </si>
  <si>
    <t>09/14/2016</t>
  </si>
  <si>
    <t>05/19/2019</t>
  </si>
  <si>
    <t>05/28/2019</t>
  </si>
  <si>
    <t>08/31/2018</t>
  </si>
  <si>
    <t>04/08/2019</t>
  </si>
  <si>
    <t>03/15/2019</t>
  </si>
  <si>
    <t>04/29/2019</t>
  </si>
  <si>
    <t>04/09/2019</t>
  </si>
  <si>
    <t>12/30/2016</t>
  </si>
  <si>
    <t>05/27/2019</t>
  </si>
  <si>
    <t>09/23/2018</t>
  </si>
  <si>
    <t>05/06/2019</t>
  </si>
  <si>
    <t>12/30/2018</t>
  </si>
  <si>
    <t>04/04/2019</t>
  </si>
  <si>
    <t>02/26/2019</t>
  </si>
  <si>
    <t>04/12/2019</t>
  </si>
  <si>
    <t>01/29/2016</t>
  </si>
  <si>
    <t>10/28/2018</t>
  </si>
  <si>
    <t>02/17/2019</t>
  </si>
  <si>
    <t>01/05/2016</t>
  </si>
  <si>
    <t>Frias De Sosa, Yajaira</t>
  </si>
  <si>
    <t>Escobar, Sarah</t>
  </si>
  <si>
    <t>Lopez, Gabriel</t>
  </si>
  <si>
    <t>Hernandez, Marisol</t>
  </si>
  <si>
    <t>Mendez-Acosta, Maria</t>
  </si>
  <si>
    <t>Medina, Marta</t>
  </si>
  <si>
    <t>Yeasmin, Sarzah</t>
  </si>
  <si>
    <t>Velasquez, Diana</t>
  </si>
  <si>
    <t>Garcia, Keiannis</t>
  </si>
  <si>
    <t>Hernandez, Jonathan</t>
  </si>
  <si>
    <t>Vergeli, Evelyn</t>
  </si>
  <si>
    <t>Shang, Andrea</t>
  </si>
  <si>
    <t>Prado, Steven</t>
  </si>
  <si>
    <t>Pujols, Isabel</t>
  </si>
  <si>
    <t>Nadeau-Rifkind, Al</t>
  </si>
  <si>
    <t>Hansen-Eder, Arlene</t>
  </si>
  <si>
    <t>Lane, Diane</t>
  </si>
  <si>
    <t>Ortega, Luis</t>
  </si>
  <si>
    <t>Santana, Bridgette</t>
  </si>
  <si>
    <t>Bernardez, Florencita</t>
  </si>
  <si>
    <t>Djourab, Atteib</t>
  </si>
  <si>
    <t>Newton, Jack</t>
  </si>
  <si>
    <t>Salcedo, Luciris</t>
  </si>
  <si>
    <t>Torres, Elizabeth</t>
  </si>
  <si>
    <t>Villanueva, Anthony</t>
  </si>
  <si>
    <t>St. Louis, Bianca</t>
  </si>
  <si>
    <t>Wong, Angela</t>
  </si>
  <si>
    <t>Baldova, Maria</t>
  </si>
  <si>
    <t>Dong, Sean</t>
  </si>
  <si>
    <t>Cisneros, Marisol</t>
  </si>
  <si>
    <t>Moss, Julieta</t>
  </si>
  <si>
    <t>Pierre, Haenley</t>
  </si>
  <si>
    <t>Morales-Robinson, Ana</t>
  </si>
  <si>
    <t>Guzman Velazquez, Leida</t>
  </si>
  <si>
    <t>Garcia, Alexandra</t>
  </si>
  <si>
    <t>Neilson, Kathryn</t>
  </si>
  <si>
    <t>Baez, Jeaneshia</t>
  </si>
  <si>
    <t>Amponsah, Oheneba</t>
  </si>
  <si>
    <t>Diaz, Karla</t>
  </si>
  <si>
    <t>Benitez, Vicenta</t>
  </si>
  <si>
    <t>Deolarte, Stephanie</t>
  </si>
  <si>
    <t>Weaver, Cynthia</t>
  </si>
  <si>
    <t>Richardson, Ryan</t>
  </si>
  <si>
    <t>Carrasco, Yazmin</t>
  </si>
  <si>
    <t>Huang, Amanda</t>
  </si>
  <si>
    <t>Twersky, Jonathan</t>
  </si>
  <si>
    <t>Alexis, Jennifer</t>
  </si>
  <si>
    <t>Lebro-Lopez, Wanda</t>
  </si>
  <si>
    <t>Tejada, Dennis</t>
  </si>
  <si>
    <t>Savinon, Clara</t>
  </si>
  <si>
    <t>Ramos, Yolanda</t>
  </si>
  <si>
    <t>Bateman, Steven</t>
  </si>
  <si>
    <t>Guadalupe, Marilyn</t>
  </si>
  <si>
    <t>Lancelin, D'Andrea</t>
  </si>
  <si>
    <t>St. Marie, Monique</t>
  </si>
  <si>
    <t>Castillo, Evette</t>
  </si>
  <si>
    <t>Welbeck, Sophia</t>
  </si>
  <si>
    <t>Josephson, Edward</t>
  </si>
  <si>
    <t>Sampert, Monica</t>
  </si>
  <si>
    <t>Sanchez, Dennis</t>
  </si>
  <si>
    <t>Medina Mendez, Lino</t>
  </si>
  <si>
    <t>Greenberg, Rebecca</t>
  </si>
  <si>
    <t>McDonald, Susan</t>
  </si>
  <si>
    <t>Smith, Jeanne</t>
  </si>
  <si>
    <t>Allums, Kenneshea</t>
  </si>
  <si>
    <t>Melendez, Angel</t>
  </si>
  <si>
    <t>Zabizhin, Albert</t>
  </si>
  <si>
    <t>Nachman, Fraidy</t>
  </si>
  <si>
    <t>Liu, Yu Jean</t>
  </si>
  <si>
    <t>Cook, Veronica</t>
  </si>
  <si>
    <t>Garcia, Delci</t>
  </si>
  <si>
    <t>Laffer, Tara</t>
  </si>
  <si>
    <t>Giller, Kyle</t>
  </si>
  <si>
    <t>Bohnett, Elizabeth</t>
  </si>
  <si>
    <t>Rosen, Nadya</t>
  </si>
  <si>
    <t>Weisberg, Michael</t>
  </si>
  <si>
    <t>Kempner, Pete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</si>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</sst>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2553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HYPERLINK("https://cms.ls-nyc.org/matter/dynamic-profile/view/1860379","18-1860379")</f>
        <v>0</v>
      </c>
      <c r="B2" t="s">
        <v>50</v>
      </c>
      <c r="C2" t="s">
        <v>234</v>
      </c>
      <c r="D2" t="s">
        <v>236</v>
      </c>
      <c r="E2" t="s">
        <v>665</v>
      </c>
      <c r="F2" t="s">
        <v>837</v>
      </c>
      <c r="G2" t="s">
        <v>2100</v>
      </c>
      <c r="H2" t="s">
        <v>3427</v>
      </c>
      <c r="J2" t="s">
        <v>5317</v>
      </c>
      <c r="K2">
        <v>11433</v>
      </c>
      <c r="L2" t="s">
        <v>5355</v>
      </c>
      <c r="M2" t="s">
        <v>5356</v>
      </c>
      <c r="N2" t="s">
        <v>5358</v>
      </c>
      <c r="O2" t="s">
        <v>6490</v>
      </c>
      <c r="P2" t="s">
        <v>6524</v>
      </c>
      <c r="Q2" t="s">
        <v>6531</v>
      </c>
      <c r="R2" t="s">
        <v>6539</v>
      </c>
      <c r="S2" t="s">
        <v>5357</v>
      </c>
      <c r="U2" t="s">
        <v>6556</v>
      </c>
      <c r="W2" t="s">
        <v>236</v>
      </c>
      <c r="X2">
        <v>800</v>
      </c>
      <c r="Y2" t="s">
        <v>6604</v>
      </c>
      <c r="Z2" t="s">
        <v>6609</v>
      </c>
      <c r="AA2" t="s">
        <v>6630</v>
      </c>
      <c r="AB2" t="s">
        <v>6657</v>
      </c>
      <c r="AC2" t="s">
        <v>5392</v>
      </c>
      <c r="AD2" t="s">
        <v>9100</v>
      </c>
      <c r="AE2">
        <v>1</v>
      </c>
      <c r="AF2" t="s">
        <v>11004</v>
      </c>
      <c r="AG2" t="s">
        <v>5406</v>
      </c>
      <c r="AH2">
        <v>5</v>
      </c>
      <c r="AI2">
        <v>1</v>
      </c>
      <c r="AJ2">
        <v>0</v>
      </c>
      <c r="AK2">
        <v>0</v>
      </c>
      <c r="AN2" t="s">
        <v>11049</v>
      </c>
      <c r="AO2">
        <v>0</v>
      </c>
      <c r="AP2" t="s">
        <v>11071</v>
      </c>
      <c r="AU2">
        <v>3.05</v>
      </c>
      <c r="AV2" t="s">
        <v>456</v>
      </c>
      <c r="AW2" t="s">
        <v>50</v>
      </c>
    </row>
    <row r="3" spans="1:50">
      <c r="A3" s="1">
        <f>HYPERLINK("https://cms.ls-nyc.org/matter/dynamic-profile/view/1847749","17-1847749")</f>
        <v>0</v>
      </c>
      <c r="B3" t="s">
        <v>51</v>
      </c>
      <c r="C3" t="s">
        <v>234</v>
      </c>
      <c r="D3" t="s">
        <v>237</v>
      </c>
      <c r="E3" t="s">
        <v>666</v>
      </c>
      <c r="F3" t="s">
        <v>838</v>
      </c>
      <c r="G3" t="s">
        <v>2101</v>
      </c>
      <c r="H3" t="s">
        <v>3428</v>
      </c>
      <c r="I3" t="s">
        <v>4734</v>
      </c>
      <c r="J3" t="s">
        <v>5318</v>
      </c>
      <c r="K3">
        <v>11385</v>
      </c>
      <c r="L3" t="s">
        <v>5355</v>
      </c>
      <c r="M3" t="s">
        <v>5356</v>
      </c>
      <c r="N3" t="s">
        <v>5359</v>
      </c>
      <c r="O3" t="s">
        <v>6491</v>
      </c>
      <c r="P3" t="s">
        <v>6524</v>
      </c>
      <c r="Q3" t="s">
        <v>6531</v>
      </c>
      <c r="R3" t="s">
        <v>6540</v>
      </c>
      <c r="S3" t="s">
        <v>5357</v>
      </c>
      <c r="U3" t="s">
        <v>6557</v>
      </c>
      <c r="W3" t="s">
        <v>237</v>
      </c>
      <c r="X3">
        <v>600</v>
      </c>
      <c r="Y3" t="s">
        <v>6604</v>
      </c>
      <c r="Z3" t="s">
        <v>6610</v>
      </c>
      <c r="AA3" t="s">
        <v>6631</v>
      </c>
      <c r="AB3" t="s">
        <v>6658</v>
      </c>
      <c r="AC3" t="s">
        <v>8698</v>
      </c>
      <c r="AD3" t="s">
        <v>9101</v>
      </c>
      <c r="AE3">
        <v>6</v>
      </c>
      <c r="AF3" t="s">
        <v>11005</v>
      </c>
      <c r="AG3" t="s">
        <v>5406</v>
      </c>
      <c r="AH3">
        <v>-1</v>
      </c>
      <c r="AI3">
        <v>1</v>
      </c>
      <c r="AJ3">
        <v>0</v>
      </c>
      <c r="AK3">
        <v>0</v>
      </c>
      <c r="AL3" t="s">
        <v>11028</v>
      </c>
      <c r="AN3" t="s">
        <v>11050</v>
      </c>
      <c r="AO3">
        <v>0</v>
      </c>
      <c r="AU3">
        <v>1</v>
      </c>
      <c r="AV3" t="s">
        <v>237</v>
      </c>
      <c r="AW3" t="s">
        <v>51</v>
      </c>
    </row>
    <row r="4" spans="1:50">
      <c r="A4" s="1">
        <f>HYPERLINK("https://cms.ls-nyc.org/matter/dynamic-profile/view/1858360","18-1858360")</f>
        <v>0</v>
      </c>
      <c r="B4" t="s">
        <v>52</v>
      </c>
      <c r="C4" t="s">
        <v>234</v>
      </c>
      <c r="D4" t="s">
        <v>238</v>
      </c>
      <c r="E4" t="s">
        <v>667</v>
      </c>
      <c r="F4" t="s">
        <v>839</v>
      </c>
      <c r="G4" t="s">
        <v>2037</v>
      </c>
      <c r="H4" t="s">
        <v>3429</v>
      </c>
      <c r="I4" t="s">
        <v>4735</v>
      </c>
      <c r="J4" t="s">
        <v>5318</v>
      </c>
      <c r="K4">
        <v>11385</v>
      </c>
      <c r="L4" t="s">
        <v>5355</v>
      </c>
      <c r="M4" t="s">
        <v>5355</v>
      </c>
      <c r="N4" t="s">
        <v>5360</v>
      </c>
      <c r="O4" t="s">
        <v>6492</v>
      </c>
      <c r="P4" t="s">
        <v>6524</v>
      </c>
      <c r="Q4" t="s">
        <v>6531</v>
      </c>
      <c r="R4" t="s">
        <v>6540</v>
      </c>
      <c r="S4" t="s">
        <v>5357</v>
      </c>
      <c r="U4" t="s">
        <v>6557</v>
      </c>
      <c r="V4" t="s">
        <v>6566</v>
      </c>
      <c r="W4" t="s">
        <v>238</v>
      </c>
      <c r="X4">
        <v>700</v>
      </c>
      <c r="Y4" t="s">
        <v>6604</v>
      </c>
      <c r="Z4" t="s">
        <v>6610</v>
      </c>
      <c r="AA4" t="s">
        <v>6631</v>
      </c>
      <c r="AB4" t="s">
        <v>6659</v>
      </c>
      <c r="AC4" t="s">
        <v>8699</v>
      </c>
      <c r="AD4" t="s">
        <v>9102</v>
      </c>
      <c r="AE4">
        <v>3</v>
      </c>
      <c r="AF4" t="s">
        <v>11004</v>
      </c>
      <c r="AG4" t="s">
        <v>5406</v>
      </c>
      <c r="AH4">
        <v>1</v>
      </c>
      <c r="AI4">
        <v>1</v>
      </c>
      <c r="AJ4">
        <v>0</v>
      </c>
      <c r="AK4">
        <v>0</v>
      </c>
      <c r="AL4" t="s">
        <v>11028</v>
      </c>
      <c r="AN4" t="s">
        <v>11050</v>
      </c>
      <c r="AO4">
        <v>0</v>
      </c>
      <c r="AU4">
        <v>2.48</v>
      </c>
      <c r="AV4" t="s">
        <v>667</v>
      </c>
      <c r="AW4" t="s">
        <v>52</v>
      </c>
    </row>
    <row r="5" spans="1:50">
      <c r="A5" s="1">
        <f>HYPERLINK("https://cms.ls-nyc.org/matter/dynamic-profile/view/1865629","18-1865629")</f>
        <v>0</v>
      </c>
      <c r="B5" t="s">
        <v>52</v>
      </c>
      <c r="C5" t="s">
        <v>234</v>
      </c>
      <c r="D5" t="s">
        <v>239</v>
      </c>
      <c r="E5" t="s">
        <v>668</v>
      </c>
      <c r="F5" t="s">
        <v>840</v>
      </c>
      <c r="G5" t="s">
        <v>2102</v>
      </c>
      <c r="H5" t="s">
        <v>3430</v>
      </c>
      <c r="I5" t="s">
        <v>4736</v>
      </c>
      <c r="J5" t="s">
        <v>5319</v>
      </c>
      <c r="K5">
        <v>11379</v>
      </c>
      <c r="L5" t="s">
        <v>5355</v>
      </c>
      <c r="M5" t="s">
        <v>5355</v>
      </c>
      <c r="N5" t="s">
        <v>5359</v>
      </c>
      <c r="O5" t="s">
        <v>6493</v>
      </c>
      <c r="P5" t="s">
        <v>6524</v>
      </c>
      <c r="Q5" t="s">
        <v>6531</v>
      </c>
      <c r="R5" t="s">
        <v>6540</v>
      </c>
      <c r="S5" t="s">
        <v>5357</v>
      </c>
      <c r="U5" t="s">
        <v>6557</v>
      </c>
      <c r="V5" t="s">
        <v>6566</v>
      </c>
      <c r="W5" t="s">
        <v>239</v>
      </c>
      <c r="X5">
        <v>1650</v>
      </c>
      <c r="Y5" t="s">
        <v>6604</v>
      </c>
      <c r="Z5" t="s">
        <v>6610</v>
      </c>
      <c r="AA5" t="s">
        <v>6631</v>
      </c>
      <c r="AB5" t="s">
        <v>6660</v>
      </c>
      <c r="AD5" t="s">
        <v>9103</v>
      </c>
      <c r="AE5">
        <v>16</v>
      </c>
      <c r="AF5" t="s">
        <v>11004</v>
      </c>
      <c r="AG5" t="s">
        <v>5406</v>
      </c>
      <c r="AH5">
        <v>2</v>
      </c>
      <c r="AI5">
        <v>1</v>
      </c>
      <c r="AJ5">
        <v>2</v>
      </c>
      <c r="AK5">
        <v>0</v>
      </c>
      <c r="AL5" t="s">
        <v>11028</v>
      </c>
      <c r="AN5" t="s">
        <v>11050</v>
      </c>
      <c r="AO5">
        <v>0</v>
      </c>
      <c r="AU5">
        <v>1.76</v>
      </c>
      <c r="AV5" t="s">
        <v>820</v>
      </c>
      <c r="AW5" t="s">
        <v>52</v>
      </c>
    </row>
    <row r="6" spans="1:50">
      <c r="A6" s="1">
        <f>HYPERLINK("https://cms.ls-nyc.org/matter/dynamic-profile/view/1858896","18-1858896")</f>
        <v>0</v>
      </c>
      <c r="B6" t="s">
        <v>53</v>
      </c>
      <c r="C6" t="s">
        <v>234</v>
      </c>
      <c r="D6" t="s">
        <v>240</v>
      </c>
      <c r="E6" t="s">
        <v>445</v>
      </c>
      <c r="F6" t="s">
        <v>841</v>
      </c>
      <c r="G6" t="s">
        <v>2103</v>
      </c>
      <c r="H6" t="s">
        <v>3431</v>
      </c>
      <c r="J6" t="s">
        <v>5320</v>
      </c>
      <c r="K6">
        <v>11237</v>
      </c>
      <c r="L6" t="s">
        <v>5355</v>
      </c>
      <c r="M6" t="s">
        <v>5356</v>
      </c>
      <c r="N6" t="s">
        <v>5361</v>
      </c>
      <c r="O6" t="s">
        <v>6492</v>
      </c>
      <c r="P6" t="s">
        <v>6524</v>
      </c>
      <c r="Q6" t="s">
        <v>6531</v>
      </c>
      <c r="R6" t="s">
        <v>6539</v>
      </c>
      <c r="S6" t="s">
        <v>5357</v>
      </c>
      <c r="U6" t="s">
        <v>6557</v>
      </c>
      <c r="W6" t="s">
        <v>279</v>
      </c>
      <c r="X6">
        <v>1600</v>
      </c>
      <c r="Y6" t="s">
        <v>6605</v>
      </c>
      <c r="Z6" t="s">
        <v>6611</v>
      </c>
      <c r="AA6" t="s">
        <v>6631</v>
      </c>
      <c r="AB6" t="s">
        <v>6661</v>
      </c>
      <c r="AC6" t="s">
        <v>8700</v>
      </c>
      <c r="AD6" t="s">
        <v>9104</v>
      </c>
      <c r="AE6">
        <v>4</v>
      </c>
      <c r="AH6">
        <v>2</v>
      </c>
      <c r="AI6">
        <v>1</v>
      </c>
      <c r="AJ6">
        <v>1</v>
      </c>
      <c r="AK6">
        <v>0</v>
      </c>
      <c r="AN6" t="s">
        <v>11050</v>
      </c>
      <c r="AO6">
        <v>0</v>
      </c>
      <c r="AU6">
        <v>3.75</v>
      </c>
      <c r="AV6" t="s">
        <v>360</v>
      </c>
      <c r="AW6" t="s">
        <v>11487</v>
      </c>
    </row>
    <row r="7" spans="1:50">
      <c r="A7" s="1">
        <f>HYPERLINK("https://cms.ls-nyc.org/matter/dynamic-profile/view/1866345","18-1866345")</f>
        <v>0</v>
      </c>
      <c r="B7" t="s">
        <v>54</v>
      </c>
      <c r="C7" t="s">
        <v>234</v>
      </c>
      <c r="D7" t="s">
        <v>241</v>
      </c>
      <c r="E7" t="s">
        <v>420</v>
      </c>
      <c r="F7" t="s">
        <v>842</v>
      </c>
      <c r="G7" t="s">
        <v>2104</v>
      </c>
      <c r="H7" t="s">
        <v>3432</v>
      </c>
      <c r="I7" t="s">
        <v>4737</v>
      </c>
      <c r="J7" t="s">
        <v>5320</v>
      </c>
      <c r="K7">
        <v>11233</v>
      </c>
      <c r="L7" t="s">
        <v>5355</v>
      </c>
      <c r="M7" t="s">
        <v>5356</v>
      </c>
      <c r="P7" t="s">
        <v>6524</v>
      </c>
      <c r="Q7" t="s">
        <v>6531</v>
      </c>
      <c r="R7" t="s">
        <v>6540</v>
      </c>
      <c r="S7" t="s">
        <v>5357</v>
      </c>
      <c r="T7" t="s">
        <v>6539</v>
      </c>
      <c r="U7" t="s">
        <v>6557</v>
      </c>
      <c r="W7" t="s">
        <v>241</v>
      </c>
      <c r="X7">
        <v>0</v>
      </c>
      <c r="Y7" t="s">
        <v>6605</v>
      </c>
      <c r="Z7" t="s">
        <v>6610</v>
      </c>
      <c r="AA7" t="s">
        <v>6631</v>
      </c>
      <c r="AB7" t="s">
        <v>6662</v>
      </c>
      <c r="AD7" t="s">
        <v>9105</v>
      </c>
      <c r="AE7">
        <v>3</v>
      </c>
      <c r="AF7" t="s">
        <v>11004</v>
      </c>
      <c r="AH7">
        <v>16</v>
      </c>
      <c r="AI7">
        <v>3</v>
      </c>
      <c r="AJ7">
        <v>0</v>
      </c>
      <c r="AK7">
        <v>0</v>
      </c>
      <c r="AL7" t="s">
        <v>11028</v>
      </c>
      <c r="AN7" t="s">
        <v>11050</v>
      </c>
      <c r="AO7">
        <v>0</v>
      </c>
      <c r="AU7">
        <v>4.5</v>
      </c>
      <c r="AV7" t="s">
        <v>420</v>
      </c>
      <c r="AW7" t="s">
        <v>11488</v>
      </c>
    </row>
    <row r="8" spans="1:50">
      <c r="A8" s="1">
        <f>HYPERLINK("https://cms.ls-nyc.org/matter/dynamic-profile/view/1862736","18-1862736")</f>
        <v>0</v>
      </c>
      <c r="B8" t="s">
        <v>53</v>
      </c>
      <c r="C8" t="s">
        <v>234</v>
      </c>
      <c r="D8" t="s">
        <v>242</v>
      </c>
      <c r="E8" t="s">
        <v>665</v>
      </c>
      <c r="F8" t="s">
        <v>843</v>
      </c>
      <c r="G8" t="s">
        <v>2105</v>
      </c>
      <c r="H8" t="s">
        <v>3433</v>
      </c>
      <c r="I8" t="s">
        <v>4738</v>
      </c>
      <c r="J8" t="s">
        <v>5320</v>
      </c>
      <c r="K8">
        <v>11212</v>
      </c>
      <c r="L8" t="s">
        <v>5355</v>
      </c>
      <c r="M8" t="s">
        <v>5356</v>
      </c>
      <c r="O8" t="s">
        <v>6492</v>
      </c>
      <c r="P8" t="s">
        <v>6524</v>
      </c>
      <c r="Q8" t="s">
        <v>6531</v>
      </c>
      <c r="R8" t="s">
        <v>6539</v>
      </c>
      <c r="U8" t="s">
        <v>6557</v>
      </c>
      <c r="W8" t="s">
        <v>516</v>
      </c>
      <c r="X8">
        <v>1200</v>
      </c>
      <c r="Y8" t="s">
        <v>6605</v>
      </c>
      <c r="AA8" t="s">
        <v>6631</v>
      </c>
      <c r="AB8" t="s">
        <v>6663</v>
      </c>
      <c r="AC8" t="s">
        <v>8701</v>
      </c>
      <c r="AD8" t="s">
        <v>9106</v>
      </c>
      <c r="AE8">
        <v>0</v>
      </c>
      <c r="AH8">
        <v>0</v>
      </c>
      <c r="AI8">
        <v>1</v>
      </c>
      <c r="AJ8">
        <v>2</v>
      </c>
      <c r="AK8">
        <v>0</v>
      </c>
      <c r="AN8" t="s">
        <v>11050</v>
      </c>
      <c r="AO8">
        <v>0</v>
      </c>
      <c r="AP8" t="s">
        <v>11072</v>
      </c>
      <c r="AU8">
        <v>2.55</v>
      </c>
      <c r="AV8" t="s">
        <v>11433</v>
      </c>
      <c r="AW8" t="s">
        <v>53</v>
      </c>
    </row>
    <row r="9" spans="1:50">
      <c r="A9" s="1">
        <f>HYPERLINK("https://cms.ls-nyc.org/matter/dynamic-profile/view/1854762","17-1854762")</f>
        <v>0</v>
      </c>
      <c r="B9" t="s">
        <v>53</v>
      </c>
      <c r="C9" t="s">
        <v>234</v>
      </c>
      <c r="D9" t="s">
        <v>243</v>
      </c>
      <c r="E9" t="s">
        <v>669</v>
      </c>
      <c r="F9" t="s">
        <v>844</v>
      </c>
      <c r="G9" t="s">
        <v>2106</v>
      </c>
      <c r="H9" t="s">
        <v>3434</v>
      </c>
      <c r="I9" t="s">
        <v>4739</v>
      </c>
      <c r="J9" t="s">
        <v>5320</v>
      </c>
      <c r="K9">
        <v>11208</v>
      </c>
      <c r="L9" t="s">
        <v>5355</v>
      </c>
      <c r="M9" t="s">
        <v>5356</v>
      </c>
      <c r="O9" t="s">
        <v>6491</v>
      </c>
      <c r="P9" t="s">
        <v>6524</v>
      </c>
      <c r="Q9" t="s">
        <v>6531</v>
      </c>
      <c r="R9" t="s">
        <v>6539</v>
      </c>
      <c r="U9" t="s">
        <v>6557</v>
      </c>
      <c r="W9" t="s">
        <v>262</v>
      </c>
      <c r="X9">
        <v>0</v>
      </c>
      <c r="Y9" t="s">
        <v>6605</v>
      </c>
      <c r="AA9" t="s">
        <v>6631</v>
      </c>
      <c r="AB9" t="s">
        <v>6664</v>
      </c>
      <c r="AE9">
        <v>6</v>
      </c>
      <c r="AH9">
        <v>0</v>
      </c>
      <c r="AI9">
        <v>5</v>
      </c>
      <c r="AJ9">
        <v>0</v>
      </c>
      <c r="AK9">
        <v>0</v>
      </c>
      <c r="AO9">
        <v>0</v>
      </c>
      <c r="AU9">
        <v>0.95</v>
      </c>
      <c r="AV9" t="s">
        <v>669</v>
      </c>
      <c r="AW9" t="s">
        <v>53</v>
      </c>
    </row>
    <row r="10" spans="1:50">
      <c r="A10" s="1">
        <f>HYPERLINK("https://cms.ls-nyc.org/matter/dynamic-profile/view/1854824","17-1854824")</f>
        <v>0</v>
      </c>
      <c r="B10" t="s">
        <v>53</v>
      </c>
      <c r="C10" t="s">
        <v>234</v>
      </c>
      <c r="D10" t="s">
        <v>243</v>
      </c>
      <c r="E10" t="s">
        <v>669</v>
      </c>
      <c r="F10" t="s">
        <v>845</v>
      </c>
      <c r="G10" t="s">
        <v>2106</v>
      </c>
      <c r="H10" t="s">
        <v>3435</v>
      </c>
      <c r="I10" t="s">
        <v>4739</v>
      </c>
      <c r="J10" t="s">
        <v>5320</v>
      </c>
      <c r="K10">
        <v>11208</v>
      </c>
      <c r="L10" t="s">
        <v>5355</v>
      </c>
      <c r="M10" t="s">
        <v>5355</v>
      </c>
      <c r="P10" t="s">
        <v>6524</v>
      </c>
      <c r="Q10" t="s">
        <v>6531</v>
      </c>
      <c r="R10" t="s">
        <v>6539</v>
      </c>
      <c r="U10" t="s">
        <v>6557</v>
      </c>
      <c r="W10" t="s">
        <v>262</v>
      </c>
      <c r="X10">
        <v>0</v>
      </c>
      <c r="Y10" t="s">
        <v>6605</v>
      </c>
      <c r="AA10" t="s">
        <v>6631</v>
      </c>
      <c r="AB10" t="s">
        <v>6665</v>
      </c>
      <c r="AE10">
        <v>7</v>
      </c>
      <c r="AH10">
        <v>0</v>
      </c>
      <c r="AI10">
        <v>5</v>
      </c>
      <c r="AJ10">
        <v>0</v>
      </c>
      <c r="AK10">
        <v>0</v>
      </c>
      <c r="AN10" t="s">
        <v>11050</v>
      </c>
      <c r="AO10">
        <v>0</v>
      </c>
      <c r="AU10">
        <v>0.25</v>
      </c>
      <c r="AV10" t="s">
        <v>669</v>
      </c>
      <c r="AW10" t="s">
        <v>11489</v>
      </c>
    </row>
    <row r="11" spans="1:50">
      <c r="A11" s="1">
        <f>HYPERLINK("https://cms.ls-nyc.org/matter/dynamic-profile/view/1854830","17-1854830")</f>
        <v>0</v>
      </c>
      <c r="B11" t="s">
        <v>53</v>
      </c>
      <c r="C11" t="s">
        <v>234</v>
      </c>
      <c r="D11" t="s">
        <v>243</v>
      </c>
      <c r="E11" t="s">
        <v>669</v>
      </c>
      <c r="F11" t="s">
        <v>846</v>
      </c>
      <c r="G11" t="s">
        <v>2106</v>
      </c>
      <c r="H11" t="s">
        <v>3434</v>
      </c>
      <c r="I11" t="s">
        <v>4739</v>
      </c>
      <c r="J11" t="s">
        <v>5320</v>
      </c>
      <c r="K11">
        <v>11208</v>
      </c>
      <c r="L11" t="s">
        <v>5355</v>
      </c>
      <c r="M11" t="s">
        <v>5355</v>
      </c>
      <c r="P11" t="s">
        <v>6524</v>
      </c>
      <c r="Q11" t="s">
        <v>6531</v>
      </c>
      <c r="R11" t="s">
        <v>6539</v>
      </c>
      <c r="S11" t="s">
        <v>5355</v>
      </c>
      <c r="U11" t="s">
        <v>6557</v>
      </c>
      <c r="W11" t="s">
        <v>262</v>
      </c>
      <c r="X11">
        <v>0</v>
      </c>
      <c r="Y11" t="s">
        <v>6605</v>
      </c>
      <c r="AA11" t="s">
        <v>6631</v>
      </c>
      <c r="AB11" t="s">
        <v>6666</v>
      </c>
      <c r="AE11">
        <v>7</v>
      </c>
      <c r="AH11">
        <v>0</v>
      </c>
      <c r="AI11">
        <v>5</v>
      </c>
      <c r="AJ11">
        <v>0</v>
      </c>
      <c r="AK11">
        <v>0</v>
      </c>
      <c r="AN11" t="s">
        <v>11050</v>
      </c>
      <c r="AO11">
        <v>0</v>
      </c>
      <c r="AU11">
        <v>0.25</v>
      </c>
      <c r="AV11" t="s">
        <v>669</v>
      </c>
      <c r="AW11" t="s">
        <v>11489</v>
      </c>
    </row>
    <row r="12" spans="1:50">
      <c r="A12" s="1">
        <f>HYPERLINK("https://cms.ls-nyc.org/matter/dynamic-profile/view/1854831","17-1854831")</f>
        <v>0</v>
      </c>
      <c r="B12" t="s">
        <v>53</v>
      </c>
      <c r="C12" t="s">
        <v>234</v>
      </c>
      <c r="D12" t="s">
        <v>243</v>
      </c>
      <c r="E12" t="s">
        <v>665</v>
      </c>
      <c r="F12" t="s">
        <v>847</v>
      </c>
      <c r="G12" t="s">
        <v>2106</v>
      </c>
      <c r="H12" t="s">
        <v>3434</v>
      </c>
      <c r="I12" t="s">
        <v>4739</v>
      </c>
      <c r="J12" t="s">
        <v>5320</v>
      </c>
      <c r="K12">
        <v>11208</v>
      </c>
      <c r="L12" t="s">
        <v>5355</v>
      </c>
      <c r="M12" t="s">
        <v>5356</v>
      </c>
      <c r="P12" t="s">
        <v>6524</v>
      </c>
      <c r="Q12" t="s">
        <v>6531</v>
      </c>
      <c r="R12" t="s">
        <v>6539</v>
      </c>
      <c r="S12" t="s">
        <v>5355</v>
      </c>
      <c r="U12" t="s">
        <v>6557</v>
      </c>
      <c r="W12" t="s">
        <v>262</v>
      </c>
      <c r="X12">
        <v>0</v>
      </c>
      <c r="Y12" t="s">
        <v>6605</v>
      </c>
      <c r="AA12" t="s">
        <v>6632</v>
      </c>
      <c r="AB12" t="s">
        <v>6667</v>
      </c>
      <c r="AE12">
        <v>7</v>
      </c>
      <c r="AH12">
        <v>0</v>
      </c>
      <c r="AI12">
        <v>5</v>
      </c>
      <c r="AJ12">
        <v>0</v>
      </c>
      <c r="AK12">
        <v>0</v>
      </c>
      <c r="AN12" t="s">
        <v>11050</v>
      </c>
      <c r="AO12">
        <v>0</v>
      </c>
      <c r="AU12">
        <v>0.1</v>
      </c>
      <c r="AV12" t="s">
        <v>456</v>
      </c>
      <c r="AW12" t="s">
        <v>11489</v>
      </c>
    </row>
    <row r="13" spans="1:50">
      <c r="A13" s="1">
        <f>HYPERLINK("https://cms.ls-nyc.org/matter/dynamic-profile/view/1867048","18-1867048")</f>
        <v>0</v>
      </c>
      <c r="B13" t="s">
        <v>54</v>
      </c>
      <c r="C13" t="s">
        <v>234</v>
      </c>
      <c r="D13" t="s">
        <v>244</v>
      </c>
      <c r="E13" t="s">
        <v>420</v>
      </c>
      <c r="F13" t="s">
        <v>848</v>
      </c>
      <c r="G13" t="s">
        <v>2107</v>
      </c>
      <c r="H13" t="s">
        <v>3436</v>
      </c>
      <c r="I13" t="s">
        <v>4740</v>
      </c>
      <c r="J13" t="s">
        <v>5320</v>
      </c>
      <c r="K13">
        <v>11208</v>
      </c>
      <c r="L13" t="s">
        <v>5355</v>
      </c>
      <c r="M13" t="s">
        <v>5356</v>
      </c>
      <c r="P13" t="s">
        <v>6524</v>
      </c>
      <c r="Q13" t="s">
        <v>6531</v>
      </c>
      <c r="R13" t="s">
        <v>6540</v>
      </c>
      <c r="U13" t="s">
        <v>6557</v>
      </c>
      <c r="W13" t="s">
        <v>244</v>
      </c>
      <c r="X13">
        <v>1650</v>
      </c>
      <c r="Y13" t="s">
        <v>6605</v>
      </c>
      <c r="Z13" t="s">
        <v>6610</v>
      </c>
      <c r="AA13" t="s">
        <v>6631</v>
      </c>
      <c r="AB13" t="s">
        <v>6668</v>
      </c>
      <c r="AD13" t="s">
        <v>9107</v>
      </c>
      <c r="AE13">
        <v>16</v>
      </c>
      <c r="AF13" t="s">
        <v>11005</v>
      </c>
      <c r="AH13">
        <v>1</v>
      </c>
      <c r="AI13">
        <v>1</v>
      </c>
      <c r="AJ13">
        <v>1</v>
      </c>
      <c r="AK13">
        <v>0</v>
      </c>
      <c r="AL13" t="s">
        <v>11028</v>
      </c>
      <c r="AN13" t="s">
        <v>11050</v>
      </c>
      <c r="AO13">
        <v>0</v>
      </c>
      <c r="AU13">
        <v>3</v>
      </c>
      <c r="AV13" t="s">
        <v>420</v>
      </c>
      <c r="AW13" t="s">
        <v>11488</v>
      </c>
    </row>
    <row r="14" spans="1:50">
      <c r="A14" s="1">
        <f>HYPERLINK("https://cms.ls-nyc.org/matter/dynamic-profile/view/1870917","18-1870917")</f>
        <v>0</v>
      </c>
      <c r="B14" t="s">
        <v>55</v>
      </c>
      <c r="C14" t="s">
        <v>234</v>
      </c>
      <c r="D14" t="s">
        <v>245</v>
      </c>
      <c r="E14" t="s">
        <v>449</v>
      </c>
      <c r="F14" t="s">
        <v>849</v>
      </c>
      <c r="G14" t="s">
        <v>2108</v>
      </c>
      <c r="H14" t="s">
        <v>3437</v>
      </c>
      <c r="I14" t="s">
        <v>4741</v>
      </c>
      <c r="J14" t="s">
        <v>5320</v>
      </c>
      <c r="K14">
        <v>11203</v>
      </c>
      <c r="L14" t="s">
        <v>5355</v>
      </c>
      <c r="M14" t="s">
        <v>5356</v>
      </c>
      <c r="O14" t="s">
        <v>5393</v>
      </c>
      <c r="P14" t="s">
        <v>6524</v>
      </c>
      <c r="Q14" t="s">
        <v>6531</v>
      </c>
      <c r="R14" t="s">
        <v>6539</v>
      </c>
      <c r="U14" t="s">
        <v>6557</v>
      </c>
      <c r="W14" t="s">
        <v>516</v>
      </c>
      <c r="X14">
        <v>1332.76</v>
      </c>
      <c r="Y14" t="s">
        <v>6605</v>
      </c>
      <c r="Z14" t="s">
        <v>6612</v>
      </c>
      <c r="AA14" t="s">
        <v>6631</v>
      </c>
      <c r="AB14" t="s">
        <v>6669</v>
      </c>
      <c r="AC14" t="s">
        <v>8702</v>
      </c>
      <c r="AD14" t="s">
        <v>9108</v>
      </c>
      <c r="AE14">
        <v>6</v>
      </c>
      <c r="AF14" t="s">
        <v>11005</v>
      </c>
      <c r="AG14" t="s">
        <v>5406</v>
      </c>
      <c r="AH14">
        <v>7</v>
      </c>
      <c r="AI14">
        <v>3</v>
      </c>
      <c r="AJ14">
        <v>0</v>
      </c>
      <c r="AK14">
        <v>0</v>
      </c>
      <c r="AN14" t="s">
        <v>11050</v>
      </c>
      <c r="AO14">
        <v>0</v>
      </c>
      <c r="AU14">
        <v>3.5</v>
      </c>
      <c r="AV14" t="s">
        <v>394</v>
      </c>
      <c r="AW14" t="s">
        <v>11490</v>
      </c>
    </row>
    <row r="15" spans="1:50">
      <c r="A15" s="1">
        <f>HYPERLINK("https://cms.ls-nyc.org/matter/dynamic-profile/view/1861091","18-1861091")</f>
        <v>0</v>
      </c>
      <c r="B15" t="s">
        <v>56</v>
      </c>
      <c r="C15" t="s">
        <v>234</v>
      </c>
      <c r="D15" t="s">
        <v>246</v>
      </c>
      <c r="E15" t="s">
        <v>665</v>
      </c>
      <c r="F15" t="s">
        <v>850</v>
      </c>
      <c r="G15" t="s">
        <v>2109</v>
      </c>
      <c r="H15" t="s">
        <v>3438</v>
      </c>
      <c r="J15" t="s">
        <v>5321</v>
      </c>
      <c r="K15">
        <v>10466</v>
      </c>
      <c r="L15" t="s">
        <v>5355</v>
      </c>
      <c r="M15" t="s">
        <v>5356</v>
      </c>
      <c r="N15" t="s">
        <v>5362</v>
      </c>
      <c r="O15" t="s">
        <v>6494</v>
      </c>
      <c r="P15" t="s">
        <v>6524</v>
      </c>
      <c r="Q15" t="s">
        <v>6531</v>
      </c>
      <c r="R15" t="s">
        <v>6539</v>
      </c>
      <c r="S15" t="s">
        <v>5357</v>
      </c>
      <c r="U15" t="s">
        <v>6557</v>
      </c>
      <c r="W15" t="s">
        <v>373</v>
      </c>
      <c r="X15">
        <v>1098</v>
      </c>
      <c r="Y15" t="s">
        <v>6606</v>
      </c>
      <c r="Z15" t="s">
        <v>6612</v>
      </c>
      <c r="AA15" t="s">
        <v>6631</v>
      </c>
      <c r="AB15" t="s">
        <v>6670</v>
      </c>
      <c r="AC15" t="s">
        <v>8703</v>
      </c>
      <c r="AD15" t="s">
        <v>9109</v>
      </c>
      <c r="AE15">
        <v>35</v>
      </c>
      <c r="AF15" t="s">
        <v>11005</v>
      </c>
      <c r="AG15" t="s">
        <v>5406</v>
      </c>
      <c r="AH15">
        <v>1</v>
      </c>
      <c r="AI15">
        <v>2</v>
      </c>
      <c r="AJ15">
        <v>1</v>
      </c>
      <c r="AK15">
        <v>0</v>
      </c>
      <c r="AN15" t="s">
        <v>11050</v>
      </c>
      <c r="AO15">
        <v>0</v>
      </c>
      <c r="AU15">
        <v>0.5</v>
      </c>
      <c r="AV15" t="s">
        <v>665</v>
      </c>
      <c r="AW15" t="s">
        <v>56</v>
      </c>
    </row>
    <row r="16" spans="1:50">
      <c r="A16" s="1">
        <f>HYPERLINK("https://cms.ls-nyc.org/matter/dynamic-profile/view/1857979","18-1857979")</f>
        <v>0</v>
      </c>
      <c r="B16" t="s">
        <v>57</v>
      </c>
      <c r="C16" t="s">
        <v>234</v>
      </c>
      <c r="D16" t="s">
        <v>247</v>
      </c>
      <c r="E16" t="s">
        <v>541</v>
      </c>
      <c r="F16" t="s">
        <v>851</v>
      </c>
      <c r="G16" t="s">
        <v>2110</v>
      </c>
      <c r="H16" t="s">
        <v>3439</v>
      </c>
      <c r="I16">
        <v>3</v>
      </c>
      <c r="J16" t="s">
        <v>5321</v>
      </c>
      <c r="K16">
        <v>10465</v>
      </c>
      <c r="L16" t="s">
        <v>5355</v>
      </c>
      <c r="M16" t="s">
        <v>5356</v>
      </c>
      <c r="O16" t="s">
        <v>5393</v>
      </c>
      <c r="P16" t="s">
        <v>6524</v>
      </c>
      <c r="Q16" t="s">
        <v>6531</v>
      </c>
      <c r="R16" t="s">
        <v>6540</v>
      </c>
      <c r="S16" t="s">
        <v>5357</v>
      </c>
      <c r="U16" t="s">
        <v>6557</v>
      </c>
      <c r="W16" t="s">
        <v>319</v>
      </c>
      <c r="X16">
        <v>0</v>
      </c>
      <c r="Y16" t="s">
        <v>6606</v>
      </c>
      <c r="Z16" t="s">
        <v>6610</v>
      </c>
      <c r="AA16" t="s">
        <v>6631</v>
      </c>
      <c r="AB16" t="s">
        <v>6671</v>
      </c>
      <c r="AD16" t="s">
        <v>9110</v>
      </c>
      <c r="AE16">
        <v>3</v>
      </c>
      <c r="AF16" t="s">
        <v>11005</v>
      </c>
      <c r="AG16" t="s">
        <v>5406</v>
      </c>
      <c r="AH16">
        <v>11</v>
      </c>
      <c r="AI16">
        <v>1</v>
      </c>
      <c r="AJ16">
        <v>2</v>
      </c>
      <c r="AK16">
        <v>0</v>
      </c>
      <c r="AL16" t="s">
        <v>11028</v>
      </c>
      <c r="AN16" t="s">
        <v>11049</v>
      </c>
      <c r="AO16">
        <v>0</v>
      </c>
      <c r="AU16">
        <v>2.7</v>
      </c>
      <c r="AV16" t="s">
        <v>541</v>
      </c>
      <c r="AW16" t="s">
        <v>57</v>
      </c>
    </row>
    <row r="17" spans="1:49">
      <c r="A17" s="1">
        <f>HYPERLINK("https://cms.ls-nyc.org/matter/dynamic-profile/view/1867022","18-1867022")</f>
        <v>0</v>
      </c>
      <c r="B17" t="s">
        <v>58</v>
      </c>
      <c r="C17" t="s">
        <v>234</v>
      </c>
      <c r="D17" t="s">
        <v>244</v>
      </c>
      <c r="E17" t="s">
        <v>670</v>
      </c>
      <c r="F17" t="s">
        <v>852</v>
      </c>
      <c r="G17" t="s">
        <v>2111</v>
      </c>
      <c r="H17" t="s">
        <v>3440</v>
      </c>
      <c r="I17" t="s">
        <v>4742</v>
      </c>
      <c r="J17" t="s">
        <v>5321</v>
      </c>
      <c r="K17">
        <v>10457</v>
      </c>
      <c r="L17" t="s">
        <v>5355</v>
      </c>
      <c r="M17" t="s">
        <v>5356</v>
      </c>
      <c r="N17" t="s">
        <v>5363</v>
      </c>
      <c r="O17" t="s">
        <v>6492</v>
      </c>
      <c r="P17" t="s">
        <v>6524</v>
      </c>
      <c r="Q17" t="s">
        <v>6531</v>
      </c>
      <c r="R17" t="s">
        <v>6539</v>
      </c>
      <c r="U17" t="s">
        <v>6557</v>
      </c>
      <c r="W17" t="s">
        <v>516</v>
      </c>
      <c r="X17">
        <v>1600</v>
      </c>
      <c r="Y17" t="s">
        <v>6606</v>
      </c>
      <c r="Z17" t="s">
        <v>6493</v>
      </c>
      <c r="AA17" t="s">
        <v>6631</v>
      </c>
      <c r="AB17" t="s">
        <v>6672</v>
      </c>
      <c r="AC17" t="s">
        <v>8704</v>
      </c>
      <c r="AD17" t="s">
        <v>9111</v>
      </c>
      <c r="AE17">
        <v>0</v>
      </c>
      <c r="AF17" t="s">
        <v>8722</v>
      </c>
      <c r="AG17" t="s">
        <v>5406</v>
      </c>
      <c r="AH17">
        <v>1</v>
      </c>
      <c r="AI17">
        <v>1</v>
      </c>
      <c r="AJ17">
        <v>2</v>
      </c>
      <c r="AK17">
        <v>0</v>
      </c>
      <c r="AN17" t="s">
        <v>11050</v>
      </c>
      <c r="AO17">
        <v>0</v>
      </c>
      <c r="AU17">
        <v>2.1</v>
      </c>
      <c r="AV17" t="s">
        <v>670</v>
      </c>
      <c r="AW17" t="s">
        <v>11491</v>
      </c>
    </row>
    <row r="18" spans="1:49">
      <c r="A18" s="1">
        <f>HYPERLINK("https://cms.ls-nyc.org/matter/dynamic-profile/view/1858745","18-1858745")</f>
        <v>0</v>
      </c>
      <c r="B18" t="s">
        <v>59</v>
      </c>
      <c r="C18" t="s">
        <v>234</v>
      </c>
      <c r="D18" t="s">
        <v>248</v>
      </c>
      <c r="E18" t="s">
        <v>671</v>
      </c>
      <c r="F18" t="s">
        <v>853</v>
      </c>
      <c r="G18" t="s">
        <v>2112</v>
      </c>
      <c r="H18" t="s">
        <v>3441</v>
      </c>
      <c r="I18" t="s">
        <v>4743</v>
      </c>
      <c r="J18" t="s">
        <v>5321</v>
      </c>
      <c r="K18">
        <v>10453</v>
      </c>
      <c r="L18" t="s">
        <v>5355</v>
      </c>
      <c r="M18" t="s">
        <v>5356</v>
      </c>
      <c r="O18" t="s">
        <v>5393</v>
      </c>
      <c r="P18" t="s">
        <v>6524</v>
      </c>
      <c r="Q18" t="s">
        <v>6531</v>
      </c>
      <c r="R18" t="s">
        <v>6539</v>
      </c>
      <c r="S18" t="s">
        <v>5357</v>
      </c>
      <c r="U18" t="s">
        <v>6557</v>
      </c>
      <c r="W18" t="s">
        <v>409</v>
      </c>
      <c r="X18">
        <v>1145.12</v>
      </c>
      <c r="Y18" t="s">
        <v>6606</v>
      </c>
      <c r="Z18" t="s">
        <v>6612</v>
      </c>
      <c r="AA18" t="s">
        <v>6631</v>
      </c>
      <c r="AB18" t="s">
        <v>6673</v>
      </c>
      <c r="AD18" t="s">
        <v>9112</v>
      </c>
      <c r="AE18">
        <v>72</v>
      </c>
      <c r="AF18" t="s">
        <v>11005</v>
      </c>
      <c r="AG18" t="s">
        <v>5406</v>
      </c>
      <c r="AH18">
        <v>17</v>
      </c>
      <c r="AI18">
        <v>1</v>
      </c>
      <c r="AJ18">
        <v>0</v>
      </c>
      <c r="AK18">
        <v>0</v>
      </c>
      <c r="AN18" t="s">
        <v>11050</v>
      </c>
      <c r="AO18">
        <v>0</v>
      </c>
      <c r="AU18">
        <v>0.9</v>
      </c>
      <c r="AV18" t="s">
        <v>671</v>
      </c>
      <c r="AW18" t="s">
        <v>11492</v>
      </c>
    </row>
    <row r="19" spans="1:49">
      <c r="A19" s="1">
        <f>HYPERLINK("https://cms.ls-nyc.org/matter/dynamic-profile/view/1856906","18-1856906")</f>
        <v>0</v>
      </c>
      <c r="B19" t="s">
        <v>60</v>
      </c>
      <c r="C19" t="s">
        <v>234</v>
      </c>
      <c r="D19" t="s">
        <v>249</v>
      </c>
      <c r="E19" t="s">
        <v>672</v>
      </c>
      <c r="F19" t="s">
        <v>854</v>
      </c>
      <c r="G19" t="s">
        <v>2113</v>
      </c>
      <c r="H19" t="s">
        <v>3442</v>
      </c>
      <c r="I19" t="s">
        <v>4744</v>
      </c>
      <c r="J19" t="s">
        <v>5321</v>
      </c>
      <c r="K19">
        <v>10453</v>
      </c>
      <c r="L19" t="s">
        <v>5355</v>
      </c>
      <c r="M19" t="s">
        <v>5356</v>
      </c>
      <c r="N19" t="s">
        <v>5364</v>
      </c>
      <c r="O19" t="s">
        <v>6492</v>
      </c>
      <c r="P19" t="s">
        <v>6524</v>
      </c>
      <c r="Q19" t="s">
        <v>6531</v>
      </c>
      <c r="R19" t="s">
        <v>6539</v>
      </c>
      <c r="S19" t="s">
        <v>5357</v>
      </c>
      <c r="U19" t="s">
        <v>6557</v>
      </c>
      <c r="W19" t="s">
        <v>326</v>
      </c>
      <c r="X19">
        <v>1550</v>
      </c>
      <c r="Y19" t="s">
        <v>6606</v>
      </c>
      <c r="Z19" t="s">
        <v>6613</v>
      </c>
      <c r="AA19" t="s">
        <v>6631</v>
      </c>
      <c r="AB19" t="s">
        <v>6674</v>
      </c>
      <c r="AC19" t="s">
        <v>8705</v>
      </c>
      <c r="AD19" t="s">
        <v>9113</v>
      </c>
      <c r="AE19">
        <v>40</v>
      </c>
      <c r="AF19" t="s">
        <v>11005</v>
      </c>
      <c r="AG19" t="s">
        <v>11019</v>
      </c>
      <c r="AH19">
        <v>3</v>
      </c>
      <c r="AI19">
        <v>2</v>
      </c>
      <c r="AJ19">
        <v>2</v>
      </c>
      <c r="AK19">
        <v>0</v>
      </c>
      <c r="AN19" t="s">
        <v>11050</v>
      </c>
      <c r="AO19">
        <v>0</v>
      </c>
      <c r="AU19">
        <v>4.75</v>
      </c>
      <c r="AV19" t="s">
        <v>248</v>
      </c>
      <c r="AW19" t="s">
        <v>11493</v>
      </c>
    </row>
    <row r="20" spans="1:49">
      <c r="A20" s="1">
        <f>HYPERLINK("https://cms.ls-nyc.org/matter/dynamic-profile/view/1866413","18-1866413")</f>
        <v>0</v>
      </c>
      <c r="B20" t="s">
        <v>56</v>
      </c>
      <c r="C20" t="s">
        <v>234</v>
      </c>
      <c r="D20" t="s">
        <v>250</v>
      </c>
      <c r="E20" t="s">
        <v>665</v>
      </c>
      <c r="F20" t="s">
        <v>855</v>
      </c>
      <c r="G20" t="s">
        <v>2114</v>
      </c>
      <c r="H20" t="s">
        <v>3443</v>
      </c>
      <c r="I20" t="s">
        <v>4745</v>
      </c>
      <c r="J20" t="s">
        <v>5321</v>
      </c>
      <c r="K20">
        <v>10453</v>
      </c>
      <c r="L20" t="s">
        <v>5355</v>
      </c>
      <c r="M20" t="s">
        <v>5356</v>
      </c>
      <c r="N20" t="s">
        <v>5365</v>
      </c>
      <c r="O20" t="s">
        <v>6492</v>
      </c>
      <c r="P20" t="s">
        <v>6524</v>
      </c>
      <c r="Q20" t="s">
        <v>6531</v>
      </c>
      <c r="R20" t="s">
        <v>6539</v>
      </c>
      <c r="S20" t="s">
        <v>5357</v>
      </c>
      <c r="U20" t="s">
        <v>6557</v>
      </c>
      <c r="W20" t="s">
        <v>516</v>
      </c>
      <c r="X20">
        <v>1423.25</v>
      </c>
      <c r="Y20" t="s">
        <v>6606</v>
      </c>
      <c r="Z20" t="s">
        <v>6611</v>
      </c>
      <c r="AA20" t="s">
        <v>6633</v>
      </c>
      <c r="AB20" t="s">
        <v>6675</v>
      </c>
      <c r="AE20">
        <v>225</v>
      </c>
      <c r="AF20" t="s">
        <v>11005</v>
      </c>
      <c r="AG20" t="s">
        <v>11020</v>
      </c>
      <c r="AH20">
        <v>13</v>
      </c>
      <c r="AI20">
        <v>2</v>
      </c>
      <c r="AJ20">
        <v>0</v>
      </c>
      <c r="AK20">
        <v>0</v>
      </c>
      <c r="AN20" t="s">
        <v>11050</v>
      </c>
      <c r="AO20">
        <v>0</v>
      </c>
      <c r="AU20">
        <v>4.4</v>
      </c>
      <c r="AV20" t="s">
        <v>769</v>
      </c>
      <c r="AW20" t="s">
        <v>11492</v>
      </c>
    </row>
    <row r="21" spans="1:49">
      <c r="A21" s="1">
        <f>HYPERLINK("https://cms.ls-nyc.org/matter/dynamic-profile/view/1865121","18-1865121")</f>
        <v>0</v>
      </c>
      <c r="B21" t="s">
        <v>61</v>
      </c>
      <c r="C21" t="s">
        <v>234</v>
      </c>
      <c r="D21" t="s">
        <v>251</v>
      </c>
      <c r="E21" t="s">
        <v>673</v>
      </c>
      <c r="F21" t="s">
        <v>856</v>
      </c>
      <c r="G21" t="s">
        <v>2115</v>
      </c>
      <c r="H21" t="s">
        <v>3444</v>
      </c>
      <c r="I21" t="s">
        <v>4746</v>
      </c>
      <c r="J21" t="s">
        <v>5321</v>
      </c>
      <c r="K21">
        <v>10452</v>
      </c>
      <c r="L21" t="s">
        <v>5355</v>
      </c>
      <c r="M21" t="s">
        <v>5356</v>
      </c>
      <c r="P21" t="s">
        <v>6524</v>
      </c>
      <c r="Q21" t="s">
        <v>6531</v>
      </c>
      <c r="R21" t="s">
        <v>6539</v>
      </c>
      <c r="S21" t="s">
        <v>5357</v>
      </c>
      <c r="U21" t="s">
        <v>6557</v>
      </c>
      <c r="W21" t="s">
        <v>375</v>
      </c>
      <c r="X21">
        <v>0</v>
      </c>
      <c r="Y21" t="s">
        <v>6606</v>
      </c>
      <c r="Z21" t="s">
        <v>6612</v>
      </c>
      <c r="AA21" t="s">
        <v>6631</v>
      </c>
      <c r="AB21" t="s">
        <v>6676</v>
      </c>
      <c r="AD21" t="s">
        <v>9114</v>
      </c>
      <c r="AE21">
        <v>0</v>
      </c>
      <c r="AF21" t="s">
        <v>8722</v>
      </c>
      <c r="AG21" t="s">
        <v>5406</v>
      </c>
      <c r="AH21">
        <v>14</v>
      </c>
      <c r="AI21">
        <v>1</v>
      </c>
      <c r="AJ21">
        <v>0</v>
      </c>
      <c r="AK21">
        <v>0</v>
      </c>
      <c r="AN21" t="s">
        <v>11049</v>
      </c>
      <c r="AO21">
        <v>0</v>
      </c>
      <c r="AU21">
        <v>0.1</v>
      </c>
      <c r="AV21" t="s">
        <v>673</v>
      </c>
      <c r="AW21" t="s">
        <v>11492</v>
      </c>
    </row>
    <row r="22" spans="1:49">
      <c r="A22" s="1">
        <f>HYPERLINK("https://cms.ls-nyc.org/matter/dynamic-profile/view/1869240","18-1869240")</f>
        <v>0</v>
      </c>
      <c r="B22" t="s">
        <v>62</v>
      </c>
      <c r="C22" t="s">
        <v>234</v>
      </c>
      <c r="D22" t="s">
        <v>252</v>
      </c>
      <c r="E22" t="s">
        <v>674</v>
      </c>
      <c r="F22" t="s">
        <v>857</v>
      </c>
      <c r="G22" t="s">
        <v>2116</v>
      </c>
      <c r="H22" t="s">
        <v>3445</v>
      </c>
      <c r="I22" t="s">
        <v>4747</v>
      </c>
      <c r="J22" t="s">
        <v>5322</v>
      </c>
      <c r="K22">
        <v>10305</v>
      </c>
      <c r="L22" t="s">
        <v>5355</v>
      </c>
      <c r="M22" t="s">
        <v>5356</v>
      </c>
      <c r="N22" t="s">
        <v>5366</v>
      </c>
      <c r="O22" t="s">
        <v>5393</v>
      </c>
      <c r="P22" t="s">
        <v>6524</v>
      </c>
      <c r="Q22" t="s">
        <v>6531</v>
      </c>
      <c r="R22" t="s">
        <v>6540</v>
      </c>
      <c r="S22" t="s">
        <v>5357</v>
      </c>
      <c r="U22" t="s">
        <v>6557</v>
      </c>
      <c r="W22" t="s">
        <v>252</v>
      </c>
      <c r="X22">
        <v>0</v>
      </c>
      <c r="Y22" t="s">
        <v>6607</v>
      </c>
      <c r="Z22" t="s">
        <v>6610</v>
      </c>
      <c r="AA22" t="s">
        <v>6631</v>
      </c>
      <c r="AB22" t="s">
        <v>6677</v>
      </c>
      <c r="AD22" t="s">
        <v>9115</v>
      </c>
      <c r="AE22">
        <v>2</v>
      </c>
      <c r="AG22" t="s">
        <v>5406</v>
      </c>
      <c r="AH22">
        <v>0</v>
      </c>
      <c r="AI22">
        <v>1</v>
      </c>
      <c r="AJ22">
        <v>1</v>
      </c>
      <c r="AK22">
        <v>0</v>
      </c>
      <c r="AO22">
        <v>0</v>
      </c>
      <c r="AU22">
        <v>0.4</v>
      </c>
      <c r="AV22" t="s">
        <v>684</v>
      </c>
      <c r="AW22" t="s">
        <v>62</v>
      </c>
    </row>
    <row r="23" spans="1:49">
      <c r="A23" s="1">
        <f>HYPERLINK("https://cms.ls-nyc.org/matter/dynamic-profile/view/1869385","18-1869385")</f>
        <v>0</v>
      </c>
      <c r="B23" t="s">
        <v>63</v>
      </c>
      <c r="C23" t="s">
        <v>234</v>
      </c>
      <c r="D23" t="s">
        <v>253</v>
      </c>
      <c r="E23" t="s">
        <v>675</v>
      </c>
      <c r="F23" t="s">
        <v>858</v>
      </c>
      <c r="G23" t="s">
        <v>2117</v>
      </c>
      <c r="H23" t="s">
        <v>3446</v>
      </c>
      <c r="I23" t="s">
        <v>4748</v>
      </c>
      <c r="J23" t="s">
        <v>5322</v>
      </c>
      <c r="K23">
        <v>10301</v>
      </c>
      <c r="L23" t="s">
        <v>5356</v>
      </c>
      <c r="M23" t="s">
        <v>5356</v>
      </c>
      <c r="N23" t="s">
        <v>5366</v>
      </c>
      <c r="O23" t="s">
        <v>6495</v>
      </c>
      <c r="P23" t="s">
        <v>6524</v>
      </c>
      <c r="Q23" t="s">
        <v>6531</v>
      </c>
      <c r="R23" t="s">
        <v>6539</v>
      </c>
      <c r="S23" t="s">
        <v>5357</v>
      </c>
      <c r="U23" t="s">
        <v>6557</v>
      </c>
      <c r="W23" t="s">
        <v>253</v>
      </c>
      <c r="X23">
        <v>0</v>
      </c>
      <c r="Y23" t="s">
        <v>6607</v>
      </c>
      <c r="Z23" t="s">
        <v>6614</v>
      </c>
      <c r="AA23" t="s">
        <v>6631</v>
      </c>
      <c r="AB23" t="s">
        <v>6678</v>
      </c>
      <c r="AE23">
        <v>7</v>
      </c>
      <c r="AG23" t="s">
        <v>5406</v>
      </c>
      <c r="AH23">
        <v>1</v>
      </c>
      <c r="AI23">
        <v>2</v>
      </c>
      <c r="AJ23">
        <v>0</v>
      </c>
      <c r="AK23">
        <v>0</v>
      </c>
      <c r="AN23" t="s">
        <v>11051</v>
      </c>
      <c r="AO23">
        <v>0</v>
      </c>
      <c r="AU23">
        <v>2.5</v>
      </c>
      <c r="AV23" t="s">
        <v>675</v>
      </c>
      <c r="AW23" t="s">
        <v>63</v>
      </c>
    </row>
    <row r="24" spans="1:49">
      <c r="A24" s="1">
        <f>HYPERLINK("https://cms.ls-nyc.org/matter/dynamic-profile/view/1864729","18-1864729")</f>
        <v>0</v>
      </c>
      <c r="B24" t="s">
        <v>64</v>
      </c>
      <c r="C24" t="s">
        <v>234</v>
      </c>
      <c r="D24" t="s">
        <v>254</v>
      </c>
      <c r="E24" t="s">
        <v>676</v>
      </c>
      <c r="F24" t="s">
        <v>859</v>
      </c>
      <c r="G24" t="s">
        <v>2118</v>
      </c>
      <c r="H24" t="s">
        <v>3447</v>
      </c>
      <c r="I24" t="s">
        <v>4749</v>
      </c>
      <c r="J24" t="s">
        <v>5323</v>
      </c>
      <c r="K24">
        <v>10034</v>
      </c>
      <c r="L24" t="s">
        <v>5357</v>
      </c>
      <c r="M24" t="s">
        <v>5355</v>
      </c>
      <c r="N24" t="s">
        <v>5367</v>
      </c>
      <c r="O24" t="s">
        <v>6491</v>
      </c>
      <c r="P24" t="s">
        <v>6524</v>
      </c>
      <c r="Q24" t="s">
        <v>6531</v>
      </c>
      <c r="R24" t="s">
        <v>6539</v>
      </c>
      <c r="S24" t="s">
        <v>5357</v>
      </c>
      <c r="U24" t="s">
        <v>6557</v>
      </c>
      <c r="W24" t="s">
        <v>361</v>
      </c>
      <c r="X24">
        <v>730</v>
      </c>
      <c r="Y24" t="s">
        <v>6608</v>
      </c>
      <c r="Z24" t="s">
        <v>6615</v>
      </c>
      <c r="AA24" t="s">
        <v>6631</v>
      </c>
      <c r="AB24" t="s">
        <v>6679</v>
      </c>
      <c r="AD24" t="s">
        <v>9116</v>
      </c>
      <c r="AE24">
        <v>25</v>
      </c>
      <c r="AF24" t="s">
        <v>11005</v>
      </c>
      <c r="AG24" t="s">
        <v>5406</v>
      </c>
      <c r="AH24">
        <v>20</v>
      </c>
      <c r="AI24">
        <v>1</v>
      </c>
      <c r="AJ24">
        <v>0</v>
      </c>
      <c r="AK24">
        <v>0</v>
      </c>
      <c r="AN24" t="s">
        <v>11050</v>
      </c>
      <c r="AO24">
        <v>0</v>
      </c>
      <c r="AU24">
        <v>0.1</v>
      </c>
      <c r="AV24" t="s">
        <v>676</v>
      </c>
      <c r="AW24" t="s">
        <v>11494</v>
      </c>
    </row>
    <row r="25" spans="1:49">
      <c r="A25" s="1">
        <f>HYPERLINK("https://cms.ls-nyc.org/matter/dynamic-profile/view/1870487","18-1870487")</f>
        <v>0</v>
      </c>
      <c r="B25" t="s">
        <v>65</v>
      </c>
      <c r="C25" t="s">
        <v>234</v>
      </c>
      <c r="D25" t="s">
        <v>255</v>
      </c>
      <c r="E25" t="s">
        <v>413</v>
      </c>
      <c r="F25" t="s">
        <v>860</v>
      </c>
      <c r="G25" t="s">
        <v>2119</v>
      </c>
      <c r="H25" t="s">
        <v>3448</v>
      </c>
      <c r="I25" t="s">
        <v>4750</v>
      </c>
      <c r="J25" t="s">
        <v>5323</v>
      </c>
      <c r="K25">
        <v>10032</v>
      </c>
      <c r="L25" t="s">
        <v>5355</v>
      </c>
      <c r="M25" t="s">
        <v>5356</v>
      </c>
      <c r="O25" t="s">
        <v>6496</v>
      </c>
      <c r="P25" t="s">
        <v>6524</v>
      </c>
      <c r="Q25" t="s">
        <v>6531</v>
      </c>
      <c r="R25" t="s">
        <v>6539</v>
      </c>
      <c r="S25" t="s">
        <v>5355</v>
      </c>
      <c r="U25" t="s">
        <v>6557</v>
      </c>
      <c r="W25" t="s">
        <v>490</v>
      </c>
      <c r="X25">
        <v>726</v>
      </c>
      <c r="Y25" t="s">
        <v>6608</v>
      </c>
      <c r="Z25" t="s">
        <v>6616</v>
      </c>
      <c r="AA25" t="s">
        <v>6634</v>
      </c>
      <c r="AB25" t="s">
        <v>6680</v>
      </c>
      <c r="AE25">
        <v>49</v>
      </c>
      <c r="AF25" t="s">
        <v>11005</v>
      </c>
      <c r="AG25" t="s">
        <v>5406</v>
      </c>
      <c r="AH25">
        <v>39</v>
      </c>
      <c r="AI25">
        <v>2</v>
      </c>
      <c r="AJ25">
        <v>0</v>
      </c>
      <c r="AK25">
        <v>0</v>
      </c>
      <c r="AN25" t="s">
        <v>11049</v>
      </c>
      <c r="AO25">
        <v>0</v>
      </c>
      <c r="AU25">
        <v>0</v>
      </c>
      <c r="AV25" t="s">
        <v>328</v>
      </c>
      <c r="AW25" t="s">
        <v>11495</v>
      </c>
    </row>
    <row r="26" spans="1:49">
      <c r="A26" s="1">
        <f>HYPERLINK("https://cms.ls-nyc.org/matter/dynamic-profile/view/1864533","18-1864533")</f>
        <v>0</v>
      </c>
      <c r="B26" t="s">
        <v>66</v>
      </c>
      <c r="C26" t="s">
        <v>234</v>
      </c>
      <c r="D26" t="s">
        <v>256</v>
      </c>
      <c r="E26" t="s">
        <v>677</v>
      </c>
      <c r="F26" t="s">
        <v>861</v>
      </c>
      <c r="G26" t="s">
        <v>2120</v>
      </c>
      <c r="H26" t="s">
        <v>3449</v>
      </c>
      <c r="I26" t="s">
        <v>4751</v>
      </c>
      <c r="J26" t="s">
        <v>5323</v>
      </c>
      <c r="K26">
        <v>10030</v>
      </c>
      <c r="L26" t="s">
        <v>5355</v>
      </c>
      <c r="M26" t="s">
        <v>5355</v>
      </c>
      <c r="N26" t="s">
        <v>5368</v>
      </c>
      <c r="O26" t="s">
        <v>6492</v>
      </c>
      <c r="P26" t="s">
        <v>6524</v>
      </c>
      <c r="Q26" t="s">
        <v>6531</v>
      </c>
      <c r="R26" t="s">
        <v>6539</v>
      </c>
      <c r="S26" t="s">
        <v>5357</v>
      </c>
      <c r="U26" t="s">
        <v>6557</v>
      </c>
      <c r="W26" t="s">
        <v>256</v>
      </c>
      <c r="X26">
        <v>917.61</v>
      </c>
      <c r="Y26" t="s">
        <v>6608</v>
      </c>
      <c r="Z26" t="s">
        <v>6616</v>
      </c>
      <c r="AA26" t="s">
        <v>6631</v>
      </c>
      <c r="AB26" t="s">
        <v>6681</v>
      </c>
      <c r="AD26" t="s">
        <v>9117</v>
      </c>
      <c r="AE26">
        <v>0</v>
      </c>
      <c r="AF26" t="s">
        <v>8722</v>
      </c>
      <c r="AG26" t="s">
        <v>5406</v>
      </c>
      <c r="AH26">
        <v>5</v>
      </c>
      <c r="AI26">
        <v>1</v>
      </c>
      <c r="AJ26">
        <v>0</v>
      </c>
      <c r="AK26">
        <v>0</v>
      </c>
      <c r="AO26">
        <v>0</v>
      </c>
      <c r="AU26">
        <v>1.6</v>
      </c>
      <c r="AV26" t="s">
        <v>414</v>
      </c>
      <c r="AW26" t="s">
        <v>11496</v>
      </c>
    </row>
    <row r="27" spans="1:49">
      <c r="A27" s="1">
        <f>HYPERLINK("https://cms.ls-nyc.org/matter/dynamic-profile/view/1863227","18-1863227")</f>
        <v>0</v>
      </c>
      <c r="B27" t="s">
        <v>67</v>
      </c>
      <c r="C27" t="s">
        <v>234</v>
      </c>
      <c r="D27" t="s">
        <v>257</v>
      </c>
      <c r="E27" t="s">
        <v>677</v>
      </c>
      <c r="F27" t="s">
        <v>862</v>
      </c>
      <c r="G27" t="s">
        <v>2121</v>
      </c>
      <c r="H27" t="s">
        <v>3450</v>
      </c>
      <c r="I27">
        <v>23</v>
      </c>
      <c r="J27" t="s">
        <v>5323</v>
      </c>
      <c r="K27">
        <v>10029</v>
      </c>
      <c r="L27" t="s">
        <v>5355</v>
      </c>
      <c r="M27" t="s">
        <v>5355</v>
      </c>
      <c r="N27" t="s">
        <v>5369</v>
      </c>
      <c r="O27" t="s">
        <v>6491</v>
      </c>
      <c r="P27" t="s">
        <v>6524</v>
      </c>
      <c r="Q27" t="s">
        <v>6531</v>
      </c>
      <c r="R27" t="s">
        <v>6539</v>
      </c>
      <c r="S27" t="s">
        <v>5357</v>
      </c>
      <c r="U27" t="s">
        <v>6557</v>
      </c>
      <c r="V27" t="s">
        <v>6566</v>
      </c>
      <c r="W27" t="s">
        <v>257</v>
      </c>
      <c r="X27">
        <v>208.42</v>
      </c>
      <c r="Y27" t="s">
        <v>6608</v>
      </c>
      <c r="Z27" t="s">
        <v>6616</v>
      </c>
      <c r="AA27" t="s">
        <v>6631</v>
      </c>
      <c r="AB27" t="s">
        <v>6682</v>
      </c>
      <c r="AD27" t="s">
        <v>9118</v>
      </c>
      <c r="AE27">
        <v>25</v>
      </c>
      <c r="AF27" t="s">
        <v>11005</v>
      </c>
      <c r="AG27" t="s">
        <v>5406</v>
      </c>
      <c r="AH27">
        <v>45</v>
      </c>
      <c r="AI27">
        <v>5</v>
      </c>
      <c r="AJ27">
        <v>0</v>
      </c>
      <c r="AK27">
        <v>0</v>
      </c>
      <c r="AN27" t="s">
        <v>11050</v>
      </c>
      <c r="AO27">
        <v>0</v>
      </c>
      <c r="AU27">
        <v>0.2</v>
      </c>
      <c r="AV27" t="s">
        <v>677</v>
      </c>
      <c r="AW27" t="s">
        <v>11497</v>
      </c>
    </row>
    <row r="28" spans="1:49">
      <c r="A28" s="1">
        <f>HYPERLINK("https://cms.ls-nyc.org/matter/dynamic-profile/view/1886893","19-1886893")</f>
        <v>0</v>
      </c>
      <c r="B28" t="s">
        <v>68</v>
      </c>
      <c r="C28" t="s">
        <v>234</v>
      </c>
      <c r="D28" t="s">
        <v>258</v>
      </c>
      <c r="E28" t="s">
        <v>678</v>
      </c>
      <c r="F28" t="s">
        <v>863</v>
      </c>
      <c r="G28" t="s">
        <v>2122</v>
      </c>
      <c r="H28" t="s">
        <v>3451</v>
      </c>
      <c r="I28">
        <v>205</v>
      </c>
      <c r="J28" t="s">
        <v>5323</v>
      </c>
      <c r="K28">
        <v>10029</v>
      </c>
      <c r="L28" t="s">
        <v>5355</v>
      </c>
      <c r="M28" t="s">
        <v>5355</v>
      </c>
      <c r="O28" t="s">
        <v>6494</v>
      </c>
      <c r="P28" t="s">
        <v>6524</v>
      </c>
      <c r="Q28" t="s">
        <v>6532</v>
      </c>
      <c r="R28" t="s">
        <v>6539</v>
      </c>
      <c r="S28" t="s">
        <v>5357</v>
      </c>
      <c r="U28" t="s">
        <v>6557</v>
      </c>
      <c r="V28" t="s">
        <v>6566</v>
      </c>
      <c r="W28" t="s">
        <v>269</v>
      </c>
      <c r="X28">
        <v>712</v>
      </c>
      <c r="Y28" t="s">
        <v>6608</v>
      </c>
      <c r="Z28" t="s">
        <v>6617</v>
      </c>
      <c r="AA28" t="s">
        <v>6634</v>
      </c>
      <c r="AB28" t="s">
        <v>6683</v>
      </c>
      <c r="AD28" t="s">
        <v>9119</v>
      </c>
      <c r="AE28">
        <v>376</v>
      </c>
      <c r="AF28" t="s">
        <v>8722</v>
      </c>
      <c r="AG28" t="s">
        <v>5406</v>
      </c>
      <c r="AH28">
        <v>7</v>
      </c>
      <c r="AI28">
        <v>1</v>
      </c>
      <c r="AJ28">
        <v>0</v>
      </c>
      <c r="AK28">
        <v>0</v>
      </c>
      <c r="AN28" t="s">
        <v>11050</v>
      </c>
      <c r="AO28">
        <v>0</v>
      </c>
      <c r="AR28" t="s">
        <v>6493</v>
      </c>
      <c r="AT28" t="s">
        <v>11256</v>
      </c>
      <c r="AU28">
        <v>5.35</v>
      </c>
      <c r="AV28" t="s">
        <v>780</v>
      </c>
      <c r="AW28" t="s">
        <v>11497</v>
      </c>
    </row>
    <row r="29" spans="1:49">
      <c r="A29" s="1">
        <f>HYPERLINK("https://cms.ls-nyc.org/matter/dynamic-profile/view/1861184","18-1861184")</f>
        <v>0</v>
      </c>
      <c r="B29" t="s">
        <v>67</v>
      </c>
      <c r="C29" t="s">
        <v>234</v>
      </c>
      <c r="D29" t="s">
        <v>259</v>
      </c>
      <c r="E29" t="s">
        <v>677</v>
      </c>
      <c r="F29" t="s">
        <v>864</v>
      </c>
      <c r="G29" t="s">
        <v>2123</v>
      </c>
      <c r="H29" t="s">
        <v>3452</v>
      </c>
      <c r="I29" t="s">
        <v>4752</v>
      </c>
      <c r="J29" t="s">
        <v>5323</v>
      </c>
      <c r="K29">
        <v>10027</v>
      </c>
      <c r="L29" t="s">
        <v>5355</v>
      </c>
      <c r="M29" t="s">
        <v>5355</v>
      </c>
      <c r="N29" t="s">
        <v>5370</v>
      </c>
      <c r="O29" t="s">
        <v>6491</v>
      </c>
      <c r="P29" t="s">
        <v>6524</v>
      </c>
      <c r="Q29" t="s">
        <v>6531</v>
      </c>
      <c r="R29" t="s">
        <v>6540</v>
      </c>
      <c r="S29" t="s">
        <v>5357</v>
      </c>
      <c r="U29" t="s">
        <v>6557</v>
      </c>
      <c r="V29" t="s">
        <v>6566</v>
      </c>
      <c r="W29" t="s">
        <v>250</v>
      </c>
      <c r="X29">
        <v>1015</v>
      </c>
      <c r="Y29" t="s">
        <v>6608</v>
      </c>
      <c r="Z29" t="s">
        <v>6610</v>
      </c>
      <c r="AA29" t="s">
        <v>6631</v>
      </c>
      <c r="AB29" t="s">
        <v>6684</v>
      </c>
      <c r="AD29" t="s">
        <v>9120</v>
      </c>
      <c r="AE29">
        <v>11</v>
      </c>
      <c r="AF29" t="s">
        <v>11005</v>
      </c>
      <c r="AG29" t="s">
        <v>11020</v>
      </c>
      <c r="AH29">
        <v>4</v>
      </c>
      <c r="AI29">
        <v>1</v>
      </c>
      <c r="AJ29">
        <v>0</v>
      </c>
      <c r="AK29">
        <v>0</v>
      </c>
      <c r="AL29" t="s">
        <v>11028</v>
      </c>
      <c r="AO29">
        <v>0</v>
      </c>
      <c r="AU29">
        <v>3.4</v>
      </c>
      <c r="AV29" t="s">
        <v>303</v>
      </c>
      <c r="AW29" t="s">
        <v>11498</v>
      </c>
    </row>
    <row r="30" spans="1:49">
      <c r="A30" s="1">
        <f>HYPERLINK("https://cms.ls-nyc.org/matter/dynamic-profile/view/1860002","18-1860002")</f>
        <v>0</v>
      </c>
      <c r="B30" t="s">
        <v>69</v>
      </c>
      <c r="C30" t="s">
        <v>234</v>
      </c>
      <c r="D30" t="s">
        <v>260</v>
      </c>
      <c r="E30" t="s">
        <v>679</v>
      </c>
      <c r="F30" t="s">
        <v>865</v>
      </c>
      <c r="G30" t="s">
        <v>2124</v>
      </c>
      <c r="H30" t="s">
        <v>3453</v>
      </c>
      <c r="I30" t="s">
        <v>4753</v>
      </c>
      <c r="J30" t="s">
        <v>5323</v>
      </c>
      <c r="K30">
        <v>10016</v>
      </c>
      <c r="L30" t="s">
        <v>5355</v>
      </c>
      <c r="M30" t="s">
        <v>5356</v>
      </c>
      <c r="O30" t="s">
        <v>6496</v>
      </c>
      <c r="P30" t="s">
        <v>6524</v>
      </c>
      <c r="Q30" t="s">
        <v>6531</v>
      </c>
      <c r="R30" t="s">
        <v>6539</v>
      </c>
      <c r="S30" t="s">
        <v>5357</v>
      </c>
      <c r="U30" t="s">
        <v>6557</v>
      </c>
      <c r="W30" t="s">
        <v>260</v>
      </c>
      <c r="X30">
        <v>0</v>
      </c>
      <c r="Y30" t="s">
        <v>6606</v>
      </c>
      <c r="Z30" t="s">
        <v>6612</v>
      </c>
      <c r="AA30" t="s">
        <v>6631</v>
      </c>
      <c r="AB30" t="s">
        <v>6685</v>
      </c>
      <c r="AD30" t="s">
        <v>9121</v>
      </c>
      <c r="AE30">
        <v>0</v>
      </c>
      <c r="AF30" t="s">
        <v>11006</v>
      </c>
      <c r="AG30" t="s">
        <v>5406</v>
      </c>
      <c r="AH30">
        <v>0</v>
      </c>
      <c r="AI30">
        <v>1</v>
      </c>
      <c r="AJ30">
        <v>0</v>
      </c>
      <c r="AK30">
        <v>0</v>
      </c>
      <c r="AN30" t="s">
        <v>11049</v>
      </c>
      <c r="AO30">
        <v>0</v>
      </c>
      <c r="AU30">
        <v>1.75</v>
      </c>
      <c r="AV30" t="s">
        <v>236</v>
      </c>
      <c r="AW30" t="s">
        <v>11499</v>
      </c>
    </row>
    <row r="31" spans="1:49">
      <c r="A31" s="1">
        <f>HYPERLINK("https://cms.ls-nyc.org/matter/dynamic-profile/view/1856395","18-1856395")</f>
        <v>0</v>
      </c>
      <c r="B31" t="s">
        <v>70</v>
      </c>
      <c r="C31" t="s">
        <v>234</v>
      </c>
      <c r="D31" t="s">
        <v>261</v>
      </c>
      <c r="E31" t="s">
        <v>680</v>
      </c>
      <c r="F31" t="s">
        <v>866</v>
      </c>
      <c r="G31" t="s">
        <v>2125</v>
      </c>
      <c r="H31" t="s">
        <v>3454</v>
      </c>
      <c r="I31" t="s">
        <v>4754</v>
      </c>
      <c r="J31" t="s">
        <v>5323</v>
      </c>
      <c r="K31">
        <v>10001</v>
      </c>
      <c r="L31" t="s">
        <v>5355</v>
      </c>
      <c r="M31" t="s">
        <v>5355</v>
      </c>
      <c r="N31" t="s">
        <v>5371</v>
      </c>
      <c r="O31" t="s">
        <v>6491</v>
      </c>
      <c r="P31" t="s">
        <v>6524</v>
      </c>
      <c r="Q31" t="s">
        <v>6531</v>
      </c>
      <c r="R31" t="s">
        <v>6539</v>
      </c>
      <c r="S31" t="s">
        <v>5357</v>
      </c>
      <c r="T31" t="s">
        <v>6542</v>
      </c>
      <c r="U31" t="s">
        <v>6557</v>
      </c>
      <c r="W31" t="s">
        <v>236</v>
      </c>
      <c r="X31">
        <v>1900</v>
      </c>
      <c r="Y31" t="s">
        <v>6608</v>
      </c>
      <c r="Z31" t="s">
        <v>6615</v>
      </c>
      <c r="AA31" t="s">
        <v>6631</v>
      </c>
      <c r="AB31" t="s">
        <v>6686</v>
      </c>
      <c r="AD31" t="s">
        <v>9122</v>
      </c>
      <c r="AE31">
        <v>26</v>
      </c>
      <c r="AF31" t="s">
        <v>11004</v>
      </c>
      <c r="AG31" t="s">
        <v>11021</v>
      </c>
      <c r="AH31">
        <v>1</v>
      </c>
      <c r="AI31">
        <v>1</v>
      </c>
      <c r="AJ31">
        <v>0</v>
      </c>
      <c r="AK31">
        <v>0</v>
      </c>
      <c r="AN31" t="s">
        <v>11050</v>
      </c>
      <c r="AO31">
        <v>0</v>
      </c>
      <c r="AU31">
        <v>2.4</v>
      </c>
      <c r="AV31" t="s">
        <v>683</v>
      </c>
      <c r="AW31" t="s">
        <v>11494</v>
      </c>
    </row>
    <row r="32" spans="1:49">
      <c r="A32" s="1">
        <f>HYPERLINK("https://cms.ls-nyc.org/matter/dynamic-profile/view/1857941","18-1857941")</f>
        <v>0</v>
      </c>
      <c r="B32" t="s">
        <v>71</v>
      </c>
      <c r="C32" t="s">
        <v>234</v>
      </c>
      <c r="D32" t="s">
        <v>262</v>
      </c>
      <c r="E32" t="s">
        <v>674</v>
      </c>
      <c r="F32" t="s">
        <v>867</v>
      </c>
      <c r="G32" t="s">
        <v>2126</v>
      </c>
      <c r="H32" t="s">
        <v>3455</v>
      </c>
      <c r="I32" t="s">
        <v>4755</v>
      </c>
      <c r="J32" t="s">
        <v>5321</v>
      </c>
      <c r="K32">
        <v>10451</v>
      </c>
      <c r="L32" t="s">
        <v>5355</v>
      </c>
      <c r="M32" t="s">
        <v>5356</v>
      </c>
      <c r="N32" t="s">
        <v>5372</v>
      </c>
      <c r="O32" t="s">
        <v>6496</v>
      </c>
      <c r="P32" t="s">
        <v>6524</v>
      </c>
      <c r="Q32" t="s">
        <v>6531</v>
      </c>
      <c r="R32" t="s">
        <v>6539</v>
      </c>
      <c r="U32" t="s">
        <v>6557</v>
      </c>
      <c r="W32" t="s">
        <v>516</v>
      </c>
      <c r="X32">
        <v>733</v>
      </c>
      <c r="Y32" t="s">
        <v>6606</v>
      </c>
      <c r="AA32" t="s">
        <v>6631</v>
      </c>
      <c r="AB32" t="s">
        <v>6687</v>
      </c>
      <c r="AC32" t="s">
        <v>8706</v>
      </c>
      <c r="AD32" t="s">
        <v>9123</v>
      </c>
      <c r="AE32">
        <v>0</v>
      </c>
      <c r="AF32" t="s">
        <v>11005</v>
      </c>
      <c r="AG32" t="s">
        <v>5406</v>
      </c>
      <c r="AH32">
        <v>23</v>
      </c>
      <c r="AI32">
        <v>2</v>
      </c>
      <c r="AJ32">
        <v>1</v>
      </c>
      <c r="AK32">
        <v>14.25</v>
      </c>
      <c r="AN32" t="s">
        <v>11050</v>
      </c>
      <c r="AO32">
        <v>2910</v>
      </c>
      <c r="AP32" t="s">
        <v>11073</v>
      </c>
      <c r="AU32">
        <v>6.6</v>
      </c>
      <c r="AV32" t="s">
        <v>674</v>
      </c>
      <c r="AW32" t="s">
        <v>11499</v>
      </c>
    </row>
    <row r="33" spans="1:49">
      <c r="A33" s="1">
        <f>HYPERLINK("https://cms.ls-nyc.org/matter/dynamic-profile/view/1863663","18-1863663")</f>
        <v>0</v>
      </c>
      <c r="B33" t="s">
        <v>72</v>
      </c>
      <c r="C33" t="s">
        <v>234</v>
      </c>
      <c r="D33" t="s">
        <v>263</v>
      </c>
      <c r="E33" t="s">
        <v>681</v>
      </c>
      <c r="F33" t="s">
        <v>868</v>
      </c>
      <c r="G33" t="s">
        <v>2127</v>
      </c>
      <c r="H33" t="s">
        <v>3456</v>
      </c>
      <c r="I33" t="s">
        <v>4756</v>
      </c>
      <c r="J33" t="s">
        <v>5320</v>
      </c>
      <c r="K33">
        <v>11233</v>
      </c>
      <c r="L33" t="s">
        <v>5355</v>
      </c>
      <c r="M33" t="s">
        <v>5356</v>
      </c>
      <c r="N33" t="s">
        <v>5373</v>
      </c>
      <c r="O33" t="s">
        <v>6492</v>
      </c>
      <c r="P33" t="s">
        <v>6524</v>
      </c>
      <c r="Q33" t="s">
        <v>6531</v>
      </c>
      <c r="R33" t="s">
        <v>6539</v>
      </c>
      <c r="S33" t="s">
        <v>5357</v>
      </c>
      <c r="U33" t="s">
        <v>6557</v>
      </c>
      <c r="W33" t="s">
        <v>395</v>
      </c>
      <c r="X33">
        <v>1268</v>
      </c>
      <c r="Y33" t="s">
        <v>6605</v>
      </c>
      <c r="Z33" t="s">
        <v>6614</v>
      </c>
      <c r="AA33" t="s">
        <v>6631</v>
      </c>
      <c r="AB33" t="s">
        <v>6688</v>
      </c>
      <c r="AC33" t="s">
        <v>8707</v>
      </c>
      <c r="AD33" t="s">
        <v>9124</v>
      </c>
      <c r="AE33">
        <v>120</v>
      </c>
      <c r="AF33" t="s">
        <v>11005</v>
      </c>
      <c r="AG33" t="s">
        <v>11022</v>
      </c>
      <c r="AH33">
        <v>-1</v>
      </c>
      <c r="AI33">
        <v>1</v>
      </c>
      <c r="AJ33">
        <v>1</v>
      </c>
      <c r="AK33">
        <v>15.6</v>
      </c>
      <c r="AN33" t="s">
        <v>11050</v>
      </c>
      <c r="AO33">
        <v>11568</v>
      </c>
      <c r="AU33">
        <v>2.3</v>
      </c>
      <c r="AV33" t="s">
        <v>361</v>
      </c>
      <c r="AW33" t="s">
        <v>11500</v>
      </c>
    </row>
    <row r="34" spans="1:49">
      <c r="A34" s="1">
        <f>HYPERLINK("https://cms.ls-nyc.org/matter/dynamic-profile/view/1853078","17-1853078")</f>
        <v>0</v>
      </c>
      <c r="B34" t="s">
        <v>73</v>
      </c>
      <c r="C34" t="s">
        <v>234</v>
      </c>
      <c r="D34" t="s">
        <v>264</v>
      </c>
      <c r="E34" t="s">
        <v>682</v>
      </c>
      <c r="F34" t="s">
        <v>869</v>
      </c>
      <c r="G34" t="s">
        <v>2128</v>
      </c>
      <c r="H34" t="s">
        <v>3457</v>
      </c>
      <c r="I34" t="s">
        <v>4757</v>
      </c>
      <c r="J34" t="s">
        <v>5323</v>
      </c>
      <c r="K34">
        <v>10031</v>
      </c>
      <c r="L34" t="s">
        <v>5355</v>
      </c>
      <c r="M34" t="s">
        <v>5356</v>
      </c>
      <c r="N34" t="s">
        <v>5374</v>
      </c>
      <c r="O34" t="s">
        <v>6491</v>
      </c>
      <c r="P34" t="s">
        <v>6524</v>
      </c>
      <c r="Q34" t="s">
        <v>6531</v>
      </c>
      <c r="R34" t="s">
        <v>6539</v>
      </c>
      <c r="S34" t="s">
        <v>5357</v>
      </c>
      <c r="T34" t="s">
        <v>6542</v>
      </c>
      <c r="U34" t="s">
        <v>6557</v>
      </c>
      <c r="W34" t="s">
        <v>236</v>
      </c>
      <c r="X34">
        <v>686.67</v>
      </c>
      <c r="Y34" t="s">
        <v>6608</v>
      </c>
      <c r="Z34" t="s">
        <v>6614</v>
      </c>
      <c r="AA34" t="s">
        <v>6631</v>
      </c>
      <c r="AB34" t="s">
        <v>6689</v>
      </c>
      <c r="AD34" t="s">
        <v>9125</v>
      </c>
      <c r="AE34">
        <v>24</v>
      </c>
      <c r="AF34" t="s">
        <v>11005</v>
      </c>
      <c r="AG34" t="s">
        <v>6493</v>
      </c>
      <c r="AH34">
        <v>45</v>
      </c>
      <c r="AI34">
        <v>1</v>
      </c>
      <c r="AJ34">
        <v>0</v>
      </c>
      <c r="AK34">
        <v>15.92</v>
      </c>
      <c r="AN34" t="s">
        <v>11050</v>
      </c>
      <c r="AO34">
        <v>1920</v>
      </c>
      <c r="AU34">
        <v>1.5</v>
      </c>
      <c r="AV34" t="s">
        <v>351</v>
      </c>
      <c r="AW34" t="s">
        <v>11494</v>
      </c>
    </row>
    <row r="35" spans="1:49">
      <c r="A35" s="1">
        <f>HYPERLINK("https://cms.ls-nyc.org/matter/dynamic-profile/view/1871132","18-1871132")</f>
        <v>0</v>
      </c>
      <c r="B35" t="s">
        <v>74</v>
      </c>
      <c r="C35" t="s">
        <v>234</v>
      </c>
      <c r="D35" t="s">
        <v>265</v>
      </c>
      <c r="E35" t="s">
        <v>683</v>
      </c>
      <c r="F35" t="s">
        <v>870</v>
      </c>
      <c r="G35" t="s">
        <v>2129</v>
      </c>
      <c r="H35" t="s">
        <v>3458</v>
      </c>
      <c r="J35" t="s">
        <v>5322</v>
      </c>
      <c r="K35">
        <v>10304</v>
      </c>
      <c r="L35" t="s">
        <v>5357</v>
      </c>
      <c r="M35" t="s">
        <v>5356</v>
      </c>
      <c r="N35" t="s">
        <v>5375</v>
      </c>
      <c r="O35" t="s">
        <v>6491</v>
      </c>
      <c r="P35" t="s">
        <v>6524</v>
      </c>
      <c r="Q35" t="s">
        <v>6531</v>
      </c>
      <c r="R35" t="s">
        <v>6539</v>
      </c>
      <c r="S35" t="s">
        <v>5357</v>
      </c>
      <c r="U35" t="s">
        <v>6557</v>
      </c>
      <c r="W35" t="s">
        <v>287</v>
      </c>
      <c r="X35">
        <v>2500</v>
      </c>
      <c r="Y35" t="s">
        <v>6607</v>
      </c>
      <c r="Z35" t="s">
        <v>6616</v>
      </c>
      <c r="AA35" t="s">
        <v>6631</v>
      </c>
      <c r="AB35" t="s">
        <v>6690</v>
      </c>
      <c r="AC35" t="s">
        <v>8708</v>
      </c>
      <c r="AD35" t="s">
        <v>9126</v>
      </c>
      <c r="AE35">
        <v>1</v>
      </c>
      <c r="AF35" t="s">
        <v>11004</v>
      </c>
      <c r="AG35" t="s">
        <v>5406</v>
      </c>
      <c r="AH35">
        <v>2</v>
      </c>
      <c r="AI35">
        <v>2</v>
      </c>
      <c r="AJ35">
        <v>0</v>
      </c>
      <c r="AK35">
        <v>17.5</v>
      </c>
      <c r="AO35">
        <v>2880</v>
      </c>
      <c r="AU35">
        <v>1</v>
      </c>
      <c r="AV35" t="s">
        <v>265</v>
      </c>
      <c r="AW35" t="s">
        <v>11501</v>
      </c>
    </row>
    <row r="36" spans="1:49">
      <c r="A36" s="1">
        <f>HYPERLINK("https://cms.ls-nyc.org/matter/dynamic-profile/view/1844425","17-1844425")</f>
        <v>0</v>
      </c>
      <c r="B36" t="s">
        <v>75</v>
      </c>
      <c r="C36" t="s">
        <v>234</v>
      </c>
      <c r="D36" t="s">
        <v>266</v>
      </c>
      <c r="E36" t="s">
        <v>427</v>
      </c>
      <c r="F36" t="s">
        <v>871</v>
      </c>
      <c r="G36" t="s">
        <v>2130</v>
      </c>
      <c r="H36" t="s">
        <v>3459</v>
      </c>
      <c r="I36" t="s">
        <v>4758</v>
      </c>
      <c r="J36" t="s">
        <v>5320</v>
      </c>
      <c r="K36">
        <v>11233</v>
      </c>
      <c r="L36" t="s">
        <v>5355</v>
      </c>
      <c r="M36" t="s">
        <v>5355</v>
      </c>
      <c r="N36" t="s">
        <v>5376</v>
      </c>
      <c r="O36" t="s">
        <v>6497</v>
      </c>
      <c r="P36" t="s">
        <v>6524</v>
      </c>
      <c r="Q36" t="s">
        <v>6533</v>
      </c>
      <c r="R36" t="s">
        <v>6539</v>
      </c>
      <c r="U36" t="s">
        <v>6558</v>
      </c>
      <c r="W36" t="s">
        <v>497</v>
      </c>
      <c r="X36">
        <v>1500</v>
      </c>
      <c r="Y36" t="s">
        <v>6605</v>
      </c>
      <c r="Z36" t="s">
        <v>6611</v>
      </c>
      <c r="AA36" t="s">
        <v>6635</v>
      </c>
      <c r="AB36" t="s">
        <v>6691</v>
      </c>
      <c r="AC36" t="s">
        <v>8709</v>
      </c>
      <c r="AD36" t="s">
        <v>9127</v>
      </c>
      <c r="AE36">
        <v>6</v>
      </c>
      <c r="AF36" t="s">
        <v>11005</v>
      </c>
      <c r="AG36" t="s">
        <v>11023</v>
      </c>
      <c r="AH36">
        <v>4</v>
      </c>
      <c r="AI36">
        <v>5</v>
      </c>
      <c r="AJ36">
        <v>5</v>
      </c>
      <c r="AK36">
        <v>18.5</v>
      </c>
      <c r="AN36" t="s">
        <v>11050</v>
      </c>
      <c r="AO36">
        <v>18012</v>
      </c>
      <c r="AU36">
        <v>49.2</v>
      </c>
      <c r="AV36" t="s">
        <v>292</v>
      </c>
      <c r="AW36" t="s">
        <v>11502</v>
      </c>
    </row>
    <row r="37" spans="1:49">
      <c r="A37" s="1">
        <f>HYPERLINK("https://cms.ls-nyc.org/matter/dynamic-profile/view/1860000","18-1860000")</f>
        <v>0</v>
      </c>
      <c r="B37" t="s">
        <v>73</v>
      </c>
      <c r="C37" t="s">
        <v>234</v>
      </c>
      <c r="D37" t="s">
        <v>260</v>
      </c>
      <c r="E37" t="s">
        <v>674</v>
      </c>
      <c r="F37" t="s">
        <v>872</v>
      </c>
      <c r="G37" t="s">
        <v>2131</v>
      </c>
      <c r="H37" t="s">
        <v>3460</v>
      </c>
      <c r="I37" t="s">
        <v>4759</v>
      </c>
      <c r="J37" t="s">
        <v>5323</v>
      </c>
      <c r="K37">
        <v>10025</v>
      </c>
      <c r="L37" t="s">
        <v>5355</v>
      </c>
      <c r="M37" t="s">
        <v>5356</v>
      </c>
      <c r="N37" t="s">
        <v>5377</v>
      </c>
      <c r="O37" t="s">
        <v>6492</v>
      </c>
      <c r="P37" t="s">
        <v>6524</v>
      </c>
      <c r="Q37" t="s">
        <v>6531</v>
      </c>
      <c r="R37" t="s">
        <v>6539</v>
      </c>
      <c r="U37" t="s">
        <v>6557</v>
      </c>
      <c r="W37" t="s">
        <v>319</v>
      </c>
      <c r="X37">
        <v>2065</v>
      </c>
      <c r="Y37" t="s">
        <v>6608</v>
      </c>
      <c r="Z37" t="s">
        <v>6616</v>
      </c>
      <c r="AA37" t="s">
        <v>6631</v>
      </c>
      <c r="AB37" t="s">
        <v>6692</v>
      </c>
      <c r="AD37" t="s">
        <v>9128</v>
      </c>
      <c r="AE37">
        <v>133</v>
      </c>
      <c r="AF37" t="s">
        <v>11005</v>
      </c>
      <c r="AG37" t="s">
        <v>6493</v>
      </c>
      <c r="AH37">
        <v>35</v>
      </c>
      <c r="AI37">
        <v>1</v>
      </c>
      <c r="AJ37">
        <v>0</v>
      </c>
      <c r="AK37">
        <v>18.91</v>
      </c>
      <c r="AN37" t="s">
        <v>11050</v>
      </c>
      <c r="AO37">
        <v>2280</v>
      </c>
      <c r="AU37">
        <v>0.1</v>
      </c>
      <c r="AV37" t="s">
        <v>693</v>
      </c>
      <c r="AW37" t="s">
        <v>11496</v>
      </c>
    </row>
    <row r="38" spans="1:49">
      <c r="A38" s="1">
        <f>HYPERLINK("https://cms.ls-nyc.org/matter/dynamic-profile/view/1868511","18-1868511")</f>
        <v>0</v>
      </c>
      <c r="B38" t="s">
        <v>70</v>
      </c>
      <c r="C38" t="s">
        <v>234</v>
      </c>
      <c r="D38" t="s">
        <v>267</v>
      </c>
      <c r="E38" t="s">
        <v>669</v>
      </c>
      <c r="F38" t="s">
        <v>873</v>
      </c>
      <c r="G38" t="s">
        <v>2132</v>
      </c>
      <c r="H38" t="s">
        <v>3461</v>
      </c>
      <c r="I38">
        <v>1514</v>
      </c>
      <c r="J38" t="s">
        <v>5323</v>
      </c>
      <c r="K38">
        <v>10065</v>
      </c>
      <c r="L38" t="s">
        <v>5355</v>
      </c>
      <c r="M38" t="s">
        <v>5355</v>
      </c>
      <c r="N38" t="s">
        <v>5378</v>
      </c>
      <c r="O38" t="s">
        <v>6492</v>
      </c>
      <c r="P38" t="s">
        <v>6524</v>
      </c>
      <c r="Q38" t="s">
        <v>6531</v>
      </c>
      <c r="R38" t="s">
        <v>6539</v>
      </c>
      <c r="S38" t="s">
        <v>5357</v>
      </c>
      <c r="T38" t="s">
        <v>6542</v>
      </c>
      <c r="U38" t="s">
        <v>6557</v>
      </c>
      <c r="W38" t="s">
        <v>315</v>
      </c>
      <c r="X38">
        <v>2214</v>
      </c>
      <c r="Y38" t="s">
        <v>6608</v>
      </c>
      <c r="Z38" t="s">
        <v>6615</v>
      </c>
      <c r="AA38" t="s">
        <v>6631</v>
      </c>
      <c r="AB38" t="s">
        <v>6693</v>
      </c>
      <c r="AD38" t="s">
        <v>9129</v>
      </c>
      <c r="AE38">
        <v>532</v>
      </c>
      <c r="AF38" t="s">
        <v>11005</v>
      </c>
      <c r="AG38" t="s">
        <v>6493</v>
      </c>
      <c r="AH38">
        <v>32</v>
      </c>
      <c r="AI38">
        <v>1</v>
      </c>
      <c r="AJ38">
        <v>0</v>
      </c>
      <c r="AK38">
        <v>19.49</v>
      </c>
      <c r="AN38" t="s">
        <v>11050</v>
      </c>
      <c r="AO38">
        <v>2366</v>
      </c>
      <c r="AU38">
        <v>1.1</v>
      </c>
      <c r="AV38" t="s">
        <v>683</v>
      </c>
      <c r="AW38" t="s">
        <v>11494</v>
      </c>
    </row>
    <row r="39" spans="1:49">
      <c r="A39" s="1">
        <f>HYPERLINK("https://cms.ls-nyc.org/matter/dynamic-profile/view/1866487","18-1866487")</f>
        <v>0</v>
      </c>
      <c r="B39" t="s">
        <v>72</v>
      </c>
      <c r="C39" t="s">
        <v>234</v>
      </c>
      <c r="D39" t="s">
        <v>268</v>
      </c>
      <c r="E39" t="s">
        <v>427</v>
      </c>
      <c r="F39" t="s">
        <v>874</v>
      </c>
      <c r="G39" t="s">
        <v>2133</v>
      </c>
      <c r="H39" t="s">
        <v>3462</v>
      </c>
      <c r="I39" t="s">
        <v>4743</v>
      </c>
      <c r="J39" t="s">
        <v>5320</v>
      </c>
      <c r="K39">
        <v>11212</v>
      </c>
      <c r="L39" t="s">
        <v>5355</v>
      </c>
      <c r="M39" t="s">
        <v>5356</v>
      </c>
      <c r="N39" t="s">
        <v>5379</v>
      </c>
      <c r="O39" t="s">
        <v>6491</v>
      </c>
      <c r="P39" t="s">
        <v>6524</v>
      </c>
      <c r="Q39" t="s">
        <v>6531</v>
      </c>
      <c r="R39" t="s">
        <v>6539</v>
      </c>
      <c r="U39" t="s">
        <v>6557</v>
      </c>
      <c r="W39" t="s">
        <v>268</v>
      </c>
      <c r="X39">
        <v>1929</v>
      </c>
      <c r="Y39" t="s">
        <v>6605</v>
      </c>
      <c r="Z39" t="s">
        <v>6611</v>
      </c>
      <c r="AA39" t="s">
        <v>6631</v>
      </c>
      <c r="AB39" t="s">
        <v>6694</v>
      </c>
      <c r="AD39" t="s">
        <v>9130</v>
      </c>
      <c r="AE39">
        <v>0</v>
      </c>
      <c r="AG39" t="s">
        <v>11020</v>
      </c>
      <c r="AH39">
        <v>2</v>
      </c>
      <c r="AI39">
        <v>5</v>
      </c>
      <c r="AJ39">
        <v>2</v>
      </c>
      <c r="AK39">
        <v>20.77</v>
      </c>
      <c r="AN39" t="s">
        <v>11050</v>
      </c>
      <c r="AO39">
        <v>7904</v>
      </c>
      <c r="AU39">
        <v>1</v>
      </c>
      <c r="AV39" t="s">
        <v>320</v>
      </c>
      <c r="AW39" t="s">
        <v>11503</v>
      </c>
    </row>
    <row r="40" spans="1:49">
      <c r="A40" s="1">
        <f>HYPERLINK("https://cms.ls-nyc.org/matter/dynamic-profile/view/1855135","18-1855135")</f>
        <v>0</v>
      </c>
      <c r="B40" t="s">
        <v>66</v>
      </c>
      <c r="C40" t="s">
        <v>234</v>
      </c>
      <c r="D40" t="s">
        <v>269</v>
      </c>
      <c r="E40" t="s">
        <v>568</v>
      </c>
      <c r="F40" t="s">
        <v>875</v>
      </c>
      <c r="G40" t="s">
        <v>2134</v>
      </c>
      <c r="H40" t="s">
        <v>3463</v>
      </c>
      <c r="I40" t="s">
        <v>4760</v>
      </c>
      <c r="J40" t="s">
        <v>5323</v>
      </c>
      <c r="K40">
        <v>10031</v>
      </c>
      <c r="L40" t="s">
        <v>5355</v>
      </c>
      <c r="M40" t="s">
        <v>5355</v>
      </c>
      <c r="N40" t="s">
        <v>5380</v>
      </c>
      <c r="O40" t="s">
        <v>6491</v>
      </c>
      <c r="P40" t="s">
        <v>6524</v>
      </c>
      <c r="Q40" t="s">
        <v>6531</v>
      </c>
      <c r="R40" t="s">
        <v>6539</v>
      </c>
      <c r="S40" t="s">
        <v>5357</v>
      </c>
      <c r="U40" t="s">
        <v>6557</v>
      </c>
      <c r="W40" t="s">
        <v>452</v>
      </c>
      <c r="X40">
        <v>500</v>
      </c>
      <c r="Y40" t="s">
        <v>6608</v>
      </c>
      <c r="Z40" t="s">
        <v>6493</v>
      </c>
      <c r="AA40" t="s">
        <v>6631</v>
      </c>
      <c r="AB40" t="s">
        <v>6695</v>
      </c>
      <c r="AD40" t="s">
        <v>9131</v>
      </c>
      <c r="AE40">
        <v>42</v>
      </c>
      <c r="AG40" t="s">
        <v>11024</v>
      </c>
      <c r="AH40">
        <v>50</v>
      </c>
      <c r="AI40">
        <v>1</v>
      </c>
      <c r="AJ40">
        <v>0</v>
      </c>
      <c r="AK40">
        <v>22.79</v>
      </c>
      <c r="AN40" t="s">
        <v>11050</v>
      </c>
      <c r="AO40">
        <v>2748</v>
      </c>
      <c r="AU40">
        <v>2.8</v>
      </c>
      <c r="AV40" t="s">
        <v>330</v>
      </c>
      <c r="AW40" t="s">
        <v>11504</v>
      </c>
    </row>
    <row r="41" spans="1:49">
      <c r="A41" s="1">
        <f>HYPERLINK("https://cms.ls-nyc.org/matter/dynamic-profile/view/1868101","18-1868101")</f>
        <v>0</v>
      </c>
      <c r="B41" t="s">
        <v>76</v>
      </c>
      <c r="C41" t="s">
        <v>234</v>
      </c>
      <c r="D41" t="s">
        <v>270</v>
      </c>
      <c r="E41" t="s">
        <v>684</v>
      </c>
      <c r="F41" t="s">
        <v>876</v>
      </c>
      <c r="G41" t="s">
        <v>2135</v>
      </c>
      <c r="H41" t="s">
        <v>3464</v>
      </c>
      <c r="I41" t="s">
        <v>4761</v>
      </c>
      <c r="J41" t="s">
        <v>5323</v>
      </c>
      <c r="K41">
        <v>10029</v>
      </c>
      <c r="L41" t="s">
        <v>5355</v>
      </c>
      <c r="M41" t="s">
        <v>5355</v>
      </c>
      <c r="O41" t="s">
        <v>5393</v>
      </c>
      <c r="P41" t="s">
        <v>6524</v>
      </c>
      <c r="Q41" t="s">
        <v>6531</v>
      </c>
      <c r="R41" t="s">
        <v>6539</v>
      </c>
      <c r="S41" t="s">
        <v>5355</v>
      </c>
      <c r="U41" t="s">
        <v>6557</v>
      </c>
      <c r="V41" t="s">
        <v>6566</v>
      </c>
      <c r="W41" t="s">
        <v>270</v>
      </c>
      <c r="X41">
        <v>1582.52</v>
      </c>
      <c r="Y41" t="s">
        <v>6608</v>
      </c>
      <c r="Z41" t="s">
        <v>6614</v>
      </c>
      <c r="AA41" t="s">
        <v>6631</v>
      </c>
      <c r="AB41" t="s">
        <v>6696</v>
      </c>
      <c r="AD41" t="s">
        <v>9132</v>
      </c>
      <c r="AE41">
        <v>81</v>
      </c>
      <c r="AF41" t="s">
        <v>11005</v>
      </c>
      <c r="AG41" t="s">
        <v>11020</v>
      </c>
      <c r="AH41">
        <v>6</v>
      </c>
      <c r="AI41">
        <v>2</v>
      </c>
      <c r="AJ41">
        <v>0</v>
      </c>
      <c r="AK41">
        <v>23.69</v>
      </c>
      <c r="AN41" t="s">
        <v>11050</v>
      </c>
      <c r="AO41">
        <v>3900</v>
      </c>
      <c r="AU41">
        <v>1.7</v>
      </c>
      <c r="AV41" t="s">
        <v>427</v>
      </c>
      <c r="AW41" t="s">
        <v>11504</v>
      </c>
    </row>
    <row r="42" spans="1:49">
      <c r="A42" s="1">
        <f>HYPERLINK("https://cms.ls-nyc.org/matter/dynamic-profile/view/0826923","17-0826923")</f>
        <v>0</v>
      </c>
      <c r="B42" t="s">
        <v>77</v>
      </c>
      <c r="C42" t="s">
        <v>234</v>
      </c>
      <c r="D42" t="s">
        <v>271</v>
      </c>
      <c r="E42" t="s">
        <v>685</v>
      </c>
      <c r="F42" t="s">
        <v>877</v>
      </c>
      <c r="G42" t="s">
        <v>2136</v>
      </c>
      <c r="H42" t="s">
        <v>3465</v>
      </c>
      <c r="I42">
        <v>5</v>
      </c>
      <c r="J42" t="s">
        <v>5320</v>
      </c>
      <c r="K42">
        <v>11207</v>
      </c>
      <c r="L42" t="s">
        <v>5355</v>
      </c>
      <c r="M42" t="s">
        <v>5356</v>
      </c>
      <c r="O42" t="s">
        <v>5393</v>
      </c>
      <c r="P42" t="s">
        <v>6524</v>
      </c>
      <c r="Q42" t="s">
        <v>6531</v>
      </c>
      <c r="R42" t="s">
        <v>6539</v>
      </c>
      <c r="S42" t="s">
        <v>5357</v>
      </c>
      <c r="U42" t="s">
        <v>6558</v>
      </c>
      <c r="W42" t="s">
        <v>363</v>
      </c>
      <c r="X42">
        <v>1000</v>
      </c>
      <c r="Y42" t="s">
        <v>6605</v>
      </c>
      <c r="Z42" t="s">
        <v>6614</v>
      </c>
      <c r="AA42" t="s">
        <v>6635</v>
      </c>
      <c r="AB42" t="s">
        <v>6697</v>
      </c>
      <c r="AC42" t="s">
        <v>8710</v>
      </c>
      <c r="AD42" t="s">
        <v>9133</v>
      </c>
      <c r="AE42">
        <v>6</v>
      </c>
      <c r="AF42" t="s">
        <v>11005</v>
      </c>
      <c r="AG42" t="s">
        <v>11023</v>
      </c>
      <c r="AH42">
        <v>10</v>
      </c>
      <c r="AI42">
        <v>1</v>
      </c>
      <c r="AJ42">
        <v>3</v>
      </c>
      <c r="AK42">
        <v>24.39</v>
      </c>
      <c r="AN42" t="s">
        <v>11049</v>
      </c>
      <c r="AO42">
        <v>6000</v>
      </c>
      <c r="AU42">
        <v>59</v>
      </c>
      <c r="AV42" t="s">
        <v>685</v>
      </c>
      <c r="AW42" t="s">
        <v>77</v>
      </c>
    </row>
    <row r="43" spans="1:49">
      <c r="A43" s="1">
        <f>HYPERLINK("https://cms.ls-nyc.org/matter/dynamic-profile/view/1857998","18-1857998")</f>
        <v>0</v>
      </c>
      <c r="B43" t="s">
        <v>78</v>
      </c>
      <c r="C43" t="s">
        <v>234</v>
      </c>
      <c r="D43" t="s">
        <v>272</v>
      </c>
      <c r="E43" t="s">
        <v>665</v>
      </c>
      <c r="F43" t="s">
        <v>878</v>
      </c>
      <c r="G43" t="s">
        <v>2137</v>
      </c>
      <c r="H43" t="s">
        <v>3466</v>
      </c>
      <c r="I43" t="s">
        <v>4762</v>
      </c>
      <c r="J43" t="s">
        <v>5323</v>
      </c>
      <c r="K43">
        <v>10040</v>
      </c>
      <c r="L43" t="s">
        <v>5355</v>
      </c>
      <c r="M43" t="s">
        <v>5356</v>
      </c>
      <c r="N43" t="s">
        <v>5381</v>
      </c>
      <c r="O43" t="s">
        <v>6492</v>
      </c>
      <c r="P43" t="s">
        <v>6524</v>
      </c>
      <c r="Q43" t="s">
        <v>6531</v>
      </c>
      <c r="R43" t="s">
        <v>6539</v>
      </c>
      <c r="S43" t="s">
        <v>5357</v>
      </c>
      <c r="T43" t="s">
        <v>6542</v>
      </c>
      <c r="U43" t="s">
        <v>6557</v>
      </c>
      <c r="W43" t="s">
        <v>236</v>
      </c>
      <c r="X43">
        <v>2200</v>
      </c>
      <c r="Y43" t="s">
        <v>6608</v>
      </c>
      <c r="Z43" t="s">
        <v>6616</v>
      </c>
      <c r="AA43" t="s">
        <v>6631</v>
      </c>
      <c r="AB43" t="s">
        <v>6698</v>
      </c>
      <c r="AD43" t="s">
        <v>9134</v>
      </c>
      <c r="AE43">
        <v>66</v>
      </c>
      <c r="AF43" t="s">
        <v>11005</v>
      </c>
      <c r="AG43" t="s">
        <v>6493</v>
      </c>
      <c r="AH43">
        <v>-1</v>
      </c>
      <c r="AI43">
        <v>1</v>
      </c>
      <c r="AJ43">
        <v>1</v>
      </c>
      <c r="AK43">
        <v>25.02</v>
      </c>
      <c r="AN43" t="s">
        <v>11050</v>
      </c>
      <c r="AO43">
        <v>4063</v>
      </c>
      <c r="AU43">
        <v>1.45</v>
      </c>
      <c r="AV43" t="s">
        <v>325</v>
      </c>
      <c r="AW43" t="s">
        <v>11494</v>
      </c>
    </row>
    <row r="44" spans="1:49">
      <c r="A44" s="1">
        <f>HYPERLINK("https://cms.ls-nyc.org/matter/dynamic-profile/view/1841329","17-1841329")</f>
        <v>0</v>
      </c>
      <c r="B44" t="s">
        <v>79</v>
      </c>
      <c r="C44" t="s">
        <v>234</v>
      </c>
      <c r="D44" t="s">
        <v>273</v>
      </c>
      <c r="E44" t="s">
        <v>686</v>
      </c>
      <c r="F44" t="s">
        <v>879</v>
      </c>
      <c r="G44" t="s">
        <v>2138</v>
      </c>
      <c r="H44" t="s">
        <v>3467</v>
      </c>
      <c r="I44" t="s">
        <v>4763</v>
      </c>
      <c r="J44" t="s">
        <v>5323</v>
      </c>
      <c r="K44">
        <v>10032</v>
      </c>
      <c r="L44" t="s">
        <v>5355</v>
      </c>
      <c r="M44" t="s">
        <v>5356</v>
      </c>
      <c r="O44" t="s">
        <v>5393</v>
      </c>
      <c r="P44" t="s">
        <v>6524</v>
      </c>
      <c r="Q44" t="s">
        <v>6531</v>
      </c>
      <c r="R44" t="s">
        <v>6540</v>
      </c>
      <c r="S44" t="s">
        <v>5357</v>
      </c>
      <c r="U44" t="s">
        <v>6557</v>
      </c>
      <c r="W44" t="s">
        <v>404</v>
      </c>
      <c r="X44">
        <v>1056</v>
      </c>
      <c r="Y44" t="s">
        <v>6608</v>
      </c>
      <c r="Z44" t="s">
        <v>6610</v>
      </c>
      <c r="AA44" t="s">
        <v>6631</v>
      </c>
      <c r="AB44" t="s">
        <v>6699</v>
      </c>
      <c r="AD44" t="s">
        <v>9135</v>
      </c>
      <c r="AE44">
        <v>65</v>
      </c>
      <c r="AF44" t="s">
        <v>11005</v>
      </c>
      <c r="AH44">
        <v>36</v>
      </c>
      <c r="AI44">
        <v>1</v>
      </c>
      <c r="AJ44">
        <v>0</v>
      </c>
      <c r="AK44">
        <v>25.02</v>
      </c>
      <c r="AL44" t="s">
        <v>11028</v>
      </c>
      <c r="AN44" t="s">
        <v>11050</v>
      </c>
      <c r="AO44">
        <v>30318</v>
      </c>
      <c r="AU44">
        <v>2.5</v>
      </c>
      <c r="AV44" t="s">
        <v>422</v>
      </c>
      <c r="AW44" t="s">
        <v>11498</v>
      </c>
    </row>
    <row r="45" spans="1:49">
      <c r="A45" s="1">
        <f>HYPERLINK("https://cms.ls-nyc.org/matter/dynamic-profile/view/1866166","18-1866166")</f>
        <v>0</v>
      </c>
      <c r="B45" t="s">
        <v>66</v>
      </c>
      <c r="C45" t="s">
        <v>234</v>
      </c>
      <c r="D45" t="s">
        <v>274</v>
      </c>
      <c r="E45" t="s">
        <v>677</v>
      </c>
      <c r="F45" t="s">
        <v>880</v>
      </c>
      <c r="G45" t="s">
        <v>2139</v>
      </c>
      <c r="H45" t="s">
        <v>3468</v>
      </c>
      <c r="I45">
        <v>60</v>
      </c>
      <c r="J45" t="s">
        <v>5323</v>
      </c>
      <c r="K45">
        <v>10032</v>
      </c>
      <c r="L45" t="s">
        <v>5355</v>
      </c>
      <c r="M45" t="s">
        <v>5355</v>
      </c>
      <c r="N45" t="s">
        <v>5382</v>
      </c>
      <c r="O45" t="s">
        <v>6492</v>
      </c>
      <c r="P45" t="s">
        <v>6524</v>
      </c>
      <c r="Q45" t="s">
        <v>6531</v>
      </c>
      <c r="R45" t="s">
        <v>6539</v>
      </c>
      <c r="S45" t="s">
        <v>5357</v>
      </c>
      <c r="T45" t="s">
        <v>6542</v>
      </c>
      <c r="U45" t="s">
        <v>6557</v>
      </c>
      <c r="W45" t="s">
        <v>274</v>
      </c>
      <c r="X45">
        <v>2800</v>
      </c>
      <c r="Y45" t="s">
        <v>6608</v>
      </c>
      <c r="Z45" t="s">
        <v>6615</v>
      </c>
      <c r="AA45" t="s">
        <v>6631</v>
      </c>
      <c r="AB45" t="s">
        <v>6700</v>
      </c>
      <c r="AD45" t="s">
        <v>9136</v>
      </c>
      <c r="AE45">
        <v>0</v>
      </c>
      <c r="AF45" t="s">
        <v>8722</v>
      </c>
      <c r="AG45" t="s">
        <v>5406</v>
      </c>
      <c r="AH45">
        <v>3</v>
      </c>
      <c r="AI45">
        <v>1</v>
      </c>
      <c r="AJ45">
        <v>0</v>
      </c>
      <c r="AK45">
        <v>29.65</v>
      </c>
      <c r="AN45" t="s">
        <v>11050</v>
      </c>
      <c r="AO45">
        <v>3600</v>
      </c>
      <c r="AU45">
        <v>1.5</v>
      </c>
      <c r="AV45" t="s">
        <v>253</v>
      </c>
      <c r="AW45" t="s">
        <v>11496</v>
      </c>
    </row>
    <row r="46" spans="1:49">
      <c r="A46" s="1">
        <f>HYPERLINK("https://cms.ls-nyc.org/matter/dynamic-profile/view/1869698","18-1869698")</f>
        <v>0</v>
      </c>
      <c r="B46" t="s">
        <v>80</v>
      </c>
      <c r="C46" t="s">
        <v>234</v>
      </c>
      <c r="D46" t="s">
        <v>275</v>
      </c>
      <c r="E46" t="s">
        <v>652</v>
      </c>
      <c r="F46" t="s">
        <v>881</v>
      </c>
      <c r="G46" t="s">
        <v>2140</v>
      </c>
      <c r="H46" t="s">
        <v>3469</v>
      </c>
      <c r="I46" t="s">
        <v>4764</v>
      </c>
      <c r="J46" t="s">
        <v>5321</v>
      </c>
      <c r="K46">
        <v>10453</v>
      </c>
      <c r="L46" t="s">
        <v>5355</v>
      </c>
      <c r="M46" t="s">
        <v>5356</v>
      </c>
      <c r="O46" t="s">
        <v>5393</v>
      </c>
      <c r="P46" t="s">
        <v>6524</v>
      </c>
      <c r="Q46" t="s">
        <v>6531</v>
      </c>
      <c r="R46" t="s">
        <v>6539</v>
      </c>
      <c r="S46" t="s">
        <v>5357</v>
      </c>
      <c r="U46" t="s">
        <v>6557</v>
      </c>
      <c r="W46" t="s">
        <v>516</v>
      </c>
      <c r="X46">
        <v>315</v>
      </c>
      <c r="Y46" t="s">
        <v>6606</v>
      </c>
      <c r="Z46" t="s">
        <v>6612</v>
      </c>
      <c r="AA46" t="s">
        <v>6631</v>
      </c>
      <c r="AB46" t="s">
        <v>6701</v>
      </c>
      <c r="AE46">
        <v>0</v>
      </c>
      <c r="AF46" t="s">
        <v>11006</v>
      </c>
      <c r="AH46">
        <v>3</v>
      </c>
      <c r="AI46">
        <v>2</v>
      </c>
      <c r="AJ46">
        <v>0</v>
      </c>
      <c r="AK46">
        <v>30.38</v>
      </c>
      <c r="AN46" t="s">
        <v>11050</v>
      </c>
      <c r="AO46">
        <v>5000</v>
      </c>
      <c r="AU46">
        <v>1.25</v>
      </c>
      <c r="AV46" t="s">
        <v>652</v>
      </c>
      <c r="AW46" t="s">
        <v>11505</v>
      </c>
    </row>
    <row r="47" spans="1:49">
      <c r="A47" s="1">
        <f>HYPERLINK("https://cms.ls-nyc.org/matter/dynamic-profile/view/1841126","17-1841126")</f>
        <v>0</v>
      </c>
      <c r="B47" t="s">
        <v>81</v>
      </c>
      <c r="C47" t="s">
        <v>234</v>
      </c>
      <c r="D47" t="s">
        <v>276</v>
      </c>
      <c r="E47" t="s">
        <v>386</v>
      </c>
      <c r="F47" t="s">
        <v>882</v>
      </c>
      <c r="G47" t="s">
        <v>2141</v>
      </c>
      <c r="H47" t="s">
        <v>3470</v>
      </c>
      <c r="I47" t="s">
        <v>4744</v>
      </c>
      <c r="J47" t="s">
        <v>5324</v>
      </c>
      <c r="K47">
        <v>11367</v>
      </c>
      <c r="L47" t="s">
        <v>5355</v>
      </c>
      <c r="M47" t="s">
        <v>5355</v>
      </c>
      <c r="N47" t="s">
        <v>5383</v>
      </c>
      <c r="O47" t="s">
        <v>6493</v>
      </c>
      <c r="P47" t="s">
        <v>6524</v>
      </c>
      <c r="Q47" t="s">
        <v>6531</v>
      </c>
      <c r="R47" t="s">
        <v>6540</v>
      </c>
      <c r="S47" t="s">
        <v>5357</v>
      </c>
      <c r="U47" t="s">
        <v>6559</v>
      </c>
      <c r="V47" t="s">
        <v>6566</v>
      </c>
      <c r="W47" t="s">
        <v>276</v>
      </c>
      <c r="X47">
        <v>1046.06</v>
      </c>
      <c r="Y47" t="s">
        <v>6604</v>
      </c>
      <c r="Z47" t="s">
        <v>6610</v>
      </c>
      <c r="AA47" t="s">
        <v>6631</v>
      </c>
      <c r="AB47" t="s">
        <v>6702</v>
      </c>
      <c r="AC47" t="s">
        <v>5383</v>
      </c>
      <c r="AD47" t="s">
        <v>9137</v>
      </c>
      <c r="AE47">
        <v>150</v>
      </c>
      <c r="AF47" t="s">
        <v>11005</v>
      </c>
      <c r="AG47" t="s">
        <v>11024</v>
      </c>
      <c r="AH47">
        <v>41</v>
      </c>
      <c r="AI47">
        <v>1</v>
      </c>
      <c r="AJ47">
        <v>0</v>
      </c>
      <c r="AK47">
        <v>30.75</v>
      </c>
      <c r="AL47" t="s">
        <v>11028</v>
      </c>
      <c r="AN47" t="s">
        <v>11049</v>
      </c>
      <c r="AO47">
        <v>3708</v>
      </c>
      <c r="AU47">
        <v>1.1</v>
      </c>
      <c r="AV47" t="s">
        <v>244</v>
      </c>
      <c r="AW47" t="s">
        <v>81</v>
      </c>
    </row>
    <row r="48" spans="1:49">
      <c r="A48" s="1">
        <f>HYPERLINK("https://cms.ls-nyc.org/matter/dynamic-profile/view/1851436","17-1851436")</f>
        <v>0</v>
      </c>
      <c r="B48" t="s">
        <v>82</v>
      </c>
      <c r="C48" t="s">
        <v>234</v>
      </c>
      <c r="D48" t="s">
        <v>277</v>
      </c>
      <c r="E48" t="s">
        <v>687</v>
      </c>
      <c r="F48" t="s">
        <v>883</v>
      </c>
      <c r="G48" t="s">
        <v>2142</v>
      </c>
      <c r="H48" t="s">
        <v>3471</v>
      </c>
      <c r="I48" t="s">
        <v>4765</v>
      </c>
      <c r="J48" t="s">
        <v>5323</v>
      </c>
      <c r="K48">
        <v>10032</v>
      </c>
      <c r="L48" t="s">
        <v>5355</v>
      </c>
      <c r="M48" t="s">
        <v>5356</v>
      </c>
      <c r="N48" t="s">
        <v>5384</v>
      </c>
      <c r="O48" t="s">
        <v>6492</v>
      </c>
      <c r="P48" t="s">
        <v>6524</v>
      </c>
      <c r="Q48" t="s">
        <v>6531</v>
      </c>
      <c r="R48" t="s">
        <v>6539</v>
      </c>
      <c r="U48" t="s">
        <v>6557</v>
      </c>
      <c r="W48" t="s">
        <v>236</v>
      </c>
      <c r="X48">
        <v>1050</v>
      </c>
      <c r="Y48" t="s">
        <v>6608</v>
      </c>
      <c r="Z48" t="s">
        <v>6616</v>
      </c>
      <c r="AA48" t="s">
        <v>6631</v>
      </c>
      <c r="AB48" t="s">
        <v>6703</v>
      </c>
      <c r="AD48" t="s">
        <v>9138</v>
      </c>
      <c r="AE48">
        <v>0</v>
      </c>
      <c r="AF48" t="s">
        <v>8722</v>
      </c>
      <c r="AG48" t="s">
        <v>11023</v>
      </c>
      <c r="AH48">
        <v>5</v>
      </c>
      <c r="AI48">
        <v>3</v>
      </c>
      <c r="AJ48">
        <v>0</v>
      </c>
      <c r="AK48">
        <v>32.13</v>
      </c>
      <c r="AN48" t="s">
        <v>11049</v>
      </c>
      <c r="AO48">
        <v>6560</v>
      </c>
      <c r="AU48">
        <v>1.3</v>
      </c>
      <c r="AV48" t="s">
        <v>668</v>
      </c>
      <c r="AW48" t="s">
        <v>11494</v>
      </c>
    </row>
    <row r="49" spans="1:49">
      <c r="A49" s="1">
        <f>HYPERLINK("https://cms.ls-nyc.org/matter/dynamic-profile/view/1869236","18-1869236")</f>
        <v>0</v>
      </c>
      <c r="B49" t="s">
        <v>52</v>
      </c>
      <c r="C49" t="s">
        <v>234</v>
      </c>
      <c r="D49" t="s">
        <v>252</v>
      </c>
      <c r="E49" t="s">
        <v>688</v>
      </c>
      <c r="F49" t="s">
        <v>884</v>
      </c>
      <c r="G49" t="s">
        <v>2143</v>
      </c>
      <c r="H49" t="s">
        <v>3472</v>
      </c>
      <c r="I49" t="s">
        <v>4766</v>
      </c>
      <c r="J49" t="s">
        <v>5325</v>
      </c>
      <c r="K49">
        <v>11356</v>
      </c>
      <c r="L49" t="s">
        <v>5355</v>
      </c>
      <c r="M49" t="s">
        <v>5355</v>
      </c>
      <c r="N49" t="s">
        <v>5359</v>
      </c>
      <c r="O49" t="s">
        <v>6492</v>
      </c>
      <c r="P49" t="s">
        <v>6524</v>
      </c>
      <c r="Q49" t="s">
        <v>6531</v>
      </c>
      <c r="R49" t="s">
        <v>6540</v>
      </c>
      <c r="S49" t="s">
        <v>5357</v>
      </c>
      <c r="U49" t="s">
        <v>6557</v>
      </c>
      <c r="V49" t="s">
        <v>6566</v>
      </c>
      <c r="W49" t="s">
        <v>252</v>
      </c>
      <c r="X49">
        <v>3300</v>
      </c>
      <c r="Y49" t="s">
        <v>6604</v>
      </c>
      <c r="Z49" t="s">
        <v>6610</v>
      </c>
      <c r="AA49" t="s">
        <v>6631</v>
      </c>
      <c r="AB49" t="s">
        <v>6704</v>
      </c>
      <c r="AD49" t="s">
        <v>9139</v>
      </c>
      <c r="AE49">
        <v>2</v>
      </c>
      <c r="AF49" t="s">
        <v>11004</v>
      </c>
      <c r="AG49" t="s">
        <v>5406</v>
      </c>
      <c r="AH49">
        <v>1</v>
      </c>
      <c r="AI49">
        <v>2</v>
      </c>
      <c r="AJ49">
        <v>2</v>
      </c>
      <c r="AK49">
        <v>33.47</v>
      </c>
      <c r="AL49" t="s">
        <v>11028</v>
      </c>
      <c r="AN49" t="s">
        <v>11050</v>
      </c>
      <c r="AO49">
        <v>8400</v>
      </c>
      <c r="AU49">
        <v>1.13</v>
      </c>
      <c r="AV49" t="s">
        <v>667</v>
      </c>
      <c r="AW49" t="s">
        <v>52</v>
      </c>
    </row>
    <row r="50" spans="1:49">
      <c r="A50" s="1">
        <f>HYPERLINK("https://cms.ls-nyc.org/matter/dynamic-profile/view/1833502","17-1833502")</f>
        <v>0</v>
      </c>
      <c r="B50" t="s">
        <v>83</v>
      </c>
      <c r="C50" t="s">
        <v>234</v>
      </c>
      <c r="D50" t="s">
        <v>278</v>
      </c>
      <c r="E50" t="s">
        <v>688</v>
      </c>
      <c r="F50" t="s">
        <v>885</v>
      </c>
      <c r="G50" t="s">
        <v>2144</v>
      </c>
      <c r="H50" t="s">
        <v>3473</v>
      </c>
      <c r="I50" t="s">
        <v>4767</v>
      </c>
      <c r="J50" t="s">
        <v>5323</v>
      </c>
      <c r="K50">
        <v>10035</v>
      </c>
      <c r="L50" t="s">
        <v>5355</v>
      </c>
      <c r="M50" t="s">
        <v>5355</v>
      </c>
      <c r="N50" t="s">
        <v>5385</v>
      </c>
      <c r="O50" t="s">
        <v>6492</v>
      </c>
      <c r="P50" t="s">
        <v>6524</v>
      </c>
      <c r="Q50" t="s">
        <v>6531</v>
      </c>
      <c r="R50" t="s">
        <v>6539</v>
      </c>
      <c r="S50" t="s">
        <v>5357</v>
      </c>
      <c r="U50" t="s">
        <v>6557</v>
      </c>
      <c r="V50" t="s">
        <v>6566</v>
      </c>
      <c r="W50" t="s">
        <v>404</v>
      </c>
      <c r="X50">
        <v>2780</v>
      </c>
      <c r="Y50" t="s">
        <v>6608</v>
      </c>
      <c r="Z50" t="s">
        <v>6616</v>
      </c>
      <c r="AA50" t="s">
        <v>6631</v>
      </c>
      <c r="AB50" t="s">
        <v>6705</v>
      </c>
      <c r="AD50" t="s">
        <v>9140</v>
      </c>
      <c r="AE50">
        <v>330</v>
      </c>
      <c r="AF50" t="s">
        <v>8722</v>
      </c>
      <c r="AG50" t="s">
        <v>11020</v>
      </c>
      <c r="AH50">
        <v>20</v>
      </c>
      <c r="AI50">
        <v>1</v>
      </c>
      <c r="AJ50">
        <v>2</v>
      </c>
      <c r="AK50">
        <v>34.44</v>
      </c>
      <c r="AN50" t="s">
        <v>11050</v>
      </c>
      <c r="AO50">
        <v>7032</v>
      </c>
      <c r="AU50">
        <v>0.1</v>
      </c>
      <c r="AV50" t="s">
        <v>688</v>
      </c>
      <c r="AW50" t="s">
        <v>11497</v>
      </c>
    </row>
    <row r="51" spans="1:49">
      <c r="A51" s="1">
        <f>HYPERLINK("https://cms.ls-nyc.org/matter/dynamic-profile/view/1858527","18-1858527")</f>
        <v>0</v>
      </c>
      <c r="B51" t="s">
        <v>84</v>
      </c>
      <c r="C51" t="s">
        <v>235</v>
      </c>
      <c r="D51" t="s">
        <v>279</v>
      </c>
      <c r="F51" t="s">
        <v>886</v>
      </c>
      <c r="G51" t="s">
        <v>2145</v>
      </c>
      <c r="H51" t="s">
        <v>3474</v>
      </c>
      <c r="I51" t="s">
        <v>4768</v>
      </c>
      <c r="J51" t="s">
        <v>5320</v>
      </c>
      <c r="K51">
        <v>11231</v>
      </c>
      <c r="L51" t="s">
        <v>5357</v>
      </c>
      <c r="M51" t="s">
        <v>5356</v>
      </c>
      <c r="N51" t="s">
        <v>5386</v>
      </c>
      <c r="O51" t="s">
        <v>6494</v>
      </c>
      <c r="P51" t="s">
        <v>6524</v>
      </c>
      <c r="R51" t="s">
        <v>6539</v>
      </c>
      <c r="U51" t="s">
        <v>6560</v>
      </c>
      <c r="W51" t="s">
        <v>262</v>
      </c>
      <c r="X51">
        <v>144</v>
      </c>
      <c r="Y51" t="s">
        <v>6605</v>
      </c>
      <c r="Z51" t="s">
        <v>6618</v>
      </c>
      <c r="AB51" t="s">
        <v>6706</v>
      </c>
      <c r="AD51" t="s">
        <v>9141</v>
      </c>
      <c r="AE51">
        <v>36</v>
      </c>
      <c r="AF51" t="s">
        <v>11007</v>
      </c>
      <c r="AG51" t="s">
        <v>5406</v>
      </c>
      <c r="AH51">
        <v>4</v>
      </c>
      <c r="AI51">
        <v>1</v>
      </c>
      <c r="AJ51">
        <v>1</v>
      </c>
      <c r="AK51">
        <v>34.58</v>
      </c>
      <c r="AN51" t="s">
        <v>11050</v>
      </c>
      <c r="AO51">
        <v>5616</v>
      </c>
      <c r="AU51">
        <v>1</v>
      </c>
      <c r="AV51" t="s">
        <v>279</v>
      </c>
      <c r="AW51" t="s">
        <v>11500</v>
      </c>
    </row>
    <row r="52" spans="1:49">
      <c r="A52" s="1">
        <f>HYPERLINK("https://cms.ls-nyc.org/matter/dynamic-profile/view/1868161","18-1868161")</f>
        <v>0</v>
      </c>
      <c r="B52" t="s">
        <v>85</v>
      </c>
      <c r="C52" t="s">
        <v>234</v>
      </c>
      <c r="D52" t="s">
        <v>280</v>
      </c>
      <c r="E52" t="s">
        <v>689</v>
      </c>
      <c r="F52" t="s">
        <v>887</v>
      </c>
      <c r="G52" t="s">
        <v>2146</v>
      </c>
      <c r="H52" t="s">
        <v>3475</v>
      </c>
      <c r="I52" t="s">
        <v>4769</v>
      </c>
      <c r="J52" t="s">
        <v>5326</v>
      </c>
      <c r="K52">
        <v>11691</v>
      </c>
      <c r="L52" t="s">
        <v>5355</v>
      </c>
      <c r="M52" t="s">
        <v>5356</v>
      </c>
      <c r="N52" t="s">
        <v>5387</v>
      </c>
      <c r="O52" t="s">
        <v>6491</v>
      </c>
      <c r="P52" t="s">
        <v>6524</v>
      </c>
      <c r="Q52" t="s">
        <v>6531</v>
      </c>
      <c r="R52" t="s">
        <v>6539</v>
      </c>
      <c r="S52" t="s">
        <v>5355</v>
      </c>
      <c r="U52" t="s">
        <v>6557</v>
      </c>
      <c r="W52" t="s">
        <v>280</v>
      </c>
      <c r="X52">
        <v>973.97</v>
      </c>
      <c r="Y52" t="s">
        <v>6604</v>
      </c>
      <c r="Z52" t="s">
        <v>6615</v>
      </c>
      <c r="AA52" t="s">
        <v>6631</v>
      </c>
      <c r="AB52" t="s">
        <v>6707</v>
      </c>
      <c r="AC52" t="s">
        <v>8711</v>
      </c>
      <c r="AD52" t="s">
        <v>9142</v>
      </c>
      <c r="AE52">
        <v>0</v>
      </c>
      <c r="AG52" t="s">
        <v>11024</v>
      </c>
      <c r="AH52">
        <v>9</v>
      </c>
      <c r="AI52">
        <v>2</v>
      </c>
      <c r="AJ52">
        <v>1</v>
      </c>
      <c r="AK52">
        <v>34.79</v>
      </c>
      <c r="AN52" t="s">
        <v>11050</v>
      </c>
      <c r="AO52">
        <v>7230</v>
      </c>
      <c r="AU52">
        <v>0.75</v>
      </c>
      <c r="AV52" t="s">
        <v>318</v>
      </c>
      <c r="AW52" t="s">
        <v>11506</v>
      </c>
    </row>
    <row r="53" spans="1:49">
      <c r="A53" s="1">
        <f>HYPERLINK("https://cms.ls-nyc.org/matter/dynamic-profile/view/1868116","18-1868116")</f>
        <v>0</v>
      </c>
      <c r="B53" t="s">
        <v>86</v>
      </c>
      <c r="C53" t="s">
        <v>234</v>
      </c>
      <c r="D53" t="s">
        <v>270</v>
      </c>
      <c r="E53" t="s">
        <v>394</v>
      </c>
      <c r="F53" t="s">
        <v>888</v>
      </c>
      <c r="G53" t="s">
        <v>2147</v>
      </c>
      <c r="H53" t="s">
        <v>3476</v>
      </c>
      <c r="I53" t="s">
        <v>4770</v>
      </c>
      <c r="J53" t="s">
        <v>5327</v>
      </c>
      <c r="K53">
        <v>11101</v>
      </c>
      <c r="L53" t="s">
        <v>5355</v>
      </c>
      <c r="M53" t="s">
        <v>5356</v>
      </c>
      <c r="N53" t="s">
        <v>5388</v>
      </c>
      <c r="O53" t="s">
        <v>6491</v>
      </c>
      <c r="P53" t="s">
        <v>6524</v>
      </c>
      <c r="Q53" t="s">
        <v>6531</v>
      </c>
      <c r="R53" t="s">
        <v>6539</v>
      </c>
      <c r="S53" t="s">
        <v>5357</v>
      </c>
      <c r="U53" t="s">
        <v>6557</v>
      </c>
      <c r="W53" t="s">
        <v>245</v>
      </c>
      <c r="X53">
        <v>1200</v>
      </c>
      <c r="Y53" t="s">
        <v>6604</v>
      </c>
      <c r="Z53" t="s">
        <v>6617</v>
      </c>
      <c r="AA53" t="s">
        <v>6631</v>
      </c>
      <c r="AB53" t="s">
        <v>6708</v>
      </c>
      <c r="AC53" t="s">
        <v>8712</v>
      </c>
      <c r="AD53" t="s">
        <v>9143</v>
      </c>
      <c r="AE53">
        <v>2</v>
      </c>
      <c r="AF53" t="s">
        <v>11004</v>
      </c>
      <c r="AG53" t="s">
        <v>5406</v>
      </c>
      <c r="AH53">
        <v>4</v>
      </c>
      <c r="AI53">
        <v>1</v>
      </c>
      <c r="AJ53">
        <v>0</v>
      </c>
      <c r="AK53">
        <v>35.78</v>
      </c>
      <c r="AN53" t="s">
        <v>11050</v>
      </c>
      <c r="AO53">
        <v>4344</v>
      </c>
      <c r="AU53">
        <v>2.35</v>
      </c>
      <c r="AV53" t="s">
        <v>402</v>
      </c>
      <c r="AW53" t="s">
        <v>11507</v>
      </c>
    </row>
    <row r="54" spans="1:49">
      <c r="A54" s="1">
        <f>HYPERLINK("https://cms.ls-nyc.org/matter/dynamic-profile/view/1855509","18-1855509")</f>
        <v>0</v>
      </c>
      <c r="B54" t="s">
        <v>69</v>
      </c>
      <c r="C54" t="s">
        <v>234</v>
      </c>
      <c r="D54" t="s">
        <v>281</v>
      </c>
      <c r="E54" t="s">
        <v>679</v>
      </c>
      <c r="F54" t="s">
        <v>889</v>
      </c>
      <c r="G54" t="s">
        <v>2120</v>
      </c>
      <c r="H54" t="s">
        <v>3477</v>
      </c>
      <c r="I54" t="s">
        <v>4754</v>
      </c>
      <c r="J54" t="s">
        <v>5321</v>
      </c>
      <c r="K54">
        <v>10456</v>
      </c>
      <c r="L54" t="s">
        <v>5355</v>
      </c>
      <c r="M54" t="s">
        <v>5356</v>
      </c>
      <c r="O54" t="s">
        <v>6496</v>
      </c>
      <c r="P54" t="s">
        <v>6524</v>
      </c>
      <c r="Q54" t="s">
        <v>6531</v>
      </c>
      <c r="R54" t="s">
        <v>6539</v>
      </c>
      <c r="S54" t="s">
        <v>5357</v>
      </c>
      <c r="U54" t="s">
        <v>6557</v>
      </c>
      <c r="W54" t="s">
        <v>424</v>
      </c>
      <c r="X54">
        <v>0</v>
      </c>
      <c r="Y54" t="s">
        <v>6606</v>
      </c>
      <c r="Z54" t="s">
        <v>6612</v>
      </c>
      <c r="AA54" t="s">
        <v>6631</v>
      </c>
      <c r="AB54" t="s">
        <v>6709</v>
      </c>
      <c r="AD54" t="s">
        <v>9144</v>
      </c>
      <c r="AE54">
        <v>54</v>
      </c>
      <c r="AF54" t="s">
        <v>11008</v>
      </c>
      <c r="AG54" t="s">
        <v>11020</v>
      </c>
      <c r="AH54">
        <v>14</v>
      </c>
      <c r="AI54">
        <v>2</v>
      </c>
      <c r="AJ54">
        <v>2</v>
      </c>
      <c r="AK54">
        <v>35.85</v>
      </c>
      <c r="AN54" t="s">
        <v>11049</v>
      </c>
      <c r="AO54">
        <v>8820</v>
      </c>
      <c r="AU54">
        <v>0.5</v>
      </c>
      <c r="AV54" t="s">
        <v>263</v>
      </c>
      <c r="AW54" t="s">
        <v>11492</v>
      </c>
    </row>
    <row r="55" spans="1:49">
      <c r="A55" s="1">
        <f>HYPERLINK("https://cms.ls-nyc.org/matter/dynamic-profile/view/1870429","18-1870429")</f>
        <v>0</v>
      </c>
      <c r="B55" t="s">
        <v>87</v>
      </c>
      <c r="C55" t="s">
        <v>234</v>
      </c>
      <c r="D55" t="s">
        <v>282</v>
      </c>
      <c r="E55" t="s">
        <v>690</v>
      </c>
      <c r="F55" t="s">
        <v>890</v>
      </c>
      <c r="G55" t="s">
        <v>2133</v>
      </c>
      <c r="H55" t="s">
        <v>3478</v>
      </c>
      <c r="J55" t="s">
        <v>5322</v>
      </c>
      <c r="K55">
        <v>10306</v>
      </c>
      <c r="L55" t="s">
        <v>5355</v>
      </c>
      <c r="M55" t="s">
        <v>5356</v>
      </c>
      <c r="O55" t="s">
        <v>6492</v>
      </c>
      <c r="P55" t="s">
        <v>6524</v>
      </c>
      <c r="Q55" t="s">
        <v>6531</v>
      </c>
      <c r="R55" t="s">
        <v>6540</v>
      </c>
      <c r="U55" t="s">
        <v>6557</v>
      </c>
      <c r="W55" t="s">
        <v>255</v>
      </c>
      <c r="X55">
        <v>2249</v>
      </c>
      <c r="Y55" t="s">
        <v>6607</v>
      </c>
      <c r="Z55" t="s">
        <v>6610</v>
      </c>
      <c r="AA55" t="s">
        <v>6631</v>
      </c>
      <c r="AB55" t="s">
        <v>6710</v>
      </c>
      <c r="AD55" t="s">
        <v>9145</v>
      </c>
      <c r="AE55">
        <v>1</v>
      </c>
      <c r="AF55" t="s">
        <v>11004</v>
      </c>
      <c r="AG55" t="s">
        <v>11020</v>
      </c>
      <c r="AH55">
        <v>1</v>
      </c>
      <c r="AI55">
        <v>1</v>
      </c>
      <c r="AJ55">
        <v>3</v>
      </c>
      <c r="AK55">
        <v>35.86</v>
      </c>
      <c r="AN55" t="s">
        <v>11050</v>
      </c>
      <c r="AO55">
        <v>9000</v>
      </c>
      <c r="AU55">
        <v>1.1</v>
      </c>
      <c r="AV55" t="s">
        <v>282</v>
      </c>
      <c r="AW55" t="s">
        <v>11501</v>
      </c>
    </row>
    <row r="56" spans="1:49">
      <c r="A56" s="1">
        <f>HYPERLINK("https://cms.ls-nyc.org/matter/dynamic-profile/view/1844422","17-1844422")</f>
        <v>0</v>
      </c>
      <c r="B56" t="s">
        <v>75</v>
      </c>
      <c r="C56" t="s">
        <v>235</v>
      </c>
      <c r="D56" t="s">
        <v>266</v>
      </c>
      <c r="F56" t="s">
        <v>891</v>
      </c>
      <c r="G56" t="s">
        <v>2148</v>
      </c>
      <c r="H56" t="s">
        <v>3479</v>
      </c>
      <c r="I56" t="s">
        <v>4756</v>
      </c>
      <c r="J56" t="s">
        <v>5328</v>
      </c>
      <c r="K56">
        <v>10457</v>
      </c>
      <c r="L56" t="s">
        <v>5355</v>
      </c>
      <c r="M56" t="s">
        <v>5356</v>
      </c>
      <c r="P56" t="s">
        <v>6524</v>
      </c>
      <c r="R56" t="s">
        <v>6540</v>
      </c>
      <c r="S56" t="s">
        <v>5357</v>
      </c>
      <c r="U56" t="s">
        <v>6559</v>
      </c>
      <c r="W56" t="s">
        <v>266</v>
      </c>
      <c r="X56">
        <v>0</v>
      </c>
      <c r="Y56" t="s">
        <v>6605</v>
      </c>
      <c r="Z56" t="s">
        <v>6610</v>
      </c>
      <c r="AB56" t="s">
        <v>6711</v>
      </c>
      <c r="AD56" t="s">
        <v>9146</v>
      </c>
      <c r="AE56">
        <v>60</v>
      </c>
      <c r="AF56" t="s">
        <v>11007</v>
      </c>
      <c r="AH56">
        <v>0</v>
      </c>
      <c r="AI56">
        <v>2</v>
      </c>
      <c r="AJ56">
        <v>0</v>
      </c>
      <c r="AK56">
        <v>36.58</v>
      </c>
      <c r="AL56" t="s">
        <v>11028</v>
      </c>
      <c r="AN56" t="s">
        <v>11050</v>
      </c>
      <c r="AO56">
        <v>5940</v>
      </c>
      <c r="AU56">
        <v>0</v>
      </c>
      <c r="AW56" t="s">
        <v>11488</v>
      </c>
    </row>
    <row r="57" spans="1:49">
      <c r="A57" s="1">
        <f>HYPERLINK("https://cms.ls-nyc.org/matter/dynamic-profile/view/1847353","17-1847353")</f>
        <v>0</v>
      </c>
      <c r="B57" t="s">
        <v>88</v>
      </c>
      <c r="C57" t="s">
        <v>234</v>
      </c>
      <c r="D57" t="s">
        <v>283</v>
      </c>
      <c r="E57" t="s">
        <v>265</v>
      </c>
      <c r="F57" t="s">
        <v>892</v>
      </c>
      <c r="G57" t="s">
        <v>2149</v>
      </c>
      <c r="H57" t="s">
        <v>3480</v>
      </c>
      <c r="J57" t="s">
        <v>5320</v>
      </c>
      <c r="K57">
        <v>11213</v>
      </c>
      <c r="L57" t="s">
        <v>5355</v>
      </c>
      <c r="M57" t="s">
        <v>5356</v>
      </c>
      <c r="P57" t="s">
        <v>6524</v>
      </c>
      <c r="Q57" t="s">
        <v>6531</v>
      </c>
      <c r="R57" t="s">
        <v>6539</v>
      </c>
      <c r="S57" t="s">
        <v>5355</v>
      </c>
      <c r="U57" t="s">
        <v>6557</v>
      </c>
      <c r="W57" t="s">
        <v>6572</v>
      </c>
      <c r="X57">
        <v>0</v>
      </c>
      <c r="Y57" t="s">
        <v>6605</v>
      </c>
      <c r="AA57" t="s">
        <v>6631</v>
      </c>
      <c r="AB57" t="s">
        <v>6712</v>
      </c>
      <c r="AD57" t="s">
        <v>9147</v>
      </c>
      <c r="AE57">
        <v>107</v>
      </c>
      <c r="AF57" t="s">
        <v>11005</v>
      </c>
      <c r="AH57">
        <v>9</v>
      </c>
      <c r="AI57">
        <v>1</v>
      </c>
      <c r="AJ57">
        <v>0</v>
      </c>
      <c r="AK57">
        <v>37.41</v>
      </c>
      <c r="AL57" t="s">
        <v>511</v>
      </c>
      <c r="AN57" t="s">
        <v>11050</v>
      </c>
      <c r="AO57">
        <v>4512</v>
      </c>
      <c r="AU57">
        <v>0.3</v>
      </c>
      <c r="AV57" t="s">
        <v>261</v>
      </c>
      <c r="AW57" t="s">
        <v>88</v>
      </c>
    </row>
    <row r="58" spans="1:49">
      <c r="A58" s="1">
        <f>HYPERLINK("https://cms.ls-nyc.org/matter/dynamic-profile/view/1859394","18-1859394")</f>
        <v>0</v>
      </c>
      <c r="B58" t="s">
        <v>89</v>
      </c>
      <c r="C58" t="s">
        <v>234</v>
      </c>
      <c r="D58" t="s">
        <v>284</v>
      </c>
      <c r="E58" t="s">
        <v>691</v>
      </c>
      <c r="F58" t="s">
        <v>893</v>
      </c>
      <c r="G58" t="s">
        <v>2150</v>
      </c>
      <c r="H58" t="s">
        <v>3481</v>
      </c>
      <c r="I58" t="s">
        <v>4771</v>
      </c>
      <c r="J58" t="s">
        <v>5321</v>
      </c>
      <c r="K58">
        <v>10460</v>
      </c>
      <c r="L58" t="s">
        <v>5355</v>
      </c>
      <c r="M58" t="s">
        <v>5356</v>
      </c>
      <c r="O58" t="s">
        <v>5393</v>
      </c>
      <c r="P58" t="s">
        <v>6524</v>
      </c>
      <c r="Q58" t="s">
        <v>6533</v>
      </c>
      <c r="R58" t="s">
        <v>6539</v>
      </c>
      <c r="S58" t="s">
        <v>5357</v>
      </c>
      <c r="U58" t="s">
        <v>6559</v>
      </c>
      <c r="W58" t="s">
        <v>391</v>
      </c>
      <c r="X58">
        <v>0</v>
      </c>
      <c r="Y58" t="s">
        <v>6606</v>
      </c>
      <c r="AA58" t="s">
        <v>6636</v>
      </c>
      <c r="AB58" t="s">
        <v>6713</v>
      </c>
      <c r="AD58" t="s">
        <v>9148</v>
      </c>
      <c r="AE58">
        <v>0</v>
      </c>
      <c r="AH58">
        <v>0</v>
      </c>
      <c r="AI58">
        <v>1</v>
      </c>
      <c r="AJ58">
        <v>2</v>
      </c>
      <c r="AK58">
        <v>40.79</v>
      </c>
      <c r="AN58" t="s">
        <v>11050</v>
      </c>
      <c r="AO58">
        <v>8860.08</v>
      </c>
      <c r="AU58">
        <v>2</v>
      </c>
      <c r="AV58" t="s">
        <v>762</v>
      </c>
      <c r="AW58" t="s">
        <v>11508</v>
      </c>
    </row>
    <row r="59" spans="1:49">
      <c r="A59" s="1">
        <f>HYPERLINK("https://cms.ls-nyc.org/matter/dynamic-profile/view/1862479","18-1862479")</f>
        <v>0</v>
      </c>
      <c r="B59" t="s">
        <v>52</v>
      </c>
      <c r="C59" t="s">
        <v>234</v>
      </c>
      <c r="D59" t="s">
        <v>285</v>
      </c>
      <c r="E59" t="s">
        <v>668</v>
      </c>
      <c r="F59" t="s">
        <v>894</v>
      </c>
      <c r="G59" t="s">
        <v>2151</v>
      </c>
      <c r="H59" t="s">
        <v>3482</v>
      </c>
      <c r="J59" t="s">
        <v>5326</v>
      </c>
      <c r="K59">
        <v>11691</v>
      </c>
      <c r="L59" t="s">
        <v>5355</v>
      </c>
      <c r="M59" t="s">
        <v>5355</v>
      </c>
      <c r="N59" t="s">
        <v>5389</v>
      </c>
      <c r="O59" t="s">
        <v>6491</v>
      </c>
      <c r="P59" t="s">
        <v>6524</v>
      </c>
      <c r="Q59" t="s">
        <v>6531</v>
      </c>
      <c r="R59" t="s">
        <v>6539</v>
      </c>
      <c r="S59" t="s">
        <v>5357</v>
      </c>
      <c r="U59" t="s">
        <v>6557</v>
      </c>
      <c r="V59" t="s">
        <v>6567</v>
      </c>
      <c r="W59" t="s">
        <v>285</v>
      </c>
      <c r="X59">
        <v>1750</v>
      </c>
      <c r="Y59" t="s">
        <v>6604</v>
      </c>
      <c r="Z59" t="s">
        <v>6615</v>
      </c>
      <c r="AA59" t="s">
        <v>6631</v>
      </c>
      <c r="AB59" t="s">
        <v>6714</v>
      </c>
      <c r="AD59" t="s">
        <v>9149</v>
      </c>
      <c r="AE59">
        <v>2</v>
      </c>
      <c r="AF59" t="s">
        <v>11004</v>
      </c>
      <c r="AG59" t="s">
        <v>5406</v>
      </c>
      <c r="AH59">
        <v>3</v>
      </c>
      <c r="AI59">
        <v>5</v>
      </c>
      <c r="AJ59">
        <v>2</v>
      </c>
      <c r="AK59">
        <v>40.99</v>
      </c>
      <c r="AN59" t="s">
        <v>11050</v>
      </c>
      <c r="AO59">
        <v>15600</v>
      </c>
      <c r="AU59">
        <v>2.2</v>
      </c>
      <c r="AV59" t="s">
        <v>820</v>
      </c>
      <c r="AW59" t="s">
        <v>11506</v>
      </c>
    </row>
    <row r="60" spans="1:49">
      <c r="A60" s="1">
        <f>HYPERLINK("https://cms.ls-nyc.org/matter/dynamic-profile/view/1857058","18-1857058")</f>
        <v>0</v>
      </c>
      <c r="B60" t="s">
        <v>84</v>
      </c>
      <c r="C60" t="s">
        <v>234</v>
      </c>
      <c r="D60" t="s">
        <v>286</v>
      </c>
      <c r="E60" t="s">
        <v>692</v>
      </c>
      <c r="F60" t="s">
        <v>895</v>
      </c>
      <c r="G60" t="s">
        <v>2152</v>
      </c>
      <c r="H60" t="s">
        <v>3483</v>
      </c>
      <c r="I60" t="s">
        <v>4772</v>
      </c>
      <c r="J60" t="s">
        <v>5320</v>
      </c>
      <c r="K60">
        <v>11233</v>
      </c>
      <c r="L60" t="s">
        <v>5357</v>
      </c>
      <c r="M60" t="s">
        <v>5356</v>
      </c>
      <c r="N60" t="s">
        <v>5390</v>
      </c>
      <c r="O60" t="s">
        <v>6494</v>
      </c>
      <c r="P60" t="s">
        <v>6524</v>
      </c>
      <c r="Q60" t="s">
        <v>6531</v>
      </c>
      <c r="R60" t="s">
        <v>6539</v>
      </c>
      <c r="U60" t="s">
        <v>6557</v>
      </c>
      <c r="W60" t="s">
        <v>433</v>
      </c>
      <c r="X60">
        <v>638</v>
      </c>
      <c r="Y60" t="s">
        <v>6605</v>
      </c>
      <c r="Z60" t="s">
        <v>6619</v>
      </c>
      <c r="AA60" t="s">
        <v>6631</v>
      </c>
      <c r="AB60" t="s">
        <v>6715</v>
      </c>
      <c r="AD60" t="s">
        <v>9150</v>
      </c>
      <c r="AE60">
        <v>8</v>
      </c>
      <c r="AF60" t="s">
        <v>11005</v>
      </c>
      <c r="AG60" t="s">
        <v>11020</v>
      </c>
      <c r="AH60">
        <v>18</v>
      </c>
      <c r="AI60">
        <v>1</v>
      </c>
      <c r="AJ60">
        <v>2</v>
      </c>
      <c r="AK60">
        <v>41.14</v>
      </c>
      <c r="AN60" t="s">
        <v>11050</v>
      </c>
      <c r="AO60">
        <v>8400</v>
      </c>
      <c r="AU60">
        <v>1.6</v>
      </c>
      <c r="AV60" t="s">
        <v>433</v>
      </c>
      <c r="AW60" t="s">
        <v>11493</v>
      </c>
    </row>
    <row r="61" spans="1:49">
      <c r="A61" s="1">
        <f>HYPERLINK("https://cms.ls-nyc.org/matter/dynamic-profile/view/1871209","18-1871209")</f>
        <v>0</v>
      </c>
      <c r="B61" t="s">
        <v>90</v>
      </c>
      <c r="C61" t="s">
        <v>234</v>
      </c>
      <c r="D61" t="s">
        <v>287</v>
      </c>
      <c r="E61" t="s">
        <v>445</v>
      </c>
      <c r="F61" t="s">
        <v>896</v>
      </c>
      <c r="G61" t="s">
        <v>2153</v>
      </c>
      <c r="H61" t="s">
        <v>3484</v>
      </c>
      <c r="I61" t="s">
        <v>4772</v>
      </c>
      <c r="J61" t="s">
        <v>5321</v>
      </c>
      <c r="K61">
        <v>10462</v>
      </c>
      <c r="L61" t="s">
        <v>5355</v>
      </c>
      <c r="M61" t="s">
        <v>5356</v>
      </c>
      <c r="O61" t="s">
        <v>6496</v>
      </c>
      <c r="P61" t="s">
        <v>6524</v>
      </c>
      <c r="Q61" t="s">
        <v>6531</v>
      </c>
      <c r="R61" t="s">
        <v>6539</v>
      </c>
      <c r="S61" t="s">
        <v>5357</v>
      </c>
      <c r="U61" t="s">
        <v>6557</v>
      </c>
      <c r="W61" t="s">
        <v>516</v>
      </c>
      <c r="X61">
        <v>0</v>
      </c>
      <c r="Y61" t="s">
        <v>6606</v>
      </c>
      <c r="Z61" t="s">
        <v>6616</v>
      </c>
      <c r="AA61" t="s">
        <v>6631</v>
      </c>
      <c r="AB61" t="s">
        <v>6716</v>
      </c>
      <c r="AE61">
        <v>0</v>
      </c>
      <c r="AF61" t="s">
        <v>11009</v>
      </c>
      <c r="AH61">
        <v>0</v>
      </c>
      <c r="AI61">
        <v>3</v>
      </c>
      <c r="AJ61">
        <v>0</v>
      </c>
      <c r="AK61">
        <v>41.46</v>
      </c>
      <c r="AN61" t="s">
        <v>11049</v>
      </c>
      <c r="AO61">
        <v>8616</v>
      </c>
      <c r="AU61">
        <v>0.2</v>
      </c>
      <c r="AV61" t="s">
        <v>445</v>
      </c>
      <c r="AW61" t="s">
        <v>90</v>
      </c>
    </row>
    <row r="62" spans="1:49">
      <c r="A62" s="1">
        <f>HYPERLINK("https://cms.ls-nyc.org/matter/dynamic-profile/view/1856404","18-1856404")</f>
        <v>0</v>
      </c>
      <c r="B62" t="s">
        <v>91</v>
      </c>
      <c r="C62" t="s">
        <v>234</v>
      </c>
      <c r="D62" t="s">
        <v>261</v>
      </c>
      <c r="E62" t="s">
        <v>693</v>
      </c>
      <c r="F62" t="s">
        <v>897</v>
      </c>
      <c r="G62" t="s">
        <v>2154</v>
      </c>
      <c r="H62" t="s">
        <v>3485</v>
      </c>
      <c r="I62" t="s">
        <v>4773</v>
      </c>
      <c r="J62" t="s">
        <v>5323</v>
      </c>
      <c r="K62">
        <v>10031</v>
      </c>
      <c r="L62" t="s">
        <v>5355</v>
      </c>
      <c r="M62" t="s">
        <v>5356</v>
      </c>
      <c r="N62" t="s">
        <v>5391</v>
      </c>
      <c r="O62" t="s">
        <v>6491</v>
      </c>
      <c r="P62" t="s">
        <v>6524</v>
      </c>
      <c r="Q62" t="s">
        <v>6531</v>
      </c>
      <c r="R62" t="s">
        <v>6539</v>
      </c>
      <c r="S62" t="s">
        <v>5357</v>
      </c>
      <c r="T62" t="s">
        <v>6542</v>
      </c>
      <c r="U62" t="s">
        <v>6557</v>
      </c>
      <c r="W62" t="s">
        <v>236</v>
      </c>
      <c r="X62">
        <v>1700</v>
      </c>
      <c r="Y62" t="s">
        <v>6608</v>
      </c>
      <c r="Z62" t="s">
        <v>6615</v>
      </c>
      <c r="AA62" t="s">
        <v>6631</v>
      </c>
      <c r="AB62" t="s">
        <v>6717</v>
      </c>
      <c r="AD62" t="s">
        <v>9151</v>
      </c>
      <c r="AE62">
        <v>63</v>
      </c>
      <c r="AF62" t="s">
        <v>11005</v>
      </c>
      <c r="AG62" t="s">
        <v>5406</v>
      </c>
      <c r="AH62">
        <v>3</v>
      </c>
      <c r="AI62">
        <v>1</v>
      </c>
      <c r="AJ62">
        <v>0</v>
      </c>
      <c r="AK62">
        <v>41.46</v>
      </c>
      <c r="AN62" t="s">
        <v>11050</v>
      </c>
      <c r="AO62">
        <v>5000</v>
      </c>
      <c r="AU62">
        <v>3.95</v>
      </c>
      <c r="AV62" t="s">
        <v>288</v>
      </c>
      <c r="AW62" t="s">
        <v>11494</v>
      </c>
    </row>
    <row r="63" spans="1:49">
      <c r="A63" s="1">
        <f>HYPERLINK("https://cms.ls-nyc.org/matter/dynamic-profile/view/1863819","18-1863819")</f>
        <v>0</v>
      </c>
      <c r="B63" t="s">
        <v>52</v>
      </c>
      <c r="C63" t="s">
        <v>234</v>
      </c>
      <c r="D63" t="s">
        <v>288</v>
      </c>
      <c r="E63" t="s">
        <v>694</v>
      </c>
      <c r="F63" t="s">
        <v>898</v>
      </c>
      <c r="G63" t="s">
        <v>2155</v>
      </c>
      <c r="H63" t="s">
        <v>3486</v>
      </c>
      <c r="I63" t="s">
        <v>4774</v>
      </c>
      <c r="J63" t="s">
        <v>5324</v>
      </c>
      <c r="K63">
        <v>11355</v>
      </c>
      <c r="L63" t="s">
        <v>5355</v>
      </c>
      <c r="M63" t="s">
        <v>5355</v>
      </c>
      <c r="N63" t="s">
        <v>5392</v>
      </c>
      <c r="O63" t="s">
        <v>5393</v>
      </c>
      <c r="P63" t="s">
        <v>6524</v>
      </c>
      <c r="Q63" t="s">
        <v>6531</v>
      </c>
      <c r="R63" t="s">
        <v>6539</v>
      </c>
      <c r="S63" t="s">
        <v>5357</v>
      </c>
      <c r="U63" t="s">
        <v>6557</v>
      </c>
      <c r="V63" t="s">
        <v>6566</v>
      </c>
      <c r="W63" t="s">
        <v>288</v>
      </c>
      <c r="X63">
        <v>1250</v>
      </c>
      <c r="Y63" t="s">
        <v>6604</v>
      </c>
      <c r="Z63" t="s">
        <v>6620</v>
      </c>
      <c r="AA63" t="s">
        <v>6631</v>
      </c>
      <c r="AB63" t="s">
        <v>6718</v>
      </c>
      <c r="AD63" t="s">
        <v>9152</v>
      </c>
      <c r="AE63">
        <v>180</v>
      </c>
      <c r="AF63" t="s">
        <v>11005</v>
      </c>
      <c r="AG63" t="s">
        <v>5406</v>
      </c>
      <c r="AH63">
        <v>17</v>
      </c>
      <c r="AI63">
        <v>2</v>
      </c>
      <c r="AJ63">
        <v>0</v>
      </c>
      <c r="AK63">
        <v>41.56</v>
      </c>
      <c r="AN63" t="s">
        <v>11052</v>
      </c>
      <c r="AO63">
        <v>6840</v>
      </c>
      <c r="AU63">
        <v>2.82</v>
      </c>
      <c r="AV63" t="s">
        <v>694</v>
      </c>
      <c r="AW63" t="s">
        <v>52</v>
      </c>
    </row>
    <row r="64" spans="1:49">
      <c r="A64" s="1">
        <f>HYPERLINK("https://cms.ls-nyc.org/matter/dynamic-profile/view/1853250","17-1853250")</f>
        <v>0</v>
      </c>
      <c r="B64" t="s">
        <v>56</v>
      </c>
      <c r="C64" t="s">
        <v>234</v>
      </c>
      <c r="D64" t="s">
        <v>289</v>
      </c>
      <c r="E64" t="s">
        <v>665</v>
      </c>
      <c r="F64" t="s">
        <v>899</v>
      </c>
      <c r="G64" t="s">
        <v>2156</v>
      </c>
      <c r="H64" t="s">
        <v>3444</v>
      </c>
      <c r="I64" t="s">
        <v>4775</v>
      </c>
      <c r="J64" t="s">
        <v>5321</v>
      </c>
      <c r="K64">
        <v>10452</v>
      </c>
      <c r="L64" t="s">
        <v>5355</v>
      </c>
      <c r="M64" t="s">
        <v>5356</v>
      </c>
      <c r="O64" t="s">
        <v>5393</v>
      </c>
      <c r="P64" t="s">
        <v>6524</v>
      </c>
      <c r="Q64" t="s">
        <v>6531</v>
      </c>
      <c r="R64" t="s">
        <v>6539</v>
      </c>
      <c r="S64" t="s">
        <v>5357</v>
      </c>
      <c r="U64" t="s">
        <v>6557</v>
      </c>
      <c r="W64" t="s">
        <v>424</v>
      </c>
      <c r="X64">
        <v>0</v>
      </c>
      <c r="Y64" t="s">
        <v>6606</v>
      </c>
      <c r="Z64" t="s">
        <v>6493</v>
      </c>
      <c r="AA64" t="s">
        <v>6631</v>
      </c>
      <c r="AB64" t="s">
        <v>6719</v>
      </c>
      <c r="AD64" t="s">
        <v>9153</v>
      </c>
      <c r="AE64">
        <v>48</v>
      </c>
      <c r="AF64" t="s">
        <v>11005</v>
      </c>
      <c r="AG64" t="s">
        <v>5406</v>
      </c>
      <c r="AH64">
        <v>0</v>
      </c>
      <c r="AI64">
        <v>1</v>
      </c>
      <c r="AJ64">
        <v>0</v>
      </c>
      <c r="AK64">
        <v>43.48</v>
      </c>
      <c r="AN64" t="s">
        <v>11050</v>
      </c>
      <c r="AO64">
        <v>5244</v>
      </c>
      <c r="AU64">
        <v>1</v>
      </c>
      <c r="AV64" t="s">
        <v>289</v>
      </c>
      <c r="AW64" t="s">
        <v>11509</v>
      </c>
    </row>
    <row r="65" spans="1:49">
      <c r="A65" s="1">
        <f>HYPERLINK("https://cms.ls-nyc.org/matter/dynamic-profile/view/1857421","18-1857421")</f>
        <v>0</v>
      </c>
      <c r="B65" t="s">
        <v>63</v>
      </c>
      <c r="C65" t="s">
        <v>235</v>
      </c>
      <c r="D65" t="s">
        <v>262</v>
      </c>
      <c r="F65" t="s">
        <v>900</v>
      </c>
      <c r="G65" t="s">
        <v>1739</v>
      </c>
      <c r="H65" t="s">
        <v>3487</v>
      </c>
      <c r="I65">
        <v>2</v>
      </c>
      <c r="J65" t="s">
        <v>5322</v>
      </c>
      <c r="K65">
        <v>10304</v>
      </c>
      <c r="L65" t="s">
        <v>5357</v>
      </c>
      <c r="M65" t="s">
        <v>5357</v>
      </c>
      <c r="N65" t="s">
        <v>5393</v>
      </c>
      <c r="O65" t="s">
        <v>5393</v>
      </c>
      <c r="P65" t="s">
        <v>6524</v>
      </c>
      <c r="R65" t="s">
        <v>6539</v>
      </c>
      <c r="S65" t="s">
        <v>5357</v>
      </c>
      <c r="U65" t="s">
        <v>6557</v>
      </c>
      <c r="V65" t="s">
        <v>6566</v>
      </c>
      <c r="W65" t="s">
        <v>262</v>
      </c>
      <c r="X65">
        <v>0</v>
      </c>
      <c r="Y65" t="s">
        <v>6607</v>
      </c>
      <c r="Z65" t="s">
        <v>6621</v>
      </c>
      <c r="AB65" t="s">
        <v>6720</v>
      </c>
      <c r="AD65" t="s">
        <v>9154</v>
      </c>
      <c r="AE65">
        <v>0</v>
      </c>
      <c r="AF65" t="s">
        <v>11004</v>
      </c>
      <c r="AG65" t="s">
        <v>11020</v>
      </c>
      <c r="AH65">
        <v>7</v>
      </c>
      <c r="AI65">
        <v>3</v>
      </c>
      <c r="AJ65">
        <v>3</v>
      </c>
      <c r="AK65">
        <v>43.69</v>
      </c>
      <c r="AN65" t="s">
        <v>11050</v>
      </c>
      <c r="AO65">
        <v>14400</v>
      </c>
      <c r="AU65">
        <v>1.8</v>
      </c>
      <c r="AV65" t="s">
        <v>684</v>
      </c>
      <c r="AW65" t="s">
        <v>11510</v>
      </c>
    </row>
    <row r="66" spans="1:49">
      <c r="A66" s="1">
        <f>HYPERLINK("https://cms.ls-nyc.org/matter/dynamic-profile/view/1856159","18-1856159")</f>
        <v>0</v>
      </c>
      <c r="B66" t="s">
        <v>58</v>
      </c>
      <c r="C66" t="s">
        <v>234</v>
      </c>
      <c r="D66" t="s">
        <v>290</v>
      </c>
      <c r="E66" t="s">
        <v>665</v>
      </c>
      <c r="F66" t="s">
        <v>901</v>
      </c>
      <c r="G66" t="s">
        <v>2157</v>
      </c>
      <c r="H66" t="s">
        <v>3488</v>
      </c>
      <c r="I66">
        <v>21</v>
      </c>
      <c r="J66" t="s">
        <v>5321</v>
      </c>
      <c r="K66">
        <v>10460</v>
      </c>
      <c r="L66" t="s">
        <v>5355</v>
      </c>
      <c r="M66" t="s">
        <v>5356</v>
      </c>
      <c r="O66" t="s">
        <v>6491</v>
      </c>
      <c r="P66" t="s">
        <v>6524</v>
      </c>
      <c r="Q66" t="s">
        <v>6531</v>
      </c>
      <c r="R66" t="s">
        <v>6539</v>
      </c>
      <c r="S66" t="s">
        <v>5357</v>
      </c>
      <c r="U66" t="s">
        <v>6557</v>
      </c>
      <c r="W66" t="s">
        <v>319</v>
      </c>
      <c r="X66">
        <v>820</v>
      </c>
      <c r="Y66" t="s">
        <v>6606</v>
      </c>
      <c r="Z66" t="s">
        <v>6619</v>
      </c>
      <c r="AA66" t="s">
        <v>6631</v>
      </c>
      <c r="AB66" t="s">
        <v>6721</v>
      </c>
      <c r="AC66" t="s">
        <v>8713</v>
      </c>
      <c r="AD66" t="s">
        <v>9155</v>
      </c>
      <c r="AE66">
        <v>54</v>
      </c>
      <c r="AH66">
        <v>45</v>
      </c>
      <c r="AI66">
        <v>2</v>
      </c>
      <c r="AJ66">
        <v>1</v>
      </c>
      <c r="AK66">
        <v>44.07</v>
      </c>
      <c r="AN66" t="s">
        <v>11050</v>
      </c>
      <c r="AO66">
        <v>9000</v>
      </c>
      <c r="AU66">
        <v>1.3</v>
      </c>
      <c r="AV66" t="s">
        <v>665</v>
      </c>
      <c r="AW66" t="s">
        <v>11511</v>
      </c>
    </row>
    <row r="67" spans="1:49">
      <c r="A67" s="1">
        <f>HYPERLINK("https://cms.ls-nyc.org/matter/dynamic-profile/view/1859917","18-1859917")</f>
        <v>0</v>
      </c>
      <c r="B67" t="s">
        <v>84</v>
      </c>
      <c r="C67" t="s">
        <v>235</v>
      </c>
      <c r="D67" t="s">
        <v>291</v>
      </c>
      <c r="F67" t="s">
        <v>902</v>
      </c>
      <c r="G67" t="s">
        <v>2158</v>
      </c>
      <c r="H67" t="s">
        <v>3489</v>
      </c>
      <c r="I67" t="s">
        <v>4776</v>
      </c>
      <c r="J67" t="s">
        <v>5320</v>
      </c>
      <c r="K67">
        <v>11205</v>
      </c>
      <c r="L67" t="s">
        <v>5357</v>
      </c>
      <c r="M67" t="s">
        <v>5356</v>
      </c>
      <c r="O67" t="s">
        <v>6494</v>
      </c>
      <c r="P67" t="s">
        <v>6524</v>
      </c>
      <c r="R67" t="s">
        <v>6539</v>
      </c>
      <c r="U67" t="s">
        <v>6557</v>
      </c>
      <c r="W67" t="s">
        <v>262</v>
      </c>
      <c r="X67">
        <v>0</v>
      </c>
      <c r="Y67" t="s">
        <v>6605</v>
      </c>
      <c r="AB67" t="s">
        <v>6722</v>
      </c>
      <c r="AD67" t="s">
        <v>9156</v>
      </c>
      <c r="AE67">
        <v>0</v>
      </c>
      <c r="AH67">
        <v>0</v>
      </c>
      <c r="AI67">
        <v>1</v>
      </c>
      <c r="AJ67">
        <v>0</v>
      </c>
      <c r="AK67">
        <v>44.78</v>
      </c>
      <c r="AN67" t="s">
        <v>11050</v>
      </c>
      <c r="AO67">
        <v>5400</v>
      </c>
      <c r="AU67">
        <v>1</v>
      </c>
      <c r="AV67" t="s">
        <v>291</v>
      </c>
      <c r="AW67" t="s">
        <v>11511</v>
      </c>
    </row>
    <row r="68" spans="1:49">
      <c r="A68" s="1">
        <f>HYPERLINK("https://cms.ls-nyc.org/matter/dynamic-profile/view/1850901","17-1850901")</f>
        <v>0</v>
      </c>
      <c r="B68" t="s">
        <v>92</v>
      </c>
      <c r="C68" t="s">
        <v>234</v>
      </c>
      <c r="D68" t="s">
        <v>292</v>
      </c>
      <c r="E68" t="s">
        <v>695</v>
      </c>
      <c r="F68" t="s">
        <v>903</v>
      </c>
      <c r="G68" t="s">
        <v>2159</v>
      </c>
      <c r="H68" t="s">
        <v>3490</v>
      </c>
      <c r="I68" t="s">
        <v>4777</v>
      </c>
      <c r="J68" t="s">
        <v>5323</v>
      </c>
      <c r="K68">
        <v>10034</v>
      </c>
      <c r="L68" t="s">
        <v>5355</v>
      </c>
      <c r="M68" t="s">
        <v>5356</v>
      </c>
      <c r="N68" t="s">
        <v>5394</v>
      </c>
      <c r="O68" t="s">
        <v>6492</v>
      </c>
      <c r="P68" t="s">
        <v>6524</v>
      </c>
      <c r="Q68" t="s">
        <v>6531</v>
      </c>
      <c r="R68" t="s">
        <v>6539</v>
      </c>
      <c r="S68" t="s">
        <v>5357</v>
      </c>
      <c r="U68" t="s">
        <v>6557</v>
      </c>
      <c r="W68" t="s">
        <v>292</v>
      </c>
      <c r="X68">
        <v>894</v>
      </c>
      <c r="Y68" t="s">
        <v>6608</v>
      </c>
      <c r="Z68" t="s">
        <v>6616</v>
      </c>
      <c r="AA68" t="s">
        <v>6631</v>
      </c>
      <c r="AB68" t="s">
        <v>6723</v>
      </c>
      <c r="AD68" t="s">
        <v>9157</v>
      </c>
      <c r="AE68">
        <v>46</v>
      </c>
      <c r="AF68" t="s">
        <v>11005</v>
      </c>
      <c r="AG68" t="s">
        <v>5406</v>
      </c>
      <c r="AH68">
        <v>18</v>
      </c>
      <c r="AI68">
        <v>2</v>
      </c>
      <c r="AJ68">
        <v>0</v>
      </c>
      <c r="AK68">
        <v>44.83</v>
      </c>
      <c r="AN68" t="s">
        <v>11049</v>
      </c>
      <c r="AO68">
        <v>7280</v>
      </c>
      <c r="AU68">
        <v>2.25</v>
      </c>
      <c r="AV68" t="s">
        <v>296</v>
      </c>
      <c r="AW68" t="s">
        <v>11495</v>
      </c>
    </row>
    <row r="69" spans="1:49">
      <c r="A69" s="1">
        <f>HYPERLINK("https://cms.ls-nyc.org/matter/dynamic-profile/view/1864546","18-1864546")</f>
        <v>0</v>
      </c>
      <c r="B69" t="s">
        <v>91</v>
      </c>
      <c r="C69" t="s">
        <v>234</v>
      </c>
      <c r="D69" t="s">
        <v>256</v>
      </c>
      <c r="E69" t="s">
        <v>680</v>
      </c>
      <c r="F69" t="s">
        <v>904</v>
      </c>
      <c r="G69" t="s">
        <v>2160</v>
      </c>
      <c r="H69" t="s">
        <v>3491</v>
      </c>
      <c r="I69">
        <v>14</v>
      </c>
      <c r="J69" t="s">
        <v>5323</v>
      </c>
      <c r="K69">
        <v>10002</v>
      </c>
      <c r="L69" t="s">
        <v>5355</v>
      </c>
      <c r="M69" t="s">
        <v>5356</v>
      </c>
      <c r="N69" t="s">
        <v>5395</v>
      </c>
      <c r="O69" t="s">
        <v>6492</v>
      </c>
      <c r="P69" t="s">
        <v>6524</v>
      </c>
      <c r="Q69" t="s">
        <v>6531</v>
      </c>
      <c r="R69" t="s">
        <v>6539</v>
      </c>
      <c r="S69" t="s">
        <v>5357</v>
      </c>
      <c r="T69" t="s">
        <v>6542</v>
      </c>
      <c r="U69" t="s">
        <v>6557</v>
      </c>
      <c r="W69" t="s">
        <v>256</v>
      </c>
      <c r="X69">
        <v>1553.99</v>
      </c>
      <c r="Y69" t="s">
        <v>6608</v>
      </c>
      <c r="Z69" t="s">
        <v>6622</v>
      </c>
      <c r="AA69" t="s">
        <v>6631</v>
      </c>
      <c r="AB69" t="s">
        <v>6724</v>
      </c>
      <c r="AD69" t="s">
        <v>9158</v>
      </c>
      <c r="AE69">
        <v>15</v>
      </c>
      <c r="AF69" t="s">
        <v>11005</v>
      </c>
      <c r="AG69" t="s">
        <v>5406</v>
      </c>
      <c r="AH69">
        <v>9</v>
      </c>
      <c r="AI69">
        <v>3</v>
      </c>
      <c r="AJ69">
        <v>0</v>
      </c>
      <c r="AK69">
        <v>46.03</v>
      </c>
      <c r="AN69" t="s">
        <v>11051</v>
      </c>
      <c r="AO69">
        <v>9564</v>
      </c>
      <c r="AU69">
        <v>0.6</v>
      </c>
      <c r="AV69" t="s">
        <v>254</v>
      </c>
      <c r="AW69" t="s">
        <v>11494</v>
      </c>
    </row>
    <row r="70" spans="1:49">
      <c r="A70" s="1">
        <f>HYPERLINK("https://cms.ls-nyc.org/matter/dynamic-profile/view/1862954","18-1862954")</f>
        <v>0</v>
      </c>
      <c r="B70" t="s">
        <v>90</v>
      </c>
      <c r="C70" t="s">
        <v>234</v>
      </c>
      <c r="D70" t="s">
        <v>293</v>
      </c>
      <c r="E70" t="s">
        <v>665</v>
      </c>
      <c r="F70" t="s">
        <v>905</v>
      </c>
      <c r="G70" t="s">
        <v>2107</v>
      </c>
      <c r="H70" t="s">
        <v>3492</v>
      </c>
      <c r="I70" t="s">
        <v>4778</v>
      </c>
      <c r="J70" t="s">
        <v>5321</v>
      </c>
      <c r="K70">
        <v>10452</v>
      </c>
      <c r="L70" t="s">
        <v>5355</v>
      </c>
      <c r="M70" t="s">
        <v>5355</v>
      </c>
      <c r="N70" t="s">
        <v>5396</v>
      </c>
      <c r="O70" t="s">
        <v>6491</v>
      </c>
      <c r="P70" t="s">
        <v>6524</v>
      </c>
      <c r="Q70" t="s">
        <v>6531</v>
      </c>
      <c r="R70" t="s">
        <v>6539</v>
      </c>
      <c r="S70" t="s">
        <v>5357</v>
      </c>
      <c r="U70" t="s">
        <v>6557</v>
      </c>
      <c r="W70" t="s">
        <v>293</v>
      </c>
      <c r="X70">
        <v>1000</v>
      </c>
      <c r="Y70" t="s">
        <v>6606</v>
      </c>
      <c r="Z70" t="s">
        <v>6621</v>
      </c>
      <c r="AA70" t="s">
        <v>6631</v>
      </c>
      <c r="AB70" t="s">
        <v>6725</v>
      </c>
      <c r="AD70" t="s">
        <v>9159</v>
      </c>
      <c r="AE70">
        <v>3</v>
      </c>
      <c r="AF70" t="s">
        <v>11004</v>
      </c>
      <c r="AH70">
        <v>4</v>
      </c>
      <c r="AI70">
        <v>1</v>
      </c>
      <c r="AJ70">
        <v>2</v>
      </c>
      <c r="AK70">
        <v>48.22</v>
      </c>
      <c r="AN70" t="s">
        <v>11050</v>
      </c>
      <c r="AO70">
        <v>10020</v>
      </c>
      <c r="AU70">
        <v>0.1</v>
      </c>
      <c r="AV70" t="s">
        <v>665</v>
      </c>
      <c r="AW70" t="s">
        <v>11492</v>
      </c>
    </row>
    <row r="71" spans="1:49">
      <c r="A71" s="1">
        <f>HYPERLINK("https://cms.ls-nyc.org/matter/dynamic-profile/view/1852394","17-1852394")</f>
        <v>0</v>
      </c>
      <c r="B71" t="s">
        <v>93</v>
      </c>
      <c r="C71" t="s">
        <v>235</v>
      </c>
      <c r="D71" t="s">
        <v>294</v>
      </c>
      <c r="F71" t="s">
        <v>906</v>
      </c>
      <c r="G71" t="s">
        <v>2161</v>
      </c>
      <c r="H71" t="s">
        <v>3493</v>
      </c>
      <c r="J71" t="s">
        <v>5324</v>
      </c>
      <c r="K71">
        <v>11355</v>
      </c>
      <c r="L71" t="s">
        <v>5355</v>
      </c>
      <c r="M71" t="s">
        <v>5356</v>
      </c>
      <c r="N71" t="s">
        <v>5392</v>
      </c>
      <c r="O71" t="s">
        <v>6493</v>
      </c>
      <c r="P71" t="s">
        <v>6524</v>
      </c>
      <c r="R71" t="s">
        <v>6539</v>
      </c>
      <c r="S71" t="s">
        <v>5357</v>
      </c>
      <c r="U71" t="s">
        <v>6557</v>
      </c>
      <c r="W71" t="s">
        <v>294</v>
      </c>
      <c r="X71">
        <v>2100</v>
      </c>
      <c r="Y71" t="s">
        <v>6604</v>
      </c>
      <c r="Z71" t="s">
        <v>6620</v>
      </c>
      <c r="AB71" t="s">
        <v>6726</v>
      </c>
      <c r="AD71" t="s">
        <v>9160</v>
      </c>
      <c r="AE71">
        <v>1</v>
      </c>
      <c r="AF71" t="s">
        <v>11004</v>
      </c>
      <c r="AG71" t="s">
        <v>5406</v>
      </c>
      <c r="AH71">
        <v>7</v>
      </c>
      <c r="AI71">
        <v>2</v>
      </c>
      <c r="AJ71">
        <v>0</v>
      </c>
      <c r="AK71">
        <v>49.26</v>
      </c>
      <c r="AN71" t="s">
        <v>11053</v>
      </c>
      <c r="AO71">
        <v>8000</v>
      </c>
      <c r="AU71">
        <v>1.85</v>
      </c>
      <c r="AV71" t="s">
        <v>362</v>
      </c>
      <c r="AW71" t="s">
        <v>81</v>
      </c>
    </row>
    <row r="72" spans="1:49">
      <c r="A72" s="1">
        <f>HYPERLINK("https://cms.ls-nyc.org/matter/dynamic-profile/view/1889690","19-1889690")</f>
        <v>0</v>
      </c>
      <c r="B72" t="s">
        <v>84</v>
      </c>
      <c r="C72" t="s">
        <v>234</v>
      </c>
      <c r="D72" t="s">
        <v>295</v>
      </c>
      <c r="E72" t="s">
        <v>664</v>
      </c>
      <c r="F72" t="s">
        <v>907</v>
      </c>
      <c r="G72" t="s">
        <v>2162</v>
      </c>
      <c r="H72" t="s">
        <v>3494</v>
      </c>
      <c r="I72" t="s">
        <v>4734</v>
      </c>
      <c r="J72" t="s">
        <v>5320</v>
      </c>
      <c r="K72">
        <v>11233</v>
      </c>
      <c r="L72" t="s">
        <v>5355</v>
      </c>
      <c r="M72" t="s">
        <v>5355</v>
      </c>
      <c r="N72" t="s">
        <v>5397</v>
      </c>
      <c r="O72" t="s">
        <v>6491</v>
      </c>
      <c r="P72" t="s">
        <v>6524</v>
      </c>
      <c r="Q72" t="s">
        <v>6531</v>
      </c>
      <c r="R72" t="s">
        <v>6539</v>
      </c>
      <c r="S72" t="s">
        <v>5357</v>
      </c>
      <c r="U72" t="s">
        <v>6557</v>
      </c>
      <c r="V72" t="s">
        <v>6566</v>
      </c>
      <c r="W72" t="s">
        <v>236</v>
      </c>
      <c r="X72">
        <v>1340</v>
      </c>
      <c r="Y72" t="s">
        <v>6605</v>
      </c>
      <c r="Z72" t="s">
        <v>6623</v>
      </c>
      <c r="AA72" t="s">
        <v>6631</v>
      </c>
      <c r="AB72" t="s">
        <v>6727</v>
      </c>
      <c r="AC72" t="s">
        <v>8714</v>
      </c>
      <c r="AD72" t="s">
        <v>9161</v>
      </c>
      <c r="AE72">
        <v>9</v>
      </c>
      <c r="AF72" t="s">
        <v>11005</v>
      </c>
      <c r="AG72" t="s">
        <v>5406</v>
      </c>
      <c r="AH72">
        <v>13</v>
      </c>
      <c r="AI72">
        <v>2</v>
      </c>
      <c r="AJ72">
        <v>1</v>
      </c>
      <c r="AK72">
        <v>49.4</v>
      </c>
      <c r="AN72" t="s">
        <v>11050</v>
      </c>
      <c r="AO72">
        <v>10536</v>
      </c>
      <c r="AP72" t="s">
        <v>11074</v>
      </c>
      <c r="AU72">
        <v>2.3</v>
      </c>
      <c r="AV72" t="s">
        <v>11434</v>
      </c>
      <c r="AW72" t="s">
        <v>11512</v>
      </c>
    </row>
    <row r="73" spans="1:49">
      <c r="A73" s="1">
        <f>HYPERLINK("https://cms.ls-nyc.org/matter/dynamic-profile/view/1863243","18-1863243")</f>
        <v>0</v>
      </c>
      <c r="B73" t="s">
        <v>84</v>
      </c>
      <c r="C73" t="s">
        <v>235</v>
      </c>
      <c r="D73" t="s">
        <v>257</v>
      </c>
      <c r="F73" t="s">
        <v>908</v>
      </c>
      <c r="G73" t="s">
        <v>2163</v>
      </c>
      <c r="H73" t="s">
        <v>3495</v>
      </c>
      <c r="I73">
        <v>1</v>
      </c>
      <c r="J73" t="s">
        <v>5320</v>
      </c>
      <c r="K73">
        <v>11237</v>
      </c>
      <c r="L73" t="s">
        <v>5355</v>
      </c>
      <c r="M73" t="s">
        <v>5356</v>
      </c>
      <c r="N73" t="s">
        <v>5398</v>
      </c>
      <c r="P73" t="s">
        <v>6524</v>
      </c>
      <c r="R73" t="s">
        <v>6539</v>
      </c>
      <c r="S73" t="s">
        <v>5357</v>
      </c>
      <c r="U73" t="s">
        <v>6557</v>
      </c>
      <c r="W73" t="s">
        <v>298</v>
      </c>
      <c r="X73">
        <v>900</v>
      </c>
      <c r="Y73" t="s">
        <v>6605</v>
      </c>
      <c r="Z73" t="s">
        <v>6611</v>
      </c>
      <c r="AB73" t="s">
        <v>6728</v>
      </c>
      <c r="AD73" t="s">
        <v>9162</v>
      </c>
      <c r="AE73">
        <v>6</v>
      </c>
      <c r="AH73">
        <v>40</v>
      </c>
      <c r="AI73">
        <v>1</v>
      </c>
      <c r="AJ73">
        <v>0</v>
      </c>
      <c r="AK73">
        <v>49.42</v>
      </c>
      <c r="AN73" t="s">
        <v>11049</v>
      </c>
      <c r="AO73">
        <v>6000</v>
      </c>
      <c r="AU73">
        <v>38.9</v>
      </c>
      <c r="AV73" t="s">
        <v>803</v>
      </c>
      <c r="AW73" t="s">
        <v>11487</v>
      </c>
    </row>
    <row r="74" spans="1:49">
      <c r="A74" s="1">
        <f>HYPERLINK("https://cms.ls-nyc.org/matter/dynamic-profile/view/1860933","18-1860933")</f>
        <v>0</v>
      </c>
      <c r="B74" t="s">
        <v>80</v>
      </c>
      <c r="C74" t="s">
        <v>234</v>
      </c>
      <c r="D74" t="s">
        <v>296</v>
      </c>
      <c r="E74" t="s">
        <v>652</v>
      </c>
      <c r="F74" t="s">
        <v>844</v>
      </c>
      <c r="G74" t="s">
        <v>2164</v>
      </c>
      <c r="H74" t="s">
        <v>3496</v>
      </c>
      <c r="I74" t="s">
        <v>4779</v>
      </c>
      <c r="J74" t="s">
        <v>5321</v>
      </c>
      <c r="K74">
        <v>10453</v>
      </c>
      <c r="L74" t="s">
        <v>5355</v>
      </c>
      <c r="M74" t="s">
        <v>5356</v>
      </c>
      <c r="N74" t="s">
        <v>5399</v>
      </c>
      <c r="O74" t="s">
        <v>6491</v>
      </c>
      <c r="P74" t="s">
        <v>6524</v>
      </c>
      <c r="Q74" t="s">
        <v>6531</v>
      </c>
      <c r="R74" t="s">
        <v>6539</v>
      </c>
      <c r="S74" t="s">
        <v>5357</v>
      </c>
      <c r="U74" t="s">
        <v>6557</v>
      </c>
      <c r="W74" t="s">
        <v>296</v>
      </c>
      <c r="X74">
        <v>1300</v>
      </c>
      <c r="Y74" t="s">
        <v>6606</v>
      </c>
      <c r="Z74" t="s">
        <v>6615</v>
      </c>
      <c r="AA74" t="s">
        <v>6631</v>
      </c>
      <c r="AB74" t="s">
        <v>6729</v>
      </c>
      <c r="AD74" t="s">
        <v>9163</v>
      </c>
      <c r="AE74">
        <v>1654</v>
      </c>
      <c r="AF74" t="s">
        <v>11005</v>
      </c>
      <c r="AG74" t="s">
        <v>5406</v>
      </c>
      <c r="AH74">
        <v>2</v>
      </c>
      <c r="AI74">
        <v>1</v>
      </c>
      <c r="AJ74">
        <v>2</v>
      </c>
      <c r="AK74">
        <v>50.05</v>
      </c>
      <c r="AN74" t="s">
        <v>11050</v>
      </c>
      <c r="AO74">
        <v>10400</v>
      </c>
      <c r="AU74">
        <v>6.44</v>
      </c>
      <c r="AV74" t="s">
        <v>652</v>
      </c>
      <c r="AW74" t="s">
        <v>11513</v>
      </c>
    </row>
    <row r="75" spans="1:49">
      <c r="A75" s="1">
        <f>HYPERLINK("https://cms.ls-nyc.org/matter/dynamic-profile/view/1855024","18-1855024")</f>
        <v>0</v>
      </c>
      <c r="B75" t="s">
        <v>51</v>
      </c>
      <c r="C75" t="s">
        <v>234</v>
      </c>
      <c r="D75" t="s">
        <v>269</v>
      </c>
      <c r="E75" t="s">
        <v>666</v>
      </c>
      <c r="F75" t="s">
        <v>909</v>
      </c>
      <c r="G75" t="s">
        <v>2165</v>
      </c>
      <c r="H75" t="s">
        <v>3497</v>
      </c>
      <c r="I75" t="s">
        <v>4780</v>
      </c>
      <c r="J75" t="s">
        <v>5329</v>
      </c>
      <c r="K75">
        <v>11366</v>
      </c>
      <c r="L75" t="s">
        <v>5355</v>
      </c>
      <c r="M75" t="s">
        <v>5356</v>
      </c>
      <c r="N75" t="s">
        <v>5392</v>
      </c>
      <c r="O75" t="s">
        <v>6495</v>
      </c>
      <c r="P75" t="s">
        <v>6524</v>
      </c>
      <c r="Q75" t="s">
        <v>6531</v>
      </c>
      <c r="R75" t="s">
        <v>6540</v>
      </c>
      <c r="S75" t="s">
        <v>5357</v>
      </c>
      <c r="U75" t="s">
        <v>6557</v>
      </c>
      <c r="W75" t="s">
        <v>269</v>
      </c>
      <c r="X75">
        <v>2000</v>
      </c>
      <c r="Y75" t="s">
        <v>6604</v>
      </c>
      <c r="Z75" t="s">
        <v>6610</v>
      </c>
      <c r="AA75" t="s">
        <v>6631</v>
      </c>
      <c r="AB75" t="s">
        <v>6730</v>
      </c>
      <c r="AC75" t="s">
        <v>5392</v>
      </c>
      <c r="AD75" t="s">
        <v>9164</v>
      </c>
      <c r="AE75">
        <v>3</v>
      </c>
      <c r="AF75" t="s">
        <v>11004</v>
      </c>
      <c r="AG75" t="s">
        <v>5406</v>
      </c>
      <c r="AH75">
        <v>6</v>
      </c>
      <c r="AI75">
        <v>1</v>
      </c>
      <c r="AJ75">
        <v>1</v>
      </c>
      <c r="AK75">
        <v>50.21</v>
      </c>
      <c r="AL75" t="s">
        <v>11028</v>
      </c>
      <c r="AN75" t="s">
        <v>11054</v>
      </c>
      <c r="AO75">
        <v>8154</v>
      </c>
      <c r="AU75">
        <v>1.1</v>
      </c>
      <c r="AV75" t="s">
        <v>269</v>
      </c>
      <c r="AW75" t="s">
        <v>51</v>
      </c>
    </row>
    <row r="76" spans="1:49">
      <c r="A76" s="1">
        <f>HYPERLINK("https://cms.ls-nyc.org/matter/dynamic-profile/view/1858061","18-1858061")</f>
        <v>0</v>
      </c>
      <c r="B76" t="s">
        <v>94</v>
      </c>
      <c r="C76" t="s">
        <v>234</v>
      </c>
      <c r="D76" t="s">
        <v>272</v>
      </c>
      <c r="E76" t="s">
        <v>427</v>
      </c>
      <c r="F76" t="s">
        <v>910</v>
      </c>
      <c r="G76" t="s">
        <v>2166</v>
      </c>
      <c r="H76" t="s">
        <v>3498</v>
      </c>
      <c r="I76">
        <v>4</v>
      </c>
      <c r="J76" t="s">
        <v>5320</v>
      </c>
      <c r="K76">
        <v>11208</v>
      </c>
      <c r="L76" t="s">
        <v>5355</v>
      </c>
      <c r="M76" t="s">
        <v>5356</v>
      </c>
      <c r="N76" t="s">
        <v>5400</v>
      </c>
      <c r="O76" t="s">
        <v>6491</v>
      </c>
      <c r="P76" t="s">
        <v>6524</v>
      </c>
      <c r="Q76" t="s">
        <v>6531</v>
      </c>
      <c r="R76" t="s">
        <v>6539</v>
      </c>
      <c r="S76" t="s">
        <v>5357</v>
      </c>
      <c r="U76" t="s">
        <v>6557</v>
      </c>
      <c r="W76" t="s">
        <v>272</v>
      </c>
      <c r="X76">
        <v>1400</v>
      </c>
      <c r="Y76" t="s">
        <v>6605</v>
      </c>
      <c r="Z76" t="s">
        <v>6611</v>
      </c>
      <c r="AA76" t="s">
        <v>6631</v>
      </c>
      <c r="AB76" t="s">
        <v>6731</v>
      </c>
      <c r="AD76" t="s">
        <v>9165</v>
      </c>
      <c r="AE76">
        <v>4</v>
      </c>
      <c r="AG76" t="s">
        <v>11020</v>
      </c>
      <c r="AH76">
        <v>12</v>
      </c>
      <c r="AI76">
        <v>2</v>
      </c>
      <c r="AJ76">
        <v>1</v>
      </c>
      <c r="AK76">
        <v>50.71</v>
      </c>
      <c r="AN76" t="s">
        <v>11050</v>
      </c>
      <c r="AO76">
        <v>10356</v>
      </c>
      <c r="AU76">
        <v>4.9</v>
      </c>
      <c r="AV76" t="s">
        <v>338</v>
      </c>
      <c r="AW76" t="s">
        <v>11487</v>
      </c>
    </row>
    <row r="77" spans="1:49">
      <c r="A77" s="1">
        <f>HYPERLINK("https://cms.ls-nyc.org/matter/dynamic-profile/view/1857271","18-1857271")</f>
        <v>0</v>
      </c>
      <c r="B77" t="s">
        <v>72</v>
      </c>
      <c r="C77" t="s">
        <v>234</v>
      </c>
      <c r="D77" t="s">
        <v>297</v>
      </c>
      <c r="E77" t="s">
        <v>672</v>
      </c>
      <c r="F77" t="s">
        <v>911</v>
      </c>
      <c r="G77" t="s">
        <v>2167</v>
      </c>
      <c r="H77" t="s">
        <v>3499</v>
      </c>
      <c r="I77" t="s">
        <v>4781</v>
      </c>
      <c r="J77" t="s">
        <v>5320</v>
      </c>
      <c r="K77">
        <v>11237</v>
      </c>
      <c r="L77" t="s">
        <v>5355</v>
      </c>
      <c r="M77" t="s">
        <v>5356</v>
      </c>
      <c r="O77" t="s">
        <v>5393</v>
      </c>
      <c r="P77" t="s">
        <v>6524</v>
      </c>
      <c r="Q77" t="s">
        <v>6531</v>
      </c>
      <c r="R77" t="s">
        <v>6540</v>
      </c>
      <c r="S77" t="s">
        <v>5357</v>
      </c>
      <c r="U77" t="s">
        <v>6557</v>
      </c>
      <c r="W77" t="s">
        <v>297</v>
      </c>
      <c r="X77">
        <v>1000</v>
      </c>
      <c r="Y77" t="s">
        <v>6605</v>
      </c>
      <c r="Z77" t="s">
        <v>6610</v>
      </c>
      <c r="AA77" t="s">
        <v>6637</v>
      </c>
      <c r="AB77" t="s">
        <v>6732</v>
      </c>
      <c r="AC77" t="s">
        <v>8715</v>
      </c>
      <c r="AD77" t="s">
        <v>9166</v>
      </c>
      <c r="AE77">
        <v>6</v>
      </c>
      <c r="AF77" t="s">
        <v>11005</v>
      </c>
      <c r="AG77" t="s">
        <v>5406</v>
      </c>
      <c r="AH77">
        <v>12</v>
      </c>
      <c r="AI77">
        <v>1</v>
      </c>
      <c r="AJ77">
        <v>3</v>
      </c>
      <c r="AK77">
        <v>50.73</v>
      </c>
      <c r="AL77" t="s">
        <v>11028</v>
      </c>
      <c r="AN77" t="s">
        <v>11049</v>
      </c>
      <c r="AO77">
        <v>12480</v>
      </c>
      <c r="AU77">
        <v>23.95</v>
      </c>
      <c r="AV77" t="s">
        <v>672</v>
      </c>
      <c r="AW77" t="s">
        <v>11488</v>
      </c>
    </row>
    <row r="78" spans="1:49">
      <c r="A78" s="1">
        <f>HYPERLINK("https://cms.ls-nyc.org/matter/dynamic-profile/view/1866156","18-1866156")</f>
        <v>0</v>
      </c>
      <c r="B78" t="s">
        <v>84</v>
      </c>
      <c r="C78" t="s">
        <v>234</v>
      </c>
      <c r="D78" t="s">
        <v>298</v>
      </c>
      <c r="E78" t="s">
        <v>696</v>
      </c>
      <c r="F78" t="s">
        <v>912</v>
      </c>
      <c r="G78" t="s">
        <v>2168</v>
      </c>
      <c r="H78" t="s">
        <v>3500</v>
      </c>
      <c r="I78" t="s">
        <v>4740</v>
      </c>
      <c r="J78" t="s">
        <v>5320</v>
      </c>
      <c r="K78">
        <v>11207</v>
      </c>
      <c r="L78" t="s">
        <v>5355</v>
      </c>
      <c r="M78" t="s">
        <v>5356</v>
      </c>
      <c r="P78" t="s">
        <v>6524</v>
      </c>
      <c r="Q78" t="s">
        <v>6531</v>
      </c>
      <c r="R78" t="s">
        <v>6539</v>
      </c>
      <c r="U78" t="s">
        <v>6557</v>
      </c>
      <c r="W78" t="s">
        <v>298</v>
      </c>
      <c r="X78">
        <v>0</v>
      </c>
      <c r="Y78" t="s">
        <v>6605</v>
      </c>
      <c r="AA78" t="s">
        <v>6631</v>
      </c>
      <c r="AB78" t="s">
        <v>6733</v>
      </c>
      <c r="AD78" t="s">
        <v>9167</v>
      </c>
      <c r="AE78">
        <v>0</v>
      </c>
      <c r="AH78">
        <v>0</v>
      </c>
      <c r="AI78">
        <v>2</v>
      </c>
      <c r="AJ78">
        <v>0</v>
      </c>
      <c r="AK78">
        <v>51.03</v>
      </c>
      <c r="AN78" t="s">
        <v>11049</v>
      </c>
      <c r="AO78">
        <v>8400</v>
      </c>
      <c r="AU78">
        <v>1</v>
      </c>
      <c r="AV78" t="s">
        <v>298</v>
      </c>
      <c r="AW78" t="s">
        <v>84</v>
      </c>
    </row>
    <row r="79" spans="1:49">
      <c r="A79" s="1">
        <f>HYPERLINK("https://cms.ls-nyc.org/matter/dynamic-profile/view/1861186","18-1861186")</f>
        <v>0</v>
      </c>
      <c r="B79" t="s">
        <v>84</v>
      </c>
      <c r="C79" t="s">
        <v>235</v>
      </c>
      <c r="D79" t="s">
        <v>259</v>
      </c>
      <c r="F79" t="s">
        <v>913</v>
      </c>
      <c r="G79" t="s">
        <v>2125</v>
      </c>
      <c r="H79" t="s">
        <v>3501</v>
      </c>
      <c r="I79" t="s">
        <v>4782</v>
      </c>
      <c r="J79" t="s">
        <v>5320</v>
      </c>
      <c r="K79">
        <v>11206</v>
      </c>
      <c r="L79" t="s">
        <v>5357</v>
      </c>
      <c r="M79" t="s">
        <v>5356</v>
      </c>
      <c r="O79" t="s">
        <v>6494</v>
      </c>
      <c r="P79" t="s">
        <v>6524</v>
      </c>
      <c r="R79" t="s">
        <v>6539</v>
      </c>
      <c r="U79" t="s">
        <v>6557</v>
      </c>
      <c r="W79" t="s">
        <v>236</v>
      </c>
      <c r="X79">
        <v>1660</v>
      </c>
      <c r="Y79" t="s">
        <v>6605</v>
      </c>
      <c r="Z79" t="s">
        <v>6616</v>
      </c>
      <c r="AB79" t="s">
        <v>6734</v>
      </c>
      <c r="AD79" t="s">
        <v>9168</v>
      </c>
      <c r="AE79">
        <v>3</v>
      </c>
      <c r="AH79">
        <v>8</v>
      </c>
      <c r="AI79">
        <v>2</v>
      </c>
      <c r="AJ79">
        <v>0</v>
      </c>
      <c r="AK79">
        <v>51.03</v>
      </c>
      <c r="AN79" t="s">
        <v>11050</v>
      </c>
      <c r="AO79">
        <v>8400</v>
      </c>
      <c r="AU79">
        <v>1</v>
      </c>
      <c r="AV79" t="s">
        <v>257</v>
      </c>
      <c r="AW79" t="s">
        <v>11504</v>
      </c>
    </row>
    <row r="80" spans="1:49">
      <c r="A80" s="1">
        <f>HYPERLINK("https://cms.ls-nyc.org/matter/dynamic-profile/view/1869788","18-1869788")</f>
        <v>0</v>
      </c>
      <c r="B80" t="s">
        <v>85</v>
      </c>
      <c r="C80" t="s">
        <v>235</v>
      </c>
      <c r="D80" t="s">
        <v>275</v>
      </c>
      <c r="F80" t="s">
        <v>914</v>
      </c>
      <c r="G80" t="s">
        <v>2169</v>
      </c>
      <c r="H80" t="s">
        <v>3502</v>
      </c>
      <c r="I80" t="s">
        <v>4752</v>
      </c>
      <c r="J80" t="s">
        <v>5325</v>
      </c>
      <c r="K80">
        <v>11356</v>
      </c>
      <c r="L80" t="s">
        <v>5355</v>
      </c>
      <c r="M80" t="s">
        <v>5356</v>
      </c>
      <c r="N80" t="s">
        <v>5392</v>
      </c>
      <c r="O80" t="s">
        <v>6498</v>
      </c>
      <c r="P80" t="s">
        <v>6524</v>
      </c>
      <c r="R80" t="s">
        <v>6539</v>
      </c>
      <c r="S80" t="s">
        <v>5357</v>
      </c>
      <c r="U80" t="s">
        <v>6559</v>
      </c>
      <c r="W80" t="s">
        <v>275</v>
      </c>
      <c r="X80">
        <v>1232.12</v>
      </c>
      <c r="Y80" t="s">
        <v>6604</v>
      </c>
      <c r="Z80" t="s">
        <v>6611</v>
      </c>
      <c r="AB80" t="s">
        <v>6735</v>
      </c>
      <c r="AC80" t="s">
        <v>8716</v>
      </c>
      <c r="AD80" t="s">
        <v>9169</v>
      </c>
      <c r="AE80">
        <v>0</v>
      </c>
      <c r="AF80" t="s">
        <v>11005</v>
      </c>
      <c r="AG80" t="s">
        <v>11025</v>
      </c>
      <c r="AH80">
        <v>8</v>
      </c>
      <c r="AI80">
        <v>1</v>
      </c>
      <c r="AJ80">
        <v>0</v>
      </c>
      <c r="AK80">
        <v>51.7</v>
      </c>
      <c r="AN80" t="s">
        <v>11049</v>
      </c>
      <c r="AO80">
        <v>6276</v>
      </c>
      <c r="AU80">
        <v>2.95</v>
      </c>
      <c r="AV80" t="s">
        <v>778</v>
      </c>
      <c r="AW80" t="s">
        <v>11506</v>
      </c>
    </row>
    <row r="81" spans="1:49">
      <c r="A81" s="1">
        <f>HYPERLINK("https://cms.ls-nyc.org/matter/dynamic-profile/view/1868499","18-1868499")</f>
        <v>0</v>
      </c>
      <c r="B81" t="s">
        <v>58</v>
      </c>
      <c r="C81" t="s">
        <v>234</v>
      </c>
      <c r="D81" t="s">
        <v>267</v>
      </c>
      <c r="E81" t="s">
        <v>670</v>
      </c>
      <c r="F81" t="s">
        <v>915</v>
      </c>
      <c r="G81" t="s">
        <v>2170</v>
      </c>
      <c r="H81" t="s">
        <v>3503</v>
      </c>
      <c r="I81">
        <v>62</v>
      </c>
      <c r="J81" t="s">
        <v>5321</v>
      </c>
      <c r="K81">
        <v>10468</v>
      </c>
      <c r="L81" t="s">
        <v>5355</v>
      </c>
      <c r="M81" t="s">
        <v>5356</v>
      </c>
      <c r="N81" t="s">
        <v>5401</v>
      </c>
      <c r="O81" t="s">
        <v>6491</v>
      </c>
      <c r="P81" t="s">
        <v>6524</v>
      </c>
      <c r="Q81" t="s">
        <v>6531</v>
      </c>
      <c r="R81" t="s">
        <v>6539</v>
      </c>
      <c r="U81" t="s">
        <v>6557</v>
      </c>
      <c r="W81" t="s">
        <v>267</v>
      </c>
      <c r="X81">
        <v>1107.05</v>
      </c>
      <c r="Y81" t="s">
        <v>6606</v>
      </c>
      <c r="Z81" t="s">
        <v>6612</v>
      </c>
      <c r="AA81" t="s">
        <v>6631</v>
      </c>
      <c r="AB81" t="s">
        <v>6736</v>
      </c>
      <c r="AD81" t="s">
        <v>9170</v>
      </c>
      <c r="AE81">
        <v>0</v>
      </c>
      <c r="AF81" t="s">
        <v>11005</v>
      </c>
      <c r="AG81" t="s">
        <v>5406</v>
      </c>
      <c r="AH81">
        <v>6</v>
      </c>
      <c r="AI81">
        <v>1</v>
      </c>
      <c r="AJ81">
        <v>2</v>
      </c>
      <c r="AK81">
        <v>52.16</v>
      </c>
      <c r="AN81" t="s">
        <v>11049</v>
      </c>
      <c r="AO81">
        <v>10838</v>
      </c>
      <c r="AP81" t="s">
        <v>11075</v>
      </c>
      <c r="AU81">
        <v>1.75</v>
      </c>
      <c r="AV81" t="s">
        <v>267</v>
      </c>
      <c r="AW81" t="s">
        <v>11492</v>
      </c>
    </row>
    <row r="82" spans="1:49">
      <c r="A82" s="1">
        <f>HYPERLINK("https://cms.ls-nyc.org/matter/dynamic-profile/view/1867658","18-1867658")</f>
        <v>0</v>
      </c>
      <c r="B82" t="s">
        <v>95</v>
      </c>
      <c r="C82" t="s">
        <v>234</v>
      </c>
      <c r="D82" t="s">
        <v>299</v>
      </c>
      <c r="E82" t="s">
        <v>671</v>
      </c>
      <c r="F82" t="s">
        <v>916</v>
      </c>
      <c r="G82" t="s">
        <v>2171</v>
      </c>
      <c r="H82" t="s">
        <v>3504</v>
      </c>
      <c r="I82" t="s">
        <v>4772</v>
      </c>
      <c r="J82" t="s">
        <v>5321</v>
      </c>
      <c r="K82">
        <v>10456</v>
      </c>
      <c r="L82" t="s">
        <v>5355</v>
      </c>
      <c r="M82" t="s">
        <v>5356</v>
      </c>
      <c r="O82" t="s">
        <v>5393</v>
      </c>
      <c r="P82" t="s">
        <v>6524</v>
      </c>
      <c r="Q82" t="s">
        <v>6531</v>
      </c>
      <c r="R82" t="s">
        <v>6539</v>
      </c>
      <c r="S82" t="s">
        <v>5357</v>
      </c>
      <c r="U82" t="s">
        <v>6557</v>
      </c>
      <c r="W82" t="s">
        <v>6573</v>
      </c>
      <c r="X82">
        <v>1241.55</v>
      </c>
      <c r="Y82" t="s">
        <v>6606</v>
      </c>
      <c r="Z82" t="s">
        <v>6612</v>
      </c>
      <c r="AA82" t="s">
        <v>6631</v>
      </c>
      <c r="AB82" t="s">
        <v>6737</v>
      </c>
      <c r="AD82" t="s">
        <v>9171</v>
      </c>
      <c r="AE82">
        <v>0</v>
      </c>
      <c r="AF82" t="s">
        <v>11005</v>
      </c>
      <c r="AG82" t="s">
        <v>5406</v>
      </c>
      <c r="AH82">
        <v>20</v>
      </c>
      <c r="AI82">
        <v>2</v>
      </c>
      <c r="AJ82">
        <v>0</v>
      </c>
      <c r="AK82">
        <v>52.42</v>
      </c>
      <c r="AN82" t="s">
        <v>11050</v>
      </c>
      <c r="AO82">
        <v>8628</v>
      </c>
      <c r="AU82">
        <v>1.3</v>
      </c>
      <c r="AV82" t="s">
        <v>671</v>
      </c>
      <c r="AW82" t="s">
        <v>95</v>
      </c>
    </row>
    <row r="83" spans="1:49">
      <c r="A83" s="1">
        <f>HYPERLINK("https://cms.ls-nyc.org/matter/dynamic-profile/view/1851863","17-1851863")</f>
        <v>0</v>
      </c>
      <c r="B83" t="s">
        <v>56</v>
      </c>
      <c r="C83" t="s">
        <v>234</v>
      </c>
      <c r="D83" t="s">
        <v>300</v>
      </c>
      <c r="E83" t="s">
        <v>665</v>
      </c>
      <c r="F83" t="s">
        <v>917</v>
      </c>
      <c r="G83" t="s">
        <v>2172</v>
      </c>
      <c r="H83" t="s">
        <v>3505</v>
      </c>
      <c r="I83" t="s">
        <v>4783</v>
      </c>
      <c r="J83" t="s">
        <v>5321</v>
      </c>
      <c r="K83">
        <v>10452</v>
      </c>
      <c r="L83" t="s">
        <v>5355</v>
      </c>
      <c r="M83" t="s">
        <v>5356</v>
      </c>
      <c r="N83" t="s">
        <v>5402</v>
      </c>
      <c r="O83" t="s">
        <v>6492</v>
      </c>
      <c r="P83" t="s">
        <v>6524</v>
      </c>
      <c r="Q83" t="s">
        <v>6531</v>
      </c>
      <c r="R83" t="s">
        <v>6539</v>
      </c>
      <c r="S83" t="s">
        <v>5357</v>
      </c>
      <c r="U83" t="s">
        <v>6557</v>
      </c>
      <c r="W83" t="s">
        <v>319</v>
      </c>
      <c r="X83">
        <v>1225</v>
      </c>
      <c r="Y83" t="s">
        <v>6606</v>
      </c>
      <c r="Z83" t="s">
        <v>6612</v>
      </c>
      <c r="AA83" t="s">
        <v>6631</v>
      </c>
      <c r="AB83" t="s">
        <v>6738</v>
      </c>
      <c r="AD83" t="s">
        <v>9172</v>
      </c>
      <c r="AE83">
        <v>34</v>
      </c>
      <c r="AF83" t="s">
        <v>8722</v>
      </c>
      <c r="AG83" t="s">
        <v>5406</v>
      </c>
      <c r="AH83">
        <v>8</v>
      </c>
      <c r="AI83">
        <v>2</v>
      </c>
      <c r="AJ83">
        <v>2</v>
      </c>
      <c r="AK83">
        <v>52.63</v>
      </c>
      <c r="AN83" t="s">
        <v>11050</v>
      </c>
      <c r="AO83">
        <v>12948</v>
      </c>
      <c r="AP83" t="s">
        <v>11076</v>
      </c>
      <c r="AU83">
        <v>1.4</v>
      </c>
      <c r="AV83" t="s">
        <v>372</v>
      </c>
      <c r="AW83" t="s">
        <v>11514</v>
      </c>
    </row>
    <row r="84" spans="1:49">
      <c r="A84" s="1">
        <f>HYPERLINK("https://cms.ls-nyc.org/matter/dynamic-profile/view/1846357","17-1846357")</f>
        <v>0</v>
      </c>
      <c r="B84" t="s">
        <v>96</v>
      </c>
      <c r="C84" t="s">
        <v>235</v>
      </c>
      <c r="D84" t="s">
        <v>301</v>
      </c>
      <c r="F84" t="s">
        <v>918</v>
      </c>
      <c r="G84" t="s">
        <v>2173</v>
      </c>
      <c r="H84" t="s">
        <v>3506</v>
      </c>
      <c r="I84" t="s">
        <v>4784</v>
      </c>
      <c r="J84" t="s">
        <v>5324</v>
      </c>
      <c r="K84">
        <v>11354</v>
      </c>
      <c r="L84" t="s">
        <v>5355</v>
      </c>
      <c r="M84" t="s">
        <v>5356</v>
      </c>
      <c r="N84" t="s">
        <v>5392</v>
      </c>
      <c r="O84" t="s">
        <v>6496</v>
      </c>
      <c r="P84" t="s">
        <v>6524</v>
      </c>
      <c r="R84" t="s">
        <v>6539</v>
      </c>
      <c r="S84" t="s">
        <v>5357</v>
      </c>
      <c r="U84" t="s">
        <v>6557</v>
      </c>
      <c r="W84" t="s">
        <v>301</v>
      </c>
      <c r="X84">
        <v>1117</v>
      </c>
      <c r="Y84" t="s">
        <v>6604</v>
      </c>
      <c r="Z84" t="s">
        <v>6617</v>
      </c>
      <c r="AB84" t="s">
        <v>6739</v>
      </c>
      <c r="AC84" t="s">
        <v>5383</v>
      </c>
      <c r="AD84" t="s">
        <v>9173</v>
      </c>
      <c r="AE84">
        <v>30</v>
      </c>
      <c r="AF84" t="s">
        <v>8722</v>
      </c>
      <c r="AG84" t="s">
        <v>5406</v>
      </c>
      <c r="AH84">
        <v>25</v>
      </c>
      <c r="AI84">
        <v>2</v>
      </c>
      <c r="AJ84">
        <v>0</v>
      </c>
      <c r="AK84">
        <v>53.35</v>
      </c>
      <c r="AN84" t="s">
        <v>6493</v>
      </c>
      <c r="AO84">
        <v>8664</v>
      </c>
      <c r="AU84">
        <v>0.25</v>
      </c>
      <c r="AV84" t="s">
        <v>340</v>
      </c>
      <c r="AW84" t="s">
        <v>11507</v>
      </c>
    </row>
    <row r="85" spans="1:49">
      <c r="A85" s="1">
        <f>HYPERLINK("https://cms.ls-nyc.org/matter/dynamic-profile/view/1854627","17-1854627")</f>
        <v>0</v>
      </c>
      <c r="B85" t="s">
        <v>58</v>
      </c>
      <c r="C85" t="s">
        <v>234</v>
      </c>
      <c r="D85" t="s">
        <v>302</v>
      </c>
      <c r="E85" t="s">
        <v>697</v>
      </c>
      <c r="F85" t="s">
        <v>855</v>
      </c>
      <c r="G85" t="s">
        <v>2174</v>
      </c>
      <c r="H85" t="s">
        <v>3481</v>
      </c>
      <c r="I85" t="s">
        <v>4785</v>
      </c>
      <c r="J85" t="s">
        <v>5321</v>
      </c>
      <c r="K85">
        <v>10460</v>
      </c>
      <c r="L85" t="s">
        <v>5355</v>
      </c>
      <c r="M85" t="s">
        <v>5356</v>
      </c>
      <c r="N85" t="s">
        <v>5403</v>
      </c>
      <c r="O85" t="s">
        <v>5393</v>
      </c>
      <c r="P85" t="s">
        <v>6524</v>
      </c>
      <c r="Q85" t="s">
        <v>6531</v>
      </c>
      <c r="R85" t="s">
        <v>6539</v>
      </c>
      <c r="S85" t="s">
        <v>5357</v>
      </c>
      <c r="U85" t="s">
        <v>6561</v>
      </c>
      <c r="W85" t="s">
        <v>397</v>
      </c>
      <c r="X85">
        <v>1557</v>
      </c>
      <c r="Y85" t="s">
        <v>6606</v>
      </c>
      <c r="Z85" t="s">
        <v>6614</v>
      </c>
      <c r="AA85" t="s">
        <v>6631</v>
      </c>
      <c r="AB85" t="s">
        <v>6740</v>
      </c>
      <c r="AC85" t="s">
        <v>8717</v>
      </c>
      <c r="AD85" t="s">
        <v>9174</v>
      </c>
      <c r="AE85">
        <v>160</v>
      </c>
      <c r="AF85" t="s">
        <v>11008</v>
      </c>
      <c r="AG85" t="s">
        <v>11020</v>
      </c>
      <c r="AH85">
        <v>16</v>
      </c>
      <c r="AI85">
        <v>2</v>
      </c>
      <c r="AJ85">
        <v>1</v>
      </c>
      <c r="AK85">
        <v>53.83</v>
      </c>
      <c r="AN85" t="s">
        <v>11050</v>
      </c>
      <c r="AO85">
        <v>17965.2</v>
      </c>
      <c r="AU85">
        <v>0.3</v>
      </c>
      <c r="AV85" t="s">
        <v>697</v>
      </c>
      <c r="AW85" t="s">
        <v>11491</v>
      </c>
    </row>
    <row r="86" spans="1:49">
      <c r="A86" s="1">
        <f>HYPERLINK("https://cms.ls-nyc.org/matter/dynamic-profile/view/1864277","18-1864277")</f>
        <v>0</v>
      </c>
      <c r="B86" t="s">
        <v>81</v>
      </c>
      <c r="C86" t="s">
        <v>234</v>
      </c>
      <c r="D86" t="s">
        <v>303</v>
      </c>
      <c r="E86" t="s">
        <v>677</v>
      </c>
      <c r="F86" t="s">
        <v>919</v>
      </c>
      <c r="G86" t="s">
        <v>2175</v>
      </c>
      <c r="H86" t="s">
        <v>3507</v>
      </c>
      <c r="I86" t="s">
        <v>4786</v>
      </c>
      <c r="J86" t="s">
        <v>5330</v>
      </c>
      <c r="K86">
        <v>11102</v>
      </c>
      <c r="L86" t="s">
        <v>5355</v>
      </c>
      <c r="M86" t="s">
        <v>5356</v>
      </c>
      <c r="N86" t="s">
        <v>5404</v>
      </c>
      <c r="O86" t="s">
        <v>6491</v>
      </c>
      <c r="P86" t="s">
        <v>6524</v>
      </c>
      <c r="Q86" t="s">
        <v>6531</v>
      </c>
      <c r="R86" t="s">
        <v>6540</v>
      </c>
      <c r="S86" t="s">
        <v>5357</v>
      </c>
      <c r="U86" t="s">
        <v>6557</v>
      </c>
      <c r="V86" t="s">
        <v>6567</v>
      </c>
      <c r="W86" t="s">
        <v>303</v>
      </c>
      <c r="X86">
        <v>1600</v>
      </c>
      <c r="Y86" t="s">
        <v>6604</v>
      </c>
      <c r="Z86" t="s">
        <v>6610</v>
      </c>
      <c r="AA86" t="s">
        <v>6631</v>
      </c>
      <c r="AB86" t="s">
        <v>6741</v>
      </c>
      <c r="AC86" t="s">
        <v>8718</v>
      </c>
      <c r="AD86" t="s">
        <v>9175</v>
      </c>
      <c r="AE86">
        <v>9</v>
      </c>
      <c r="AF86" t="s">
        <v>11004</v>
      </c>
      <c r="AG86" t="s">
        <v>5406</v>
      </c>
      <c r="AH86">
        <v>3</v>
      </c>
      <c r="AI86">
        <v>1</v>
      </c>
      <c r="AJ86">
        <v>3</v>
      </c>
      <c r="AK86">
        <v>54.26</v>
      </c>
      <c r="AL86" t="s">
        <v>11028</v>
      </c>
      <c r="AN86" t="s">
        <v>11050</v>
      </c>
      <c r="AO86">
        <v>13620</v>
      </c>
      <c r="AU86">
        <v>0.9</v>
      </c>
      <c r="AV86" t="s">
        <v>677</v>
      </c>
      <c r="AW86" t="s">
        <v>81</v>
      </c>
    </row>
    <row r="87" spans="1:49">
      <c r="A87" s="1">
        <f>HYPERLINK("https://cms.ls-nyc.org/matter/dynamic-profile/view/1840371","17-1840371")</f>
        <v>0</v>
      </c>
      <c r="B87" t="s">
        <v>92</v>
      </c>
      <c r="C87" t="s">
        <v>234</v>
      </c>
      <c r="D87" t="s">
        <v>304</v>
      </c>
      <c r="E87" t="s">
        <v>698</v>
      </c>
      <c r="F87" t="s">
        <v>920</v>
      </c>
      <c r="G87" t="s">
        <v>2176</v>
      </c>
      <c r="H87" t="s">
        <v>3508</v>
      </c>
      <c r="I87">
        <v>35</v>
      </c>
      <c r="J87" t="s">
        <v>5323</v>
      </c>
      <c r="K87">
        <v>10034</v>
      </c>
      <c r="L87" t="s">
        <v>5355</v>
      </c>
      <c r="M87" t="s">
        <v>5356</v>
      </c>
      <c r="O87" t="s">
        <v>5393</v>
      </c>
      <c r="P87" t="s">
        <v>6524</v>
      </c>
      <c r="Q87" t="s">
        <v>6531</v>
      </c>
      <c r="R87" t="s">
        <v>6539</v>
      </c>
      <c r="S87" t="s">
        <v>5357</v>
      </c>
      <c r="U87" t="s">
        <v>6557</v>
      </c>
      <c r="W87" t="s">
        <v>387</v>
      </c>
      <c r="X87">
        <v>1013</v>
      </c>
      <c r="Y87" t="s">
        <v>6608</v>
      </c>
      <c r="Z87" t="s">
        <v>6616</v>
      </c>
      <c r="AA87" t="s">
        <v>6631</v>
      </c>
      <c r="AB87" t="s">
        <v>6742</v>
      </c>
      <c r="AD87" t="s">
        <v>9176</v>
      </c>
      <c r="AE87">
        <v>40</v>
      </c>
      <c r="AF87" t="s">
        <v>11005</v>
      </c>
      <c r="AG87" t="s">
        <v>5406</v>
      </c>
      <c r="AH87">
        <v>7</v>
      </c>
      <c r="AI87">
        <v>2</v>
      </c>
      <c r="AJ87">
        <v>0</v>
      </c>
      <c r="AK87">
        <v>54.46</v>
      </c>
      <c r="AN87" t="s">
        <v>11049</v>
      </c>
      <c r="AO87">
        <v>8844</v>
      </c>
      <c r="AU87">
        <v>0.2</v>
      </c>
      <c r="AV87" t="s">
        <v>304</v>
      </c>
      <c r="AW87" t="s">
        <v>11495</v>
      </c>
    </row>
    <row r="88" spans="1:49">
      <c r="A88" s="1">
        <f>HYPERLINK("https://cms.ls-nyc.org/matter/dynamic-profile/view/1842018","17-1842018")</f>
        <v>0</v>
      </c>
      <c r="B88" t="s">
        <v>97</v>
      </c>
      <c r="C88" t="s">
        <v>235</v>
      </c>
      <c r="D88" t="s">
        <v>305</v>
      </c>
      <c r="F88" t="s">
        <v>921</v>
      </c>
      <c r="G88" t="s">
        <v>2177</v>
      </c>
      <c r="H88" t="s">
        <v>3509</v>
      </c>
      <c r="I88" t="s">
        <v>4739</v>
      </c>
      <c r="J88" t="s">
        <v>5323</v>
      </c>
      <c r="K88">
        <v>10009</v>
      </c>
      <c r="L88" t="s">
        <v>5356</v>
      </c>
      <c r="M88" t="s">
        <v>5356</v>
      </c>
      <c r="O88" t="s">
        <v>5393</v>
      </c>
      <c r="P88" t="s">
        <v>6524</v>
      </c>
      <c r="R88" t="s">
        <v>6540</v>
      </c>
      <c r="S88" t="s">
        <v>5357</v>
      </c>
      <c r="U88" t="s">
        <v>6559</v>
      </c>
      <c r="W88" t="s">
        <v>419</v>
      </c>
      <c r="X88">
        <v>0</v>
      </c>
      <c r="Y88" t="s">
        <v>6608</v>
      </c>
      <c r="Z88" t="s">
        <v>6610</v>
      </c>
      <c r="AB88" t="s">
        <v>6743</v>
      </c>
      <c r="AE88">
        <v>439</v>
      </c>
      <c r="AF88" t="s">
        <v>11010</v>
      </c>
      <c r="AH88">
        <v>0</v>
      </c>
      <c r="AI88">
        <v>1</v>
      </c>
      <c r="AJ88">
        <v>0</v>
      </c>
      <c r="AK88">
        <v>54.83</v>
      </c>
      <c r="AL88" t="s">
        <v>11028</v>
      </c>
      <c r="AN88" t="s">
        <v>11054</v>
      </c>
      <c r="AO88">
        <v>6612</v>
      </c>
      <c r="AU88">
        <v>1.2</v>
      </c>
      <c r="AV88" t="s">
        <v>519</v>
      </c>
      <c r="AW88" t="s">
        <v>11498</v>
      </c>
    </row>
    <row r="89" spans="1:49">
      <c r="A89" s="1">
        <f>HYPERLINK("https://cms.ls-nyc.org/matter/dynamic-profile/view/1870447","18-1870447")</f>
        <v>0</v>
      </c>
      <c r="B89" t="s">
        <v>65</v>
      </c>
      <c r="C89" t="s">
        <v>234</v>
      </c>
      <c r="D89" t="s">
        <v>255</v>
      </c>
      <c r="E89" t="s">
        <v>413</v>
      </c>
      <c r="F89" t="s">
        <v>922</v>
      </c>
      <c r="G89" t="s">
        <v>1598</v>
      </c>
      <c r="H89" t="s">
        <v>3448</v>
      </c>
      <c r="I89" t="s">
        <v>4777</v>
      </c>
      <c r="J89" t="s">
        <v>5323</v>
      </c>
      <c r="K89">
        <v>10032</v>
      </c>
      <c r="L89" t="s">
        <v>5355</v>
      </c>
      <c r="M89" t="s">
        <v>5356</v>
      </c>
      <c r="O89" t="s">
        <v>6496</v>
      </c>
      <c r="P89" t="s">
        <v>6524</v>
      </c>
      <c r="Q89" t="s">
        <v>6531</v>
      </c>
      <c r="R89" t="s">
        <v>6539</v>
      </c>
      <c r="S89" t="s">
        <v>5355</v>
      </c>
      <c r="U89" t="s">
        <v>6557</v>
      </c>
      <c r="W89" t="s">
        <v>490</v>
      </c>
      <c r="X89">
        <v>0</v>
      </c>
      <c r="Y89" t="s">
        <v>6608</v>
      </c>
      <c r="Z89" t="s">
        <v>6616</v>
      </c>
      <c r="AA89" t="s">
        <v>6634</v>
      </c>
      <c r="AB89" t="s">
        <v>6744</v>
      </c>
      <c r="AE89">
        <v>49</v>
      </c>
      <c r="AG89" t="s">
        <v>5406</v>
      </c>
      <c r="AH89">
        <v>20</v>
      </c>
      <c r="AI89">
        <v>1</v>
      </c>
      <c r="AJ89">
        <v>1</v>
      </c>
      <c r="AK89">
        <v>56.57</v>
      </c>
      <c r="AN89" t="s">
        <v>11049</v>
      </c>
      <c r="AO89">
        <v>9312</v>
      </c>
      <c r="AU89">
        <v>0</v>
      </c>
      <c r="AV89" t="s">
        <v>328</v>
      </c>
      <c r="AW89" t="s">
        <v>11495</v>
      </c>
    </row>
    <row r="90" spans="1:49">
      <c r="A90" s="1">
        <f>HYPERLINK("https://cms.ls-nyc.org/matter/dynamic-profile/view/1855589","18-1855589")</f>
        <v>0</v>
      </c>
      <c r="B90" t="s">
        <v>69</v>
      </c>
      <c r="C90" t="s">
        <v>234</v>
      </c>
      <c r="D90" t="s">
        <v>281</v>
      </c>
      <c r="E90" t="s">
        <v>679</v>
      </c>
      <c r="F90" t="s">
        <v>923</v>
      </c>
      <c r="G90" t="s">
        <v>2133</v>
      </c>
      <c r="H90" t="s">
        <v>3510</v>
      </c>
      <c r="I90" t="s">
        <v>4787</v>
      </c>
      <c r="J90" t="s">
        <v>5321</v>
      </c>
      <c r="K90">
        <v>10451</v>
      </c>
      <c r="L90" t="s">
        <v>5355</v>
      </c>
      <c r="M90" t="s">
        <v>5356</v>
      </c>
      <c r="O90" t="s">
        <v>6496</v>
      </c>
      <c r="P90" t="s">
        <v>6524</v>
      </c>
      <c r="Q90" t="s">
        <v>6531</v>
      </c>
      <c r="R90" t="s">
        <v>6539</v>
      </c>
      <c r="S90" t="s">
        <v>5357</v>
      </c>
      <c r="U90" t="s">
        <v>6557</v>
      </c>
      <c r="W90" t="s">
        <v>424</v>
      </c>
      <c r="X90">
        <v>1253</v>
      </c>
      <c r="Y90" t="s">
        <v>6606</v>
      </c>
      <c r="Z90" t="s">
        <v>6612</v>
      </c>
      <c r="AA90" t="s">
        <v>6631</v>
      </c>
      <c r="AB90" t="s">
        <v>6745</v>
      </c>
      <c r="AD90" t="s">
        <v>9177</v>
      </c>
      <c r="AE90">
        <v>929</v>
      </c>
      <c r="AF90" t="s">
        <v>8722</v>
      </c>
      <c r="AG90" t="s">
        <v>11020</v>
      </c>
      <c r="AH90">
        <v>7</v>
      </c>
      <c r="AI90">
        <v>1</v>
      </c>
      <c r="AJ90">
        <v>1</v>
      </c>
      <c r="AK90">
        <v>56.67</v>
      </c>
      <c r="AN90" t="s">
        <v>11050</v>
      </c>
      <c r="AO90">
        <v>9204</v>
      </c>
      <c r="AU90">
        <v>1</v>
      </c>
      <c r="AV90" t="s">
        <v>263</v>
      </c>
      <c r="AW90" t="s">
        <v>11492</v>
      </c>
    </row>
    <row r="91" spans="1:49">
      <c r="A91" s="1">
        <f>HYPERLINK("https://cms.ls-nyc.org/matter/dynamic-profile/view/1866132","18-1866132")</f>
        <v>0</v>
      </c>
      <c r="B91" t="s">
        <v>98</v>
      </c>
      <c r="C91" t="s">
        <v>234</v>
      </c>
      <c r="D91" t="s">
        <v>298</v>
      </c>
      <c r="E91" t="s">
        <v>699</v>
      </c>
      <c r="F91" t="s">
        <v>924</v>
      </c>
      <c r="G91" t="s">
        <v>2178</v>
      </c>
      <c r="H91" t="s">
        <v>3511</v>
      </c>
      <c r="I91">
        <v>3</v>
      </c>
      <c r="J91" t="s">
        <v>5326</v>
      </c>
      <c r="K91">
        <v>11691</v>
      </c>
      <c r="L91" t="s">
        <v>5355</v>
      </c>
      <c r="M91" t="s">
        <v>5355</v>
      </c>
      <c r="N91" t="s">
        <v>5405</v>
      </c>
      <c r="O91" t="s">
        <v>6492</v>
      </c>
      <c r="P91" t="s">
        <v>6524</v>
      </c>
      <c r="Q91" t="s">
        <v>6531</v>
      </c>
      <c r="R91" t="s">
        <v>6539</v>
      </c>
      <c r="S91" t="s">
        <v>5357</v>
      </c>
      <c r="U91" t="s">
        <v>6557</v>
      </c>
      <c r="V91" t="s">
        <v>6566</v>
      </c>
      <c r="W91" t="s">
        <v>298</v>
      </c>
      <c r="X91">
        <v>2000</v>
      </c>
      <c r="Y91" t="s">
        <v>6604</v>
      </c>
      <c r="Z91" t="s">
        <v>6615</v>
      </c>
      <c r="AA91" t="s">
        <v>6631</v>
      </c>
      <c r="AB91" t="s">
        <v>6684</v>
      </c>
      <c r="AD91" t="s">
        <v>9178</v>
      </c>
      <c r="AE91">
        <v>2</v>
      </c>
      <c r="AF91" t="s">
        <v>11004</v>
      </c>
      <c r="AG91" t="s">
        <v>5406</v>
      </c>
      <c r="AH91">
        <v>-1</v>
      </c>
      <c r="AI91">
        <v>1</v>
      </c>
      <c r="AJ91">
        <v>3</v>
      </c>
      <c r="AK91">
        <v>56.97</v>
      </c>
      <c r="AM91" t="s">
        <v>11043</v>
      </c>
      <c r="AN91" t="s">
        <v>11050</v>
      </c>
      <c r="AO91">
        <v>14300</v>
      </c>
      <c r="AU91">
        <v>2.8</v>
      </c>
      <c r="AV91" t="s">
        <v>699</v>
      </c>
      <c r="AW91" t="s">
        <v>11506</v>
      </c>
    </row>
    <row r="92" spans="1:49">
      <c r="A92" s="1">
        <f>HYPERLINK("https://cms.ls-nyc.org/matter/dynamic-profile/view/1860136","18-1860136")</f>
        <v>0</v>
      </c>
      <c r="B92" t="s">
        <v>87</v>
      </c>
      <c r="C92" t="s">
        <v>234</v>
      </c>
      <c r="D92" t="s">
        <v>306</v>
      </c>
      <c r="E92" t="s">
        <v>700</v>
      </c>
      <c r="F92" t="s">
        <v>925</v>
      </c>
      <c r="G92" t="s">
        <v>2179</v>
      </c>
      <c r="H92" t="s">
        <v>3512</v>
      </c>
      <c r="I92" t="s">
        <v>4772</v>
      </c>
      <c r="J92" t="s">
        <v>5322</v>
      </c>
      <c r="K92">
        <v>10304</v>
      </c>
      <c r="L92" t="s">
        <v>5357</v>
      </c>
      <c r="M92" t="s">
        <v>5356</v>
      </c>
      <c r="N92" t="s">
        <v>5406</v>
      </c>
      <c r="O92" t="s">
        <v>6494</v>
      </c>
      <c r="P92" t="s">
        <v>6524</v>
      </c>
      <c r="Q92" t="s">
        <v>6531</v>
      </c>
      <c r="R92" t="s">
        <v>6539</v>
      </c>
      <c r="S92" t="s">
        <v>5357</v>
      </c>
      <c r="U92" t="s">
        <v>6557</v>
      </c>
      <c r="W92" t="s">
        <v>306</v>
      </c>
      <c r="X92">
        <v>1100</v>
      </c>
      <c r="Y92" t="s">
        <v>6607</v>
      </c>
      <c r="AA92" t="s">
        <v>6631</v>
      </c>
      <c r="AB92" t="s">
        <v>6746</v>
      </c>
      <c r="AC92" t="s">
        <v>5406</v>
      </c>
      <c r="AD92" t="s">
        <v>9179</v>
      </c>
      <c r="AE92">
        <v>6</v>
      </c>
      <c r="AF92" t="s">
        <v>11004</v>
      </c>
      <c r="AG92" t="s">
        <v>11021</v>
      </c>
      <c r="AH92">
        <v>4</v>
      </c>
      <c r="AI92">
        <v>1</v>
      </c>
      <c r="AJ92">
        <v>3</v>
      </c>
      <c r="AK92">
        <v>57.07</v>
      </c>
      <c r="AN92" t="s">
        <v>11050</v>
      </c>
      <c r="AO92">
        <v>14040</v>
      </c>
      <c r="AU92">
        <v>1.1</v>
      </c>
      <c r="AV92" t="s">
        <v>425</v>
      </c>
      <c r="AW92" t="s">
        <v>11510</v>
      </c>
    </row>
    <row r="93" spans="1:49">
      <c r="A93" s="1">
        <f>HYPERLINK("https://cms.ls-nyc.org/matter/dynamic-profile/view/1869982","18-1869982")</f>
        <v>0</v>
      </c>
      <c r="B93" t="s">
        <v>69</v>
      </c>
      <c r="C93" t="s">
        <v>234</v>
      </c>
      <c r="D93" t="s">
        <v>307</v>
      </c>
      <c r="E93" t="s">
        <v>679</v>
      </c>
      <c r="F93" t="s">
        <v>926</v>
      </c>
      <c r="G93" t="s">
        <v>2180</v>
      </c>
      <c r="H93" t="s">
        <v>3513</v>
      </c>
      <c r="I93" t="s">
        <v>4788</v>
      </c>
      <c r="J93" t="s">
        <v>5321</v>
      </c>
      <c r="K93">
        <v>10453</v>
      </c>
      <c r="L93" t="s">
        <v>5355</v>
      </c>
      <c r="M93" t="s">
        <v>5356</v>
      </c>
      <c r="O93" t="s">
        <v>6492</v>
      </c>
      <c r="P93" t="s">
        <v>6524</v>
      </c>
      <c r="Q93" t="s">
        <v>6531</v>
      </c>
      <c r="R93" t="s">
        <v>6539</v>
      </c>
      <c r="U93" t="s">
        <v>6557</v>
      </c>
      <c r="W93" t="s">
        <v>516</v>
      </c>
      <c r="X93">
        <v>1387.2</v>
      </c>
      <c r="Y93" t="s">
        <v>6606</v>
      </c>
      <c r="Z93" t="s">
        <v>6612</v>
      </c>
      <c r="AA93" t="s">
        <v>6631</v>
      </c>
      <c r="AB93" t="s">
        <v>6747</v>
      </c>
      <c r="AD93" t="s">
        <v>9180</v>
      </c>
      <c r="AE93">
        <v>0</v>
      </c>
      <c r="AF93" t="s">
        <v>11005</v>
      </c>
      <c r="AG93" t="s">
        <v>5406</v>
      </c>
      <c r="AH93">
        <v>8</v>
      </c>
      <c r="AI93">
        <v>2</v>
      </c>
      <c r="AJ93">
        <v>0</v>
      </c>
      <c r="AK93">
        <v>58.32</v>
      </c>
      <c r="AN93" t="s">
        <v>11049</v>
      </c>
      <c r="AO93">
        <v>9600</v>
      </c>
      <c r="AU93">
        <v>0.5</v>
      </c>
      <c r="AV93" t="s">
        <v>652</v>
      </c>
      <c r="AW93" t="s">
        <v>69</v>
      </c>
    </row>
    <row r="94" spans="1:49">
      <c r="A94" s="1">
        <f>HYPERLINK("https://cms.ls-nyc.org/matter/dynamic-profile/view/1857196","18-1857196")</f>
        <v>0</v>
      </c>
      <c r="B94" t="s">
        <v>69</v>
      </c>
      <c r="C94" t="s">
        <v>234</v>
      </c>
      <c r="D94" t="s">
        <v>297</v>
      </c>
      <c r="E94" t="s">
        <v>701</v>
      </c>
      <c r="F94" t="s">
        <v>927</v>
      </c>
      <c r="G94" t="s">
        <v>2181</v>
      </c>
      <c r="H94" t="s">
        <v>3514</v>
      </c>
      <c r="J94" t="s">
        <v>5321</v>
      </c>
      <c r="K94">
        <v>10466</v>
      </c>
      <c r="L94" t="s">
        <v>5355</v>
      </c>
      <c r="M94" t="s">
        <v>5356</v>
      </c>
      <c r="O94" t="s">
        <v>6496</v>
      </c>
      <c r="P94" t="s">
        <v>6524</v>
      </c>
      <c r="Q94" t="s">
        <v>6531</v>
      </c>
      <c r="R94" t="s">
        <v>6539</v>
      </c>
      <c r="U94" t="s">
        <v>6557</v>
      </c>
      <c r="W94" t="s">
        <v>424</v>
      </c>
      <c r="X94">
        <v>0</v>
      </c>
      <c r="Y94" t="s">
        <v>6606</v>
      </c>
      <c r="AA94" t="s">
        <v>6631</v>
      </c>
      <c r="AB94" t="s">
        <v>6748</v>
      </c>
      <c r="AD94" t="s">
        <v>9181</v>
      </c>
      <c r="AE94">
        <v>3</v>
      </c>
      <c r="AH94">
        <v>0</v>
      </c>
      <c r="AI94">
        <v>2</v>
      </c>
      <c r="AJ94">
        <v>0</v>
      </c>
      <c r="AK94">
        <v>59.56</v>
      </c>
      <c r="AN94" t="s">
        <v>11050</v>
      </c>
      <c r="AO94">
        <v>9672</v>
      </c>
      <c r="AU94">
        <v>1.7</v>
      </c>
      <c r="AV94" t="s">
        <v>701</v>
      </c>
      <c r="AW94" t="s">
        <v>11499</v>
      </c>
    </row>
    <row r="95" spans="1:49">
      <c r="A95" s="1">
        <f>HYPERLINK("https://cms.ls-nyc.org/matter/dynamic-profile/view/1854512","17-1854512")</f>
        <v>0</v>
      </c>
      <c r="B95" t="s">
        <v>84</v>
      </c>
      <c r="C95" t="s">
        <v>235</v>
      </c>
      <c r="D95" t="s">
        <v>308</v>
      </c>
      <c r="F95" t="s">
        <v>925</v>
      </c>
      <c r="G95" t="s">
        <v>2182</v>
      </c>
      <c r="H95" t="s">
        <v>3515</v>
      </c>
      <c r="I95" t="s">
        <v>4789</v>
      </c>
      <c r="J95" t="s">
        <v>5320</v>
      </c>
      <c r="K95">
        <v>11207</v>
      </c>
      <c r="L95" t="s">
        <v>5357</v>
      </c>
      <c r="M95" t="s">
        <v>5356</v>
      </c>
      <c r="P95" t="s">
        <v>6524</v>
      </c>
      <c r="R95" t="s">
        <v>6539</v>
      </c>
      <c r="U95" t="s">
        <v>6557</v>
      </c>
      <c r="W95" t="s">
        <v>236</v>
      </c>
      <c r="X95">
        <v>1300</v>
      </c>
      <c r="Y95" t="s">
        <v>6605</v>
      </c>
      <c r="AB95" t="s">
        <v>6749</v>
      </c>
      <c r="AD95" t="s">
        <v>9182</v>
      </c>
      <c r="AE95">
        <v>4</v>
      </c>
      <c r="AH95">
        <v>7</v>
      </c>
      <c r="AI95">
        <v>1</v>
      </c>
      <c r="AJ95">
        <v>0</v>
      </c>
      <c r="AK95">
        <v>60.7</v>
      </c>
      <c r="AN95" t="s">
        <v>11050</v>
      </c>
      <c r="AO95">
        <v>7320</v>
      </c>
      <c r="AU95">
        <v>1</v>
      </c>
      <c r="AV95" t="s">
        <v>308</v>
      </c>
      <c r="AW95" t="s">
        <v>11515</v>
      </c>
    </row>
    <row r="96" spans="1:49">
      <c r="A96" s="1">
        <f>HYPERLINK("https://cms.ls-nyc.org/matter/dynamic-profile/view/1866492","18-1866492")</f>
        <v>0</v>
      </c>
      <c r="B96" t="s">
        <v>66</v>
      </c>
      <c r="C96" t="s">
        <v>234</v>
      </c>
      <c r="D96" t="s">
        <v>268</v>
      </c>
      <c r="E96" t="s">
        <v>677</v>
      </c>
      <c r="F96" t="s">
        <v>928</v>
      </c>
      <c r="G96" t="s">
        <v>2183</v>
      </c>
      <c r="H96" t="s">
        <v>3516</v>
      </c>
      <c r="I96" t="s">
        <v>4735</v>
      </c>
      <c r="J96" t="s">
        <v>5323</v>
      </c>
      <c r="K96">
        <v>10032</v>
      </c>
      <c r="L96" t="s">
        <v>5355</v>
      </c>
      <c r="M96" t="s">
        <v>5355</v>
      </c>
      <c r="N96" t="s">
        <v>5407</v>
      </c>
      <c r="O96" t="s">
        <v>6491</v>
      </c>
      <c r="P96" t="s">
        <v>6524</v>
      </c>
      <c r="Q96" t="s">
        <v>6531</v>
      </c>
      <c r="R96" t="s">
        <v>6539</v>
      </c>
      <c r="S96" t="s">
        <v>5357</v>
      </c>
      <c r="U96" t="s">
        <v>6557</v>
      </c>
      <c r="W96" t="s">
        <v>268</v>
      </c>
      <c r="X96">
        <v>742</v>
      </c>
      <c r="Y96" t="s">
        <v>6608</v>
      </c>
      <c r="Z96" t="s">
        <v>6616</v>
      </c>
      <c r="AA96" t="s">
        <v>6631</v>
      </c>
      <c r="AB96" t="s">
        <v>6750</v>
      </c>
      <c r="AD96" t="s">
        <v>9183</v>
      </c>
      <c r="AE96">
        <v>0</v>
      </c>
      <c r="AF96" t="s">
        <v>8722</v>
      </c>
      <c r="AG96" t="s">
        <v>5406</v>
      </c>
      <c r="AH96">
        <v>20</v>
      </c>
      <c r="AI96">
        <v>2</v>
      </c>
      <c r="AJ96">
        <v>0</v>
      </c>
      <c r="AK96">
        <v>61.24</v>
      </c>
      <c r="AN96" t="s">
        <v>11049</v>
      </c>
      <c r="AO96">
        <v>10080</v>
      </c>
      <c r="AU96">
        <v>5</v>
      </c>
      <c r="AV96" t="s">
        <v>693</v>
      </c>
      <c r="AW96" t="s">
        <v>11496</v>
      </c>
    </row>
    <row r="97" spans="1:50">
      <c r="A97" s="1">
        <f>HYPERLINK("https://cms.ls-nyc.org/matter/dynamic-profile/view/1870733","18-1870733")</f>
        <v>0</v>
      </c>
      <c r="B97" t="s">
        <v>99</v>
      </c>
      <c r="C97" t="s">
        <v>234</v>
      </c>
      <c r="D97" t="s">
        <v>309</v>
      </c>
      <c r="E97" t="s">
        <v>402</v>
      </c>
      <c r="F97" t="s">
        <v>929</v>
      </c>
      <c r="G97" t="s">
        <v>2184</v>
      </c>
      <c r="H97" t="s">
        <v>3517</v>
      </c>
      <c r="I97">
        <v>3</v>
      </c>
      <c r="J97" t="s">
        <v>5320</v>
      </c>
      <c r="K97">
        <v>11233</v>
      </c>
      <c r="L97" t="s">
        <v>5355</v>
      </c>
      <c r="M97" t="s">
        <v>5356</v>
      </c>
      <c r="N97" t="s">
        <v>5408</v>
      </c>
      <c r="O97" t="s">
        <v>6491</v>
      </c>
      <c r="P97" t="s">
        <v>6524</v>
      </c>
      <c r="Q97" t="s">
        <v>6531</v>
      </c>
      <c r="R97" t="s">
        <v>6539</v>
      </c>
      <c r="U97" t="s">
        <v>6557</v>
      </c>
      <c r="W97" t="s">
        <v>516</v>
      </c>
      <c r="X97">
        <v>900</v>
      </c>
      <c r="Y97" t="s">
        <v>6605</v>
      </c>
      <c r="Z97" t="s">
        <v>6611</v>
      </c>
      <c r="AA97" t="s">
        <v>6631</v>
      </c>
      <c r="AB97" t="s">
        <v>6751</v>
      </c>
      <c r="AD97" t="s">
        <v>9184</v>
      </c>
      <c r="AE97">
        <v>0</v>
      </c>
      <c r="AH97">
        <v>27</v>
      </c>
      <c r="AI97">
        <v>2</v>
      </c>
      <c r="AJ97">
        <v>0</v>
      </c>
      <c r="AK97">
        <v>61.31</v>
      </c>
      <c r="AN97" t="s">
        <v>11050</v>
      </c>
      <c r="AO97">
        <v>10092</v>
      </c>
      <c r="AU97">
        <v>1.2</v>
      </c>
      <c r="AV97" t="s">
        <v>328</v>
      </c>
      <c r="AW97" t="s">
        <v>11503</v>
      </c>
    </row>
    <row r="98" spans="1:50">
      <c r="A98" s="1">
        <f>HYPERLINK("https://cms.ls-nyc.org/matter/dynamic-profile/view/1856752","18-1856752")</f>
        <v>0</v>
      </c>
      <c r="B98" t="s">
        <v>84</v>
      </c>
      <c r="C98" t="s">
        <v>235</v>
      </c>
      <c r="D98" t="s">
        <v>310</v>
      </c>
      <c r="F98" t="s">
        <v>930</v>
      </c>
      <c r="G98" t="s">
        <v>2185</v>
      </c>
      <c r="H98" t="s">
        <v>3518</v>
      </c>
      <c r="I98" t="s">
        <v>4790</v>
      </c>
      <c r="J98" t="s">
        <v>5320</v>
      </c>
      <c r="K98">
        <v>11233</v>
      </c>
      <c r="L98" t="s">
        <v>5357</v>
      </c>
      <c r="M98" t="s">
        <v>5356</v>
      </c>
      <c r="P98" t="s">
        <v>6524</v>
      </c>
      <c r="R98" t="s">
        <v>6539</v>
      </c>
      <c r="U98" t="s">
        <v>6557</v>
      </c>
      <c r="W98" t="s">
        <v>262</v>
      </c>
      <c r="X98">
        <v>2000</v>
      </c>
      <c r="Y98" t="s">
        <v>6605</v>
      </c>
      <c r="Z98" t="s">
        <v>6609</v>
      </c>
      <c r="AB98" t="s">
        <v>6752</v>
      </c>
      <c r="AD98" t="s">
        <v>9185</v>
      </c>
      <c r="AE98">
        <v>3</v>
      </c>
      <c r="AG98" t="s">
        <v>11020</v>
      </c>
      <c r="AH98">
        <v>2</v>
      </c>
      <c r="AI98">
        <v>2</v>
      </c>
      <c r="AJ98">
        <v>4</v>
      </c>
      <c r="AK98">
        <v>61.69</v>
      </c>
      <c r="AN98" t="s">
        <v>11050</v>
      </c>
      <c r="AO98">
        <v>20332</v>
      </c>
      <c r="AU98">
        <v>0.5</v>
      </c>
      <c r="AV98" t="s">
        <v>310</v>
      </c>
      <c r="AW98" t="s">
        <v>11504</v>
      </c>
    </row>
    <row r="99" spans="1:50">
      <c r="A99" s="1">
        <f>HYPERLINK("https://cms.ls-nyc.org/matter/dynamic-profile/view/1893331","19-1893331")</f>
        <v>0</v>
      </c>
      <c r="B99" t="s">
        <v>99</v>
      </c>
      <c r="C99" t="s">
        <v>234</v>
      </c>
      <c r="D99" t="s">
        <v>311</v>
      </c>
      <c r="E99" t="s">
        <v>702</v>
      </c>
      <c r="F99" t="s">
        <v>931</v>
      </c>
      <c r="G99" t="s">
        <v>937</v>
      </c>
      <c r="H99" t="s">
        <v>3519</v>
      </c>
      <c r="I99" t="s">
        <v>4768</v>
      </c>
      <c r="J99" t="s">
        <v>5320</v>
      </c>
      <c r="K99">
        <v>11212</v>
      </c>
      <c r="L99" t="s">
        <v>5355</v>
      </c>
      <c r="M99" t="s">
        <v>5355</v>
      </c>
      <c r="N99" t="s">
        <v>5409</v>
      </c>
      <c r="O99" t="s">
        <v>6494</v>
      </c>
      <c r="P99" t="s">
        <v>6524</v>
      </c>
      <c r="Q99" t="s">
        <v>6531</v>
      </c>
      <c r="R99" t="s">
        <v>6539</v>
      </c>
      <c r="S99" t="s">
        <v>5355</v>
      </c>
      <c r="U99" t="s">
        <v>6557</v>
      </c>
      <c r="V99" t="s">
        <v>6566</v>
      </c>
      <c r="W99" t="s">
        <v>612</v>
      </c>
      <c r="X99">
        <v>1386</v>
      </c>
      <c r="Y99" t="s">
        <v>6605</v>
      </c>
      <c r="Z99" t="s">
        <v>6612</v>
      </c>
      <c r="AA99" t="s">
        <v>6631</v>
      </c>
      <c r="AB99" t="s">
        <v>6753</v>
      </c>
      <c r="AE99">
        <v>38</v>
      </c>
      <c r="AF99" t="s">
        <v>11005</v>
      </c>
      <c r="AG99" t="s">
        <v>6493</v>
      </c>
      <c r="AH99">
        <v>4</v>
      </c>
      <c r="AI99">
        <v>1</v>
      </c>
      <c r="AJ99">
        <v>0</v>
      </c>
      <c r="AK99">
        <v>62.45</v>
      </c>
      <c r="AN99" t="s">
        <v>11050</v>
      </c>
      <c r="AO99">
        <v>7800</v>
      </c>
      <c r="AU99">
        <v>0.1</v>
      </c>
      <c r="AV99" t="s">
        <v>702</v>
      </c>
      <c r="AW99" t="s">
        <v>11516</v>
      </c>
      <c r="AX99" t="s">
        <v>11564</v>
      </c>
    </row>
    <row r="100" spans="1:50">
      <c r="A100" s="1">
        <f>HYPERLINK("https://cms.ls-nyc.org/matter/dynamic-profile/view/1865950","18-1865950")</f>
        <v>0</v>
      </c>
      <c r="B100" t="s">
        <v>100</v>
      </c>
      <c r="C100" t="s">
        <v>234</v>
      </c>
      <c r="D100" t="s">
        <v>312</v>
      </c>
      <c r="E100" t="s">
        <v>703</v>
      </c>
      <c r="F100" t="s">
        <v>932</v>
      </c>
      <c r="G100" t="s">
        <v>2120</v>
      </c>
      <c r="H100" t="s">
        <v>3520</v>
      </c>
      <c r="I100" t="s">
        <v>4781</v>
      </c>
      <c r="J100" t="s">
        <v>5320</v>
      </c>
      <c r="K100">
        <v>11212</v>
      </c>
      <c r="L100" t="s">
        <v>5355</v>
      </c>
      <c r="M100" t="s">
        <v>5356</v>
      </c>
      <c r="N100" t="s">
        <v>5410</v>
      </c>
      <c r="O100" t="s">
        <v>6492</v>
      </c>
      <c r="P100" t="s">
        <v>6524</v>
      </c>
      <c r="Q100" t="s">
        <v>6531</v>
      </c>
      <c r="R100" t="s">
        <v>6539</v>
      </c>
      <c r="U100" t="s">
        <v>6557</v>
      </c>
      <c r="W100" t="s">
        <v>298</v>
      </c>
      <c r="X100">
        <v>1500</v>
      </c>
      <c r="Y100" t="s">
        <v>6605</v>
      </c>
      <c r="Z100" t="s">
        <v>6611</v>
      </c>
      <c r="AA100" t="s">
        <v>6631</v>
      </c>
      <c r="AB100" t="s">
        <v>6754</v>
      </c>
      <c r="AE100">
        <v>4</v>
      </c>
      <c r="AF100" t="s">
        <v>11009</v>
      </c>
      <c r="AH100">
        <v>5</v>
      </c>
      <c r="AI100">
        <v>1</v>
      </c>
      <c r="AJ100">
        <v>0</v>
      </c>
      <c r="AK100">
        <v>64.25</v>
      </c>
      <c r="AN100" t="s">
        <v>11050</v>
      </c>
      <c r="AO100">
        <v>7800</v>
      </c>
      <c r="AU100">
        <v>2.75</v>
      </c>
      <c r="AV100" t="s">
        <v>382</v>
      </c>
      <c r="AW100" t="s">
        <v>11487</v>
      </c>
    </row>
    <row r="101" spans="1:50">
      <c r="A101" s="1">
        <f>HYPERLINK("https://cms.ls-nyc.org/matter/dynamic-profile/view/1869693","18-1869693")</f>
        <v>0</v>
      </c>
      <c r="B101" t="s">
        <v>80</v>
      </c>
      <c r="C101" t="s">
        <v>234</v>
      </c>
      <c r="D101" t="s">
        <v>275</v>
      </c>
      <c r="E101" t="s">
        <v>652</v>
      </c>
      <c r="F101" t="s">
        <v>933</v>
      </c>
      <c r="G101" t="s">
        <v>2186</v>
      </c>
      <c r="H101" t="s">
        <v>3521</v>
      </c>
      <c r="I101" t="s">
        <v>4791</v>
      </c>
      <c r="J101" t="s">
        <v>5321</v>
      </c>
      <c r="K101">
        <v>10452</v>
      </c>
      <c r="L101" t="s">
        <v>5355</v>
      </c>
      <c r="M101" t="s">
        <v>5356</v>
      </c>
      <c r="O101" t="s">
        <v>5393</v>
      </c>
      <c r="P101" t="s">
        <v>6524</v>
      </c>
      <c r="Q101" t="s">
        <v>6531</v>
      </c>
      <c r="R101" t="s">
        <v>6539</v>
      </c>
      <c r="S101" t="s">
        <v>5357</v>
      </c>
      <c r="U101" t="s">
        <v>6557</v>
      </c>
      <c r="W101" t="s">
        <v>516</v>
      </c>
      <c r="X101">
        <v>1075</v>
      </c>
      <c r="Y101" t="s">
        <v>6606</v>
      </c>
      <c r="Z101" t="s">
        <v>6612</v>
      </c>
      <c r="AA101" t="s">
        <v>6631</v>
      </c>
      <c r="AB101" t="s">
        <v>6755</v>
      </c>
      <c r="AC101" t="s">
        <v>8719</v>
      </c>
      <c r="AD101" t="s">
        <v>9186</v>
      </c>
      <c r="AE101">
        <v>0</v>
      </c>
      <c r="AH101">
        <v>5</v>
      </c>
      <c r="AI101">
        <v>3</v>
      </c>
      <c r="AJ101">
        <v>2</v>
      </c>
      <c r="AK101">
        <v>64.58</v>
      </c>
      <c r="AN101" t="s">
        <v>11049</v>
      </c>
      <c r="AO101">
        <v>19000</v>
      </c>
      <c r="AU101">
        <v>4.75</v>
      </c>
      <c r="AV101" t="s">
        <v>802</v>
      </c>
      <c r="AW101" t="s">
        <v>11505</v>
      </c>
    </row>
    <row r="102" spans="1:50">
      <c r="A102" s="1">
        <f>HYPERLINK("https://cms.ls-nyc.org/matter/dynamic-profile/view/1870968","18-1870968")</f>
        <v>0</v>
      </c>
      <c r="B102" t="s">
        <v>88</v>
      </c>
      <c r="C102" t="s">
        <v>234</v>
      </c>
      <c r="D102" t="s">
        <v>245</v>
      </c>
      <c r="E102" t="s">
        <v>265</v>
      </c>
      <c r="F102" t="s">
        <v>934</v>
      </c>
      <c r="G102" t="s">
        <v>2187</v>
      </c>
      <c r="H102" t="s">
        <v>3522</v>
      </c>
      <c r="I102" t="s">
        <v>4792</v>
      </c>
      <c r="J102" t="s">
        <v>5320</v>
      </c>
      <c r="K102">
        <v>11233</v>
      </c>
      <c r="L102" t="s">
        <v>5355</v>
      </c>
      <c r="M102" t="s">
        <v>5356</v>
      </c>
      <c r="P102" t="s">
        <v>6524</v>
      </c>
      <c r="Q102" t="s">
        <v>6531</v>
      </c>
      <c r="R102" t="s">
        <v>6539</v>
      </c>
      <c r="U102" t="s">
        <v>6557</v>
      </c>
      <c r="W102" t="s">
        <v>245</v>
      </c>
      <c r="X102">
        <v>0</v>
      </c>
      <c r="Y102" t="s">
        <v>6605</v>
      </c>
      <c r="AA102" t="s">
        <v>6631</v>
      </c>
      <c r="AB102" t="s">
        <v>6756</v>
      </c>
      <c r="AE102">
        <v>0</v>
      </c>
      <c r="AH102">
        <v>0</v>
      </c>
      <c r="AI102">
        <v>3</v>
      </c>
      <c r="AJ102">
        <v>3</v>
      </c>
      <c r="AK102">
        <v>64.73</v>
      </c>
      <c r="AN102" t="s">
        <v>11049</v>
      </c>
      <c r="AO102">
        <v>21840</v>
      </c>
      <c r="AU102">
        <v>2</v>
      </c>
      <c r="AV102" t="s">
        <v>740</v>
      </c>
      <c r="AW102" t="s">
        <v>88</v>
      </c>
    </row>
    <row r="103" spans="1:50">
      <c r="A103" s="1">
        <f>HYPERLINK("https://cms.ls-nyc.org/matter/dynamic-profile/view/1870744","18-1870744")</f>
        <v>0</v>
      </c>
      <c r="B103" t="s">
        <v>57</v>
      </c>
      <c r="C103" t="s">
        <v>234</v>
      </c>
      <c r="D103" t="s">
        <v>313</v>
      </c>
      <c r="E103" t="s">
        <v>704</v>
      </c>
      <c r="F103" t="s">
        <v>935</v>
      </c>
      <c r="G103" t="s">
        <v>2188</v>
      </c>
      <c r="H103" t="s">
        <v>3523</v>
      </c>
      <c r="J103" t="s">
        <v>5321</v>
      </c>
      <c r="K103">
        <v>10452</v>
      </c>
      <c r="L103" t="s">
        <v>5355</v>
      </c>
      <c r="M103" t="s">
        <v>5356</v>
      </c>
      <c r="O103" t="s">
        <v>5393</v>
      </c>
      <c r="P103" t="s">
        <v>6524</v>
      </c>
      <c r="Q103" t="s">
        <v>6532</v>
      </c>
      <c r="R103" t="s">
        <v>6540</v>
      </c>
      <c r="S103" t="s">
        <v>5357</v>
      </c>
      <c r="U103" t="s">
        <v>6557</v>
      </c>
      <c r="W103" t="s">
        <v>313</v>
      </c>
      <c r="X103">
        <v>0</v>
      </c>
      <c r="Y103" t="s">
        <v>6606</v>
      </c>
      <c r="Z103" t="s">
        <v>6610</v>
      </c>
      <c r="AA103" t="s">
        <v>6631</v>
      </c>
      <c r="AB103" t="s">
        <v>6757</v>
      </c>
      <c r="AD103" t="s">
        <v>9187</v>
      </c>
      <c r="AE103">
        <v>6</v>
      </c>
      <c r="AF103" t="s">
        <v>11005</v>
      </c>
      <c r="AG103" t="s">
        <v>5406</v>
      </c>
      <c r="AH103">
        <v>0</v>
      </c>
      <c r="AI103">
        <v>1</v>
      </c>
      <c r="AJ103">
        <v>1</v>
      </c>
      <c r="AK103">
        <v>65.61</v>
      </c>
      <c r="AN103" t="s">
        <v>11049</v>
      </c>
      <c r="AO103">
        <v>10800</v>
      </c>
      <c r="AU103">
        <v>2</v>
      </c>
      <c r="AV103" t="s">
        <v>680</v>
      </c>
      <c r="AW103" t="s">
        <v>57</v>
      </c>
    </row>
    <row r="104" spans="1:50">
      <c r="A104" s="1">
        <f>HYPERLINK("https://cms.ls-nyc.org/matter/dynamic-profile/view/1849887","17-1849887")</f>
        <v>0</v>
      </c>
      <c r="B104" t="s">
        <v>53</v>
      </c>
      <c r="C104" t="s">
        <v>234</v>
      </c>
      <c r="D104" t="s">
        <v>314</v>
      </c>
      <c r="E104" t="s">
        <v>665</v>
      </c>
      <c r="F104" t="s">
        <v>936</v>
      </c>
      <c r="G104" t="s">
        <v>2189</v>
      </c>
      <c r="H104" t="s">
        <v>3524</v>
      </c>
      <c r="I104">
        <v>4</v>
      </c>
      <c r="J104" t="s">
        <v>5320</v>
      </c>
      <c r="K104">
        <v>11233</v>
      </c>
      <c r="L104" t="s">
        <v>5357</v>
      </c>
      <c r="M104" t="s">
        <v>5356</v>
      </c>
      <c r="P104" t="s">
        <v>6524</v>
      </c>
      <c r="Q104" t="s">
        <v>6531</v>
      </c>
      <c r="R104" t="s">
        <v>6539</v>
      </c>
      <c r="U104" t="s">
        <v>6557</v>
      </c>
      <c r="W104" t="s">
        <v>372</v>
      </c>
      <c r="X104">
        <v>0</v>
      </c>
      <c r="Y104" t="s">
        <v>6605</v>
      </c>
      <c r="AA104" t="s">
        <v>6631</v>
      </c>
      <c r="AB104" t="s">
        <v>6758</v>
      </c>
      <c r="AD104" t="s">
        <v>9188</v>
      </c>
      <c r="AE104">
        <v>8</v>
      </c>
      <c r="AH104">
        <v>0</v>
      </c>
      <c r="AI104">
        <v>2</v>
      </c>
      <c r="AJ104">
        <v>2</v>
      </c>
      <c r="AK104">
        <v>67.22</v>
      </c>
      <c r="AN104" t="s">
        <v>11050</v>
      </c>
      <c r="AO104">
        <v>16536</v>
      </c>
      <c r="AU104">
        <v>3.05</v>
      </c>
      <c r="AV104" t="s">
        <v>11433</v>
      </c>
      <c r="AW104" t="s">
        <v>53</v>
      </c>
    </row>
    <row r="105" spans="1:50">
      <c r="A105" s="1">
        <f>HYPERLINK("https://cms.ls-nyc.org/matter/dynamic-profile/view/1868925","18-1868925")</f>
        <v>0</v>
      </c>
      <c r="B105" t="s">
        <v>101</v>
      </c>
      <c r="C105" t="s">
        <v>234</v>
      </c>
      <c r="D105" t="s">
        <v>315</v>
      </c>
      <c r="E105" t="s">
        <v>705</v>
      </c>
      <c r="F105" t="s">
        <v>937</v>
      </c>
      <c r="G105" t="s">
        <v>2190</v>
      </c>
      <c r="H105" t="s">
        <v>3525</v>
      </c>
      <c r="I105" t="s">
        <v>4793</v>
      </c>
      <c r="J105" t="s">
        <v>5320</v>
      </c>
      <c r="K105">
        <v>11207</v>
      </c>
      <c r="L105" t="s">
        <v>5355</v>
      </c>
      <c r="M105" t="s">
        <v>5356</v>
      </c>
      <c r="N105" t="s">
        <v>5411</v>
      </c>
      <c r="O105" t="s">
        <v>6491</v>
      </c>
      <c r="P105" t="s">
        <v>6524</v>
      </c>
      <c r="Q105" t="s">
        <v>6531</v>
      </c>
      <c r="R105" t="s">
        <v>6539</v>
      </c>
      <c r="S105" t="s">
        <v>5357</v>
      </c>
      <c r="U105" t="s">
        <v>6557</v>
      </c>
      <c r="W105" t="s">
        <v>345</v>
      </c>
      <c r="X105">
        <v>300</v>
      </c>
      <c r="Y105" t="s">
        <v>6605</v>
      </c>
      <c r="AA105" t="s">
        <v>6631</v>
      </c>
      <c r="AB105" t="s">
        <v>6759</v>
      </c>
      <c r="AD105" t="s">
        <v>9189</v>
      </c>
      <c r="AE105">
        <v>3</v>
      </c>
      <c r="AF105" t="s">
        <v>11004</v>
      </c>
      <c r="AH105">
        <v>2</v>
      </c>
      <c r="AI105">
        <v>2</v>
      </c>
      <c r="AJ105">
        <v>1</v>
      </c>
      <c r="AK105">
        <v>67.37</v>
      </c>
      <c r="AN105" t="s">
        <v>11050</v>
      </c>
      <c r="AO105">
        <v>14000</v>
      </c>
      <c r="AU105">
        <v>2.75</v>
      </c>
      <c r="AV105" t="s">
        <v>307</v>
      </c>
      <c r="AW105" t="s">
        <v>11517</v>
      </c>
    </row>
    <row r="106" spans="1:50">
      <c r="A106" s="1">
        <f>HYPERLINK("https://cms.ls-nyc.org/matter/dynamic-profile/view/1859516","18-1859516")</f>
        <v>0</v>
      </c>
      <c r="B106" t="s">
        <v>102</v>
      </c>
      <c r="C106" t="s">
        <v>234</v>
      </c>
      <c r="D106" t="s">
        <v>316</v>
      </c>
      <c r="E106" t="s">
        <v>665</v>
      </c>
      <c r="F106" t="s">
        <v>938</v>
      </c>
      <c r="G106" t="s">
        <v>2191</v>
      </c>
      <c r="H106" t="s">
        <v>3526</v>
      </c>
      <c r="I106">
        <v>306</v>
      </c>
      <c r="J106" t="s">
        <v>5321</v>
      </c>
      <c r="K106">
        <v>10453</v>
      </c>
      <c r="L106" t="s">
        <v>5355</v>
      </c>
      <c r="M106" t="s">
        <v>5356</v>
      </c>
      <c r="O106" t="s">
        <v>6499</v>
      </c>
      <c r="P106" t="s">
        <v>6524</v>
      </c>
      <c r="Q106" t="s">
        <v>6531</v>
      </c>
      <c r="R106" t="s">
        <v>6539</v>
      </c>
      <c r="S106" t="s">
        <v>5355</v>
      </c>
      <c r="U106" t="s">
        <v>6557</v>
      </c>
      <c r="W106" t="s">
        <v>336</v>
      </c>
      <c r="X106">
        <v>930.66</v>
      </c>
      <c r="Y106" t="s">
        <v>6606</v>
      </c>
      <c r="Z106" t="s">
        <v>6622</v>
      </c>
      <c r="AA106" t="s">
        <v>6631</v>
      </c>
      <c r="AB106" t="s">
        <v>6760</v>
      </c>
      <c r="AC106" t="s">
        <v>8720</v>
      </c>
      <c r="AE106">
        <v>146</v>
      </c>
      <c r="AF106" t="s">
        <v>11005</v>
      </c>
      <c r="AG106" t="s">
        <v>11023</v>
      </c>
      <c r="AH106">
        <v>9</v>
      </c>
      <c r="AI106">
        <v>1</v>
      </c>
      <c r="AJ106">
        <v>2</v>
      </c>
      <c r="AK106">
        <v>67.56</v>
      </c>
      <c r="AN106" t="s">
        <v>11049</v>
      </c>
      <c r="AO106">
        <v>14040</v>
      </c>
      <c r="AU106">
        <v>1.6</v>
      </c>
      <c r="AV106" t="s">
        <v>600</v>
      </c>
      <c r="AW106" t="s">
        <v>11492</v>
      </c>
    </row>
    <row r="107" spans="1:50">
      <c r="A107" s="1">
        <f>HYPERLINK("https://cms.ls-nyc.org/matter/dynamic-profile/view/1858001","18-1858001")</f>
        <v>0</v>
      </c>
      <c r="B107" t="s">
        <v>52</v>
      </c>
      <c r="C107" t="s">
        <v>234</v>
      </c>
      <c r="D107" t="s">
        <v>272</v>
      </c>
      <c r="E107" t="s">
        <v>667</v>
      </c>
      <c r="F107" t="s">
        <v>939</v>
      </c>
      <c r="G107" t="s">
        <v>2192</v>
      </c>
      <c r="H107" t="s">
        <v>3527</v>
      </c>
      <c r="I107" t="s">
        <v>4794</v>
      </c>
      <c r="J107" t="s">
        <v>5324</v>
      </c>
      <c r="K107">
        <v>11355</v>
      </c>
      <c r="L107" t="s">
        <v>5355</v>
      </c>
      <c r="M107" t="s">
        <v>5355</v>
      </c>
      <c r="N107" t="s">
        <v>5392</v>
      </c>
      <c r="O107" t="s">
        <v>5393</v>
      </c>
      <c r="P107" t="s">
        <v>6524</v>
      </c>
      <c r="Q107" t="s">
        <v>6531</v>
      </c>
      <c r="R107" t="s">
        <v>6539</v>
      </c>
      <c r="S107" t="s">
        <v>5357</v>
      </c>
      <c r="U107" t="s">
        <v>6562</v>
      </c>
      <c r="V107" t="s">
        <v>6566</v>
      </c>
      <c r="W107" t="s">
        <v>272</v>
      </c>
      <c r="X107">
        <v>0</v>
      </c>
      <c r="Y107" t="s">
        <v>6604</v>
      </c>
      <c r="Z107" t="s">
        <v>6620</v>
      </c>
      <c r="AA107" t="s">
        <v>6638</v>
      </c>
      <c r="AB107" t="s">
        <v>6761</v>
      </c>
      <c r="AD107" t="s">
        <v>9190</v>
      </c>
      <c r="AE107">
        <v>60</v>
      </c>
      <c r="AF107" t="s">
        <v>11004</v>
      </c>
      <c r="AG107" t="s">
        <v>5406</v>
      </c>
      <c r="AH107">
        <v>1</v>
      </c>
      <c r="AI107">
        <v>2</v>
      </c>
      <c r="AJ107">
        <v>0</v>
      </c>
      <c r="AK107">
        <v>67.73</v>
      </c>
      <c r="AN107" t="s">
        <v>11053</v>
      </c>
      <c r="AO107">
        <v>11000</v>
      </c>
      <c r="AP107" t="s">
        <v>11077</v>
      </c>
      <c r="AU107">
        <v>1</v>
      </c>
      <c r="AV107" t="s">
        <v>758</v>
      </c>
      <c r="AW107" t="s">
        <v>52</v>
      </c>
    </row>
    <row r="108" spans="1:50">
      <c r="A108" s="1">
        <f>HYPERLINK("https://cms.ls-nyc.org/matter/dynamic-profile/view/1859402","18-1859402")</f>
        <v>0</v>
      </c>
      <c r="B108" t="s">
        <v>102</v>
      </c>
      <c r="C108" t="s">
        <v>234</v>
      </c>
      <c r="D108" t="s">
        <v>284</v>
      </c>
      <c r="E108" t="s">
        <v>665</v>
      </c>
      <c r="F108" t="s">
        <v>940</v>
      </c>
      <c r="G108" t="s">
        <v>2193</v>
      </c>
      <c r="H108" t="s">
        <v>3526</v>
      </c>
      <c r="I108">
        <v>601</v>
      </c>
      <c r="J108" t="s">
        <v>5321</v>
      </c>
      <c r="K108">
        <v>10453</v>
      </c>
      <c r="L108" t="s">
        <v>5355</v>
      </c>
      <c r="M108" t="s">
        <v>5356</v>
      </c>
      <c r="O108" t="s">
        <v>6499</v>
      </c>
      <c r="P108" t="s">
        <v>6524</v>
      </c>
      <c r="Q108" t="s">
        <v>6531</v>
      </c>
      <c r="R108" t="s">
        <v>6539</v>
      </c>
      <c r="S108" t="s">
        <v>5355</v>
      </c>
      <c r="U108" t="s">
        <v>6557</v>
      </c>
      <c r="W108" t="s">
        <v>336</v>
      </c>
      <c r="X108">
        <v>981.3099999999999</v>
      </c>
      <c r="Y108" t="s">
        <v>6606</v>
      </c>
      <c r="Z108" t="s">
        <v>6622</v>
      </c>
      <c r="AA108" t="s">
        <v>6631</v>
      </c>
      <c r="AB108" t="s">
        <v>6762</v>
      </c>
      <c r="AD108" t="s">
        <v>9191</v>
      </c>
      <c r="AE108">
        <v>146</v>
      </c>
      <c r="AF108" t="s">
        <v>11005</v>
      </c>
      <c r="AG108" t="s">
        <v>11020</v>
      </c>
      <c r="AH108">
        <v>40</v>
      </c>
      <c r="AI108">
        <v>1</v>
      </c>
      <c r="AJ108">
        <v>0</v>
      </c>
      <c r="AK108">
        <v>68.34999999999999</v>
      </c>
      <c r="AN108" t="s">
        <v>11049</v>
      </c>
      <c r="AO108">
        <v>8298</v>
      </c>
      <c r="AU108">
        <v>0.6</v>
      </c>
      <c r="AV108" t="s">
        <v>257</v>
      </c>
      <c r="AW108" t="s">
        <v>11492</v>
      </c>
    </row>
    <row r="109" spans="1:50">
      <c r="A109" s="1">
        <f>HYPERLINK("https://cms.ls-nyc.org/matter/dynamic-profile/view/1867492","18-1867492")</f>
        <v>0</v>
      </c>
      <c r="B109" t="s">
        <v>62</v>
      </c>
      <c r="C109" t="s">
        <v>234</v>
      </c>
      <c r="D109" t="s">
        <v>317</v>
      </c>
      <c r="E109" t="s">
        <v>684</v>
      </c>
      <c r="F109" t="s">
        <v>941</v>
      </c>
      <c r="G109" t="s">
        <v>2194</v>
      </c>
      <c r="H109" t="s">
        <v>3528</v>
      </c>
      <c r="I109" t="s">
        <v>4795</v>
      </c>
      <c r="J109" t="s">
        <v>5322</v>
      </c>
      <c r="K109">
        <v>10304</v>
      </c>
      <c r="L109" t="s">
        <v>5357</v>
      </c>
      <c r="M109" t="s">
        <v>5356</v>
      </c>
      <c r="O109" t="s">
        <v>5393</v>
      </c>
      <c r="P109" t="s">
        <v>6524</v>
      </c>
      <c r="Q109" t="s">
        <v>6531</v>
      </c>
      <c r="R109" t="s">
        <v>6540</v>
      </c>
      <c r="S109" t="s">
        <v>5357</v>
      </c>
      <c r="U109" t="s">
        <v>6557</v>
      </c>
      <c r="W109" t="s">
        <v>317</v>
      </c>
      <c r="X109">
        <v>0</v>
      </c>
      <c r="Y109" t="s">
        <v>6607</v>
      </c>
      <c r="Z109" t="s">
        <v>6610</v>
      </c>
      <c r="AA109" t="s">
        <v>6631</v>
      </c>
      <c r="AB109" t="s">
        <v>6763</v>
      </c>
      <c r="AD109" t="s">
        <v>9192</v>
      </c>
      <c r="AE109">
        <v>6</v>
      </c>
      <c r="AF109" t="s">
        <v>11004</v>
      </c>
      <c r="AG109" t="s">
        <v>5406</v>
      </c>
      <c r="AH109">
        <v>5</v>
      </c>
      <c r="AI109">
        <v>2</v>
      </c>
      <c r="AJ109">
        <v>1</v>
      </c>
      <c r="AK109">
        <v>68.68000000000001</v>
      </c>
      <c r="AN109" t="s">
        <v>11050</v>
      </c>
      <c r="AO109">
        <v>14272</v>
      </c>
      <c r="AU109">
        <v>0.4</v>
      </c>
      <c r="AV109" t="s">
        <v>684</v>
      </c>
      <c r="AW109" t="s">
        <v>62</v>
      </c>
    </row>
    <row r="110" spans="1:50">
      <c r="A110" s="1">
        <f>HYPERLINK("https://cms.ls-nyc.org/matter/dynamic-profile/view/1868682","18-1868682")</f>
        <v>0</v>
      </c>
      <c r="B110" t="s">
        <v>71</v>
      </c>
      <c r="C110" t="s">
        <v>234</v>
      </c>
      <c r="D110" t="s">
        <v>318</v>
      </c>
      <c r="E110" t="s">
        <v>652</v>
      </c>
      <c r="F110" t="s">
        <v>855</v>
      </c>
      <c r="G110" t="s">
        <v>1484</v>
      </c>
      <c r="H110" t="s">
        <v>3529</v>
      </c>
      <c r="I110" t="s">
        <v>4796</v>
      </c>
      <c r="J110" t="s">
        <v>5321</v>
      </c>
      <c r="K110">
        <v>10458</v>
      </c>
      <c r="L110" t="s">
        <v>5355</v>
      </c>
      <c r="M110" t="s">
        <v>5356</v>
      </c>
      <c r="O110" t="s">
        <v>6498</v>
      </c>
      <c r="P110" t="s">
        <v>6524</v>
      </c>
      <c r="Q110" t="s">
        <v>6531</v>
      </c>
      <c r="R110" t="s">
        <v>6539</v>
      </c>
      <c r="S110" t="s">
        <v>5357</v>
      </c>
      <c r="U110" t="s">
        <v>6557</v>
      </c>
      <c r="W110" t="s">
        <v>516</v>
      </c>
      <c r="X110">
        <v>650</v>
      </c>
      <c r="Y110" t="s">
        <v>6606</v>
      </c>
      <c r="Z110" t="s">
        <v>6620</v>
      </c>
      <c r="AA110" t="s">
        <v>6631</v>
      </c>
      <c r="AB110" t="s">
        <v>6764</v>
      </c>
      <c r="AD110" t="s">
        <v>9193</v>
      </c>
      <c r="AE110">
        <v>0</v>
      </c>
      <c r="AG110" t="s">
        <v>11024</v>
      </c>
      <c r="AH110">
        <v>26</v>
      </c>
      <c r="AI110">
        <v>1</v>
      </c>
      <c r="AJ110">
        <v>0</v>
      </c>
      <c r="AK110">
        <v>69.19</v>
      </c>
      <c r="AN110" t="s">
        <v>11050</v>
      </c>
      <c r="AO110">
        <v>8400</v>
      </c>
      <c r="AU110">
        <v>0.3</v>
      </c>
      <c r="AV110" t="s">
        <v>652</v>
      </c>
      <c r="AW110" t="s">
        <v>71</v>
      </c>
    </row>
    <row r="111" spans="1:50">
      <c r="A111" s="1">
        <f>HYPERLINK("https://cms.ls-nyc.org/matter/dynamic-profile/view/1867062","18-1867062")</f>
        <v>0</v>
      </c>
      <c r="B111" t="s">
        <v>103</v>
      </c>
      <c r="C111" t="s">
        <v>234</v>
      </c>
      <c r="D111" t="s">
        <v>244</v>
      </c>
      <c r="E111" t="s">
        <v>674</v>
      </c>
      <c r="F111" t="s">
        <v>942</v>
      </c>
      <c r="G111" t="s">
        <v>2195</v>
      </c>
      <c r="H111" t="s">
        <v>3530</v>
      </c>
      <c r="I111" t="s">
        <v>4735</v>
      </c>
      <c r="J111" t="s">
        <v>5321</v>
      </c>
      <c r="K111">
        <v>10456</v>
      </c>
      <c r="L111" t="s">
        <v>5355</v>
      </c>
      <c r="M111" t="s">
        <v>5355</v>
      </c>
      <c r="O111" t="s">
        <v>6491</v>
      </c>
      <c r="P111" t="s">
        <v>6524</v>
      </c>
      <c r="Q111" t="s">
        <v>6531</v>
      </c>
      <c r="R111" t="s">
        <v>6539</v>
      </c>
      <c r="S111" t="s">
        <v>5357</v>
      </c>
      <c r="U111" t="s">
        <v>6557</v>
      </c>
      <c r="W111" t="s">
        <v>6574</v>
      </c>
      <c r="X111">
        <v>300</v>
      </c>
      <c r="Y111" t="s">
        <v>6606</v>
      </c>
      <c r="Z111" t="s">
        <v>6612</v>
      </c>
      <c r="AA111" t="s">
        <v>6631</v>
      </c>
      <c r="AB111" t="s">
        <v>6765</v>
      </c>
      <c r="AD111" t="s">
        <v>9194</v>
      </c>
      <c r="AE111">
        <v>0</v>
      </c>
      <c r="AF111" t="s">
        <v>11004</v>
      </c>
      <c r="AG111" t="s">
        <v>5406</v>
      </c>
      <c r="AH111">
        <v>7</v>
      </c>
      <c r="AI111">
        <v>1</v>
      </c>
      <c r="AJ111">
        <v>0</v>
      </c>
      <c r="AK111">
        <v>69.19</v>
      </c>
      <c r="AN111" t="s">
        <v>11050</v>
      </c>
      <c r="AO111">
        <v>8400</v>
      </c>
      <c r="AU111">
        <v>0.1</v>
      </c>
      <c r="AV111" t="s">
        <v>674</v>
      </c>
      <c r="AW111" t="s">
        <v>103</v>
      </c>
    </row>
    <row r="112" spans="1:50">
      <c r="A112" s="1">
        <f>HYPERLINK("https://cms.ls-nyc.org/matter/dynamic-profile/view/1860431","18-1860431")</f>
        <v>0</v>
      </c>
      <c r="B112" t="s">
        <v>66</v>
      </c>
      <c r="C112" t="s">
        <v>234</v>
      </c>
      <c r="D112" t="s">
        <v>319</v>
      </c>
      <c r="E112" t="s">
        <v>517</v>
      </c>
      <c r="F112" t="s">
        <v>943</v>
      </c>
      <c r="G112" t="s">
        <v>2135</v>
      </c>
      <c r="H112" t="s">
        <v>3531</v>
      </c>
      <c r="I112" t="s">
        <v>4797</v>
      </c>
      <c r="J112" t="s">
        <v>5323</v>
      </c>
      <c r="K112">
        <v>10014</v>
      </c>
      <c r="L112" t="s">
        <v>5355</v>
      </c>
      <c r="M112" t="s">
        <v>5355</v>
      </c>
      <c r="N112" t="s">
        <v>5412</v>
      </c>
      <c r="O112" t="s">
        <v>6492</v>
      </c>
      <c r="P112" t="s">
        <v>6524</v>
      </c>
      <c r="Q112" t="s">
        <v>6531</v>
      </c>
      <c r="R112" t="s">
        <v>6539</v>
      </c>
      <c r="S112" t="s">
        <v>5357</v>
      </c>
      <c r="U112" t="s">
        <v>6557</v>
      </c>
      <c r="W112" t="s">
        <v>298</v>
      </c>
      <c r="X112">
        <v>968</v>
      </c>
      <c r="Y112" t="s">
        <v>6608</v>
      </c>
      <c r="Z112" t="s">
        <v>6624</v>
      </c>
      <c r="AA112" t="s">
        <v>6631</v>
      </c>
      <c r="AB112" t="s">
        <v>6766</v>
      </c>
      <c r="AD112" t="s">
        <v>9195</v>
      </c>
      <c r="AE112">
        <v>0</v>
      </c>
      <c r="AF112" t="s">
        <v>11005</v>
      </c>
      <c r="AG112" t="s">
        <v>5406</v>
      </c>
      <c r="AH112">
        <v>40</v>
      </c>
      <c r="AI112">
        <v>1</v>
      </c>
      <c r="AJ112">
        <v>0</v>
      </c>
      <c r="AK112">
        <v>70.25</v>
      </c>
      <c r="AN112" t="s">
        <v>11050</v>
      </c>
      <c r="AO112">
        <v>8472</v>
      </c>
      <c r="AU112">
        <v>0.5</v>
      </c>
      <c r="AV112" t="s">
        <v>673</v>
      </c>
      <c r="AW112" t="s">
        <v>11494</v>
      </c>
    </row>
    <row r="113" spans="1:49">
      <c r="A113" s="1">
        <f>HYPERLINK("https://cms.ls-nyc.org/matter/dynamic-profile/view/1867462","18-1867462")</f>
        <v>0</v>
      </c>
      <c r="B113" t="s">
        <v>104</v>
      </c>
      <c r="C113" t="s">
        <v>234</v>
      </c>
      <c r="D113" t="s">
        <v>320</v>
      </c>
      <c r="E113" t="s">
        <v>706</v>
      </c>
      <c r="F113" t="s">
        <v>944</v>
      </c>
      <c r="G113" t="s">
        <v>2196</v>
      </c>
      <c r="H113" t="s">
        <v>3532</v>
      </c>
      <c r="I113" t="s">
        <v>4798</v>
      </c>
      <c r="J113" t="s">
        <v>5321</v>
      </c>
      <c r="K113">
        <v>10461</v>
      </c>
      <c r="L113" t="s">
        <v>5355</v>
      </c>
      <c r="M113" t="s">
        <v>5356</v>
      </c>
      <c r="O113" t="s">
        <v>6492</v>
      </c>
      <c r="P113" t="s">
        <v>6524</v>
      </c>
      <c r="Q113" t="s">
        <v>6531</v>
      </c>
      <c r="R113" t="s">
        <v>6539</v>
      </c>
      <c r="S113" t="s">
        <v>5357</v>
      </c>
      <c r="U113" t="s">
        <v>6557</v>
      </c>
      <c r="W113" t="s">
        <v>287</v>
      </c>
      <c r="X113">
        <v>1025</v>
      </c>
      <c r="Y113" t="s">
        <v>6606</v>
      </c>
      <c r="Z113" t="s">
        <v>6625</v>
      </c>
      <c r="AA113" t="s">
        <v>6631</v>
      </c>
      <c r="AB113" t="s">
        <v>6767</v>
      </c>
      <c r="AC113" t="s">
        <v>8721</v>
      </c>
      <c r="AD113" t="s">
        <v>9196</v>
      </c>
      <c r="AE113">
        <v>2</v>
      </c>
      <c r="AF113" t="s">
        <v>11004</v>
      </c>
      <c r="AG113" t="s">
        <v>5406</v>
      </c>
      <c r="AH113">
        <v>27</v>
      </c>
      <c r="AI113">
        <v>2</v>
      </c>
      <c r="AJ113">
        <v>0</v>
      </c>
      <c r="AK113">
        <v>70.72</v>
      </c>
      <c r="AN113" t="s">
        <v>11050</v>
      </c>
      <c r="AO113">
        <v>11640</v>
      </c>
      <c r="AU113">
        <v>4.35</v>
      </c>
      <c r="AV113" t="s">
        <v>352</v>
      </c>
      <c r="AW113" t="s">
        <v>11492</v>
      </c>
    </row>
    <row r="114" spans="1:49">
      <c r="A114" s="1">
        <f>HYPERLINK("https://cms.ls-nyc.org/matter/dynamic-profile/view/1866032","18-1866032")</f>
        <v>0</v>
      </c>
      <c r="B114" t="s">
        <v>57</v>
      </c>
      <c r="C114" t="s">
        <v>234</v>
      </c>
      <c r="D114" t="s">
        <v>239</v>
      </c>
      <c r="E114" t="s">
        <v>541</v>
      </c>
      <c r="F114" t="s">
        <v>945</v>
      </c>
      <c r="G114" t="s">
        <v>2197</v>
      </c>
      <c r="H114" t="s">
        <v>3533</v>
      </c>
      <c r="I114" t="s">
        <v>4799</v>
      </c>
      <c r="J114" t="s">
        <v>5321</v>
      </c>
      <c r="K114">
        <v>10473</v>
      </c>
      <c r="L114" t="s">
        <v>5355</v>
      </c>
      <c r="M114" t="s">
        <v>5356</v>
      </c>
      <c r="O114" t="s">
        <v>5393</v>
      </c>
      <c r="P114" t="s">
        <v>6524</v>
      </c>
      <c r="Q114" t="s">
        <v>6531</v>
      </c>
      <c r="R114" t="s">
        <v>6540</v>
      </c>
      <c r="S114" t="s">
        <v>5357</v>
      </c>
      <c r="U114" t="s">
        <v>6557</v>
      </c>
      <c r="W114" t="s">
        <v>312</v>
      </c>
      <c r="X114">
        <v>900</v>
      </c>
      <c r="Y114" t="s">
        <v>6606</v>
      </c>
      <c r="Z114" t="s">
        <v>6610</v>
      </c>
      <c r="AA114" t="s">
        <v>6631</v>
      </c>
      <c r="AB114" t="s">
        <v>6768</v>
      </c>
      <c r="AD114" t="s">
        <v>9197</v>
      </c>
      <c r="AE114">
        <v>6</v>
      </c>
      <c r="AF114" t="s">
        <v>8722</v>
      </c>
      <c r="AG114" t="s">
        <v>5406</v>
      </c>
      <c r="AH114">
        <v>0</v>
      </c>
      <c r="AI114">
        <v>1</v>
      </c>
      <c r="AJ114">
        <v>0</v>
      </c>
      <c r="AK114">
        <v>70.87</v>
      </c>
      <c r="AL114" t="s">
        <v>11028</v>
      </c>
      <c r="AN114" t="s">
        <v>11050</v>
      </c>
      <c r="AO114">
        <v>8604</v>
      </c>
      <c r="AU114">
        <v>1.6</v>
      </c>
      <c r="AV114" t="s">
        <v>541</v>
      </c>
      <c r="AW114" t="s">
        <v>57</v>
      </c>
    </row>
    <row r="115" spans="1:49">
      <c r="A115" s="1">
        <f>HYPERLINK("https://cms.ls-nyc.org/matter/dynamic-profile/view/1842712","17-1842712")</f>
        <v>0</v>
      </c>
      <c r="B115" t="s">
        <v>92</v>
      </c>
      <c r="C115" t="s">
        <v>235</v>
      </c>
      <c r="D115" t="s">
        <v>321</v>
      </c>
      <c r="F115" t="s">
        <v>937</v>
      </c>
      <c r="G115" t="s">
        <v>2198</v>
      </c>
      <c r="H115" t="s">
        <v>3534</v>
      </c>
      <c r="I115" t="s">
        <v>4800</v>
      </c>
      <c r="J115" t="s">
        <v>5323</v>
      </c>
      <c r="K115">
        <v>10040</v>
      </c>
      <c r="L115" t="s">
        <v>5355</v>
      </c>
      <c r="M115" t="s">
        <v>5356</v>
      </c>
      <c r="O115" t="s">
        <v>5393</v>
      </c>
      <c r="P115" t="s">
        <v>6524</v>
      </c>
      <c r="R115" t="s">
        <v>6539</v>
      </c>
      <c r="S115" t="s">
        <v>5357</v>
      </c>
      <c r="U115" t="s">
        <v>6557</v>
      </c>
      <c r="W115" t="s">
        <v>321</v>
      </c>
      <c r="X115">
        <v>900</v>
      </c>
      <c r="Y115" t="s">
        <v>6608</v>
      </c>
      <c r="Z115" t="s">
        <v>6616</v>
      </c>
      <c r="AB115" t="s">
        <v>6769</v>
      </c>
      <c r="AD115" t="s">
        <v>9198</v>
      </c>
      <c r="AE115">
        <v>43</v>
      </c>
      <c r="AF115" t="s">
        <v>11005</v>
      </c>
      <c r="AG115" t="s">
        <v>5406</v>
      </c>
      <c r="AH115">
        <v>4</v>
      </c>
      <c r="AI115">
        <v>1</v>
      </c>
      <c r="AJ115">
        <v>0</v>
      </c>
      <c r="AK115">
        <v>71.64</v>
      </c>
      <c r="AL115" t="s">
        <v>531</v>
      </c>
      <c r="AN115" t="s">
        <v>11050</v>
      </c>
      <c r="AO115">
        <v>8640</v>
      </c>
      <c r="AU115">
        <v>0.2</v>
      </c>
      <c r="AV115" t="s">
        <v>413</v>
      </c>
      <c r="AW115" t="s">
        <v>11495</v>
      </c>
    </row>
    <row r="116" spans="1:49">
      <c r="A116" s="1">
        <f>HYPERLINK("https://cms.ls-nyc.org/matter/dynamic-profile/view/1870356","18-1870356")</f>
        <v>0</v>
      </c>
      <c r="B116" t="s">
        <v>59</v>
      </c>
      <c r="C116" t="s">
        <v>234</v>
      </c>
      <c r="D116" t="s">
        <v>322</v>
      </c>
      <c r="E116" t="s">
        <v>427</v>
      </c>
      <c r="F116" t="s">
        <v>946</v>
      </c>
      <c r="G116" t="s">
        <v>2199</v>
      </c>
      <c r="H116" t="s">
        <v>3535</v>
      </c>
      <c r="I116" t="s">
        <v>4801</v>
      </c>
      <c r="J116" t="s">
        <v>5321</v>
      </c>
      <c r="K116">
        <v>10472</v>
      </c>
      <c r="L116" t="s">
        <v>5355</v>
      </c>
      <c r="M116" t="s">
        <v>5356</v>
      </c>
      <c r="O116" t="s">
        <v>5393</v>
      </c>
      <c r="P116" t="s">
        <v>6524</v>
      </c>
      <c r="Q116" t="s">
        <v>6531</v>
      </c>
      <c r="R116" t="s">
        <v>6539</v>
      </c>
      <c r="S116" t="s">
        <v>5357</v>
      </c>
      <c r="U116" t="s">
        <v>6557</v>
      </c>
      <c r="W116" t="s">
        <v>516</v>
      </c>
      <c r="X116">
        <v>1384.2</v>
      </c>
      <c r="Y116" t="s">
        <v>6606</v>
      </c>
      <c r="Z116" t="s">
        <v>6612</v>
      </c>
      <c r="AA116" t="s">
        <v>6631</v>
      </c>
      <c r="AB116" t="s">
        <v>6770</v>
      </c>
      <c r="AD116" t="s">
        <v>9199</v>
      </c>
      <c r="AE116">
        <v>90</v>
      </c>
      <c r="AF116" t="s">
        <v>11005</v>
      </c>
      <c r="AG116" t="s">
        <v>11020</v>
      </c>
      <c r="AH116">
        <v>9</v>
      </c>
      <c r="AI116">
        <v>1</v>
      </c>
      <c r="AJ116">
        <v>0</v>
      </c>
      <c r="AK116">
        <v>72.75</v>
      </c>
      <c r="AN116" t="s">
        <v>11050</v>
      </c>
      <c r="AO116">
        <v>8832</v>
      </c>
      <c r="AU116">
        <v>2.4</v>
      </c>
      <c r="AV116" t="s">
        <v>427</v>
      </c>
      <c r="AW116" t="s">
        <v>11504</v>
      </c>
    </row>
    <row r="117" spans="1:49">
      <c r="A117" s="1">
        <f>HYPERLINK("https://cms.ls-nyc.org/matter/dynamic-profile/view/1869989","18-1869989")</f>
        <v>0</v>
      </c>
      <c r="B117" t="s">
        <v>56</v>
      </c>
      <c r="C117" t="s">
        <v>234</v>
      </c>
      <c r="D117" t="s">
        <v>307</v>
      </c>
      <c r="E117" t="s">
        <v>665</v>
      </c>
      <c r="F117" t="s">
        <v>947</v>
      </c>
      <c r="G117" t="s">
        <v>2200</v>
      </c>
      <c r="J117" t="s">
        <v>5321</v>
      </c>
      <c r="K117">
        <v>10452</v>
      </c>
      <c r="L117" t="s">
        <v>5355</v>
      </c>
      <c r="M117" t="s">
        <v>5356</v>
      </c>
      <c r="N117" t="s">
        <v>5406</v>
      </c>
      <c r="O117" t="s">
        <v>6500</v>
      </c>
      <c r="P117" t="s">
        <v>6524</v>
      </c>
      <c r="Q117" t="s">
        <v>6531</v>
      </c>
      <c r="R117" t="s">
        <v>6539</v>
      </c>
      <c r="S117" t="s">
        <v>5357</v>
      </c>
      <c r="U117" t="s">
        <v>6557</v>
      </c>
      <c r="W117" t="s">
        <v>287</v>
      </c>
      <c r="X117">
        <v>0</v>
      </c>
      <c r="Y117" t="s">
        <v>6606</v>
      </c>
      <c r="Z117" t="s">
        <v>6612</v>
      </c>
      <c r="AA117" t="s">
        <v>6631</v>
      </c>
      <c r="AB117" t="s">
        <v>6771</v>
      </c>
      <c r="AD117" t="s">
        <v>9200</v>
      </c>
      <c r="AE117">
        <v>55</v>
      </c>
      <c r="AF117" t="s">
        <v>11005</v>
      </c>
      <c r="AG117" t="s">
        <v>5406</v>
      </c>
      <c r="AH117">
        <v>6</v>
      </c>
      <c r="AI117">
        <v>2</v>
      </c>
      <c r="AJ117">
        <v>0</v>
      </c>
      <c r="AK117">
        <v>72.76000000000001</v>
      </c>
      <c r="AN117" t="s">
        <v>11049</v>
      </c>
      <c r="AO117">
        <v>11976</v>
      </c>
      <c r="AU117">
        <v>0.5</v>
      </c>
      <c r="AV117" t="s">
        <v>665</v>
      </c>
      <c r="AW117" t="s">
        <v>56</v>
      </c>
    </row>
    <row r="118" spans="1:49">
      <c r="A118" s="1">
        <f>HYPERLINK("https://cms.ls-nyc.org/matter/dynamic-profile/view/1841821","17-1841821")</f>
        <v>0</v>
      </c>
      <c r="B118" t="s">
        <v>81</v>
      </c>
      <c r="C118" t="s">
        <v>234</v>
      </c>
      <c r="D118" t="s">
        <v>323</v>
      </c>
      <c r="E118" t="s">
        <v>386</v>
      </c>
      <c r="F118" t="s">
        <v>948</v>
      </c>
      <c r="G118" t="s">
        <v>2201</v>
      </c>
      <c r="H118" t="s">
        <v>3536</v>
      </c>
      <c r="I118" t="s">
        <v>4802</v>
      </c>
      <c r="J118" t="s">
        <v>5331</v>
      </c>
      <c r="K118">
        <v>11418</v>
      </c>
      <c r="L118" t="s">
        <v>5355</v>
      </c>
      <c r="M118" t="s">
        <v>5356</v>
      </c>
      <c r="N118" t="s">
        <v>5392</v>
      </c>
      <c r="O118" t="s">
        <v>5393</v>
      </c>
      <c r="P118" t="s">
        <v>6524</v>
      </c>
      <c r="Q118" t="s">
        <v>6531</v>
      </c>
      <c r="R118" t="s">
        <v>6540</v>
      </c>
      <c r="S118" t="s">
        <v>5357</v>
      </c>
      <c r="U118" t="s">
        <v>6559</v>
      </c>
      <c r="V118" t="s">
        <v>6566</v>
      </c>
      <c r="W118" t="s">
        <v>323</v>
      </c>
      <c r="X118">
        <v>1245</v>
      </c>
      <c r="Y118" t="s">
        <v>6604</v>
      </c>
      <c r="Z118" t="s">
        <v>6610</v>
      </c>
      <c r="AA118" t="s">
        <v>6631</v>
      </c>
      <c r="AB118" t="s">
        <v>6772</v>
      </c>
      <c r="AD118" t="s">
        <v>9201</v>
      </c>
      <c r="AE118">
        <v>6</v>
      </c>
      <c r="AF118" t="s">
        <v>11004</v>
      </c>
      <c r="AG118" t="s">
        <v>11020</v>
      </c>
      <c r="AH118">
        <v>11</v>
      </c>
      <c r="AI118">
        <v>1</v>
      </c>
      <c r="AJ118">
        <v>0</v>
      </c>
      <c r="AK118">
        <v>72.94</v>
      </c>
      <c r="AL118" t="s">
        <v>11028</v>
      </c>
      <c r="AN118" t="s">
        <v>11055</v>
      </c>
      <c r="AO118">
        <v>8796</v>
      </c>
      <c r="AU118">
        <v>0.7</v>
      </c>
      <c r="AV118" t="s">
        <v>582</v>
      </c>
      <c r="AW118" t="s">
        <v>81</v>
      </c>
    </row>
    <row r="119" spans="1:49">
      <c r="A119" s="1">
        <f>HYPERLINK("https://cms.ls-nyc.org/matter/dynamic-profile/view/1849745","17-1849745")</f>
        <v>0</v>
      </c>
      <c r="B119" t="s">
        <v>54</v>
      </c>
      <c r="C119" t="s">
        <v>234</v>
      </c>
      <c r="D119" t="s">
        <v>324</v>
      </c>
      <c r="E119" t="s">
        <v>420</v>
      </c>
      <c r="F119" t="s">
        <v>949</v>
      </c>
      <c r="G119" t="s">
        <v>2125</v>
      </c>
      <c r="H119" t="s">
        <v>3537</v>
      </c>
      <c r="J119" t="s">
        <v>5317</v>
      </c>
      <c r="K119">
        <v>11433</v>
      </c>
      <c r="L119" t="s">
        <v>5355</v>
      </c>
      <c r="M119" t="s">
        <v>5356</v>
      </c>
      <c r="P119" t="s">
        <v>6524</v>
      </c>
      <c r="Q119" t="s">
        <v>6531</v>
      </c>
      <c r="R119" t="s">
        <v>6540</v>
      </c>
      <c r="U119" t="s">
        <v>6557</v>
      </c>
      <c r="W119" t="s">
        <v>236</v>
      </c>
      <c r="X119">
        <v>0</v>
      </c>
      <c r="Y119" t="s">
        <v>6605</v>
      </c>
      <c r="Z119" t="s">
        <v>6610</v>
      </c>
      <c r="AA119" t="s">
        <v>6631</v>
      </c>
      <c r="AB119" t="s">
        <v>6773</v>
      </c>
      <c r="AD119" t="s">
        <v>9202</v>
      </c>
      <c r="AE119">
        <v>1</v>
      </c>
      <c r="AH119">
        <v>0</v>
      </c>
      <c r="AI119">
        <v>1</v>
      </c>
      <c r="AJ119">
        <v>0</v>
      </c>
      <c r="AK119">
        <v>73.13</v>
      </c>
      <c r="AL119" t="s">
        <v>11028</v>
      </c>
      <c r="AN119" t="s">
        <v>11050</v>
      </c>
      <c r="AO119">
        <v>8820</v>
      </c>
      <c r="AU119">
        <v>2.15</v>
      </c>
      <c r="AV119" t="s">
        <v>420</v>
      </c>
      <c r="AW119" t="s">
        <v>11488</v>
      </c>
    </row>
    <row r="120" spans="1:49">
      <c r="A120" s="1">
        <f>HYPERLINK("https://cms.ls-nyc.org/matter/dynamic-profile/view/1868832","18-1868832")</f>
        <v>0</v>
      </c>
      <c r="B120" t="s">
        <v>52</v>
      </c>
      <c r="C120" t="s">
        <v>234</v>
      </c>
      <c r="D120" t="s">
        <v>315</v>
      </c>
      <c r="E120" t="s">
        <v>707</v>
      </c>
      <c r="F120" t="s">
        <v>950</v>
      </c>
      <c r="G120" t="s">
        <v>2202</v>
      </c>
      <c r="H120" t="s">
        <v>3538</v>
      </c>
      <c r="I120" t="s">
        <v>4803</v>
      </c>
      <c r="J120" t="s">
        <v>5332</v>
      </c>
      <c r="K120">
        <v>11373</v>
      </c>
      <c r="L120" t="s">
        <v>5355</v>
      </c>
      <c r="M120" t="s">
        <v>5355</v>
      </c>
      <c r="N120" t="s">
        <v>5413</v>
      </c>
      <c r="O120" t="s">
        <v>5393</v>
      </c>
      <c r="P120" t="s">
        <v>6524</v>
      </c>
      <c r="Q120" t="s">
        <v>6531</v>
      </c>
      <c r="R120" t="s">
        <v>6539</v>
      </c>
      <c r="S120" t="s">
        <v>5357</v>
      </c>
      <c r="U120" t="s">
        <v>6557</v>
      </c>
      <c r="V120" t="s">
        <v>6566</v>
      </c>
      <c r="W120" t="s">
        <v>315</v>
      </c>
      <c r="X120">
        <v>1325</v>
      </c>
      <c r="Y120" t="s">
        <v>6604</v>
      </c>
      <c r="Z120" t="s">
        <v>6620</v>
      </c>
      <c r="AA120" t="s">
        <v>6631</v>
      </c>
      <c r="AB120" t="s">
        <v>6774</v>
      </c>
      <c r="AD120" t="s">
        <v>9203</v>
      </c>
      <c r="AE120">
        <v>127</v>
      </c>
      <c r="AF120" t="s">
        <v>8722</v>
      </c>
      <c r="AG120" t="s">
        <v>5406</v>
      </c>
      <c r="AH120">
        <v>10</v>
      </c>
      <c r="AI120">
        <v>1</v>
      </c>
      <c r="AJ120">
        <v>0</v>
      </c>
      <c r="AK120">
        <v>74.14</v>
      </c>
      <c r="AN120" t="s">
        <v>11053</v>
      </c>
      <c r="AO120">
        <v>9000</v>
      </c>
      <c r="AU120">
        <v>1.95</v>
      </c>
      <c r="AV120" t="s">
        <v>741</v>
      </c>
      <c r="AW120" t="s">
        <v>52</v>
      </c>
    </row>
    <row r="121" spans="1:49">
      <c r="A121" s="1">
        <f>HYPERLINK("https://cms.ls-nyc.org/matter/dynamic-profile/view/1870019","18-1870019")</f>
        <v>0</v>
      </c>
      <c r="B121" t="s">
        <v>56</v>
      </c>
      <c r="C121" t="s">
        <v>234</v>
      </c>
      <c r="D121" t="s">
        <v>307</v>
      </c>
      <c r="E121" t="s">
        <v>665</v>
      </c>
      <c r="F121" t="s">
        <v>855</v>
      </c>
      <c r="G121" t="s">
        <v>1484</v>
      </c>
      <c r="H121" t="s">
        <v>3529</v>
      </c>
      <c r="I121" t="s">
        <v>4796</v>
      </c>
      <c r="J121" t="s">
        <v>5321</v>
      </c>
      <c r="K121">
        <v>10458</v>
      </c>
      <c r="L121" t="s">
        <v>5355</v>
      </c>
      <c r="M121" t="s">
        <v>5356</v>
      </c>
      <c r="N121" t="s">
        <v>5414</v>
      </c>
      <c r="O121" t="s">
        <v>6498</v>
      </c>
      <c r="P121" t="s">
        <v>6524</v>
      </c>
      <c r="Q121" t="s">
        <v>6531</v>
      </c>
      <c r="R121" t="s">
        <v>6539</v>
      </c>
      <c r="S121" t="s">
        <v>5357</v>
      </c>
      <c r="U121" t="s">
        <v>6557</v>
      </c>
      <c r="W121" t="s">
        <v>516</v>
      </c>
      <c r="X121">
        <v>515.01</v>
      </c>
      <c r="Y121" t="s">
        <v>6606</v>
      </c>
      <c r="Z121" t="s">
        <v>6612</v>
      </c>
      <c r="AA121" t="s">
        <v>6631</v>
      </c>
      <c r="AB121" t="s">
        <v>6764</v>
      </c>
      <c r="AD121" t="s">
        <v>9193</v>
      </c>
      <c r="AE121">
        <v>25</v>
      </c>
      <c r="AF121" t="s">
        <v>11005</v>
      </c>
      <c r="AG121" t="s">
        <v>11024</v>
      </c>
      <c r="AH121">
        <v>26</v>
      </c>
      <c r="AI121">
        <v>1</v>
      </c>
      <c r="AJ121">
        <v>0</v>
      </c>
      <c r="AK121">
        <v>74.14</v>
      </c>
      <c r="AN121" t="s">
        <v>11050</v>
      </c>
      <c r="AO121">
        <v>9000</v>
      </c>
      <c r="AU121">
        <v>1</v>
      </c>
      <c r="AV121" t="s">
        <v>800</v>
      </c>
      <c r="AW121" t="s">
        <v>56</v>
      </c>
    </row>
    <row r="122" spans="1:49">
      <c r="A122" s="1">
        <f>HYPERLINK("https://cms.ls-nyc.org/matter/dynamic-profile/view/1862158","18-1862158")</f>
        <v>0</v>
      </c>
      <c r="B122" t="s">
        <v>63</v>
      </c>
      <c r="C122" t="s">
        <v>234</v>
      </c>
      <c r="D122" t="s">
        <v>325</v>
      </c>
      <c r="E122" t="s">
        <v>672</v>
      </c>
      <c r="F122" t="s">
        <v>951</v>
      </c>
      <c r="G122" t="s">
        <v>2203</v>
      </c>
      <c r="H122" t="s">
        <v>3539</v>
      </c>
      <c r="I122">
        <v>2</v>
      </c>
      <c r="J122" t="s">
        <v>5322</v>
      </c>
      <c r="K122">
        <v>10304</v>
      </c>
      <c r="L122" t="s">
        <v>5357</v>
      </c>
      <c r="M122" t="s">
        <v>5357</v>
      </c>
      <c r="N122" t="s">
        <v>5409</v>
      </c>
      <c r="O122" t="s">
        <v>5393</v>
      </c>
      <c r="P122" t="s">
        <v>6524</v>
      </c>
      <c r="Q122" t="s">
        <v>6531</v>
      </c>
      <c r="R122" t="s">
        <v>6539</v>
      </c>
      <c r="S122" t="s">
        <v>5357</v>
      </c>
      <c r="U122" t="s">
        <v>6557</v>
      </c>
      <c r="V122" t="s">
        <v>6566</v>
      </c>
      <c r="W122" t="s">
        <v>325</v>
      </c>
      <c r="X122">
        <v>1043.43</v>
      </c>
      <c r="Y122" t="s">
        <v>6607</v>
      </c>
      <c r="Z122" t="s">
        <v>6617</v>
      </c>
      <c r="AA122" t="s">
        <v>6631</v>
      </c>
      <c r="AB122" t="s">
        <v>6775</v>
      </c>
      <c r="AD122" t="s">
        <v>9204</v>
      </c>
      <c r="AE122">
        <v>5</v>
      </c>
      <c r="AF122" t="s">
        <v>11004</v>
      </c>
      <c r="AG122" t="s">
        <v>11020</v>
      </c>
      <c r="AH122">
        <v>20</v>
      </c>
      <c r="AI122">
        <v>1</v>
      </c>
      <c r="AJ122">
        <v>0</v>
      </c>
      <c r="AK122">
        <v>74.14</v>
      </c>
      <c r="AN122" t="s">
        <v>11050</v>
      </c>
      <c r="AO122">
        <v>9000</v>
      </c>
      <c r="AU122">
        <v>3.1</v>
      </c>
      <c r="AV122" t="s">
        <v>805</v>
      </c>
      <c r="AW122" t="s">
        <v>11518</v>
      </c>
    </row>
    <row r="123" spans="1:49">
      <c r="A123" s="1">
        <f>HYPERLINK("https://cms.ls-nyc.org/matter/dynamic-profile/view/1865822","18-1865822")</f>
        <v>0</v>
      </c>
      <c r="B123" t="s">
        <v>105</v>
      </c>
      <c r="C123" t="s">
        <v>234</v>
      </c>
      <c r="D123" t="s">
        <v>326</v>
      </c>
      <c r="E123" t="s">
        <v>708</v>
      </c>
      <c r="F123" t="s">
        <v>952</v>
      </c>
      <c r="G123" t="s">
        <v>2204</v>
      </c>
      <c r="H123" t="s">
        <v>3540</v>
      </c>
      <c r="I123" t="s">
        <v>4783</v>
      </c>
      <c r="J123" t="s">
        <v>5323</v>
      </c>
      <c r="K123">
        <v>10128</v>
      </c>
      <c r="L123" t="s">
        <v>5355</v>
      </c>
      <c r="M123" t="s">
        <v>5356</v>
      </c>
      <c r="N123" t="s">
        <v>5415</v>
      </c>
      <c r="O123" t="s">
        <v>6492</v>
      </c>
      <c r="P123" t="s">
        <v>6524</v>
      </c>
      <c r="Q123" t="s">
        <v>6531</v>
      </c>
      <c r="R123" t="s">
        <v>6539</v>
      </c>
      <c r="U123" t="s">
        <v>6557</v>
      </c>
      <c r="W123" t="s">
        <v>298</v>
      </c>
      <c r="X123">
        <v>816.4400000000001</v>
      </c>
      <c r="Y123" t="s">
        <v>6608</v>
      </c>
      <c r="AA123" t="s">
        <v>6631</v>
      </c>
      <c r="AB123" t="s">
        <v>6776</v>
      </c>
      <c r="AD123" t="s">
        <v>9205</v>
      </c>
      <c r="AE123">
        <v>0</v>
      </c>
      <c r="AG123" t="s">
        <v>5406</v>
      </c>
      <c r="AH123">
        <v>39</v>
      </c>
      <c r="AI123">
        <v>1</v>
      </c>
      <c r="AJ123">
        <v>0</v>
      </c>
      <c r="AK123">
        <v>74.14</v>
      </c>
      <c r="AN123" t="s">
        <v>11050</v>
      </c>
      <c r="AO123">
        <v>9000</v>
      </c>
      <c r="AU123">
        <v>1.2</v>
      </c>
      <c r="AV123" t="s">
        <v>708</v>
      </c>
      <c r="AW123" t="s">
        <v>11496</v>
      </c>
    </row>
    <row r="124" spans="1:49">
      <c r="A124" s="1">
        <f>HYPERLINK("https://cms.ls-nyc.org/matter/dynamic-profile/view/1853595","17-1853595")</f>
        <v>0</v>
      </c>
      <c r="B124" t="s">
        <v>84</v>
      </c>
      <c r="C124" t="s">
        <v>235</v>
      </c>
      <c r="D124" t="s">
        <v>327</v>
      </c>
      <c r="F124" t="s">
        <v>953</v>
      </c>
      <c r="G124" t="s">
        <v>2205</v>
      </c>
      <c r="H124" t="s">
        <v>3541</v>
      </c>
      <c r="I124" t="s">
        <v>4804</v>
      </c>
      <c r="J124" t="s">
        <v>5320</v>
      </c>
      <c r="K124">
        <v>11239</v>
      </c>
      <c r="L124" t="s">
        <v>5357</v>
      </c>
      <c r="M124" t="s">
        <v>5356</v>
      </c>
      <c r="N124" t="s">
        <v>5416</v>
      </c>
      <c r="O124" t="s">
        <v>6494</v>
      </c>
      <c r="P124" t="s">
        <v>6524</v>
      </c>
      <c r="R124" t="s">
        <v>6539</v>
      </c>
      <c r="S124" t="s">
        <v>5357</v>
      </c>
      <c r="U124" t="s">
        <v>6557</v>
      </c>
      <c r="W124" t="s">
        <v>236</v>
      </c>
      <c r="X124">
        <v>840</v>
      </c>
      <c r="Y124" t="s">
        <v>6605</v>
      </c>
      <c r="Z124" t="s">
        <v>6613</v>
      </c>
      <c r="AB124" t="s">
        <v>6777</v>
      </c>
      <c r="AD124" t="s">
        <v>9206</v>
      </c>
      <c r="AE124">
        <v>80</v>
      </c>
      <c r="AF124" t="s">
        <v>11005</v>
      </c>
      <c r="AG124" t="s">
        <v>5406</v>
      </c>
      <c r="AH124">
        <v>24</v>
      </c>
      <c r="AI124">
        <v>4</v>
      </c>
      <c r="AJ124">
        <v>0</v>
      </c>
      <c r="AK124">
        <v>74.15000000000001</v>
      </c>
      <c r="AN124" t="s">
        <v>11056</v>
      </c>
      <c r="AO124">
        <v>18240</v>
      </c>
      <c r="AU124">
        <v>2.8</v>
      </c>
      <c r="AV124" t="s">
        <v>696</v>
      </c>
      <c r="AW124" t="s">
        <v>11517</v>
      </c>
    </row>
    <row r="125" spans="1:49">
      <c r="A125" s="1">
        <f>HYPERLINK("https://cms.ls-nyc.org/matter/dynamic-profile/view/1870812","18-1870812")</f>
        <v>0</v>
      </c>
      <c r="B125" t="s">
        <v>88</v>
      </c>
      <c r="C125" t="s">
        <v>234</v>
      </c>
      <c r="D125" t="s">
        <v>328</v>
      </c>
      <c r="E125" t="s">
        <v>709</v>
      </c>
      <c r="F125" t="s">
        <v>954</v>
      </c>
      <c r="G125" t="s">
        <v>2206</v>
      </c>
      <c r="H125" t="s">
        <v>3542</v>
      </c>
      <c r="I125" t="s">
        <v>4805</v>
      </c>
      <c r="J125" t="s">
        <v>5320</v>
      </c>
      <c r="K125">
        <v>11212</v>
      </c>
      <c r="L125" t="s">
        <v>5355</v>
      </c>
      <c r="M125" t="s">
        <v>5356</v>
      </c>
      <c r="N125" t="s">
        <v>5417</v>
      </c>
      <c r="O125" t="s">
        <v>6492</v>
      </c>
      <c r="P125" t="s">
        <v>6524</v>
      </c>
      <c r="Q125" t="s">
        <v>6531</v>
      </c>
      <c r="R125" t="s">
        <v>6539</v>
      </c>
      <c r="S125" t="s">
        <v>5357</v>
      </c>
      <c r="U125" t="s">
        <v>6557</v>
      </c>
      <c r="W125" t="s">
        <v>401</v>
      </c>
      <c r="X125">
        <v>1198</v>
      </c>
      <c r="Y125" t="s">
        <v>6605</v>
      </c>
      <c r="Z125" t="s">
        <v>6612</v>
      </c>
      <c r="AA125" t="s">
        <v>6631</v>
      </c>
      <c r="AB125" t="s">
        <v>6778</v>
      </c>
      <c r="AC125" t="s">
        <v>8722</v>
      </c>
      <c r="AD125" t="s">
        <v>9207</v>
      </c>
      <c r="AE125">
        <v>42</v>
      </c>
      <c r="AF125" t="s">
        <v>11005</v>
      </c>
      <c r="AG125" t="s">
        <v>11026</v>
      </c>
      <c r="AH125">
        <v>7</v>
      </c>
      <c r="AI125">
        <v>2</v>
      </c>
      <c r="AJ125">
        <v>0</v>
      </c>
      <c r="AK125">
        <v>74.16</v>
      </c>
      <c r="AN125" t="s">
        <v>11050</v>
      </c>
      <c r="AO125">
        <v>12206</v>
      </c>
      <c r="AU125">
        <v>1.8</v>
      </c>
      <c r="AV125" t="s">
        <v>600</v>
      </c>
      <c r="AW125" t="s">
        <v>11512</v>
      </c>
    </row>
    <row r="126" spans="1:49">
      <c r="A126" s="1">
        <f>HYPERLINK("https://cms.ls-nyc.org/matter/dynamic-profile/view/1859329","18-1859329")</f>
        <v>0</v>
      </c>
      <c r="B126" t="s">
        <v>102</v>
      </c>
      <c r="C126" t="s">
        <v>234</v>
      </c>
      <c r="D126" t="s">
        <v>284</v>
      </c>
      <c r="E126" t="s">
        <v>665</v>
      </c>
      <c r="F126" t="s">
        <v>955</v>
      </c>
      <c r="G126" t="s">
        <v>2207</v>
      </c>
      <c r="H126" t="s">
        <v>3526</v>
      </c>
      <c r="I126">
        <v>114</v>
      </c>
      <c r="J126" t="s">
        <v>5321</v>
      </c>
      <c r="K126">
        <v>10453</v>
      </c>
      <c r="L126" t="s">
        <v>5355</v>
      </c>
      <c r="M126" t="s">
        <v>5356</v>
      </c>
      <c r="O126" t="s">
        <v>6499</v>
      </c>
      <c r="P126" t="s">
        <v>6524</v>
      </c>
      <c r="Q126" t="s">
        <v>6531</v>
      </c>
      <c r="R126" t="s">
        <v>6539</v>
      </c>
      <c r="S126" t="s">
        <v>5355</v>
      </c>
      <c r="U126" t="s">
        <v>6557</v>
      </c>
      <c r="W126" t="s">
        <v>259</v>
      </c>
      <c r="X126">
        <v>1024.41</v>
      </c>
      <c r="Y126" t="s">
        <v>6606</v>
      </c>
      <c r="Z126" t="s">
        <v>6622</v>
      </c>
      <c r="AA126" t="s">
        <v>6631</v>
      </c>
      <c r="AB126" t="s">
        <v>6779</v>
      </c>
      <c r="AD126" t="s">
        <v>9208</v>
      </c>
      <c r="AE126">
        <v>146</v>
      </c>
      <c r="AF126" t="s">
        <v>11005</v>
      </c>
      <c r="AG126" t="s">
        <v>5406</v>
      </c>
      <c r="AH126">
        <v>13</v>
      </c>
      <c r="AI126">
        <v>1</v>
      </c>
      <c r="AJ126">
        <v>0</v>
      </c>
      <c r="AK126">
        <v>74.63</v>
      </c>
      <c r="AN126" t="s">
        <v>11049</v>
      </c>
      <c r="AO126">
        <v>9000</v>
      </c>
      <c r="AU126">
        <v>0.1</v>
      </c>
      <c r="AV126" t="s">
        <v>409</v>
      </c>
      <c r="AW126" t="s">
        <v>11492</v>
      </c>
    </row>
    <row r="127" spans="1:49">
      <c r="A127" s="1">
        <f>HYPERLINK("https://cms.ls-nyc.org/matter/dynamic-profile/view/1855634","18-1855634")</f>
        <v>0</v>
      </c>
      <c r="B127" t="s">
        <v>69</v>
      </c>
      <c r="C127" t="s">
        <v>234</v>
      </c>
      <c r="D127" t="s">
        <v>329</v>
      </c>
      <c r="E127" t="s">
        <v>710</v>
      </c>
      <c r="F127" t="s">
        <v>956</v>
      </c>
      <c r="G127" t="s">
        <v>2208</v>
      </c>
      <c r="H127" t="s">
        <v>3543</v>
      </c>
      <c r="I127" t="s">
        <v>4806</v>
      </c>
      <c r="J127" t="s">
        <v>5321</v>
      </c>
      <c r="K127">
        <v>10452</v>
      </c>
      <c r="L127" t="s">
        <v>5355</v>
      </c>
      <c r="M127" t="s">
        <v>5356</v>
      </c>
      <c r="O127" t="s">
        <v>6496</v>
      </c>
      <c r="P127" t="s">
        <v>6524</v>
      </c>
      <c r="Q127" t="s">
        <v>6531</v>
      </c>
      <c r="R127" t="s">
        <v>6539</v>
      </c>
      <c r="S127" t="s">
        <v>5357</v>
      </c>
      <c r="T127" t="s">
        <v>6539</v>
      </c>
      <c r="U127" t="s">
        <v>6557</v>
      </c>
      <c r="W127" t="s">
        <v>319</v>
      </c>
      <c r="X127">
        <v>1145.46</v>
      </c>
      <c r="Y127" t="s">
        <v>6606</v>
      </c>
      <c r="Z127" t="s">
        <v>6612</v>
      </c>
      <c r="AA127" t="s">
        <v>6631</v>
      </c>
      <c r="AB127" t="s">
        <v>6780</v>
      </c>
      <c r="AD127" t="s">
        <v>9209</v>
      </c>
      <c r="AE127">
        <v>0</v>
      </c>
      <c r="AF127" t="s">
        <v>8722</v>
      </c>
      <c r="AG127" t="s">
        <v>5406</v>
      </c>
      <c r="AH127">
        <v>18</v>
      </c>
      <c r="AI127">
        <v>1</v>
      </c>
      <c r="AJ127">
        <v>0</v>
      </c>
      <c r="AK127">
        <v>74.63</v>
      </c>
      <c r="AN127" t="s">
        <v>11049</v>
      </c>
      <c r="AO127">
        <v>9000</v>
      </c>
      <c r="AP127" t="s">
        <v>11078</v>
      </c>
      <c r="AU127">
        <v>0</v>
      </c>
      <c r="AW127" t="s">
        <v>11492</v>
      </c>
    </row>
    <row r="128" spans="1:49">
      <c r="A128" s="1">
        <f>HYPERLINK("https://cms.ls-nyc.org/matter/dynamic-profile/view/1859990","18-1859990")</f>
        <v>0</v>
      </c>
      <c r="B128" t="s">
        <v>69</v>
      </c>
      <c r="C128" t="s">
        <v>234</v>
      </c>
      <c r="D128" t="s">
        <v>260</v>
      </c>
      <c r="E128" t="s">
        <v>711</v>
      </c>
      <c r="F128" t="s">
        <v>957</v>
      </c>
      <c r="G128" t="s">
        <v>2105</v>
      </c>
      <c r="H128" t="s">
        <v>3544</v>
      </c>
      <c r="I128" t="s">
        <v>4807</v>
      </c>
      <c r="J128" t="s">
        <v>5321</v>
      </c>
      <c r="K128">
        <v>10452</v>
      </c>
      <c r="L128" t="s">
        <v>5355</v>
      </c>
      <c r="M128" t="s">
        <v>5355</v>
      </c>
      <c r="O128" t="s">
        <v>6496</v>
      </c>
      <c r="P128" t="s">
        <v>6524</v>
      </c>
      <c r="Q128" t="s">
        <v>6531</v>
      </c>
      <c r="R128" t="s">
        <v>6539</v>
      </c>
      <c r="S128" t="s">
        <v>5357</v>
      </c>
      <c r="U128" t="s">
        <v>6557</v>
      </c>
      <c r="W128" t="s">
        <v>260</v>
      </c>
      <c r="X128">
        <v>146</v>
      </c>
      <c r="Y128" t="s">
        <v>6606</v>
      </c>
      <c r="Z128" t="s">
        <v>6612</v>
      </c>
      <c r="AA128" t="s">
        <v>6631</v>
      </c>
      <c r="AB128" t="s">
        <v>6781</v>
      </c>
      <c r="AD128" t="s">
        <v>9210</v>
      </c>
      <c r="AE128">
        <v>149</v>
      </c>
      <c r="AF128" t="s">
        <v>11006</v>
      </c>
      <c r="AG128" t="s">
        <v>11020</v>
      </c>
      <c r="AH128">
        <v>26</v>
      </c>
      <c r="AI128">
        <v>1</v>
      </c>
      <c r="AJ128">
        <v>0</v>
      </c>
      <c r="AK128">
        <v>74.63</v>
      </c>
      <c r="AN128" t="s">
        <v>11049</v>
      </c>
      <c r="AO128">
        <v>9000</v>
      </c>
      <c r="AU128">
        <v>2.15</v>
      </c>
      <c r="AV128" t="s">
        <v>299</v>
      </c>
      <c r="AW128" t="s">
        <v>11499</v>
      </c>
    </row>
    <row r="129" spans="1:49">
      <c r="A129" s="1">
        <f>HYPERLINK("https://cms.ls-nyc.org/matter/dynamic-profile/view/1867089","18-1867089")</f>
        <v>0</v>
      </c>
      <c r="B129" t="s">
        <v>95</v>
      </c>
      <c r="C129" t="s">
        <v>234</v>
      </c>
      <c r="D129" t="s">
        <v>244</v>
      </c>
      <c r="E129" t="s">
        <v>671</v>
      </c>
      <c r="F129" t="s">
        <v>958</v>
      </c>
      <c r="G129" t="s">
        <v>2209</v>
      </c>
      <c r="H129" t="s">
        <v>3545</v>
      </c>
      <c r="I129" t="s">
        <v>4808</v>
      </c>
      <c r="J129" t="s">
        <v>5321</v>
      </c>
      <c r="K129">
        <v>10452</v>
      </c>
      <c r="L129" t="s">
        <v>5355</v>
      </c>
      <c r="M129" t="s">
        <v>5356</v>
      </c>
      <c r="O129" t="s">
        <v>5393</v>
      </c>
      <c r="P129" t="s">
        <v>6524</v>
      </c>
      <c r="Q129" t="s">
        <v>6531</v>
      </c>
      <c r="R129" t="s">
        <v>6539</v>
      </c>
      <c r="S129" t="s">
        <v>5357</v>
      </c>
      <c r="U129" t="s">
        <v>6557</v>
      </c>
      <c r="W129" t="s">
        <v>516</v>
      </c>
      <c r="X129">
        <v>1578.23</v>
      </c>
      <c r="Y129" t="s">
        <v>6606</v>
      </c>
      <c r="Z129" t="s">
        <v>6612</v>
      </c>
      <c r="AA129" t="s">
        <v>6631</v>
      </c>
      <c r="AB129" t="s">
        <v>6782</v>
      </c>
      <c r="AE129">
        <v>55</v>
      </c>
      <c r="AF129" t="s">
        <v>11005</v>
      </c>
      <c r="AG129" t="s">
        <v>11020</v>
      </c>
      <c r="AH129">
        <v>16</v>
      </c>
      <c r="AI129">
        <v>1</v>
      </c>
      <c r="AJ129">
        <v>0</v>
      </c>
      <c r="AK129">
        <v>74.73</v>
      </c>
      <c r="AN129" t="s">
        <v>11049</v>
      </c>
      <c r="AO129">
        <v>9072</v>
      </c>
      <c r="AU129">
        <v>1</v>
      </c>
      <c r="AV129" t="s">
        <v>244</v>
      </c>
      <c r="AW129" t="s">
        <v>95</v>
      </c>
    </row>
    <row r="130" spans="1:49">
      <c r="A130" s="1">
        <f>HYPERLINK("https://cms.ls-nyc.org/matter/dynamic-profile/view/1862734","18-1862734")</f>
        <v>0</v>
      </c>
      <c r="B130" t="s">
        <v>106</v>
      </c>
      <c r="C130" t="s">
        <v>234</v>
      </c>
      <c r="D130" t="s">
        <v>242</v>
      </c>
      <c r="E130" t="s">
        <v>665</v>
      </c>
      <c r="F130" t="s">
        <v>959</v>
      </c>
      <c r="G130" t="s">
        <v>2210</v>
      </c>
      <c r="H130" t="s">
        <v>3546</v>
      </c>
      <c r="I130" t="s">
        <v>4809</v>
      </c>
      <c r="J130" t="s">
        <v>5321</v>
      </c>
      <c r="K130">
        <v>10452</v>
      </c>
      <c r="L130" t="s">
        <v>5355</v>
      </c>
      <c r="M130" t="s">
        <v>5355</v>
      </c>
      <c r="N130" t="s">
        <v>5406</v>
      </c>
      <c r="O130" t="s">
        <v>6493</v>
      </c>
      <c r="P130" t="s">
        <v>6524</v>
      </c>
      <c r="Q130" t="s">
        <v>6531</v>
      </c>
      <c r="R130" t="s">
        <v>6539</v>
      </c>
      <c r="S130" t="s">
        <v>5357</v>
      </c>
      <c r="U130" t="s">
        <v>6557</v>
      </c>
      <c r="W130" t="s">
        <v>275</v>
      </c>
      <c r="X130">
        <v>1750</v>
      </c>
      <c r="Y130" t="s">
        <v>6606</v>
      </c>
      <c r="Z130" t="s">
        <v>6493</v>
      </c>
      <c r="AA130" t="s">
        <v>6631</v>
      </c>
      <c r="AB130" t="s">
        <v>6783</v>
      </c>
      <c r="AC130" t="s">
        <v>8723</v>
      </c>
      <c r="AD130" t="s">
        <v>9211</v>
      </c>
      <c r="AE130">
        <v>30</v>
      </c>
      <c r="AF130" t="s">
        <v>11005</v>
      </c>
      <c r="AG130" t="s">
        <v>5406</v>
      </c>
      <c r="AH130">
        <v>5</v>
      </c>
      <c r="AI130">
        <v>1</v>
      </c>
      <c r="AJ130">
        <v>3</v>
      </c>
      <c r="AK130">
        <v>74.73999999999999</v>
      </c>
      <c r="AN130" t="s">
        <v>11050</v>
      </c>
      <c r="AO130">
        <v>18760</v>
      </c>
      <c r="AU130">
        <v>1.45</v>
      </c>
      <c r="AV130" t="s">
        <v>267</v>
      </c>
      <c r="AW130" t="s">
        <v>11507</v>
      </c>
    </row>
    <row r="131" spans="1:49">
      <c r="A131" s="1">
        <f>HYPERLINK("https://cms.ls-nyc.org/matter/dynamic-profile/view/1861365","18-1861365")</f>
        <v>0</v>
      </c>
      <c r="B131" t="s">
        <v>70</v>
      </c>
      <c r="C131" t="s">
        <v>235</v>
      </c>
      <c r="D131" t="s">
        <v>330</v>
      </c>
      <c r="F131" t="s">
        <v>960</v>
      </c>
      <c r="G131" t="s">
        <v>2211</v>
      </c>
      <c r="H131" t="s">
        <v>3547</v>
      </c>
      <c r="I131">
        <v>507</v>
      </c>
      <c r="J131" t="s">
        <v>5323</v>
      </c>
      <c r="K131">
        <v>10037</v>
      </c>
      <c r="L131" t="s">
        <v>5355</v>
      </c>
      <c r="M131" t="s">
        <v>5356</v>
      </c>
      <c r="N131" t="s">
        <v>5418</v>
      </c>
      <c r="O131" t="s">
        <v>6491</v>
      </c>
      <c r="P131" t="s">
        <v>6524</v>
      </c>
      <c r="R131" t="s">
        <v>6539</v>
      </c>
      <c r="S131" t="s">
        <v>5357</v>
      </c>
      <c r="U131" t="s">
        <v>6557</v>
      </c>
      <c r="W131" t="s">
        <v>298</v>
      </c>
      <c r="X131">
        <v>1720.8</v>
      </c>
      <c r="Y131" t="s">
        <v>6608</v>
      </c>
      <c r="Z131" t="s">
        <v>6616</v>
      </c>
      <c r="AB131" t="s">
        <v>6715</v>
      </c>
      <c r="AD131" t="s">
        <v>9212</v>
      </c>
      <c r="AE131">
        <v>173</v>
      </c>
      <c r="AF131" t="s">
        <v>11005</v>
      </c>
      <c r="AG131" t="s">
        <v>11020</v>
      </c>
      <c r="AH131">
        <v>4</v>
      </c>
      <c r="AI131">
        <v>2</v>
      </c>
      <c r="AJ131">
        <v>3</v>
      </c>
      <c r="AK131">
        <v>74.78</v>
      </c>
      <c r="AN131" t="s">
        <v>11050</v>
      </c>
      <c r="AO131">
        <v>22000</v>
      </c>
      <c r="AU131">
        <v>0</v>
      </c>
      <c r="AW131" t="s">
        <v>11496</v>
      </c>
    </row>
    <row r="132" spans="1:49">
      <c r="A132" s="1">
        <f>HYPERLINK("https://cms.ls-nyc.org/matter/dynamic-profile/view/1865858","18-1865858")</f>
        <v>0</v>
      </c>
      <c r="B132" t="s">
        <v>61</v>
      </c>
      <c r="C132" t="s">
        <v>234</v>
      </c>
      <c r="D132" t="s">
        <v>239</v>
      </c>
      <c r="E132" t="s">
        <v>712</v>
      </c>
      <c r="F132" t="s">
        <v>961</v>
      </c>
      <c r="G132" t="s">
        <v>2212</v>
      </c>
      <c r="H132" t="s">
        <v>3548</v>
      </c>
      <c r="I132" t="s">
        <v>4810</v>
      </c>
      <c r="J132" t="s">
        <v>5321</v>
      </c>
      <c r="K132">
        <v>10453</v>
      </c>
      <c r="L132" t="s">
        <v>5355</v>
      </c>
      <c r="M132" t="s">
        <v>5356</v>
      </c>
      <c r="N132" t="s">
        <v>5419</v>
      </c>
      <c r="O132" t="s">
        <v>6492</v>
      </c>
      <c r="P132" t="s">
        <v>6524</v>
      </c>
      <c r="Q132" t="s">
        <v>6531</v>
      </c>
      <c r="R132" t="s">
        <v>6539</v>
      </c>
      <c r="S132" t="s">
        <v>5357</v>
      </c>
      <c r="U132" t="s">
        <v>6557</v>
      </c>
      <c r="W132" t="s">
        <v>516</v>
      </c>
      <c r="X132">
        <v>1931</v>
      </c>
      <c r="Y132" t="s">
        <v>6606</v>
      </c>
      <c r="Z132" t="s">
        <v>6615</v>
      </c>
      <c r="AA132" t="s">
        <v>6631</v>
      </c>
      <c r="AB132" t="s">
        <v>6784</v>
      </c>
      <c r="AC132" t="s">
        <v>8724</v>
      </c>
      <c r="AD132" t="s">
        <v>9213</v>
      </c>
      <c r="AE132">
        <v>0</v>
      </c>
      <c r="AH132">
        <v>12</v>
      </c>
      <c r="AI132">
        <v>1</v>
      </c>
      <c r="AJ132">
        <v>0</v>
      </c>
      <c r="AK132">
        <v>74.95</v>
      </c>
      <c r="AN132" t="s">
        <v>11050</v>
      </c>
      <c r="AO132">
        <v>9099.299999999999</v>
      </c>
      <c r="AP132" t="s">
        <v>11079</v>
      </c>
      <c r="AU132">
        <v>5.1</v>
      </c>
      <c r="AV132" t="s">
        <v>673</v>
      </c>
      <c r="AW132" t="s">
        <v>11492</v>
      </c>
    </row>
    <row r="133" spans="1:49">
      <c r="A133" s="1">
        <f>HYPERLINK("https://cms.ls-nyc.org/matter/dynamic-profile/view/1862242","18-1862242")</f>
        <v>0</v>
      </c>
      <c r="B133" t="s">
        <v>90</v>
      </c>
      <c r="C133" t="s">
        <v>234</v>
      </c>
      <c r="D133" t="s">
        <v>331</v>
      </c>
      <c r="E133" t="s">
        <v>713</v>
      </c>
      <c r="F133" t="s">
        <v>962</v>
      </c>
      <c r="G133" t="s">
        <v>2213</v>
      </c>
      <c r="H133" t="s">
        <v>3549</v>
      </c>
      <c r="I133" t="s">
        <v>4788</v>
      </c>
      <c r="J133" t="s">
        <v>5321</v>
      </c>
      <c r="K133">
        <v>10452</v>
      </c>
      <c r="L133" t="s">
        <v>5355</v>
      </c>
      <c r="M133" t="s">
        <v>5355</v>
      </c>
      <c r="O133" t="s">
        <v>6494</v>
      </c>
      <c r="P133" t="s">
        <v>6524</v>
      </c>
      <c r="Q133" t="s">
        <v>6532</v>
      </c>
      <c r="R133" t="s">
        <v>6539</v>
      </c>
      <c r="S133" t="s">
        <v>5355</v>
      </c>
      <c r="U133" t="s">
        <v>6557</v>
      </c>
      <c r="W133" t="s">
        <v>480</v>
      </c>
      <c r="X133">
        <v>0</v>
      </c>
      <c r="Y133" t="s">
        <v>6606</v>
      </c>
      <c r="Z133" t="s">
        <v>6612</v>
      </c>
      <c r="AA133" t="s">
        <v>6631</v>
      </c>
      <c r="AB133" t="s">
        <v>6785</v>
      </c>
      <c r="AC133" t="s">
        <v>8725</v>
      </c>
      <c r="AD133" t="s">
        <v>9214</v>
      </c>
      <c r="AE133">
        <v>52</v>
      </c>
      <c r="AF133" t="s">
        <v>11005</v>
      </c>
      <c r="AH133">
        <v>0</v>
      </c>
      <c r="AI133">
        <v>1</v>
      </c>
      <c r="AJ133">
        <v>2</v>
      </c>
      <c r="AK133">
        <v>75.06999999999999</v>
      </c>
      <c r="AN133" t="s">
        <v>11050</v>
      </c>
      <c r="AO133">
        <v>15600</v>
      </c>
      <c r="AU133">
        <v>0.9</v>
      </c>
      <c r="AV133" t="s">
        <v>713</v>
      </c>
      <c r="AW133" t="s">
        <v>59</v>
      </c>
    </row>
    <row r="134" spans="1:49">
      <c r="A134" s="1">
        <f>HYPERLINK("https://cms.ls-nyc.org/matter/dynamic-profile/view/1853735","17-1853735")</f>
        <v>0</v>
      </c>
      <c r="B134" t="s">
        <v>107</v>
      </c>
      <c r="C134" t="s">
        <v>234</v>
      </c>
      <c r="D134" t="s">
        <v>332</v>
      </c>
      <c r="E134" t="s">
        <v>684</v>
      </c>
      <c r="F134" t="s">
        <v>963</v>
      </c>
      <c r="G134" t="s">
        <v>2214</v>
      </c>
      <c r="H134" t="s">
        <v>3550</v>
      </c>
      <c r="I134" t="s">
        <v>4740</v>
      </c>
      <c r="J134" t="s">
        <v>5323</v>
      </c>
      <c r="K134">
        <v>10035</v>
      </c>
      <c r="L134" t="s">
        <v>5355</v>
      </c>
      <c r="M134" t="s">
        <v>5356</v>
      </c>
      <c r="O134" t="s">
        <v>6501</v>
      </c>
      <c r="P134" t="s">
        <v>6524</v>
      </c>
      <c r="Q134" t="s">
        <v>6531</v>
      </c>
      <c r="R134" t="s">
        <v>6539</v>
      </c>
      <c r="S134" t="s">
        <v>5357</v>
      </c>
      <c r="U134" t="s">
        <v>6563</v>
      </c>
      <c r="W134" t="s">
        <v>332</v>
      </c>
      <c r="X134">
        <v>874.6</v>
      </c>
      <c r="Y134" t="s">
        <v>6608</v>
      </c>
      <c r="Z134" t="s">
        <v>6616</v>
      </c>
      <c r="AA134" t="s">
        <v>6639</v>
      </c>
      <c r="AB134" t="s">
        <v>6786</v>
      </c>
      <c r="AD134" t="s">
        <v>9215</v>
      </c>
      <c r="AE134">
        <v>9</v>
      </c>
      <c r="AF134" t="s">
        <v>11005</v>
      </c>
      <c r="AG134" t="s">
        <v>5406</v>
      </c>
      <c r="AH134">
        <v>5</v>
      </c>
      <c r="AI134">
        <v>1</v>
      </c>
      <c r="AJ134">
        <v>0</v>
      </c>
      <c r="AK134">
        <v>75.26000000000001</v>
      </c>
      <c r="AN134" t="s">
        <v>11050</v>
      </c>
      <c r="AO134">
        <v>9076.08</v>
      </c>
      <c r="AU134">
        <v>1.5</v>
      </c>
      <c r="AV134" t="s">
        <v>817</v>
      </c>
      <c r="AW134" t="s">
        <v>11497</v>
      </c>
    </row>
    <row r="135" spans="1:49">
      <c r="A135" s="1">
        <f>HYPERLINK("https://cms.ls-nyc.org/matter/dynamic-profile/view/1850605","17-1850605")</f>
        <v>0</v>
      </c>
      <c r="B135" t="s">
        <v>59</v>
      </c>
      <c r="C135" t="s">
        <v>234</v>
      </c>
      <c r="D135" t="s">
        <v>333</v>
      </c>
      <c r="E135" t="s">
        <v>714</v>
      </c>
      <c r="F135" t="s">
        <v>964</v>
      </c>
      <c r="G135" t="s">
        <v>2168</v>
      </c>
      <c r="H135" t="s">
        <v>3551</v>
      </c>
      <c r="I135">
        <v>24</v>
      </c>
      <c r="J135" t="s">
        <v>5321</v>
      </c>
      <c r="K135">
        <v>10454</v>
      </c>
      <c r="L135" t="s">
        <v>5355</v>
      </c>
      <c r="M135" t="s">
        <v>5356</v>
      </c>
      <c r="O135" t="s">
        <v>5393</v>
      </c>
      <c r="P135" t="s">
        <v>6524</v>
      </c>
      <c r="Q135" t="s">
        <v>6531</v>
      </c>
      <c r="R135" t="s">
        <v>6539</v>
      </c>
      <c r="S135" t="s">
        <v>5357</v>
      </c>
      <c r="U135" t="s">
        <v>6557</v>
      </c>
      <c r="W135" t="s">
        <v>319</v>
      </c>
      <c r="X135">
        <v>647</v>
      </c>
      <c r="Y135" t="s">
        <v>6606</v>
      </c>
      <c r="Z135" t="s">
        <v>6612</v>
      </c>
      <c r="AA135" t="s">
        <v>6631</v>
      </c>
      <c r="AB135" t="s">
        <v>6787</v>
      </c>
      <c r="AC135" t="s">
        <v>8726</v>
      </c>
      <c r="AD135" t="s">
        <v>9216</v>
      </c>
      <c r="AE135">
        <v>173</v>
      </c>
      <c r="AF135" t="s">
        <v>11010</v>
      </c>
      <c r="AG135" t="s">
        <v>11020</v>
      </c>
      <c r="AH135">
        <v>15</v>
      </c>
      <c r="AI135">
        <v>2</v>
      </c>
      <c r="AJ135">
        <v>4</v>
      </c>
      <c r="AK135">
        <v>75.56999999999999</v>
      </c>
      <c r="AN135" t="s">
        <v>11049</v>
      </c>
      <c r="AO135">
        <v>24908</v>
      </c>
      <c r="AU135">
        <v>0.3</v>
      </c>
      <c r="AV135" t="s">
        <v>714</v>
      </c>
      <c r="AW135" t="s">
        <v>11492</v>
      </c>
    </row>
    <row r="136" spans="1:49">
      <c r="A136" s="1">
        <f>HYPERLINK("https://cms.ls-nyc.org/matter/dynamic-profile/view/1867882","18-1867882")</f>
        <v>0</v>
      </c>
      <c r="B136" t="s">
        <v>71</v>
      </c>
      <c r="C136" t="s">
        <v>234</v>
      </c>
      <c r="D136" t="s">
        <v>334</v>
      </c>
      <c r="E136" t="s">
        <v>652</v>
      </c>
      <c r="F136" t="s">
        <v>965</v>
      </c>
      <c r="G136" t="s">
        <v>2215</v>
      </c>
      <c r="H136" t="s">
        <v>3552</v>
      </c>
      <c r="I136" t="s">
        <v>4811</v>
      </c>
      <c r="J136" t="s">
        <v>5321</v>
      </c>
      <c r="K136">
        <v>10453</v>
      </c>
      <c r="L136" t="s">
        <v>5355</v>
      </c>
      <c r="M136" t="s">
        <v>5356</v>
      </c>
      <c r="N136" t="s">
        <v>5420</v>
      </c>
      <c r="O136" t="s">
        <v>6492</v>
      </c>
      <c r="P136" t="s">
        <v>6524</v>
      </c>
      <c r="Q136" t="s">
        <v>6531</v>
      </c>
      <c r="R136" t="s">
        <v>6539</v>
      </c>
      <c r="U136" t="s">
        <v>6557</v>
      </c>
      <c r="W136" t="s">
        <v>516</v>
      </c>
      <c r="X136">
        <v>1063</v>
      </c>
      <c r="Y136" t="s">
        <v>6606</v>
      </c>
      <c r="AA136" t="s">
        <v>6631</v>
      </c>
      <c r="AB136" t="s">
        <v>6788</v>
      </c>
      <c r="AD136" t="s">
        <v>9217</v>
      </c>
      <c r="AE136">
        <v>48</v>
      </c>
      <c r="AF136" t="s">
        <v>8722</v>
      </c>
      <c r="AG136" t="s">
        <v>6493</v>
      </c>
      <c r="AH136">
        <v>15</v>
      </c>
      <c r="AI136">
        <v>1</v>
      </c>
      <c r="AJ136">
        <v>0</v>
      </c>
      <c r="AK136">
        <v>75.72</v>
      </c>
      <c r="AN136" t="s">
        <v>11049</v>
      </c>
      <c r="AO136">
        <v>9192</v>
      </c>
      <c r="AU136">
        <v>0.9</v>
      </c>
      <c r="AV136" t="s">
        <v>652</v>
      </c>
      <c r="AW136" t="s">
        <v>11519</v>
      </c>
    </row>
    <row r="137" spans="1:49">
      <c r="A137" s="1">
        <f>HYPERLINK("https://cms.ls-nyc.org/matter/dynamic-profile/view/1867628","18-1867628")</f>
        <v>0</v>
      </c>
      <c r="B137" t="s">
        <v>95</v>
      </c>
      <c r="C137" t="s">
        <v>234</v>
      </c>
      <c r="D137" t="s">
        <v>299</v>
      </c>
      <c r="E137" t="s">
        <v>398</v>
      </c>
      <c r="F137" t="s">
        <v>883</v>
      </c>
      <c r="G137" t="s">
        <v>2216</v>
      </c>
      <c r="H137" t="s">
        <v>3553</v>
      </c>
      <c r="I137" t="s">
        <v>4812</v>
      </c>
      <c r="J137" t="s">
        <v>5321</v>
      </c>
      <c r="K137">
        <v>10459</v>
      </c>
      <c r="L137" t="s">
        <v>5355</v>
      </c>
      <c r="M137" t="s">
        <v>5356</v>
      </c>
      <c r="N137" t="s">
        <v>5421</v>
      </c>
      <c r="O137" t="s">
        <v>6492</v>
      </c>
      <c r="P137" t="s">
        <v>6524</v>
      </c>
      <c r="Q137" t="s">
        <v>6531</v>
      </c>
      <c r="R137" t="s">
        <v>6539</v>
      </c>
      <c r="S137" t="s">
        <v>5357</v>
      </c>
      <c r="U137" t="s">
        <v>6557</v>
      </c>
      <c r="W137" t="s">
        <v>6573</v>
      </c>
      <c r="X137">
        <v>171</v>
      </c>
      <c r="Y137" t="s">
        <v>6606</v>
      </c>
      <c r="Z137" t="s">
        <v>6626</v>
      </c>
      <c r="AA137" t="s">
        <v>6631</v>
      </c>
      <c r="AB137" t="s">
        <v>6789</v>
      </c>
      <c r="AD137" t="s">
        <v>9218</v>
      </c>
      <c r="AE137">
        <v>0</v>
      </c>
      <c r="AF137" t="s">
        <v>11008</v>
      </c>
      <c r="AG137" t="s">
        <v>11020</v>
      </c>
      <c r="AH137">
        <v>20</v>
      </c>
      <c r="AI137">
        <v>1</v>
      </c>
      <c r="AJ137">
        <v>0</v>
      </c>
      <c r="AK137">
        <v>76.41</v>
      </c>
      <c r="AN137" t="s">
        <v>11050</v>
      </c>
      <c r="AO137">
        <v>9276</v>
      </c>
      <c r="AU137">
        <v>3.1</v>
      </c>
      <c r="AV137" t="s">
        <v>541</v>
      </c>
      <c r="AW137" t="s">
        <v>11520</v>
      </c>
    </row>
    <row r="138" spans="1:49">
      <c r="A138" s="1">
        <f>HYPERLINK("https://cms.ls-nyc.org/matter/dynamic-profile/view/1866365","18-1866365")</f>
        <v>0</v>
      </c>
      <c r="B138" t="s">
        <v>67</v>
      </c>
      <c r="C138" t="s">
        <v>234</v>
      </c>
      <c r="D138" t="s">
        <v>241</v>
      </c>
      <c r="E138" t="s">
        <v>677</v>
      </c>
      <c r="F138" t="s">
        <v>966</v>
      </c>
      <c r="G138" t="s">
        <v>2217</v>
      </c>
      <c r="H138" t="s">
        <v>3554</v>
      </c>
      <c r="I138">
        <v>24</v>
      </c>
      <c r="J138" t="s">
        <v>5323</v>
      </c>
      <c r="K138">
        <v>10029</v>
      </c>
      <c r="L138" t="s">
        <v>5355</v>
      </c>
      <c r="M138" t="s">
        <v>5355</v>
      </c>
      <c r="N138" t="s">
        <v>5422</v>
      </c>
      <c r="O138" t="s">
        <v>6492</v>
      </c>
      <c r="P138" t="s">
        <v>6524</v>
      </c>
      <c r="Q138" t="s">
        <v>6531</v>
      </c>
      <c r="R138" t="s">
        <v>6539</v>
      </c>
      <c r="S138" t="s">
        <v>5357</v>
      </c>
      <c r="U138" t="s">
        <v>6557</v>
      </c>
      <c r="V138" t="s">
        <v>6566</v>
      </c>
      <c r="W138" t="s">
        <v>241</v>
      </c>
      <c r="X138">
        <v>633</v>
      </c>
      <c r="Y138" t="s">
        <v>6608</v>
      </c>
      <c r="Z138" t="s">
        <v>6615</v>
      </c>
      <c r="AA138" t="s">
        <v>6631</v>
      </c>
      <c r="AB138" t="s">
        <v>6790</v>
      </c>
      <c r="AD138" t="s">
        <v>9219</v>
      </c>
      <c r="AE138">
        <v>35</v>
      </c>
      <c r="AF138" t="s">
        <v>11005</v>
      </c>
      <c r="AG138" t="s">
        <v>5406</v>
      </c>
      <c r="AH138">
        <v>20</v>
      </c>
      <c r="AI138">
        <v>1</v>
      </c>
      <c r="AJ138">
        <v>0</v>
      </c>
      <c r="AK138">
        <v>77.09999999999999</v>
      </c>
      <c r="AN138" t="s">
        <v>11049</v>
      </c>
      <c r="AO138">
        <v>9360</v>
      </c>
      <c r="AU138">
        <v>0.2</v>
      </c>
      <c r="AV138" t="s">
        <v>677</v>
      </c>
      <c r="AW138" t="s">
        <v>11497</v>
      </c>
    </row>
    <row r="139" spans="1:49">
      <c r="A139" s="1">
        <f>HYPERLINK("https://cms.ls-nyc.org/matter/dynamic-profile/view/1866694","18-1866694")</f>
        <v>0</v>
      </c>
      <c r="B139" t="s">
        <v>108</v>
      </c>
      <c r="C139" t="s">
        <v>235</v>
      </c>
      <c r="D139" t="s">
        <v>335</v>
      </c>
      <c r="F139" t="s">
        <v>967</v>
      </c>
      <c r="G139" t="s">
        <v>2218</v>
      </c>
      <c r="H139" t="s">
        <v>3555</v>
      </c>
      <c r="I139" t="s">
        <v>4744</v>
      </c>
      <c r="J139" t="s">
        <v>5323</v>
      </c>
      <c r="K139">
        <v>10034</v>
      </c>
      <c r="L139" t="s">
        <v>5356</v>
      </c>
      <c r="M139" t="s">
        <v>5356</v>
      </c>
      <c r="N139" t="s">
        <v>5423</v>
      </c>
      <c r="O139" t="s">
        <v>6492</v>
      </c>
      <c r="P139" t="s">
        <v>6524</v>
      </c>
      <c r="R139" t="s">
        <v>6539</v>
      </c>
      <c r="S139" t="s">
        <v>5355</v>
      </c>
      <c r="U139" t="s">
        <v>6557</v>
      </c>
      <c r="V139" t="s">
        <v>6566</v>
      </c>
      <c r="W139" t="s">
        <v>335</v>
      </c>
      <c r="X139">
        <v>1093</v>
      </c>
      <c r="Y139" t="s">
        <v>6608</v>
      </c>
      <c r="Z139" t="s">
        <v>6621</v>
      </c>
      <c r="AB139" t="s">
        <v>6791</v>
      </c>
      <c r="AC139" t="s">
        <v>8727</v>
      </c>
      <c r="AD139" t="s">
        <v>9220</v>
      </c>
      <c r="AE139">
        <v>36</v>
      </c>
      <c r="AF139" t="s">
        <v>11005</v>
      </c>
      <c r="AG139" t="s">
        <v>5406</v>
      </c>
      <c r="AH139">
        <v>18</v>
      </c>
      <c r="AI139">
        <v>1</v>
      </c>
      <c r="AJ139">
        <v>0</v>
      </c>
      <c r="AK139">
        <v>77.3</v>
      </c>
      <c r="AN139" t="s">
        <v>11050</v>
      </c>
      <c r="AO139">
        <v>9384</v>
      </c>
      <c r="AU139">
        <v>1.6</v>
      </c>
      <c r="AV139" t="s">
        <v>517</v>
      </c>
      <c r="AW139" t="s">
        <v>11493</v>
      </c>
    </row>
    <row r="140" spans="1:49">
      <c r="A140" s="1">
        <f>HYPERLINK("https://cms.ls-nyc.org/matter/dynamic-profile/view/1862293","18-1862293")</f>
        <v>0</v>
      </c>
      <c r="B140" t="s">
        <v>59</v>
      </c>
      <c r="C140" t="s">
        <v>234</v>
      </c>
      <c r="D140" t="s">
        <v>336</v>
      </c>
      <c r="E140" t="s">
        <v>671</v>
      </c>
      <c r="F140" t="s">
        <v>968</v>
      </c>
      <c r="G140" t="s">
        <v>2040</v>
      </c>
      <c r="H140" t="s">
        <v>3556</v>
      </c>
      <c r="I140">
        <v>413</v>
      </c>
      <c r="J140" t="s">
        <v>5321</v>
      </c>
      <c r="K140">
        <v>10455</v>
      </c>
      <c r="L140" t="s">
        <v>5355</v>
      </c>
      <c r="M140" t="s">
        <v>5356</v>
      </c>
      <c r="O140" t="s">
        <v>5393</v>
      </c>
      <c r="P140" t="s">
        <v>6524</v>
      </c>
      <c r="Q140" t="s">
        <v>6531</v>
      </c>
      <c r="R140" t="s">
        <v>6539</v>
      </c>
      <c r="S140" t="s">
        <v>5357</v>
      </c>
      <c r="U140" t="s">
        <v>6557</v>
      </c>
      <c r="W140" t="s">
        <v>336</v>
      </c>
      <c r="X140">
        <v>1152</v>
      </c>
      <c r="Y140" t="s">
        <v>6606</v>
      </c>
      <c r="Z140" t="s">
        <v>6612</v>
      </c>
      <c r="AA140" t="s">
        <v>6631</v>
      </c>
      <c r="AB140" t="s">
        <v>6792</v>
      </c>
      <c r="AD140" t="s">
        <v>9221</v>
      </c>
      <c r="AE140">
        <v>158</v>
      </c>
      <c r="AF140" t="s">
        <v>11005</v>
      </c>
      <c r="AG140" t="s">
        <v>11026</v>
      </c>
      <c r="AH140">
        <v>3</v>
      </c>
      <c r="AI140">
        <v>1</v>
      </c>
      <c r="AJ140">
        <v>0</v>
      </c>
      <c r="AK140">
        <v>77.69</v>
      </c>
      <c r="AN140" t="s">
        <v>11050</v>
      </c>
      <c r="AO140">
        <v>9432</v>
      </c>
      <c r="AU140">
        <v>3.1</v>
      </c>
      <c r="AV140" t="s">
        <v>671</v>
      </c>
      <c r="AW140" t="s">
        <v>59</v>
      </c>
    </row>
    <row r="141" spans="1:49">
      <c r="A141" s="1">
        <f>HYPERLINK("https://cms.ls-nyc.org/matter/dynamic-profile/view/1870062","18-1870062")</f>
        <v>0</v>
      </c>
      <c r="B141" t="s">
        <v>77</v>
      </c>
      <c r="C141" t="s">
        <v>234</v>
      </c>
      <c r="D141" t="s">
        <v>307</v>
      </c>
      <c r="E141" t="s">
        <v>687</v>
      </c>
      <c r="F141" t="s">
        <v>897</v>
      </c>
      <c r="G141" t="s">
        <v>2219</v>
      </c>
      <c r="H141" t="s">
        <v>3557</v>
      </c>
      <c r="I141" t="s">
        <v>4778</v>
      </c>
      <c r="J141" t="s">
        <v>5320</v>
      </c>
      <c r="K141">
        <v>11207</v>
      </c>
      <c r="L141" t="s">
        <v>5355</v>
      </c>
      <c r="M141" t="s">
        <v>5356</v>
      </c>
      <c r="O141" t="s">
        <v>6500</v>
      </c>
      <c r="P141" t="s">
        <v>6524</v>
      </c>
      <c r="Q141" t="s">
        <v>6531</v>
      </c>
      <c r="R141" t="s">
        <v>6539</v>
      </c>
      <c r="S141" t="s">
        <v>5355</v>
      </c>
      <c r="U141" t="s">
        <v>6557</v>
      </c>
      <c r="W141" t="s">
        <v>318</v>
      </c>
      <c r="X141">
        <v>1150</v>
      </c>
      <c r="Y141" t="s">
        <v>6605</v>
      </c>
      <c r="Z141" t="s">
        <v>6616</v>
      </c>
      <c r="AA141" t="s">
        <v>6631</v>
      </c>
      <c r="AB141" t="s">
        <v>6793</v>
      </c>
      <c r="AC141" t="s">
        <v>8728</v>
      </c>
      <c r="AD141" t="s">
        <v>9222</v>
      </c>
      <c r="AE141">
        <v>6</v>
      </c>
      <c r="AF141" t="s">
        <v>11005</v>
      </c>
      <c r="AG141" t="s">
        <v>11020</v>
      </c>
      <c r="AH141">
        <v>4</v>
      </c>
      <c r="AI141">
        <v>1</v>
      </c>
      <c r="AJ141">
        <v>0</v>
      </c>
      <c r="AK141">
        <v>77.98999999999999</v>
      </c>
      <c r="AN141" t="s">
        <v>11050</v>
      </c>
      <c r="AO141">
        <v>9468</v>
      </c>
      <c r="AU141">
        <v>2.55</v>
      </c>
      <c r="AV141" t="s">
        <v>825</v>
      </c>
      <c r="AW141" t="s">
        <v>11512</v>
      </c>
    </row>
    <row r="142" spans="1:49">
      <c r="A142" s="1">
        <f>HYPERLINK("https://cms.ls-nyc.org/matter/dynamic-profile/view/1867673","18-1867673")</f>
        <v>0</v>
      </c>
      <c r="B142" t="s">
        <v>95</v>
      </c>
      <c r="C142" t="s">
        <v>234</v>
      </c>
      <c r="D142" t="s">
        <v>299</v>
      </c>
      <c r="E142" t="s">
        <v>671</v>
      </c>
      <c r="F142" t="s">
        <v>929</v>
      </c>
      <c r="G142" t="s">
        <v>2220</v>
      </c>
      <c r="H142" t="s">
        <v>3558</v>
      </c>
      <c r="I142" t="s">
        <v>4811</v>
      </c>
      <c r="J142" t="s">
        <v>5321</v>
      </c>
      <c r="K142">
        <v>10453</v>
      </c>
      <c r="L142" t="s">
        <v>5355</v>
      </c>
      <c r="M142" t="s">
        <v>5356</v>
      </c>
      <c r="O142" t="s">
        <v>5393</v>
      </c>
      <c r="P142" t="s">
        <v>6524</v>
      </c>
      <c r="Q142" t="s">
        <v>6531</v>
      </c>
      <c r="R142" t="s">
        <v>6539</v>
      </c>
      <c r="S142" t="s">
        <v>5357</v>
      </c>
      <c r="U142" t="s">
        <v>6557</v>
      </c>
      <c r="W142" t="s">
        <v>6574</v>
      </c>
      <c r="X142">
        <v>1100</v>
      </c>
      <c r="Y142" t="s">
        <v>6606</v>
      </c>
      <c r="Z142" t="s">
        <v>6612</v>
      </c>
      <c r="AA142" t="s">
        <v>6631</v>
      </c>
      <c r="AB142" t="s">
        <v>6794</v>
      </c>
      <c r="AD142" t="s">
        <v>9223</v>
      </c>
      <c r="AE142">
        <v>0</v>
      </c>
      <c r="AF142" t="s">
        <v>11005</v>
      </c>
      <c r="AG142" t="s">
        <v>11020</v>
      </c>
      <c r="AH142">
        <v>29</v>
      </c>
      <c r="AI142">
        <v>1</v>
      </c>
      <c r="AJ142">
        <v>0</v>
      </c>
      <c r="AK142">
        <v>78.39</v>
      </c>
      <c r="AN142" t="s">
        <v>11049</v>
      </c>
      <c r="AO142">
        <v>9516</v>
      </c>
      <c r="AU142">
        <v>1.3</v>
      </c>
      <c r="AV142" t="s">
        <v>671</v>
      </c>
      <c r="AW142" t="s">
        <v>95</v>
      </c>
    </row>
    <row r="143" spans="1:49">
      <c r="A143" s="1">
        <f>HYPERLINK("https://cms.ls-nyc.org/matter/dynamic-profile/view/1870214","18-1870214")</f>
        <v>0</v>
      </c>
      <c r="B143" t="s">
        <v>90</v>
      </c>
      <c r="C143" t="s">
        <v>234</v>
      </c>
      <c r="D143" t="s">
        <v>337</v>
      </c>
      <c r="E143" t="s">
        <v>265</v>
      </c>
      <c r="F143" t="s">
        <v>969</v>
      </c>
      <c r="G143" t="s">
        <v>1415</v>
      </c>
      <c r="H143" t="s">
        <v>3559</v>
      </c>
      <c r="I143" t="s">
        <v>4813</v>
      </c>
      <c r="J143" t="s">
        <v>5321</v>
      </c>
      <c r="K143">
        <v>10459</v>
      </c>
      <c r="L143" t="s">
        <v>5355</v>
      </c>
      <c r="M143" t="s">
        <v>5356</v>
      </c>
      <c r="O143" t="s">
        <v>6496</v>
      </c>
      <c r="P143" t="s">
        <v>6524</v>
      </c>
      <c r="Q143" t="s">
        <v>6531</v>
      </c>
      <c r="R143" t="s">
        <v>6539</v>
      </c>
      <c r="S143" t="s">
        <v>5357</v>
      </c>
      <c r="U143" t="s">
        <v>6557</v>
      </c>
      <c r="W143" t="s">
        <v>516</v>
      </c>
      <c r="X143">
        <v>400</v>
      </c>
      <c r="Y143" t="s">
        <v>6606</v>
      </c>
      <c r="Z143" t="s">
        <v>6616</v>
      </c>
      <c r="AA143" t="s">
        <v>6631</v>
      </c>
      <c r="AB143" t="s">
        <v>6795</v>
      </c>
      <c r="AD143" t="s">
        <v>9224</v>
      </c>
      <c r="AE143">
        <v>3</v>
      </c>
      <c r="AG143" t="s">
        <v>5406</v>
      </c>
      <c r="AH143">
        <v>5</v>
      </c>
      <c r="AI143">
        <v>1</v>
      </c>
      <c r="AJ143">
        <v>0</v>
      </c>
      <c r="AK143">
        <v>79.08</v>
      </c>
      <c r="AN143" t="s">
        <v>11050</v>
      </c>
      <c r="AO143">
        <v>9600</v>
      </c>
      <c r="AU143">
        <v>1.6</v>
      </c>
      <c r="AV143" t="s">
        <v>265</v>
      </c>
      <c r="AW143" t="s">
        <v>11504</v>
      </c>
    </row>
    <row r="144" spans="1:49">
      <c r="A144" s="1">
        <f>HYPERLINK("https://cms.ls-nyc.org/matter/dynamic-profile/view/1859321","18-1859321")</f>
        <v>0</v>
      </c>
      <c r="B144" t="s">
        <v>102</v>
      </c>
      <c r="C144" t="s">
        <v>234</v>
      </c>
      <c r="D144" t="s">
        <v>284</v>
      </c>
      <c r="E144" t="s">
        <v>665</v>
      </c>
      <c r="F144" t="s">
        <v>970</v>
      </c>
      <c r="G144" t="s">
        <v>2221</v>
      </c>
      <c r="H144" t="s">
        <v>3526</v>
      </c>
      <c r="I144">
        <v>401</v>
      </c>
      <c r="J144" t="s">
        <v>5321</v>
      </c>
      <c r="K144">
        <v>10453</v>
      </c>
      <c r="L144" t="s">
        <v>5355</v>
      </c>
      <c r="M144" t="s">
        <v>5356</v>
      </c>
      <c r="O144" t="s">
        <v>6499</v>
      </c>
      <c r="P144" t="s">
        <v>6524</v>
      </c>
      <c r="Q144" t="s">
        <v>6531</v>
      </c>
      <c r="R144" t="s">
        <v>6539</v>
      </c>
      <c r="S144" t="s">
        <v>5355</v>
      </c>
      <c r="U144" t="s">
        <v>6557</v>
      </c>
      <c r="W144" t="s">
        <v>444</v>
      </c>
      <c r="X144">
        <v>529.4299999999999</v>
      </c>
      <c r="Y144" t="s">
        <v>6606</v>
      </c>
      <c r="Z144" t="s">
        <v>6622</v>
      </c>
      <c r="AA144" t="s">
        <v>6631</v>
      </c>
      <c r="AB144" t="s">
        <v>6796</v>
      </c>
      <c r="AD144" t="s">
        <v>9225</v>
      </c>
      <c r="AE144">
        <v>146</v>
      </c>
      <c r="AF144" t="s">
        <v>11005</v>
      </c>
      <c r="AG144" t="s">
        <v>11024</v>
      </c>
      <c r="AH144">
        <v>26</v>
      </c>
      <c r="AI144">
        <v>1</v>
      </c>
      <c r="AJ144">
        <v>0</v>
      </c>
      <c r="AK144">
        <v>79.08</v>
      </c>
      <c r="AN144" t="s">
        <v>11049</v>
      </c>
      <c r="AO144">
        <v>9600</v>
      </c>
      <c r="AU144">
        <v>1.6</v>
      </c>
      <c r="AV144" t="s">
        <v>349</v>
      </c>
      <c r="AW144" t="s">
        <v>11492</v>
      </c>
    </row>
    <row r="145" spans="1:49">
      <c r="A145" s="1">
        <f>HYPERLINK("https://cms.ls-nyc.org/matter/dynamic-profile/view/1862199","18-1862199")</f>
        <v>0</v>
      </c>
      <c r="B145" t="s">
        <v>70</v>
      </c>
      <c r="C145" t="s">
        <v>234</v>
      </c>
      <c r="D145" t="s">
        <v>331</v>
      </c>
      <c r="E145" t="s">
        <v>715</v>
      </c>
      <c r="F145" t="s">
        <v>971</v>
      </c>
      <c r="G145" t="s">
        <v>2222</v>
      </c>
      <c r="H145" t="s">
        <v>3560</v>
      </c>
      <c r="I145" t="s">
        <v>4814</v>
      </c>
      <c r="J145" t="s">
        <v>5323</v>
      </c>
      <c r="K145">
        <v>10039</v>
      </c>
      <c r="L145" t="s">
        <v>5355</v>
      </c>
      <c r="M145" t="s">
        <v>5355</v>
      </c>
      <c r="N145" t="s">
        <v>5424</v>
      </c>
      <c r="O145" t="s">
        <v>6492</v>
      </c>
      <c r="P145" t="s">
        <v>6524</v>
      </c>
      <c r="Q145" t="s">
        <v>6531</v>
      </c>
      <c r="R145" t="s">
        <v>6539</v>
      </c>
      <c r="S145" t="s">
        <v>5357</v>
      </c>
      <c r="U145" t="s">
        <v>6557</v>
      </c>
      <c r="W145" t="s">
        <v>298</v>
      </c>
      <c r="X145">
        <v>1000</v>
      </c>
      <c r="Y145" t="s">
        <v>6608</v>
      </c>
      <c r="Z145" t="s">
        <v>6613</v>
      </c>
      <c r="AA145" t="s">
        <v>6631</v>
      </c>
      <c r="AB145" t="s">
        <v>6797</v>
      </c>
      <c r="AC145" t="s">
        <v>8729</v>
      </c>
      <c r="AD145" t="s">
        <v>9226</v>
      </c>
      <c r="AE145">
        <v>54</v>
      </c>
      <c r="AF145" t="s">
        <v>11005</v>
      </c>
      <c r="AG145" t="s">
        <v>11020</v>
      </c>
      <c r="AH145">
        <v>27</v>
      </c>
      <c r="AI145">
        <v>1</v>
      </c>
      <c r="AJ145">
        <v>0</v>
      </c>
      <c r="AK145">
        <v>79.08</v>
      </c>
      <c r="AN145" t="s">
        <v>11050</v>
      </c>
      <c r="AO145">
        <v>9600</v>
      </c>
      <c r="AU145">
        <v>1.35</v>
      </c>
      <c r="AV145" t="s">
        <v>683</v>
      </c>
      <c r="AW145" t="s">
        <v>11496</v>
      </c>
    </row>
    <row r="146" spans="1:49">
      <c r="A146" s="1">
        <f>HYPERLINK("https://cms.ls-nyc.org/matter/dynamic-profile/view/1855154","18-1855154")</f>
        <v>0</v>
      </c>
      <c r="B146" t="s">
        <v>70</v>
      </c>
      <c r="C146" t="s">
        <v>235</v>
      </c>
      <c r="D146" t="s">
        <v>269</v>
      </c>
      <c r="F146" t="s">
        <v>972</v>
      </c>
      <c r="G146" t="s">
        <v>2223</v>
      </c>
      <c r="H146" t="s">
        <v>3561</v>
      </c>
      <c r="I146" t="s">
        <v>4815</v>
      </c>
      <c r="J146" t="s">
        <v>5323</v>
      </c>
      <c r="K146">
        <v>10040</v>
      </c>
      <c r="L146" t="s">
        <v>5355</v>
      </c>
      <c r="M146" t="s">
        <v>5356</v>
      </c>
      <c r="N146" t="s">
        <v>5425</v>
      </c>
      <c r="O146" t="s">
        <v>6492</v>
      </c>
      <c r="P146" t="s">
        <v>6524</v>
      </c>
      <c r="R146" t="s">
        <v>6539</v>
      </c>
      <c r="S146" t="s">
        <v>5357</v>
      </c>
      <c r="T146" t="s">
        <v>6542</v>
      </c>
      <c r="U146" t="s">
        <v>6557</v>
      </c>
      <c r="W146" t="s">
        <v>6575</v>
      </c>
      <c r="X146">
        <v>801</v>
      </c>
      <c r="Y146" t="s">
        <v>6608</v>
      </c>
      <c r="Z146" t="s">
        <v>6616</v>
      </c>
      <c r="AB146" t="s">
        <v>6798</v>
      </c>
      <c r="AD146" t="s">
        <v>9227</v>
      </c>
      <c r="AE146">
        <v>62</v>
      </c>
      <c r="AF146" t="s">
        <v>11005</v>
      </c>
      <c r="AG146" t="s">
        <v>11024</v>
      </c>
      <c r="AH146">
        <v>40</v>
      </c>
      <c r="AI146">
        <v>1</v>
      </c>
      <c r="AJ146">
        <v>0</v>
      </c>
      <c r="AK146">
        <v>79.59999999999999</v>
      </c>
      <c r="AN146" t="s">
        <v>11049</v>
      </c>
      <c r="AO146">
        <v>9600</v>
      </c>
      <c r="AU146">
        <v>1.4</v>
      </c>
      <c r="AV146" t="s">
        <v>447</v>
      </c>
      <c r="AW146" t="s">
        <v>11521</v>
      </c>
    </row>
    <row r="147" spans="1:49">
      <c r="A147" s="1">
        <f>HYPERLINK("https://cms.ls-nyc.org/matter/dynamic-profile/view/1871458","18-1871458")</f>
        <v>0</v>
      </c>
      <c r="B147" t="s">
        <v>80</v>
      </c>
      <c r="C147" t="s">
        <v>234</v>
      </c>
      <c r="D147" t="s">
        <v>338</v>
      </c>
      <c r="E147" t="s">
        <v>440</v>
      </c>
      <c r="F147" t="s">
        <v>973</v>
      </c>
      <c r="G147" t="s">
        <v>2224</v>
      </c>
      <c r="H147" t="s">
        <v>3562</v>
      </c>
      <c r="I147">
        <v>3</v>
      </c>
      <c r="J147" t="s">
        <v>5321</v>
      </c>
      <c r="K147">
        <v>10468</v>
      </c>
      <c r="L147" t="s">
        <v>5355</v>
      </c>
      <c r="M147" t="s">
        <v>5356</v>
      </c>
      <c r="O147" t="s">
        <v>5393</v>
      </c>
      <c r="P147" t="s">
        <v>6524</v>
      </c>
      <c r="Q147" t="s">
        <v>6531</v>
      </c>
      <c r="R147" t="s">
        <v>6540</v>
      </c>
      <c r="S147" t="s">
        <v>5357</v>
      </c>
      <c r="U147" t="s">
        <v>6557</v>
      </c>
      <c r="W147" t="s">
        <v>338</v>
      </c>
      <c r="X147">
        <v>1515</v>
      </c>
      <c r="Y147" t="s">
        <v>6606</v>
      </c>
      <c r="Z147" t="s">
        <v>6610</v>
      </c>
      <c r="AA147" t="s">
        <v>6631</v>
      </c>
      <c r="AB147" t="s">
        <v>6799</v>
      </c>
      <c r="AD147" t="s">
        <v>9228</v>
      </c>
      <c r="AE147">
        <v>0</v>
      </c>
      <c r="AF147" t="s">
        <v>11004</v>
      </c>
      <c r="AG147" t="s">
        <v>11019</v>
      </c>
      <c r="AH147">
        <v>3</v>
      </c>
      <c r="AI147">
        <v>1</v>
      </c>
      <c r="AJ147">
        <v>2</v>
      </c>
      <c r="AK147">
        <v>80.84999999999999</v>
      </c>
      <c r="AL147" t="s">
        <v>11028</v>
      </c>
      <c r="AM147" t="s">
        <v>11044</v>
      </c>
      <c r="AN147" t="s">
        <v>11050</v>
      </c>
      <c r="AO147">
        <v>16800</v>
      </c>
      <c r="AU147">
        <v>1.5</v>
      </c>
      <c r="AV147" t="s">
        <v>541</v>
      </c>
      <c r="AW147" t="s">
        <v>57</v>
      </c>
    </row>
    <row r="148" spans="1:49">
      <c r="A148" s="1">
        <f>HYPERLINK("https://cms.ls-nyc.org/matter/dynamic-profile/view/1861499","18-1861499")</f>
        <v>0</v>
      </c>
      <c r="B148" t="s">
        <v>104</v>
      </c>
      <c r="C148" t="s">
        <v>234</v>
      </c>
      <c r="D148" t="s">
        <v>339</v>
      </c>
      <c r="E148" t="s">
        <v>665</v>
      </c>
      <c r="F148" t="s">
        <v>974</v>
      </c>
      <c r="G148" t="s">
        <v>2225</v>
      </c>
      <c r="H148" t="s">
        <v>3552</v>
      </c>
      <c r="I148" t="s">
        <v>4772</v>
      </c>
      <c r="J148" t="s">
        <v>5321</v>
      </c>
      <c r="K148">
        <v>10453</v>
      </c>
      <c r="L148" t="s">
        <v>5355</v>
      </c>
      <c r="M148" t="s">
        <v>5356</v>
      </c>
      <c r="O148" t="s">
        <v>5393</v>
      </c>
      <c r="P148" t="s">
        <v>6524</v>
      </c>
      <c r="Q148" t="s">
        <v>6531</v>
      </c>
      <c r="R148" t="s">
        <v>6539</v>
      </c>
      <c r="S148" t="s">
        <v>5357</v>
      </c>
      <c r="U148" t="s">
        <v>6557</v>
      </c>
      <c r="W148" t="s">
        <v>516</v>
      </c>
      <c r="X148">
        <v>1035.35</v>
      </c>
      <c r="Y148" t="s">
        <v>6606</v>
      </c>
      <c r="Z148" t="s">
        <v>6614</v>
      </c>
      <c r="AA148" t="s">
        <v>6631</v>
      </c>
      <c r="AB148" t="s">
        <v>6800</v>
      </c>
      <c r="AD148" t="s">
        <v>9229</v>
      </c>
      <c r="AE148">
        <v>0</v>
      </c>
      <c r="AF148" t="s">
        <v>11011</v>
      </c>
      <c r="AG148" t="s">
        <v>5406</v>
      </c>
      <c r="AH148">
        <v>10</v>
      </c>
      <c r="AI148">
        <v>1</v>
      </c>
      <c r="AJ148">
        <v>0</v>
      </c>
      <c r="AK148">
        <v>81.25</v>
      </c>
      <c r="AN148" t="s">
        <v>11050</v>
      </c>
      <c r="AO148">
        <v>9864</v>
      </c>
      <c r="AU148">
        <v>12.36</v>
      </c>
      <c r="AV148" t="s">
        <v>394</v>
      </c>
      <c r="AW148" t="s">
        <v>11513</v>
      </c>
    </row>
    <row r="149" spans="1:49">
      <c r="A149" s="1">
        <f>HYPERLINK("https://cms.ls-nyc.org/matter/dynamic-profile/view/1857872","18-1857872")</f>
        <v>0</v>
      </c>
      <c r="B149" t="s">
        <v>83</v>
      </c>
      <c r="C149" t="s">
        <v>234</v>
      </c>
      <c r="D149" t="s">
        <v>262</v>
      </c>
      <c r="E149" t="s">
        <v>716</v>
      </c>
      <c r="F149" t="s">
        <v>972</v>
      </c>
      <c r="G149" t="s">
        <v>2226</v>
      </c>
      <c r="H149" t="s">
        <v>3563</v>
      </c>
      <c r="I149" t="s">
        <v>4816</v>
      </c>
      <c r="J149" t="s">
        <v>5323</v>
      </c>
      <c r="K149">
        <v>10035</v>
      </c>
      <c r="L149" t="s">
        <v>5355</v>
      </c>
      <c r="M149" t="s">
        <v>5355</v>
      </c>
      <c r="O149" t="s">
        <v>5393</v>
      </c>
      <c r="P149" t="s">
        <v>6524</v>
      </c>
      <c r="Q149" t="s">
        <v>6531</v>
      </c>
      <c r="R149" t="s">
        <v>6539</v>
      </c>
      <c r="S149" t="s">
        <v>5357</v>
      </c>
      <c r="U149" t="s">
        <v>6557</v>
      </c>
      <c r="V149" t="s">
        <v>6566</v>
      </c>
      <c r="W149" t="s">
        <v>262</v>
      </c>
      <c r="X149">
        <v>1421</v>
      </c>
      <c r="Y149" t="s">
        <v>6608</v>
      </c>
      <c r="Z149" t="s">
        <v>6614</v>
      </c>
      <c r="AA149" t="s">
        <v>6631</v>
      </c>
      <c r="AB149" t="s">
        <v>6801</v>
      </c>
      <c r="AD149" t="s">
        <v>9230</v>
      </c>
      <c r="AE149">
        <v>32</v>
      </c>
      <c r="AF149" t="s">
        <v>11005</v>
      </c>
      <c r="AG149" t="s">
        <v>11020</v>
      </c>
      <c r="AH149">
        <v>8</v>
      </c>
      <c r="AI149">
        <v>2</v>
      </c>
      <c r="AJ149">
        <v>1</v>
      </c>
      <c r="AK149">
        <v>81.39</v>
      </c>
      <c r="AN149" t="s">
        <v>11050</v>
      </c>
      <c r="AO149">
        <v>22140</v>
      </c>
      <c r="AU149">
        <v>2.5</v>
      </c>
      <c r="AV149" t="s">
        <v>797</v>
      </c>
      <c r="AW149" t="s">
        <v>11497</v>
      </c>
    </row>
    <row r="150" spans="1:49">
      <c r="A150" s="1">
        <f>HYPERLINK("https://cms.ls-nyc.org/matter/dynamic-profile/view/1848833","17-1848833")</f>
        <v>0</v>
      </c>
      <c r="B150" t="s">
        <v>56</v>
      </c>
      <c r="C150" t="s">
        <v>234</v>
      </c>
      <c r="D150" t="s">
        <v>340</v>
      </c>
      <c r="E150" t="s">
        <v>665</v>
      </c>
      <c r="F150" t="s">
        <v>975</v>
      </c>
      <c r="G150" t="s">
        <v>2227</v>
      </c>
      <c r="H150" t="s">
        <v>3564</v>
      </c>
      <c r="I150" t="s">
        <v>4752</v>
      </c>
      <c r="J150" t="s">
        <v>5321</v>
      </c>
      <c r="K150">
        <v>10453</v>
      </c>
      <c r="L150" t="s">
        <v>5355</v>
      </c>
      <c r="M150" t="s">
        <v>5356</v>
      </c>
      <c r="O150" t="s">
        <v>6496</v>
      </c>
      <c r="P150" t="s">
        <v>6524</v>
      </c>
      <c r="Q150" t="s">
        <v>6531</v>
      </c>
      <c r="R150" t="s">
        <v>6539</v>
      </c>
      <c r="S150" t="s">
        <v>5357</v>
      </c>
      <c r="U150" t="s">
        <v>6561</v>
      </c>
      <c r="W150" t="s">
        <v>516</v>
      </c>
      <c r="X150">
        <v>1275</v>
      </c>
      <c r="Y150" t="s">
        <v>6606</v>
      </c>
      <c r="Z150" t="s">
        <v>6612</v>
      </c>
      <c r="AA150" t="s">
        <v>6634</v>
      </c>
      <c r="AB150" t="s">
        <v>6802</v>
      </c>
      <c r="AD150" t="s">
        <v>9231</v>
      </c>
      <c r="AE150">
        <v>43</v>
      </c>
      <c r="AF150" t="s">
        <v>11008</v>
      </c>
      <c r="AG150" t="s">
        <v>11020</v>
      </c>
      <c r="AH150">
        <v>17</v>
      </c>
      <c r="AI150">
        <v>1</v>
      </c>
      <c r="AJ150">
        <v>0</v>
      </c>
      <c r="AK150">
        <v>81.59</v>
      </c>
      <c r="AN150" t="s">
        <v>11049</v>
      </c>
      <c r="AO150">
        <v>9840</v>
      </c>
      <c r="AU150">
        <v>6.9</v>
      </c>
      <c r="AV150" t="s">
        <v>315</v>
      </c>
      <c r="AW150" t="s">
        <v>11499</v>
      </c>
    </row>
    <row r="151" spans="1:49">
      <c r="A151" s="1">
        <f>HYPERLINK("https://cms.ls-nyc.org/matter/dynamic-profile/view/1849999","17-1849999")</f>
        <v>0</v>
      </c>
      <c r="B151" t="s">
        <v>109</v>
      </c>
      <c r="C151" t="s">
        <v>234</v>
      </c>
      <c r="D151" t="s">
        <v>341</v>
      </c>
      <c r="E151" t="s">
        <v>709</v>
      </c>
      <c r="F151" t="s">
        <v>976</v>
      </c>
      <c r="G151" t="s">
        <v>1452</v>
      </c>
      <c r="H151" t="s">
        <v>3565</v>
      </c>
      <c r="I151" t="s">
        <v>4817</v>
      </c>
      <c r="J151" t="s">
        <v>5320</v>
      </c>
      <c r="K151">
        <v>11212</v>
      </c>
      <c r="L151" t="s">
        <v>5357</v>
      </c>
      <c r="M151" t="s">
        <v>5356</v>
      </c>
      <c r="N151" t="s">
        <v>5426</v>
      </c>
      <c r="P151" t="s">
        <v>6524</v>
      </c>
      <c r="Q151" t="s">
        <v>6531</v>
      </c>
      <c r="R151" t="s">
        <v>6539</v>
      </c>
      <c r="U151" t="s">
        <v>6557</v>
      </c>
      <c r="W151" t="s">
        <v>341</v>
      </c>
      <c r="X151">
        <v>0</v>
      </c>
      <c r="Y151" t="s">
        <v>6605</v>
      </c>
      <c r="AA151" t="s">
        <v>6631</v>
      </c>
      <c r="AB151" t="s">
        <v>6803</v>
      </c>
      <c r="AD151" t="s">
        <v>9232</v>
      </c>
      <c r="AE151">
        <v>28</v>
      </c>
      <c r="AF151" t="s">
        <v>11005</v>
      </c>
      <c r="AH151">
        <v>8</v>
      </c>
      <c r="AI151">
        <v>1</v>
      </c>
      <c r="AJ151">
        <v>0</v>
      </c>
      <c r="AK151">
        <v>81.69</v>
      </c>
      <c r="AN151" t="s">
        <v>11050</v>
      </c>
      <c r="AO151">
        <v>9852</v>
      </c>
      <c r="AP151" t="s">
        <v>11080</v>
      </c>
      <c r="AU151">
        <v>8.550000000000001</v>
      </c>
      <c r="AV151" t="s">
        <v>562</v>
      </c>
      <c r="AW151" t="s">
        <v>11489</v>
      </c>
    </row>
    <row r="152" spans="1:49">
      <c r="A152" s="1">
        <f>HYPERLINK("https://cms.ls-nyc.org/matter/dynamic-profile/view/1867000","18-1867000")</f>
        <v>0</v>
      </c>
      <c r="B152" t="s">
        <v>103</v>
      </c>
      <c r="C152" t="s">
        <v>234</v>
      </c>
      <c r="D152" t="s">
        <v>244</v>
      </c>
      <c r="E152" t="s">
        <v>674</v>
      </c>
      <c r="F152" t="s">
        <v>977</v>
      </c>
      <c r="G152" t="s">
        <v>2228</v>
      </c>
      <c r="H152" t="s">
        <v>3544</v>
      </c>
      <c r="I152" t="s">
        <v>4818</v>
      </c>
      <c r="J152" t="s">
        <v>5321</v>
      </c>
      <c r="K152">
        <v>10452</v>
      </c>
      <c r="L152" t="s">
        <v>5355</v>
      </c>
      <c r="M152" t="s">
        <v>5355</v>
      </c>
      <c r="O152" t="s">
        <v>5393</v>
      </c>
      <c r="P152" t="s">
        <v>6524</v>
      </c>
      <c r="Q152" t="s">
        <v>6531</v>
      </c>
      <c r="R152" t="s">
        <v>6539</v>
      </c>
      <c r="S152" t="s">
        <v>5357</v>
      </c>
      <c r="U152" t="s">
        <v>6557</v>
      </c>
      <c r="W152" t="s">
        <v>6574</v>
      </c>
      <c r="X152">
        <v>1206</v>
      </c>
      <c r="Y152" t="s">
        <v>6606</v>
      </c>
      <c r="Z152" t="s">
        <v>6612</v>
      </c>
      <c r="AA152" t="s">
        <v>6631</v>
      </c>
      <c r="AB152" t="s">
        <v>6804</v>
      </c>
      <c r="AD152" t="s">
        <v>9233</v>
      </c>
      <c r="AE152">
        <v>0</v>
      </c>
      <c r="AF152" t="s">
        <v>11011</v>
      </c>
      <c r="AG152" t="s">
        <v>11026</v>
      </c>
      <c r="AH152">
        <v>2</v>
      </c>
      <c r="AI152">
        <v>1</v>
      </c>
      <c r="AJ152">
        <v>0</v>
      </c>
      <c r="AK152">
        <v>81.75</v>
      </c>
      <c r="AN152" t="s">
        <v>11050</v>
      </c>
      <c r="AO152">
        <v>9924</v>
      </c>
      <c r="AU152">
        <v>0.7</v>
      </c>
      <c r="AV152" t="s">
        <v>244</v>
      </c>
      <c r="AW152" t="s">
        <v>103</v>
      </c>
    </row>
    <row r="153" spans="1:49">
      <c r="A153" s="1">
        <f>HYPERLINK("https://cms.ls-nyc.org/matter/dynamic-profile/view/1869727","18-1869727")</f>
        <v>0</v>
      </c>
      <c r="B153" t="s">
        <v>59</v>
      </c>
      <c r="C153" t="s">
        <v>234</v>
      </c>
      <c r="D153" t="s">
        <v>275</v>
      </c>
      <c r="E153" t="s">
        <v>427</v>
      </c>
      <c r="F153" t="s">
        <v>907</v>
      </c>
      <c r="G153" t="s">
        <v>2229</v>
      </c>
      <c r="H153" t="s">
        <v>3566</v>
      </c>
      <c r="J153" t="s">
        <v>5321</v>
      </c>
      <c r="K153">
        <v>10452</v>
      </c>
      <c r="L153" t="s">
        <v>5355</v>
      </c>
      <c r="M153" t="s">
        <v>5356</v>
      </c>
      <c r="O153" t="s">
        <v>5393</v>
      </c>
      <c r="P153" t="s">
        <v>6524</v>
      </c>
      <c r="Q153" t="s">
        <v>6531</v>
      </c>
      <c r="R153" t="s">
        <v>6539</v>
      </c>
      <c r="S153" t="s">
        <v>5357</v>
      </c>
      <c r="U153" t="s">
        <v>6557</v>
      </c>
      <c r="W153" t="s">
        <v>516</v>
      </c>
      <c r="X153">
        <v>700</v>
      </c>
      <c r="Y153" t="s">
        <v>6606</v>
      </c>
      <c r="Z153" t="s">
        <v>6493</v>
      </c>
      <c r="AA153" t="s">
        <v>6631</v>
      </c>
      <c r="AB153" t="s">
        <v>6805</v>
      </c>
      <c r="AD153" t="s">
        <v>9234</v>
      </c>
      <c r="AE153">
        <v>0</v>
      </c>
      <c r="AF153" t="s">
        <v>8722</v>
      </c>
      <c r="AG153" t="s">
        <v>11020</v>
      </c>
      <c r="AH153">
        <v>5</v>
      </c>
      <c r="AI153">
        <v>1</v>
      </c>
      <c r="AJ153">
        <v>0</v>
      </c>
      <c r="AK153">
        <v>82.54000000000001</v>
      </c>
      <c r="AN153" t="s">
        <v>11050</v>
      </c>
      <c r="AO153">
        <v>10020</v>
      </c>
      <c r="AU153">
        <v>3.6</v>
      </c>
      <c r="AV153" t="s">
        <v>427</v>
      </c>
      <c r="AW153" t="s">
        <v>11515</v>
      </c>
    </row>
    <row r="154" spans="1:49">
      <c r="A154" s="1">
        <f>HYPERLINK("https://cms.ls-nyc.org/matter/dynamic-profile/view/1864531","18-1864531")</f>
        <v>0</v>
      </c>
      <c r="B154" t="s">
        <v>91</v>
      </c>
      <c r="C154" t="s">
        <v>234</v>
      </c>
      <c r="D154" t="s">
        <v>256</v>
      </c>
      <c r="E154" t="s">
        <v>717</v>
      </c>
      <c r="F154" t="s">
        <v>978</v>
      </c>
      <c r="G154" t="s">
        <v>2230</v>
      </c>
      <c r="H154" t="s">
        <v>3567</v>
      </c>
      <c r="I154">
        <v>3</v>
      </c>
      <c r="J154" t="s">
        <v>5323</v>
      </c>
      <c r="K154">
        <v>10002</v>
      </c>
      <c r="L154" t="s">
        <v>5355</v>
      </c>
      <c r="M154" t="s">
        <v>5356</v>
      </c>
      <c r="N154" t="s">
        <v>5427</v>
      </c>
      <c r="O154" t="s">
        <v>6492</v>
      </c>
      <c r="P154" t="s">
        <v>6524</v>
      </c>
      <c r="Q154" t="s">
        <v>6531</v>
      </c>
      <c r="R154" t="s">
        <v>6539</v>
      </c>
      <c r="S154" t="s">
        <v>5357</v>
      </c>
      <c r="T154" t="s">
        <v>6542</v>
      </c>
      <c r="U154" t="s">
        <v>6557</v>
      </c>
      <c r="W154" t="s">
        <v>256</v>
      </c>
      <c r="X154">
        <v>1471.74</v>
      </c>
      <c r="Y154" t="s">
        <v>6608</v>
      </c>
      <c r="Z154" t="s">
        <v>6614</v>
      </c>
      <c r="AA154" t="s">
        <v>6631</v>
      </c>
      <c r="AB154" t="s">
        <v>6806</v>
      </c>
      <c r="AD154" t="s">
        <v>9235</v>
      </c>
      <c r="AE154">
        <v>15</v>
      </c>
      <c r="AF154" t="s">
        <v>11005</v>
      </c>
      <c r="AG154" t="s">
        <v>5406</v>
      </c>
      <c r="AH154">
        <v>0</v>
      </c>
      <c r="AI154">
        <v>2</v>
      </c>
      <c r="AJ154">
        <v>0</v>
      </c>
      <c r="AK154">
        <v>82.62</v>
      </c>
      <c r="AN154" t="s">
        <v>11051</v>
      </c>
      <c r="AO154">
        <v>38104</v>
      </c>
      <c r="AU154">
        <v>0.1</v>
      </c>
      <c r="AV154" t="s">
        <v>334</v>
      </c>
      <c r="AW154" t="s">
        <v>11494</v>
      </c>
    </row>
    <row r="155" spans="1:49">
      <c r="A155" s="1">
        <f>HYPERLINK("https://cms.ls-nyc.org/matter/dynamic-profile/view/1864359","18-1864359")</f>
        <v>0</v>
      </c>
      <c r="B155" t="s">
        <v>110</v>
      </c>
      <c r="C155" t="s">
        <v>234</v>
      </c>
      <c r="D155" t="s">
        <v>342</v>
      </c>
      <c r="E155" t="s">
        <v>665</v>
      </c>
      <c r="F155" t="s">
        <v>914</v>
      </c>
      <c r="G155" t="s">
        <v>2231</v>
      </c>
      <c r="H155" t="s">
        <v>3568</v>
      </c>
      <c r="I155" t="s">
        <v>4791</v>
      </c>
      <c r="J155" t="s">
        <v>5323</v>
      </c>
      <c r="K155">
        <v>10002</v>
      </c>
      <c r="L155" t="s">
        <v>5355</v>
      </c>
      <c r="M155" t="s">
        <v>5356</v>
      </c>
      <c r="O155" t="s">
        <v>5393</v>
      </c>
      <c r="P155" t="s">
        <v>6524</v>
      </c>
      <c r="Q155" t="s">
        <v>6531</v>
      </c>
      <c r="R155" t="s">
        <v>6539</v>
      </c>
      <c r="U155" t="s">
        <v>6557</v>
      </c>
      <c r="W155" t="s">
        <v>298</v>
      </c>
      <c r="X155">
        <v>651.6</v>
      </c>
      <c r="Y155" t="s">
        <v>6608</v>
      </c>
      <c r="Z155" t="s">
        <v>6623</v>
      </c>
      <c r="AA155" t="s">
        <v>6631</v>
      </c>
      <c r="AB155" t="s">
        <v>6807</v>
      </c>
      <c r="AD155" t="s">
        <v>9236</v>
      </c>
      <c r="AE155">
        <v>0</v>
      </c>
      <c r="AF155" t="s">
        <v>11005</v>
      </c>
      <c r="AG155" t="s">
        <v>11024</v>
      </c>
      <c r="AH155">
        <v>40</v>
      </c>
      <c r="AI155">
        <v>1</v>
      </c>
      <c r="AJ155">
        <v>0</v>
      </c>
      <c r="AK155">
        <v>82.73</v>
      </c>
      <c r="AN155" t="s">
        <v>11049</v>
      </c>
      <c r="AO155">
        <v>10044</v>
      </c>
      <c r="AU155">
        <v>6.25</v>
      </c>
      <c r="AV155" t="s">
        <v>11435</v>
      </c>
      <c r="AW155" t="s">
        <v>11494</v>
      </c>
    </row>
    <row r="156" spans="1:49">
      <c r="A156" s="1">
        <f>HYPERLINK("https://cms.ls-nyc.org/matter/dynamic-profile/view/1868694","18-1868694")</f>
        <v>0</v>
      </c>
      <c r="B156" t="s">
        <v>71</v>
      </c>
      <c r="C156" t="s">
        <v>234</v>
      </c>
      <c r="D156" t="s">
        <v>318</v>
      </c>
      <c r="E156" t="s">
        <v>684</v>
      </c>
      <c r="F156" t="s">
        <v>965</v>
      </c>
      <c r="G156" t="s">
        <v>2215</v>
      </c>
      <c r="H156" t="s">
        <v>3569</v>
      </c>
      <c r="I156" t="s">
        <v>4811</v>
      </c>
      <c r="J156" t="s">
        <v>5321</v>
      </c>
      <c r="K156">
        <v>10453</v>
      </c>
      <c r="L156" t="s">
        <v>5355</v>
      </c>
      <c r="M156" t="s">
        <v>5356</v>
      </c>
      <c r="N156" t="s">
        <v>5420</v>
      </c>
      <c r="O156" t="s">
        <v>6491</v>
      </c>
      <c r="P156" t="s">
        <v>6524</v>
      </c>
      <c r="Q156" t="s">
        <v>6531</v>
      </c>
      <c r="R156" t="s">
        <v>6539</v>
      </c>
      <c r="S156" t="s">
        <v>5357</v>
      </c>
      <c r="U156" t="s">
        <v>6557</v>
      </c>
      <c r="W156" t="s">
        <v>516</v>
      </c>
      <c r="X156">
        <v>1063</v>
      </c>
      <c r="Y156" t="s">
        <v>6606</v>
      </c>
      <c r="Z156" t="s">
        <v>6493</v>
      </c>
      <c r="AA156" t="s">
        <v>6631</v>
      </c>
      <c r="AB156" t="s">
        <v>6788</v>
      </c>
      <c r="AE156">
        <v>0</v>
      </c>
      <c r="AH156">
        <v>15</v>
      </c>
      <c r="AI156">
        <v>1</v>
      </c>
      <c r="AJ156">
        <v>0</v>
      </c>
      <c r="AK156">
        <v>82.83</v>
      </c>
      <c r="AN156" t="s">
        <v>11049</v>
      </c>
      <c r="AO156">
        <v>10056</v>
      </c>
      <c r="AU156">
        <v>0.1</v>
      </c>
      <c r="AV156" t="s">
        <v>684</v>
      </c>
      <c r="AW156" t="s">
        <v>71</v>
      </c>
    </row>
    <row r="157" spans="1:49">
      <c r="A157" s="1">
        <f>HYPERLINK("https://cms.ls-nyc.org/matter/dynamic-profile/view/1857345","18-1857345")</f>
        <v>0</v>
      </c>
      <c r="B157" t="s">
        <v>67</v>
      </c>
      <c r="C157" t="s">
        <v>234</v>
      </c>
      <c r="D157" t="s">
        <v>343</v>
      </c>
      <c r="E157" t="s">
        <v>676</v>
      </c>
      <c r="F157" t="s">
        <v>979</v>
      </c>
      <c r="G157" t="s">
        <v>2232</v>
      </c>
      <c r="H157" t="s">
        <v>3570</v>
      </c>
      <c r="I157" t="s">
        <v>4765</v>
      </c>
      <c r="J157" t="s">
        <v>5323</v>
      </c>
      <c r="K157">
        <v>10029</v>
      </c>
      <c r="L157" t="s">
        <v>5355</v>
      </c>
      <c r="M157" t="s">
        <v>5355</v>
      </c>
      <c r="O157" t="s">
        <v>5393</v>
      </c>
      <c r="P157" t="s">
        <v>6524</v>
      </c>
      <c r="Q157" t="s">
        <v>6531</v>
      </c>
      <c r="R157" t="s">
        <v>6539</v>
      </c>
      <c r="S157" t="s">
        <v>5355</v>
      </c>
      <c r="U157" t="s">
        <v>6557</v>
      </c>
      <c r="V157" t="s">
        <v>6566</v>
      </c>
      <c r="W157" t="s">
        <v>343</v>
      </c>
      <c r="X157">
        <v>1094.44</v>
      </c>
      <c r="Y157" t="s">
        <v>6608</v>
      </c>
      <c r="Z157" t="s">
        <v>6616</v>
      </c>
      <c r="AA157" t="s">
        <v>6631</v>
      </c>
      <c r="AB157" t="s">
        <v>6808</v>
      </c>
      <c r="AD157" t="s">
        <v>9237</v>
      </c>
      <c r="AE157">
        <v>24</v>
      </c>
      <c r="AF157" t="s">
        <v>11005</v>
      </c>
      <c r="AG157" t="s">
        <v>11020</v>
      </c>
      <c r="AH157">
        <v>27</v>
      </c>
      <c r="AI157">
        <v>2</v>
      </c>
      <c r="AJ157">
        <v>0</v>
      </c>
      <c r="AK157">
        <v>83.25</v>
      </c>
      <c r="AN157" t="s">
        <v>11050</v>
      </c>
      <c r="AO157">
        <v>13520</v>
      </c>
      <c r="AU157">
        <v>0.1</v>
      </c>
      <c r="AV157" t="s">
        <v>345</v>
      </c>
      <c r="AW157" t="s">
        <v>11497</v>
      </c>
    </row>
    <row r="158" spans="1:49">
      <c r="A158" s="1">
        <f>HYPERLINK("https://cms.ls-nyc.org/matter/dynamic-profile/view/1851486","17-1851486")</f>
        <v>0</v>
      </c>
      <c r="B158" t="s">
        <v>80</v>
      </c>
      <c r="C158" t="s">
        <v>234</v>
      </c>
      <c r="D158" t="s">
        <v>277</v>
      </c>
      <c r="E158" t="s">
        <v>718</v>
      </c>
      <c r="F158" t="s">
        <v>980</v>
      </c>
      <c r="G158" t="s">
        <v>2233</v>
      </c>
      <c r="H158" t="s">
        <v>3571</v>
      </c>
      <c r="I158" t="s">
        <v>4814</v>
      </c>
      <c r="J158" t="s">
        <v>5321</v>
      </c>
      <c r="K158">
        <v>10453</v>
      </c>
      <c r="L158" t="s">
        <v>5355</v>
      </c>
      <c r="M158" t="s">
        <v>5355</v>
      </c>
      <c r="O158" t="s">
        <v>6499</v>
      </c>
      <c r="P158" t="s">
        <v>6524</v>
      </c>
      <c r="Q158" t="s">
        <v>6531</v>
      </c>
      <c r="R158" t="s">
        <v>6539</v>
      </c>
      <c r="S158" t="s">
        <v>5357</v>
      </c>
      <c r="U158" t="s">
        <v>6557</v>
      </c>
      <c r="W158" t="s">
        <v>6572</v>
      </c>
      <c r="X158">
        <v>1055</v>
      </c>
      <c r="Y158" t="s">
        <v>6606</v>
      </c>
      <c r="Z158" t="s">
        <v>6625</v>
      </c>
      <c r="AA158" t="s">
        <v>6631</v>
      </c>
      <c r="AB158" t="s">
        <v>6809</v>
      </c>
      <c r="AD158" t="s">
        <v>9238</v>
      </c>
      <c r="AE158">
        <v>64</v>
      </c>
      <c r="AF158" t="s">
        <v>11005</v>
      </c>
      <c r="AG158" t="s">
        <v>11020</v>
      </c>
      <c r="AH158">
        <v>16</v>
      </c>
      <c r="AI158">
        <v>1</v>
      </c>
      <c r="AJ158">
        <v>0</v>
      </c>
      <c r="AK158">
        <v>83.28</v>
      </c>
      <c r="AN158" t="s">
        <v>11049</v>
      </c>
      <c r="AO158">
        <v>10044</v>
      </c>
      <c r="AU158">
        <v>0.9</v>
      </c>
      <c r="AV158" t="s">
        <v>718</v>
      </c>
      <c r="AW158" t="s">
        <v>11509</v>
      </c>
    </row>
    <row r="159" spans="1:49">
      <c r="A159" s="1">
        <f>HYPERLINK("https://cms.ls-nyc.org/matter/dynamic-profile/view/1861088","18-1861088")</f>
        <v>0</v>
      </c>
      <c r="B159" t="s">
        <v>56</v>
      </c>
      <c r="C159" t="s">
        <v>235</v>
      </c>
      <c r="D159" t="s">
        <v>246</v>
      </c>
      <c r="F159" t="s">
        <v>914</v>
      </c>
      <c r="G159" t="s">
        <v>2115</v>
      </c>
      <c r="H159" t="s">
        <v>3572</v>
      </c>
      <c r="J159" t="s">
        <v>5321</v>
      </c>
      <c r="K159">
        <v>10452</v>
      </c>
      <c r="L159" t="s">
        <v>5355</v>
      </c>
      <c r="M159" t="s">
        <v>5356</v>
      </c>
      <c r="N159" t="s">
        <v>5428</v>
      </c>
      <c r="O159" t="s">
        <v>6492</v>
      </c>
      <c r="P159" t="s">
        <v>6524</v>
      </c>
      <c r="R159" t="s">
        <v>6539</v>
      </c>
      <c r="S159" t="s">
        <v>5357</v>
      </c>
      <c r="U159" t="s">
        <v>6557</v>
      </c>
      <c r="W159" t="s">
        <v>246</v>
      </c>
      <c r="X159">
        <v>0</v>
      </c>
      <c r="Y159" t="s">
        <v>6606</v>
      </c>
      <c r="AB159" t="s">
        <v>6810</v>
      </c>
      <c r="AE159">
        <v>8</v>
      </c>
      <c r="AG159" t="s">
        <v>5406</v>
      </c>
      <c r="AH159">
        <v>0</v>
      </c>
      <c r="AI159">
        <v>2</v>
      </c>
      <c r="AJ159">
        <v>0</v>
      </c>
      <c r="AK159">
        <v>83.69</v>
      </c>
      <c r="AN159" t="s">
        <v>11050</v>
      </c>
      <c r="AO159">
        <v>13776</v>
      </c>
      <c r="AU159">
        <v>0</v>
      </c>
      <c r="AW159" t="s">
        <v>56</v>
      </c>
    </row>
    <row r="160" spans="1:49">
      <c r="A160" s="1">
        <f>HYPERLINK("https://cms.ls-nyc.org/matter/dynamic-profile/view/1865189","18-1865189")</f>
        <v>0</v>
      </c>
      <c r="B160" t="s">
        <v>56</v>
      </c>
      <c r="C160" t="s">
        <v>234</v>
      </c>
      <c r="D160" t="s">
        <v>246</v>
      </c>
      <c r="E160" t="s">
        <v>665</v>
      </c>
      <c r="F160" t="s">
        <v>914</v>
      </c>
      <c r="G160" t="s">
        <v>2234</v>
      </c>
      <c r="H160" t="s">
        <v>3572</v>
      </c>
      <c r="I160" t="s">
        <v>4819</v>
      </c>
      <c r="J160" t="s">
        <v>5321</v>
      </c>
      <c r="K160">
        <v>10452</v>
      </c>
      <c r="L160" t="s">
        <v>5355</v>
      </c>
      <c r="M160" t="s">
        <v>5356</v>
      </c>
      <c r="P160" t="s">
        <v>6524</v>
      </c>
      <c r="Q160" t="s">
        <v>6531</v>
      </c>
      <c r="R160" t="s">
        <v>6539</v>
      </c>
      <c r="U160" t="s">
        <v>6557</v>
      </c>
      <c r="W160" t="s">
        <v>373</v>
      </c>
      <c r="X160">
        <v>0</v>
      </c>
      <c r="Y160" t="s">
        <v>6606</v>
      </c>
      <c r="AA160" t="s">
        <v>6631</v>
      </c>
      <c r="AB160" t="s">
        <v>6810</v>
      </c>
      <c r="AE160">
        <v>0</v>
      </c>
      <c r="AH160">
        <v>0</v>
      </c>
      <c r="AI160">
        <v>2</v>
      </c>
      <c r="AJ160">
        <v>0</v>
      </c>
      <c r="AK160">
        <v>83.69</v>
      </c>
      <c r="AN160" t="s">
        <v>11050</v>
      </c>
      <c r="AO160">
        <v>13776</v>
      </c>
      <c r="AU160">
        <v>0.1</v>
      </c>
      <c r="AV160" t="s">
        <v>513</v>
      </c>
      <c r="AW160" t="s">
        <v>56</v>
      </c>
    </row>
    <row r="161" spans="1:50">
      <c r="A161" s="1">
        <f>HYPERLINK("https://cms.ls-nyc.org/matter/dynamic-profile/view/1851891","17-1851891")</f>
        <v>0</v>
      </c>
      <c r="B161" t="s">
        <v>91</v>
      </c>
      <c r="C161" t="s">
        <v>234</v>
      </c>
      <c r="D161" t="s">
        <v>344</v>
      </c>
      <c r="E161" t="s">
        <v>693</v>
      </c>
      <c r="F161" t="s">
        <v>981</v>
      </c>
      <c r="G161" t="s">
        <v>2135</v>
      </c>
      <c r="H161" t="s">
        <v>3573</v>
      </c>
      <c r="I161">
        <v>51</v>
      </c>
      <c r="J161" t="s">
        <v>5323</v>
      </c>
      <c r="K161">
        <v>10031</v>
      </c>
      <c r="L161" t="s">
        <v>5355</v>
      </c>
      <c r="M161" t="s">
        <v>5356</v>
      </c>
      <c r="N161" t="s">
        <v>5429</v>
      </c>
      <c r="O161" t="s">
        <v>6492</v>
      </c>
      <c r="P161" t="s">
        <v>6524</v>
      </c>
      <c r="Q161" t="s">
        <v>6531</v>
      </c>
      <c r="R161" t="s">
        <v>6539</v>
      </c>
      <c r="S161" t="s">
        <v>5357</v>
      </c>
      <c r="T161" t="s">
        <v>6542</v>
      </c>
      <c r="U161" t="s">
        <v>6557</v>
      </c>
      <c r="W161" t="s">
        <v>236</v>
      </c>
      <c r="X161">
        <v>1237.59</v>
      </c>
      <c r="Y161" t="s">
        <v>6608</v>
      </c>
      <c r="Z161" t="s">
        <v>6615</v>
      </c>
      <c r="AA161" t="s">
        <v>6631</v>
      </c>
      <c r="AB161" t="s">
        <v>6811</v>
      </c>
      <c r="AD161" t="s">
        <v>9239</v>
      </c>
      <c r="AE161">
        <v>15</v>
      </c>
      <c r="AF161" t="s">
        <v>8722</v>
      </c>
      <c r="AG161" t="s">
        <v>6493</v>
      </c>
      <c r="AH161">
        <v>20</v>
      </c>
      <c r="AI161">
        <v>2</v>
      </c>
      <c r="AJ161">
        <v>1</v>
      </c>
      <c r="AK161">
        <v>83.72</v>
      </c>
      <c r="AN161" t="s">
        <v>11049</v>
      </c>
      <c r="AO161">
        <v>17096</v>
      </c>
      <c r="AU161">
        <v>0.9</v>
      </c>
      <c r="AV161" t="s">
        <v>481</v>
      </c>
      <c r="AW161" t="s">
        <v>11494</v>
      </c>
    </row>
    <row r="162" spans="1:50">
      <c r="A162" s="1">
        <f>HYPERLINK("https://cms.ls-nyc.org/matter/dynamic-profile/view/1849878","17-1849878")</f>
        <v>0</v>
      </c>
      <c r="B162" t="s">
        <v>79</v>
      </c>
      <c r="C162" t="s">
        <v>234</v>
      </c>
      <c r="D162" t="s">
        <v>314</v>
      </c>
      <c r="E162" t="s">
        <v>686</v>
      </c>
      <c r="F162" t="s">
        <v>982</v>
      </c>
      <c r="G162" t="s">
        <v>2235</v>
      </c>
      <c r="H162" t="s">
        <v>3574</v>
      </c>
      <c r="I162" t="s">
        <v>4820</v>
      </c>
      <c r="J162" t="s">
        <v>5323</v>
      </c>
      <c r="K162">
        <v>10034</v>
      </c>
      <c r="L162" t="s">
        <v>5355</v>
      </c>
      <c r="M162" t="s">
        <v>5356</v>
      </c>
      <c r="P162" t="s">
        <v>6524</v>
      </c>
      <c r="Q162" t="s">
        <v>6531</v>
      </c>
      <c r="R162" t="s">
        <v>6539</v>
      </c>
      <c r="S162" t="s">
        <v>5357</v>
      </c>
      <c r="U162" t="s">
        <v>6557</v>
      </c>
      <c r="W162" t="s">
        <v>314</v>
      </c>
      <c r="X162">
        <v>304.99</v>
      </c>
      <c r="Y162" t="s">
        <v>6608</v>
      </c>
      <c r="Z162" t="s">
        <v>6616</v>
      </c>
      <c r="AA162" t="s">
        <v>6631</v>
      </c>
      <c r="AB162" t="s">
        <v>6812</v>
      </c>
      <c r="AD162" t="s">
        <v>9240</v>
      </c>
      <c r="AE162">
        <v>65</v>
      </c>
      <c r="AF162" t="s">
        <v>11005</v>
      </c>
      <c r="AG162" t="s">
        <v>5406</v>
      </c>
      <c r="AH162">
        <v>50</v>
      </c>
      <c r="AI162">
        <v>1</v>
      </c>
      <c r="AJ162">
        <v>0</v>
      </c>
      <c r="AK162">
        <v>83.88</v>
      </c>
      <c r="AN162" t="s">
        <v>11050</v>
      </c>
      <c r="AO162">
        <v>10116</v>
      </c>
      <c r="AU162">
        <v>1.3</v>
      </c>
      <c r="AV162" t="s">
        <v>686</v>
      </c>
      <c r="AW162" t="s">
        <v>11495</v>
      </c>
    </row>
    <row r="163" spans="1:50">
      <c r="A163" s="1">
        <f>HYPERLINK("https://cms.ls-nyc.org/matter/dynamic-profile/view/1869009","18-1869009")</f>
        <v>0</v>
      </c>
      <c r="B163" t="s">
        <v>111</v>
      </c>
      <c r="C163" t="s">
        <v>234</v>
      </c>
      <c r="D163" t="s">
        <v>345</v>
      </c>
      <c r="E163" t="s">
        <v>670</v>
      </c>
      <c r="F163" t="s">
        <v>983</v>
      </c>
      <c r="G163" t="s">
        <v>2236</v>
      </c>
      <c r="H163" t="s">
        <v>3575</v>
      </c>
      <c r="I163">
        <v>2</v>
      </c>
      <c r="J163" t="s">
        <v>5323</v>
      </c>
      <c r="K163">
        <v>10040</v>
      </c>
      <c r="L163" t="s">
        <v>5355</v>
      </c>
      <c r="M163" t="s">
        <v>5356</v>
      </c>
      <c r="O163" t="s">
        <v>6496</v>
      </c>
      <c r="P163" t="s">
        <v>6524</v>
      </c>
      <c r="Q163" t="s">
        <v>6531</v>
      </c>
      <c r="R163" t="s">
        <v>6539</v>
      </c>
      <c r="S163" t="s">
        <v>5357</v>
      </c>
      <c r="U163" t="s">
        <v>6557</v>
      </c>
      <c r="W163" t="s">
        <v>345</v>
      </c>
      <c r="X163">
        <v>780</v>
      </c>
      <c r="Y163" t="s">
        <v>6608</v>
      </c>
      <c r="Z163" t="s">
        <v>6614</v>
      </c>
      <c r="AA163" t="s">
        <v>6631</v>
      </c>
      <c r="AB163" t="s">
        <v>6813</v>
      </c>
      <c r="AD163" t="s">
        <v>9241</v>
      </c>
      <c r="AE163">
        <v>45</v>
      </c>
      <c r="AF163" t="s">
        <v>11005</v>
      </c>
      <c r="AG163" t="s">
        <v>5406</v>
      </c>
      <c r="AH163">
        <v>20</v>
      </c>
      <c r="AI163">
        <v>3</v>
      </c>
      <c r="AJ163">
        <v>0</v>
      </c>
      <c r="AK163">
        <v>84.7</v>
      </c>
      <c r="AN163" t="s">
        <v>11049</v>
      </c>
      <c r="AO163">
        <v>17600</v>
      </c>
      <c r="AU163">
        <v>1</v>
      </c>
      <c r="AV163" t="s">
        <v>345</v>
      </c>
      <c r="AW163" t="s">
        <v>11495</v>
      </c>
    </row>
    <row r="164" spans="1:50">
      <c r="A164" s="1">
        <f>HYPERLINK("https://cms.ls-nyc.org/matter/dynamic-profile/view/1847689","17-1847689")</f>
        <v>0</v>
      </c>
      <c r="B164" t="s">
        <v>112</v>
      </c>
      <c r="C164" t="s">
        <v>235</v>
      </c>
      <c r="D164" t="s">
        <v>346</v>
      </c>
      <c r="F164" t="s">
        <v>966</v>
      </c>
      <c r="G164" t="s">
        <v>2237</v>
      </c>
      <c r="H164" t="s">
        <v>3576</v>
      </c>
      <c r="I164" t="s">
        <v>4740</v>
      </c>
      <c r="J164" t="s">
        <v>5317</v>
      </c>
      <c r="K164">
        <v>11432</v>
      </c>
      <c r="L164" t="s">
        <v>5355</v>
      </c>
      <c r="M164" t="s">
        <v>5355</v>
      </c>
      <c r="O164" t="s">
        <v>6498</v>
      </c>
      <c r="P164" t="s">
        <v>6524</v>
      </c>
      <c r="R164" t="s">
        <v>6539</v>
      </c>
      <c r="S164" t="s">
        <v>5357</v>
      </c>
      <c r="U164" t="s">
        <v>6557</v>
      </c>
      <c r="V164" t="s">
        <v>6566</v>
      </c>
      <c r="W164" t="s">
        <v>424</v>
      </c>
      <c r="X164">
        <v>877.9299999999999</v>
      </c>
      <c r="Y164" t="s">
        <v>6604</v>
      </c>
      <c r="Z164" t="s">
        <v>6614</v>
      </c>
      <c r="AB164" t="s">
        <v>6814</v>
      </c>
      <c r="AD164" t="s">
        <v>9242</v>
      </c>
      <c r="AE164">
        <v>60</v>
      </c>
      <c r="AF164" t="s">
        <v>11005</v>
      </c>
      <c r="AG164" t="s">
        <v>11024</v>
      </c>
      <c r="AH164">
        <v>38</v>
      </c>
      <c r="AI164">
        <v>4</v>
      </c>
      <c r="AJ164">
        <v>0</v>
      </c>
      <c r="AK164">
        <v>85.12</v>
      </c>
      <c r="AN164" t="s">
        <v>11049</v>
      </c>
      <c r="AO164">
        <v>20940</v>
      </c>
      <c r="AU164">
        <v>1.35</v>
      </c>
      <c r="AV164" t="s">
        <v>420</v>
      </c>
      <c r="AW164" t="s">
        <v>93</v>
      </c>
    </row>
    <row r="165" spans="1:50">
      <c r="A165" s="1">
        <f>HYPERLINK("https://cms.ls-nyc.org/matter/dynamic-profile/view/1851816","17-1851816")</f>
        <v>0</v>
      </c>
      <c r="B165" t="s">
        <v>56</v>
      </c>
      <c r="C165" t="s">
        <v>234</v>
      </c>
      <c r="D165" t="s">
        <v>300</v>
      </c>
      <c r="E165" t="s">
        <v>665</v>
      </c>
      <c r="F165" t="s">
        <v>914</v>
      </c>
      <c r="G165" t="s">
        <v>2238</v>
      </c>
      <c r="H165" t="s">
        <v>3577</v>
      </c>
      <c r="I165" t="s">
        <v>4821</v>
      </c>
      <c r="J165" t="s">
        <v>5321</v>
      </c>
      <c r="K165">
        <v>10452</v>
      </c>
      <c r="L165" t="s">
        <v>5355</v>
      </c>
      <c r="M165" t="s">
        <v>5356</v>
      </c>
      <c r="O165" t="s">
        <v>6492</v>
      </c>
      <c r="P165" t="s">
        <v>6524</v>
      </c>
      <c r="Q165" t="s">
        <v>6531</v>
      </c>
      <c r="R165" t="s">
        <v>6539</v>
      </c>
      <c r="S165" t="s">
        <v>5357</v>
      </c>
      <c r="U165" t="s">
        <v>6557</v>
      </c>
      <c r="W165" t="s">
        <v>433</v>
      </c>
      <c r="X165">
        <v>1178</v>
      </c>
      <c r="Y165" t="s">
        <v>6606</v>
      </c>
      <c r="Z165" t="s">
        <v>6614</v>
      </c>
      <c r="AA165" t="s">
        <v>6631</v>
      </c>
      <c r="AB165" t="s">
        <v>6815</v>
      </c>
      <c r="AC165" t="s">
        <v>8730</v>
      </c>
      <c r="AD165" t="s">
        <v>9243</v>
      </c>
      <c r="AE165">
        <v>5</v>
      </c>
      <c r="AF165" t="s">
        <v>11006</v>
      </c>
      <c r="AG165" t="s">
        <v>11022</v>
      </c>
      <c r="AH165">
        <v>6</v>
      </c>
      <c r="AI165">
        <v>1</v>
      </c>
      <c r="AJ165">
        <v>1</v>
      </c>
      <c r="AK165">
        <v>85.22</v>
      </c>
      <c r="AN165" t="s">
        <v>11049</v>
      </c>
      <c r="AO165">
        <v>15040</v>
      </c>
      <c r="AU165">
        <v>0.9</v>
      </c>
      <c r="AV165" t="s">
        <v>372</v>
      </c>
      <c r="AW165" t="s">
        <v>11504</v>
      </c>
    </row>
    <row r="166" spans="1:50">
      <c r="A166" s="1">
        <f>HYPERLINK("https://cms.ls-nyc.org/matter/dynamic-profile/view/1865213","18-1865213")</f>
        <v>0</v>
      </c>
      <c r="B166" t="s">
        <v>58</v>
      </c>
      <c r="C166" t="s">
        <v>234</v>
      </c>
      <c r="D166" t="s">
        <v>254</v>
      </c>
      <c r="E166" t="s">
        <v>427</v>
      </c>
      <c r="F166" t="s">
        <v>984</v>
      </c>
      <c r="G166" t="s">
        <v>2239</v>
      </c>
      <c r="H166" t="s">
        <v>3578</v>
      </c>
      <c r="I166">
        <v>43</v>
      </c>
      <c r="J166" t="s">
        <v>5321</v>
      </c>
      <c r="K166">
        <v>10452</v>
      </c>
      <c r="L166" t="s">
        <v>5355</v>
      </c>
      <c r="M166" t="s">
        <v>5356</v>
      </c>
      <c r="N166" t="s">
        <v>5430</v>
      </c>
      <c r="O166" t="s">
        <v>6492</v>
      </c>
      <c r="P166" t="s">
        <v>6524</v>
      </c>
      <c r="Q166" t="s">
        <v>6531</v>
      </c>
      <c r="R166" t="s">
        <v>6539</v>
      </c>
      <c r="S166" t="s">
        <v>5357</v>
      </c>
      <c r="U166" t="s">
        <v>6557</v>
      </c>
      <c r="W166" t="s">
        <v>516</v>
      </c>
      <c r="X166">
        <v>927</v>
      </c>
      <c r="Y166" t="s">
        <v>6606</v>
      </c>
      <c r="Z166" t="s">
        <v>6619</v>
      </c>
      <c r="AA166" t="s">
        <v>6631</v>
      </c>
      <c r="AB166" t="s">
        <v>6816</v>
      </c>
      <c r="AD166" t="s">
        <v>9244</v>
      </c>
      <c r="AE166">
        <v>20</v>
      </c>
      <c r="AH166">
        <v>22</v>
      </c>
      <c r="AI166">
        <v>1</v>
      </c>
      <c r="AJ166">
        <v>0</v>
      </c>
      <c r="AK166">
        <v>85.67</v>
      </c>
      <c r="AN166" t="s">
        <v>11049</v>
      </c>
      <c r="AO166">
        <v>10400</v>
      </c>
      <c r="AU166">
        <v>7.4</v>
      </c>
      <c r="AV166" t="s">
        <v>427</v>
      </c>
      <c r="AW166" t="s">
        <v>11511</v>
      </c>
    </row>
    <row r="167" spans="1:50">
      <c r="A167" s="1">
        <f>HYPERLINK("https://cms.ls-nyc.org/matter/dynamic-profile/view/1858402","18-1858402")</f>
        <v>0</v>
      </c>
      <c r="B167" t="s">
        <v>92</v>
      </c>
      <c r="C167" t="s">
        <v>235</v>
      </c>
      <c r="D167" t="s">
        <v>347</v>
      </c>
      <c r="F167" t="s">
        <v>959</v>
      </c>
      <c r="G167" t="s">
        <v>2133</v>
      </c>
      <c r="H167" t="s">
        <v>3579</v>
      </c>
      <c r="I167">
        <v>610</v>
      </c>
      <c r="J167" t="s">
        <v>5323</v>
      </c>
      <c r="K167">
        <v>10029</v>
      </c>
      <c r="L167" t="s">
        <v>5355</v>
      </c>
      <c r="M167" t="s">
        <v>5355</v>
      </c>
      <c r="O167" t="s">
        <v>5393</v>
      </c>
      <c r="P167" t="s">
        <v>6524</v>
      </c>
      <c r="R167" t="s">
        <v>6539</v>
      </c>
      <c r="S167" t="s">
        <v>5357</v>
      </c>
      <c r="U167" t="s">
        <v>6557</v>
      </c>
      <c r="V167" t="s">
        <v>6566</v>
      </c>
      <c r="W167" t="s">
        <v>347</v>
      </c>
      <c r="X167">
        <v>2500</v>
      </c>
      <c r="Y167" t="s">
        <v>6608</v>
      </c>
      <c r="Z167" t="s">
        <v>6622</v>
      </c>
      <c r="AB167" t="s">
        <v>6817</v>
      </c>
      <c r="AD167" t="s">
        <v>9245</v>
      </c>
      <c r="AE167">
        <v>108</v>
      </c>
      <c r="AF167" t="s">
        <v>11008</v>
      </c>
      <c r="AG167" t="s">
        <v>11020</v>
      </c>
      <c r="AH167">
        <v>21</v>
      </c>
      <c r="AI167">
        <v>1</v>
      </c>
      <c r="AJ167">
        <v>2</v>
      </c>
      <c r="AK167">
        <v>85.95</v>
      </c>
      <c r="AN167" t="s">
        <v>11050</v>
      </c>
      <c r="AO167">
        <v>17550</v>
      </c>
      <c r="AU167">
        <v>34</v>
      </c>
      <c r="AV167" t="s">
        <v>720</v>
      </c>
      <c r="AW167" t="s">
        <v>11497</v>
      </c>
      <c r="AX167" t="s">
        <v>11564</v>
      </c>
    </row>
    <row r="168" spans="1:50">
      <c r="A168" s="1">
        <f>HYPERLINK("https://cms.ls-nyc.org/matter/dynamic-profile/view/1840620","17-1840620")</f>
        <v>0</v>
      </c>
      <c r="B168" t="s">
        <v>113</v>
      </c>
      <c r="C168" t="s">
        <v>234</v>
      </c>
      <c r="D168" t="s">
        <v>348</v>
      </c>
      <c r="E168" t="s">
        <v>605</v>
      </c>
      <c r="F168" t="s">
        <v>985</v>
      </c>
      <c r="G168" t="s">
        <v>2240</v>
      </c>
      <c r="H168" t="s">
        <v>3580</v>
      </c>
      <c r="I168" t="s">
        <v>4822</v>
      </c>
      <c r="J168" t="s">
        <v>5323</v>
      </c>
      <c r="K168">
        <v>10035</v>
      </c>
      <c r="L168" t="s">
        <v>5355</v>
      </c>
      <c r="M168" t="s">
        <v>5355</v>
      </c>
      <c r="O168" t="s">
        <v>5393</v>
      </c>
      <c r="P168" t="s">
        <v>6524</v>
      </c>
      <c r="Q168" t="s">
        <v>6531</v>
      </c>
      <c r="R168" t="s">
        <v>6539</v>
      </c>
      <c r="S168" t="s">
        <v>5357</v>
      </c>
      <c r="U168" t="s">
        <v>6557</v>
      </c>
      <c r="V168" t="s">
        <v>6566</v>
      </c>
      <c r="W168" t="s">
        <v>348</v>
      </c>
      <c r="X168">
        <v>916</v>
      </c>
      <c r="Y168" t="s">
        <v>6608</v>
      </c>
      <c r="Z168" t="s">
        <v>6614</v>
      </c>
      <c r="AA168" t="s">
        <v>6631</v>
      </c>
      <c r="AB168" t="s">
        <v>6818</v>
      </c>
      <c r="AD168" t="s">
        <v>9246</v>
      </c>
      <c r="AE168">
        <v>255</v>
      </c>
      <c r="AF168" t="s">
        <v>11005</v>
      </c>
      <c r="AG168" t="s">
        <v>11020</v>
      </c>
      <c r="AH168">
        <v>36</v>
      </c>
      <c r="AI168">
        <v>1</v>
      </c>
      <c r="AJ168">
        <v>0</v>
      </c>
      <c r="AK168">
        <v>86.17</v>
      </c>
      <c r="AN168" t="s">
        <v>11050</v>
      </c>
      <c r="AO168">
        <v>10392</v>
      </c>
      <c r="AP168" t="s">
        <v>11081</v>
      </c>
      <c r="AU168">
        <v>4.01</v>
      </c>
      <c r="AV168" t="s">
        <v>817</v>
      </c>
      <c r="AW168" t="s">
        <v>11497</v>
      </c>
    </row>
    <row r="169" spans="1:50">
      <c r="A169" s="1">
        <f>HYPERLINK("https://cms.ls-nyc.org/matter/dynamic-profile/view/1859825","18-1859825")</f>
        <v>0</v>
      </c>
      <c r="B169" t="s">
        <v>80</v>
      </c>
      <c r="C169" t="s">
        <v>234</v>
      </c>
      <c r="D169" t="s">
        <v>316</v>
      </c>
      <c r="E169" t="s">
        <v>719</v>
      </c>
      <c r="F169" t="s">
        <v>986</v>
      </c>
      <c r="G169" t="s">
        <v>2133</v>
      </c>
      <c r="H169" t="s">
        <v>3581</v>
      </c>
      <c r="I169" t="s">
        <v>4776</v>
      </c>
      <c r="J169" t="s">
        <v>5321</v>
      </c>
      <c r="K169">
        <v>10468</v>
      </c>
      <c r="L169" t="s">
        <v>5355</v>
      </c>
      <c r="M169" t="s">
        <v>5356</v>
      </c>
      <c r="O169" t="s">
        <v>6492</v>
      </c>
      <c r="P169" t="s">
        <v>6524</v>
      </c>
      <c r="Q169" t="s">
        <v>6533</v>
      </c>
      <c r="R169" t="s">
        <v>6540</v>
      </c>
      <c r="S169" t="s">
        <v>5357</v>
      </c>
      <c r="U169" t="s">
        <v>6557</v>
      </c>
      <c r="W169" t="s">
        <v>319</v>
      </c>
      <c r="X169">
        <v>1198</v>
      </c>
      <c r="Y169" t="s">
        <v>6606</v>
      </c>
      <c r="Z169" t="s">
        <v>6610</v>
      </c>
      <c r="AA169" t="s">
        <v>6640</v>
      </c>
      <c r="AB169" t="s">
        <v>6819</v>
      </c>
      <c r="AD169" t="s">
        <v>9247</v>
      </c>
      <c r="AE169">
        <v>6</v>
      </c>
      <c r="AF169" t="s">
        <v>11005</v>
      </c>
      <c r="AG169" t="s">
        <v>5406</v>
      </c>
      <c r="AH169">
        <v>1</v>
      </c>
      <c r="AI169">
        <v>4</v>
      </c>
      <c r="AJ169">
        <v>0</v>
      </c>
      <c r="AK169">
        <v>86.88</v>
      </c>
      <c r="AL169" t="s">
        <v>11028</v>
      </c>
      <c r="AN169" t="s">
        <v>11050</v>
      </c>
      <c r="AO169">
        <v>21372</v>
      </c>
      <c r="AQ169" t="s">
        <v>11190</v>
      </c>
      <c r="AR169" t="s">
        <v>11201</v>
      </c>
      <c r="AT169" t="s">
        <v>11257</v>
      </c>
      <c r="AU169">
        <v>21.95</v>
      </c>
      <c r="AV169" t="s">
        <v>719</v>
      </c>
      <c r="AW169" t="s">
        <v>57</v>
      </c>
    </row>
    <row r="170" spans="1:50">
      <c r="A170" s="1">
        <f>HYPERLINK("https://cms.ls-nyc.org/matter/dynamic-profile/view/1869708","18-1869708")</f>
        <v>0</v>
      </c>
      <c r="B170" t="s">
        <v>80</v>
      </c>
      <c r="C170" t="s">
        <v>234</v>
      </c>
      <c r="D170" t="s">
        <v>275</v>
      </c>
      <c r="E170" t="s">
        <v>652</v>
      </c>
      <c r="F170" t="s">
        <v>914</v>
      </c>
      <c r="G170" t="s">
        <v>2105</v>
      </c>
      <c r="H170" t="s">
        <v>3582</v>
      </c>
      <c r="I170" t="s">
        <v>4823</v>
      </c>
      <c r="J170" t="s">
        <v>5321</v>
      </c>
      <c r="K170">
        <v>10460</v>
      </c>
      <c r="L170" t="s">
        <v>5355</v>
      </c>
      <c r="M170" t="s">
        <v>5356</v>
      </c>
      <c r="N170" t="s">
        <v>5393</v>
      </c>
      <c r="O170" t="s">
        <v>5393</v>
      </c>
      <c r="P170" t="s">
        <v>6524</v>
      </c>
      <c r="Q170" t="s">
        <v>6531</v>
      </c>
      <c r="R170" t="s">
        <v>6539</v>
      </c>
      <c r="S170" t="s">
        <v>5357</v>
      </c>
      <c r="U170" t="s">
        <v>6557</v>
      </c>
      <c r="W170" t="s">
        <v>516</v>
      </c>
      <c r="X170">
        <v>277</v>
      </c>
      <c r="Y170" t="s">
        <v>6606</v>
      </c>
      <c r="Z170" t="s">
        <v>6612</v>
      </c>
      <c r="AA170" t="s">
        <v>6631</v>
      </c>
      <c r="AB170" t="s">
        <v>6820</v>
      </c>
      <c r="AD170" t="s">
        <v>9248</v>
      </c>
      <c r="AE170">
        <v>0</v>
      </c>
      <c r="AF170" t="s">
        <v>11008</v>
      </c>
      <c r="AG170" t="s">
        <v>11020</v>
      </c>
      <c r="AH170">
        <v>8</v>
      </c>
      <c r="AI170">
        <v>1</v>
      </c>
      <c r="AJ170">
        <v>2</v>
      </c>
      <c r="AK170">
        <v>87.45</v>
      </c>
      <c r="AO170">
        <v>18172</v>
      </c>
      <c r="AU170">
        <v>0.25</v>
      </c>
      <c r="AV170" t="s">
        <v>652</v>
      </c>
      <c r="AW170" t="s">
        <v>11505</v>
      </c>
    </row>
    <row r="171" spans="1:50">
      <c r="A171" s="1">
        <f>HYPERLINK("https://cms.ls-nyc.org/matter/dynamic-profile/view/1870131","18-1870131")</f>
        <v>0</v>
      </c>
      <c r="B171" t="s">
        <v>114</v>
      </c>
      <c r="C171" t="s">
        <v>234</v>
      </c>
      <c r="D171" t="s">
        <v>349</v>
      </c>
      <c r="E171" t="s">
        <v>694</v>
      </c>
      <c r="F171" t="s">
        <v>987</v>
      </c>
      <c r="G171" t="s">
        <v>2241</v>
      </c>
      <c r="H171" t="s">
        <v>3583</v>
      </c>
      <c r="I171" t="s">
        <v>4824</v>
      </c>
      <c r="J171" t="s">
        <v>5320</v>
      </c>
      <c r="K171">
        <v>11233</v>
      </c>
      <c r="L171" t="s">
        <v>5355</v>
      </c>
      <c r="M171" t="s">
        <v>5356</v>
      </c>
      <c r="P171" t="s">
        <v>6524</v>
      </c>
      <c r="Q171" t="s">
        <v>6531</v>
      </c>
      <c r="R171" t="s">
        <v>6539</v>
      </c>
      <c r="U171" t="s">
        <v>6558</v>
      </c>
      <c r="W171" t="s">
        <v>328</v>
      </c>
      <c r="X171">
        <v>1466.37</v>
      </c>
      <c r="Y171" t="s">
        <v>6605</v>
      </c>
      <c r="Z171" t="s">
        <v>6611</v>
      </c>
      <c r="AA171" t="s">
        <v>6641</v>
      </c>
      <c r="AB171" t="s">
        <v>6821</v>
      </c>
      <c r="AD171" t="s">
        <v>9249</v>
      </c>
      <c r="AE171">
        <v>40</v>
      </c>
      <c r="AF171" t="s">
        <v>11005</v>
      </c>
      <c r="AG171" t="s">
        <v>5406</v>
      </c>
      <c r="AH171">
        <v>4</v>
      </c>
      <c r="AI171">
        <v>2</v>
      </c>
      <c r="AJ171">
        <v>0</v>
      </c>
      <c r="AK171">
        <v>88.84</v>
      </c>
      <c r="AN171" t="s">
        <v>11050</v>
      </c>
      <c r="AO171">
        <v>14623</v>
      </c>
      <c r="AU171">
        <v>0.2</v>
      </c>
      <c r="AV171" t="s">
        <v>349</v>
      </c>
      <c r="AW171" t="s">
        <v>11487</v>
      </c>
    </row>
    <row r="172" spans="1:50">
      <c r="A172" s="1">
        <f>HYPERLINK("https://cms.ls-nyc.org/matter/dynamic-profile/view/1870033","18-1870033")</f>
        <v>0</v>
      </c>
      <c r="B172" t="s">
        <v>100</v>
      </c>
      <c r="C172" t="s">
        <v>235</v>
      </c>
      <c r="D172" t="s">
        <v>307</v>
      </c>
      <c r="F172" t="s">
        <v>988</v>
      </c>
      <c r="G172" t="s">
        <v>2242</v>
      </c>
      <c r="H172" t="s">
        <v>3584</v>
      </c>
      <c r="I172" t="s">
        <v>4813</v>
      </c>
      <c r="J172" t="s">
        <v>5320</v>
      </c>
      <c r="K172">
        <v>11208</v>
      </c>
      <c r="L172" t="s">
        <v>5355</v>
      </c>
      <c r="M172" t="s">
        <v>5356</v>
      </c>
      <c r="N172" t="s">
        <v>5431</v>
      </c>
      <c r="O172" t="s">
        <v>6492</v>
      </c>
      <c r="P172" t="s">
        <v>6524</v>
      </c>
      <c r="R172" t="s">
        <v>6539</v>
      </c>
      <c r="U172" t="s">
        <v>6557</v>
      </c>
      <c r="W172" t="s">
        <v>307</v>
      </c>
      <c r="X172">
        <v>1400</v>
      </c>
      <c r="Y172" t="s">
        <v>6605</v>
      </c>
      <c r="Z172" t="s">
        <v>6621</v>
      </c>
      <c r="AB172" t="s">
        <v>6822</v>
      </c>
      <c r="AD172" t="s">
        <v>9250</v>
      </c>
      <c r="AE172">
        <v>3</v>
      </c>
      <c r="AH172">
        <v>5</v>
      </c>
      <c r="AI172">
        <v>1</v>
      </c>
      <c r="AJ172">
        <v>0</v>
      </c>
      <c r="AK172">
        <v>88.95999999999999</v>
      </c>
      <c r="AN172" t="s">
        <v>11050</v>
      </c>
      <c r="AO172">
        <v>10800</v>
      </c>
      <c r="AU172">
        <v>37.95</v>
      </c>
      <c r="AV172" t="s">
        <v>434</v>
      </c>
      <c r="AW172" t="s">
        <v>11504</v>
      </c>
    </row>
    <row r="173" spans="1:50">
      <c r="A173" s="1">
        <f>HYPERLINK("https://cms.ls-nyc.org/matter/dynamic-profile/view/1855483","18-1855483")</f>
        <v>0</v>
      </c>
      <c r="B173" t="s">
        <v>69</v>
      </c>
      <c r="C173" t="s">
        <v>234</v>
      </c>
      <c r="D173" t="s">
        <v>281</v>
      </c>
      <c r="E173" t="s">
        <v>710</v>
      </c>
      <c r="F173" t="s">
        <v>989</v>
      </c>
      <c r="G173" t="s">
        <v>2243</v>
      </c>
      <c r="H173" t="s">
        <v>3585</v>
      </c>
      <c r="I173">
        <v>11</v>
      </c>
      <c r="J173" t="s">
        <v>5321</v>
      </c>
      <c r="K173">
        <v>10462</v>
      </c>
      <c r="L173" t="s">
        <v>5355</v>
      </c>
      <c r="M173" t="s">
        <v>5355</v>
      </c>
      <c r="O173" t="s">
        <v>6496</v>
      </c>
      <c r="P173" t="s">
        <v>6524</v>
      </c>
      <c r="Q173" t="s">
        <v>6531</v>
      </c>
      <c r="R173" t="s">
        <v>6539</v>
      </c>
      <c r="S173" t="s">
        <v>5357</v>
      </c>
      <c r="U173" t="s">
        <v>6557</v>
      </c>
      <c r="W173" t="s">
        <v>391</v>
      </c>
      <c r="X173">
        <v>1400</v>
      </c>
      <c r="Y173" t="s">
        <v>6606</v>
      </c>
      <c r="Z173" t="s">
        <v>6612</v>
      </c>
      <c r="AA173" t="s">
        <v>6631</v>
      </c>
      <c r="AB173" t="s">
        <v>6823</v>
      </c>
      <c r="AD173" t="s">
        <v>9251</v>
      </c>
      <c r="AE173">
        <v>0</v>
      </c>
      <c r="AF173" t="s">
        <v>8722</v>
      </c>
      <c r="AG173" t="s">
        <v>5406</v>
      </c>
      <c r="AH173">
        <v>7</v>
      </c>
      <c r="AI173">
        <v>3</v>
      </c>
      <c r="AJ173">
        <v>2</v>
      </c>
      <c r="AK173">
        <v>90.34</v>
      </c>
      <c r="AN173" t="s">
        <v>11049</v>
      </c>
      <c r="AO173">
        <v>26000</v>
      </c>
      <c r="AU173">
        <v>0.5</v>
      </c>
      <c r="AV173" t="s">
        <v>263</v>
      </c>
      <c r="AW173" t="s">
        <v>11492</v>
      </c>
    </row>
    <row r="174" spans="1:50">
      <c r="A174" s="1">
        <f>HYPERLINK("https://cms.ls-nyc.org/matter/dynamic-profile/view/0828968","17-0828968")</f>
        <v>0</v>
      </c>
      <c r="B174" t="s">
        <v>115</v>
      </c>
      <c r="C174" t="s">
        <v>234</v>
      </c>
      <c r="D174" t="s">
        <v>350</v>
      </c>
      <c r="E174" t="s">
        <v>720</v>
      </c>
      <c r="F174" t="s">
        <v>990</v>
      </c>
      <c r="G174" t="s">
        <v>2244</v>
      </c>
      <c r="H174" t="s">
        <v>3586</v>
      </c>
      <c r="I174" t="s">
        <v>4825</v>
      </c>
      <c r="J174" t="s">
        <v>5320</v>
      </c>
      <c r="K174">
        <v>11233</v>
      </c>
      <c r="L174" t="s">
        <v>5355</v>
      </c>
      <c r="M174" t="s">
        <v>5356</v>
      </c>
      <c r="N174" t="s">
        <v>5432</v>
      </c>
      <c r="O174" t="s">
        <v>6492</v>
      </c>
      <c r="P174" t="s">
        <v>6524</v>
      </c>
      <c r="Q174" t="s">
        <v>6531</v>
      </c>
      <c r="R174" t="s">
        <v>6539</v>
      </c>
      <c r="S174" t="s">
        <v>6541</v>
      </c>
      <c r="U174" t="s">
        <v>6557</v>
      </c>
      <c r="W174" t="s">
        <v>329</v>
      </c>
      <c r="X174">
        <v>1291</v>
      </c>
      <c r="Y174" t="s">
        <v>6605</v>
      </c>
      <c r="Z174" t="s">
        <v>6623</v>
      </c>
      <c r="AA174" t="s">
        <v>6631</v>
      </c>
      <c r="AB174" t="s">
        <v>6824</v>
      </c>
      <c r="AD174" t="s">
        <v>9252</v>
      </c>
      <c r="AE174">
        <v>32</v>
      </c>
      <c r="AF174" t="s">
        <v>11005</v>
      </c>
      <c r="AG174" t="s">
        <v>11020</v>
      </c>
      <c r="AH174">
        <v>8</v>
      </c>
      <c r="AI174">
        <v>2</v>
      </c>
      <c r="AJ174">
        <v>1</v>
      </c>
      <c r="AK174">
        <v>90.91</v>
      </c>
      <c r="AN174" t="s">
        <v>11050</v>
      </c>
      <c r="AO174">
        <v>18564</v>
      </c>
      <c r="AU174">
        <v>4.95</v>
      </c>
      <c r="AV174" t="s">
        <v>329</v>
      </c>
      <c r="AW174" t="s">
        <v>11512</v>
      </c>
    </row>
    <row r="175" spans="1:50">
      <c r="A175" s="1">
        <f>HYPERLINK("https://cms.ls-nyc.org/matter/dynamic-profile/view/1855265","18-1855265")</f>
        <v>0</v>
      </c>
      <c r="B175" t="s">
        <v>113</v>
      </c>
      <c r="C175" t="s">
        <v>234</v>
      </c>
      <c r="D175" t="s">
        <v>351</v>
      </c>
      <c r="E175" t="s">
        <v>688</v>
      </c>
      <c r="F175" t="s">
        <v>991</v>
      </c>
      <c r="G175" t="s">
        <v>2245</v>
      </c>
      <c r="H175" t="s">
        <v>3587</v>
      </c>
      <c r="I175">
        <v>511</v>
      </c>
      <c r="J175" t="s">
        <v>5323</v>
      </c>
      <c r="K175">
        <v>10035</v>
      </c>
      <c r="L175" t="s">
        <v>5355</v>
      </c>
      <c r="M175" t="s">
        <v>5355</v>
      </c>
      <c r="N175" t="s">
        <v>5433</v>
      </c>
      <c r="O175" t="s">
        <v>6492</v>
      </c>
      <c r="P175" t="s">
        <v>6524</v>
      </c>
      <c r="Q175" t="s">
        <v>6531</v>
      </c>
      <c r="R175" t="s">
        <v>6539</v>
      </c>
      <c r="S175" t="s">
        <v>5357</v>
      </c>
      <c r="U175" t="s">
        <v>6557</v>
      </c>
      <c r="W175" t="s">
        <v>458</v>
      </c>
      <c r="X175">
        <v>1500</v>
      </c>
      <c r="Y175" t="s">
        <v>6608</v>
      </c>
      <c r="Z175" t="s">
        <v>6617</v>
      </c>
      <c r="AA175" t="s">
        <v>6631</v>
      </c>
      <c r="AB175" t="s">
        <v>6825</v>
      </c>
      <c r="AD175" t="s">
        <v>9253</v>
      </c>
      <c r="AE175">
        <v>60</v>
      </c>
      <c r="AF175" t="s">
        <v>11008</v>
      </c>
      <c r="AG175" t="s">
        <v>11020</v>
      </c>
      <c r="AH175">
        <v>3</v>
      </c>
      <c r="AI175">
        <v>1</v>
      </c>
      <c r="AJ175">
        <v>0</v>
      </c>
      <c r="AK175">
        <v>91.23999999999999</v>
      </c>
      <c r="AN175" t="s">
        <v>11050</v>
      </c>
      <c r="AO175">
        <v>11004</v>
      </c>
      <c r="AU175">
        <v>18.38</v>
      </c>
      <c r="AV175" t="s">
        <v>683</v>
      </c>
      <c r="AW175" t="s">
        <v>11518</v>
      </c>
    </row>
    <row r="176" spans="1:50">
      <c r="A176" s="1">
        <f>HYPERLINK("https://cms.ls-nyc.org/matter/dynamic-profile/view/1855559","18-1855559")</f>
        <v>0</v>
      </c>
      <c r="B176" t="s">
        <v>65</v>
      </c>
      <c r="C176" t="s">
        <v>234</v>
      </c>
      <c r="D176" t="s">
        <v>281</v>
      </c>
      <c r="E176" t="s">
        <v>721</v>
      </c>
      <c r="F176" t="s">
        <v>992</v>
      </c>
      <c r="G176" t="s">
        <v>2246</v>
      </c>
      <c r="H176" t="s">
        <v>3588</v>
      </c>
      <c r="I176" t="s">
        <v>4826</v>
      </c>
      <c r="J176" t="s">
        <v>5323</v>
      </c>
      <c r="K176">
        <v>10034</v>
      </c>
      <c r="L176" t="s">
        <v>5355</v>
      </c>
      <c r="M176" t="s">
        <v>5356</v>
      </c>
      <c r="O176" t="s">
        <v>6496</v>
      </c>
      <c r="P176" t="s">
        <v>6524</v>
      </c>
      <c r="Q176" t="s">
        <v>6531</v>
      </c>
      <c r="R176" t="s">
        <v>6539</v>
      </c>
      <c r="S176" t="s">
        <v>5357</v>
      </c>
      <c r="U176" t="s">
        <v>6557</v>
      </c>
      <c r="W176" t="s">
        <v>281</v>
      </c>
      <c r="X176">
        <v>1397</v>
      </c>
      <c r="Y176" t="s">
        <v>6608</v>
      </c>
      <c r="Z176" t="s">
        <v>6616</v>
      </c>
      <c r="AA176" t="s">
        <v>6631</v>
      </c>
      <c r="AB176" t="s">
        <v>6826</v>
      </c>
      <c r="AD176" t="s">
        <v>9254</v>
      </c>
      <c r="AE176">
        <v>66</v>
      </c>
      <c r="AF176" t="s">
        <v>11005</v>
      </c>
      <c r="AG176" t="s">
        <v>11020</v>
      </c>
      <c r="AH176">
        <v>18</v>
      </c>
      <c r="AI176">
        <v>2</v>
      </c>
      <c r="AJ176">
        <v>0</v>
      </c>
      <c r="AK176">
        <v>91.51000000000001</v>
      </c>
      <c r="AN176" t="s">
        <v>11049</v>
      </c>
      <c r="AO176">
        <v>14861.34</v>
      </c>
      <c r="AU176">
        <v>0.4</v>
      </c>
      <c r="AV176" t="s">
        <v>721</v>
      </c>
      <c r="AW176" t="s">
        <v>11495</v>
      </c>
    </row>
    <row r="177" spans="1:49">
      <c r="A177" s="1">
        <f>HYPERLINK("https://cms.ls-nyc.org/matter/dynamic-profile/view/1856388","18-1856388")</f>
        <v>0</v>
      </c>
      <c r="B177" t="s">
        <v>95</v>
      </c>
      <c r="C177" t="s">
        <v>234</v>
      </c>
      <c r="D177" t="s">
        <v>261</v>
      </c>
      <c r="E177" t="s">
        <v>665</v>
      </c>
      <c r="F177" t="s">
        <v>993</v>
      </c>
      <c r="G177" t="s">
        <v>2239</v>
      </c>
      <c r="H177" t="s">
        <v>3589</v>
      </c>
      <c r="I177" t="s">
        <v>4827</v>
      </c>
      <c r="J177" t="s">
        <v>5321</v>
      </c>
      <c r="K177">
        <v>10452</v>
      </c>
      <c r="L177" t="s">
        <v>5355</v>
      </c>
      <c r="M177" t="s">
        <v>5356</v>
      </c>
      <c r="O177" t="s">
        <v>5393</v>
      </c>
      <c r="P177" t="s">
        <v>6524</v>
      </c>
      <c r="Q177" t="s">
        <v>6531</v>
      </c>
      <c r="R177" t="s">
        <v>6539</v>
      </c>
      <c r="S177" t="s">
        <v>5355</v>
      </c>
      <c r="U177" t="s">
        <v>6557</v>
      </c>
      <c r="W177" t="s">
        <v>480</v>
      </c>
      <c r="X177">
        <v>360</v>
      </c>
      <c r="Y177" t="s">
        <v>6606</v>
      </c>
      <c r="Z177" t="s">
        <v>6612</v>
      </c>
      <c r="AA177" t="s">
        <v>6631</v>
      </c>
      <c r="AB177" t="s">
        <v>6827</v>
      </c>
      <c r="AE177">
        <v>60</v>
      </c>
      <c r="AF177" t="s">
        <v>11005</v>
      </c>
      <c r="AG177" t="s">
        <v>11024</v>
      </c>
      <c r="AH177">
        <v>47</v>
      </c>
      <c r="AI177">
        <v>2</v>
      </c>
      <c r="AJ177">
        <v>0</v>
      </c>
      <c r="AK177">
        <v>93.09999999999999</v>
      </c>
      <c r="AO177">
        <v>15120</v>
      </c>
      <c r="AU177">
        <v>1</v>
      </c>
      <c r="AV177" t="s">
        <v>513</v>
      </c>
      <c r="AW177" t="s">
        <v>11505</v>
      </c>
    </row>
    <row r="178" spans="1:49">
      <c r="A178" s="1">
        <f>HYPERLINK("https://cms.ls-nyc.org/matter/dynamic-profile/view/1869292","18-1869292")</f>
        <v>0</v>
      </c>
      <c r="B178" t="s">
        <v>65</v>
      </c>
      <c r="C178" t="s">
        <v>234</v>
      </c>
      <c r="D178" t="s">
        <v>252</v>
      </c>
      <c r="E178" t="s">
        <v>722</v>
      </c>
      <c r="F178" t="s">
        <v>994</v>
      </c>
      <c r="G178" t="s">
        <v>2247</v>
      </c>
      <c r="H178" t="s">
        <v>3590</v>
      </c>
      <c r="I178">
        <v>18</v>
      </c>
      <c r="J178" t="s">
        <v>5323</v>
      </c>
      <c r="K178">
        <v>10033</v>
      </c>
      <c r="L178" t="s">
        <v>5355</v>
      </c>
      <c r="M178" t="s">
        <v>5356</v>
      </c>
      <c r="P178" t="s">
        <v>6524</v>
      </c>
      <c r="Q178" t="s">
        <v>6531</v>
      </c>
      <c r="R178" t="s">
        <v>6539</v>
      </c>
      <c r="S178" t="s">
        <v>5357</v>
      </c>
      <c r="U178" t="s">
        <v>6557</v>
      </c>
      <c r="W178" t="s">
        <v>252</v>
      </c>
      <c r="X178">
        <v>724.96</v>
      </c>
      <c r="Y178" t="s">
        <v>6608</v>
      </c>
      <c r="Z178" t="s">
        <v>6616</v>
      </c>
      <c r="AA178" t="s">
        <v>6631</v>
      </c>
      <c r="AB178" t="s">
        <v>6828</v>
      </c>
      <c r="AD178" t="s">
        <v>9255</v>
      </c>
      <c r="AE178">
        <v>0</v>
      </c>
      <c r="AF178" t="s">
        <v>11005</v>
      </c>
      <c r="AG178" t="s">
        <v>11024</v>
      </c>
      <c r="AH178">
        <v>0</v>
      </c>
      <c r="AI178">
        <v>1</v>
      </c>
      <c r="AJ178">
        <v>0</v>
      </c>
      <c r="AK178">
        <v>94.09999999999999</v>
      </c>
      <c r="AN178" t="s">
        <v>11049</v>
      </c>
      <c r="AO178">
        <v>11424</v>
      </c>
      <c r="AU178">
        <v>0.1</v>
      </c>
      <c r="AV178" t="s">
        <v>722</v>
      </c>
      <c r="AW178" t="s">
        <v>11495</v>
      </c>
    </row>
    <row r="179" spans="1:49">
      <c r="A179" s="1">
        <f>HYPERLINK("https://cms.ls-nyc.org/matter/dynamic-profile/view/1867672","18-1867672")</f>
        <v>0</v>
      </c>
      <c r="B179" t="s">
        <v>104</v>
      </c>
      <c r="C179" t="s">
        <v>234</v>
      </c>
      <c r="D179" t="s">
        <v>299</v>
      </c>
      <c r="E179" t="s">
        <v>706</v>
      </c>
      <c r="F179" t="s">
        <v>995</v>
      </c>
      <c r="G179" t="s">
        <v>2248</v>
      </c>
      <c r="H179" t="s">
        <v>3526</v>
      </c>
      <c r="I179">
        <v>414</v>
      </c>
      <c r="J179" t="s">
        <v>5321</v>
      </c>
      <c r="K179">
        <v>10453</v>
      </c>
      <c r="L179" t="s">
        <v>5355</v>
      </c>
      <c r="M179" t="s">
        <v>5356</v>
      </c>
      <c r="N179" t="s">
        <v>5434</v>
      </c>
      <c r="O179" t="s">
        <v>6491</v>
      </c>
      <c r="P179" t="s">
        <v>6524</v>
      </c>
      <c r="Q179" t="s">
        <v>6531</v>
      </c>
      <c r="R179" t="s">
        <v>6539</v>
      </c>
      <c r="U179" t="s">
        <v>6557</v>
      </c>
      <c r="W179" t="s">
        <v>516</v>
      </c>
      <c r="X179">
        <v>900</v>
      </c>
      <c r="Y179" t="s">
        <v>6606</v>
      </c>
      <c r="AA179" t="s">
        <v>6631</v>
      </c>
      <c r="AB179" t="s">
        <v>6829</v>
      </c>
      <c r="AD179" t="s">
        <v>9256</v>
      </c>
      <c r="AE179">
        <v>33</v>
      </c>
      <c r="AF179" t="s">
        <v>11005</v>
      </c>
      <c r="AG179" t="s">
        <v>5406</v>
      </c>
      <c r="AH179">
        <v>0</v>
      </c>
      <c r="AI179">
        <v>2</v>
      </c>
      <c r="AJ179">
        <v>0</v>
      </c>
      <c r="AK179">
        <v>94.77</v>
      </c>
      <c r="AO179">
        <v>15598.8</v>
      </c>
      <c r="AS179" t="s">
        <v>11252</v>
      </c>
      <c r="AU179">
        <v>1</v>
      </c>
      <c r="AV179" t="s">
        <v>280</v>
      </c>
      <c r="AW179" t="s">
        <v>11505</v>
      </c>
    </row>
    <row r="180" spans="1:49">
      <c r="A180" s="1">
        <f>HYPERLINK("https://cms.ls-nyc.org/matter/dynamic-profile/view/1868492","18-1868492")</f>
        <v>0</v>
      </c>
      <c r="B180" t="s">
        <v>116</v>
      </c>
      <c r="C180" t="s">
        <v>234</v>
      </c>
      <c r="D180" t="s">
        <v>352</v>
      </c>
      <c r="E180" t="s">
        <v>652</v>
      </c>
      <c r="F180" t="s">
        <v>996</v>
      </c>
      <c r="G180" t="s">
        <v>2249</v>
      </c>
      <c r="H180" t="s">
        <v>3591</v>
      </c>
      <c r="I180" t="s">
        <v>4735</v>
      </c>
      <c r="J180" t="s">
        <v>5326</v>
      </c>
      <c r="K180">
        <v>11691</v>
      </c>
      <c r="L180" t="s">
        <v>5355</v>
      </c>
      <c r="M180" t="s">
        <v>5356</v>
      </c>
      <c r="N180" t="s">
        <v>5435</v>
      </c>
      <c r="O180" t="s">
        <v>6491</v>
      </c>
      <c r="P180" t="s">
        <v>6524</v>
      </c>
      <c r="Q180" t="s">
        <v>6531</v>
      </c>
      <c r="R180" t="s">
        <v>6539</v>
      </c>
      <c r="S180" t="s">
        <v>5357</v>
      </c>
      <c r="U180" t="s">
        <v>6557</v>
      </c>
      <c r="W180" t="s">
        <v>352</v>
      </c>
      <c r="X180">
        <v>750</v>
      </c>
      <c r="Y180" t="s">
        <v>6604</v>
      </c>
      <c r="Z180" t="s">
        <v>6615</v>
      </c>
      <c r="AA180" t="s">
        <v>6631</v>
      </c>
      <c r="AB180" t="s">
        <v>6830</v>
      </c>
      <c r="AC180" t="s">
        <v>8731</v>
      </c>
      <c r="AD180" t="s">
        <v>9257</v>
      </c>
      <c r="AE180">
        <v>2</v>
      </c>
      <c r="AF180" t="s">
        <v>11004</v>
      </c>
      <c r="AG180" t="s">
        <v>5406</v>
      </c>
      <c r="AH180">
        <v>4</v>
      </c>
      <c r="AI180">
        <v>2</v>
      </c>
      <c r="AJ180">
        <v>0</v>
      </c>
      <c r="AK180">
        <v>94.78</v>
      </c>
      <c r="AN180" t="s">
        <v>11050</v>
      </c>
      <c r="AO180">
        <v>15600</v>
      </c>
      <c r="AP180" t="s">
        <v>11082</v>
      </c>
      <c r="AU180">
        <v>2.2</v>
      </c>
      <c r="AV180" t="s">
        <v>364</v>
      </c>
      <c r="AW180" t="s">
        <v>116</v>
      </c>
    </row>
    <row r="181" spans="1:49">
      <c r="A181" s="1">
        <f>HYPERLINK("https://cms.ls-nyc.org/matter/dynamic-profile/view/1868705","18-1868705")</f>
        <v>0</v>
      </c>
      <c r="B181" t="s">
        <v>59</v>
      </c>
      <c r="C181" t="s">
        <v>234</v>
      </c>
      <c r="D181" t="s">
        <v>318</v>
      </c>
      <c r="E181" t="s">
        <v>427</v>
      </c>
      <c r="F181" t="s">
        <v>997</v>
      </c>
      <c r="G181" t="s">
        <v>2250</v>
      </c>
      <c r="H181" t="s">
        <v>3592</v>
      </c>
      <c r="I181" t="s">
        <v>4778</v>
      </c>
      <c r="J181" t="s">
        <v>5321</v>
      </c>
      <c r="K181">
        <v>10458</v>
      </c>
      <c r="L181" t="s">
        <v>5355</v>
      </c>
      <c r="M181" t="s">
        <v>5356</v>
      </c>
      <c r="O181" t="s">
        <v>5393</v>
      </c>
      <c r="P181" t="s">
        <v>6524</v>
      </c>
      <c r="Q181" t="s">
        <v>6531</v>
      </c>
      <c r="R181" t="s">
        <v>6539</v>
      </c>
      <c r="S181" t="s">
        <v>5357</v>
      </c>
      <c r="U181" t="s">
        <v>6557</v>
      </c>
      <c r="W181" t="s">
        <v>318</v>
      </c>
      <c r="X181">
        <v>350</v>
      </c>
      <c r="Y181" t="s">
        <v>6606</v>
      </c>
      <c r="Z181" t="s">
        <v>6612</v>
      </c>
      <c r="AA181" t="s">
        <v>6631</v>
      </c>
      <c r="AB181" t="s">
        <v>6831</v>
      </c>
      <c r="AE181">
        <v>0</v>
      </c>
      <c r="AF181" t="s">
        <v>11005</v>
      </c>
      <c r="AG181" t="s">
        <v>11020</v>
      </c>
      <c r="AH181">
        <v>37</v>
      </c>
      <c r="AI181">
        <v>2</v>
      </c>
      <c r="AJ181">
        <v>0</v>
      </c>
      <c r="AK181">
        <v>94.78</v>
      </c>
      <c r="AN181" t="s">
        <v>11049</v>
      </c>
      <c r="AO181">
        <v>15600</v>
      </c>
      <c r="AU181">
        <v>1.9</v>
      </c>
      <c r="AV181" t="s">
        <v>427</v>
      </c>
      <c r="AW181" t="s">
        <v>59</v>
      </c>
    </row>
    <row r="182" spans="1:49">
      <c r="A182" s="1">
        <f>HYPERLINK("https://cms.ls-nyc.org/matter/dynamic-profile/view/1867854","18-1867854")</f>
        <v>0</v>
      </c>
      <c r="B182" t="s">
        <v>90</v>
      </c>
      <c r="C182" t="s">
        <v>234</v>
      </c>
      <c r="D182" t="s">
        <v>334</v>
      </c>
      <c r="E182" t="s">
        <v>671</v>
      </c>
      <c r="F182" t="s">
        <v>998</v>
      </c>
      <c r="G182" t="s">
        <v>2188</v>
      </c>
      <c r="H182" t="s">
        <v>3593</v>
      </c>
      <c r="I182" t="s">
        <v>4791</v>
      </c>
      <c r="J182" t="s">
        <v>5321</v>
      </c>
      <c r="K182">
        <v>10472</v>
      </c>
      <c r="L182" t="s">
        <v>5355</v>
      </c>
      <c r="M182" t="s">
        <v>5356</v>
      </c>
      <c r="O182" t="s">
        <v>5393</v>
      </c>
      <c r="P182" t="s">
        <v>6524</v>
      </c>
      <c r="Q182" t="s">
        <v>6531</v>
      </c>
      <c r="R182" t="s">
        <v>6539</v>
      </c>
      <c r="S182" t="s">
        <v>5357</v>
      </c>
      <c r="U182" t="s">
        <v>6557</v>
      </c>
      <c r="W182" t="s">
        <v>516</v>
      </c>
      <c r="X182">
        <v>1089.87</v>
      </c>
      <c r="Y182" t="s">
        <v>6606</v>
      </c>
      <c r="Z182" t="s">
        <v>6612</v>
      </c>
      <c r="AA182" t="s">
        <v>6631</v>
      </c>
      <c r="AB182" t="s">
        <v>6832</v>
      </c>
      <c r="AE182">
        <v>0</v>
      </c>
      <c r="AF182" t="s">
        <v>11005</v>
      </c>
      <c r="AG182" t="s">
        <v>5406</v>
      </c>
      <c r="AH182">
        <v>27</v>
      </c>
      <c r="AI182">
        <v>3</v>
      </c>
      <c r="AJ182">
        <v>0</v>
      </c>
      <c r="AK182">
        <v>95.09</v>
      </c>
      <c r="AN182" t="s">
        <v>11049</v>
      </c>
      <c r="AO182">
        <v>19760</v>
      </c>
      <c r="AU182">
        <v>3.4</v>
      </c>
      <c r="AV182" t="s">
        <v>671</v>
      </c>
      <c r="AW182" t="s">
        <v>95</v>
      </c>
    </row>
    <row r="183" spans="1:49">
      <c r="A183" s="1">
        <f>HYPERLINK("https://cms.ls-nyc.org/matter/dynamic-profile/view/1853360","17-1853360")</f>
        <v>0</v>
      </c>
      <c r="B183" t="s">
        <v>56</v>
      </c>
      <c r="C183" t="s">
        <v>234</v>
      </c>
      <c r="D183" t="s">
        <v>289</v>
      </c>
      <c r="E183" t="s">
        <v>665</v>
      </c>
      <c r="F183" t="s">
        <v>999</v>
      </c>
      <c r="G183" t="s">
        <v>2251</v>
      </c>
      <c r="H183" t="s">
        <v>3594</v>
      </c>
      <c r="I183" t="s">
        <v>4828</v>
      </c>
      <c r="J183" t="s">
        <v>5321</v>
      </c>
      <c r="K183">
        <v>10468</v>
      </c>
      <c r="L183" t="s">
        <v>5355</v>
      </c>
      <c r="M183" t="s">
        <v>5356</v>
      </c>
      <c r="O183" t="s">
        <v>6492</v>
      </c>
      <c r="P183" t="s">
        <v>6524</v>
      </c>
      <c r="Q183" t="s">
        <v>6531</v>
      </c>
      <c r="R183" t="s">
        <v>6539</v>
      </c>
      <c r="S183" t="s">
        <v>5357</v>
      </c>
      <c r="U183" t="s">
        <v>6557</v>
      </c>
      <c r="W183" t="s">
        <v>433</v>
      </c>
      <c r="X183">
        <v>1500</v>
      </c>
      <c r="Y183" t="s">
        <v>6606</v>
      </c>
      <c r="Z183" t="s">
        <v>6612</v>
      </c>
      <c r="AA183" t="s">
        <v>6631</v>
      </c>
      <c r="AB183" t="s">
        <v>6833</v>
      </c>
      <c r="AC183">
        <v>58224222</v>
      </c>
      <c r="AE183">
        <v>31</v>
      </c>
      <c r="AF183" t="s">
        <v>11005</v>
      </c>
      <c r="AG183" t="s">
        <v>11023</v>
      </c>
      <c r="AH183">
        <v>4</v>
      </c>
      <c r="AI183">
        <v>1</v>
      </c>
      <c r="AJ183">
        <v>3</v>
      </c>
      <c r="AK183">
        <v>95.12</v>
      </c>
      <c r="AN183" t="s">
        <v>11050</v>
      </c>
      <c r="AO183">
        <v>23400</v>
      </c>
      <c r="AU183">
        <v>1.5</v>
      </c>
      <c r="AV183" t="s">
        <v>289</v>
      </c>
      <c r="AW183" t="s">
        <v>11509</v>
      </c>
    </row>
    <row r="184" spans="1:49">
      <c r="A184" s="1">
        <f>HYPERLINK("https://cms.ls-nyc.org/matter/dynamic-profile/view/1869057","18-1869057")</f>
        <v>0</v>
      </c>
      <c r="B184" t="s">
        <v>56</v>
      </c>
      <c r="C184" t="s">
        <v>234</v>
      </c>
      <c r="D184" t="s">
        <v>345</v>
      </c>
      <c r="E184" t="s">
        <v>665</v>
      </c>
      <c r="F184" t="s">
        <v>1000</v>
      </c>
      <c r="G184" t="s">
        <v>2252</v>
      </c>
      <c r="H184" t="s">
        <v>3595</v>
      </c>
      <c r="I184" t="s">
        <v>4829</v>
      </c>
      <c r="J184" t="s">
        <v>5321</v>
      </c>
      <c r="K184">
        <v>10453</v>
      </c>
      <c r="L184" t="s">
        <v>5355</v>
      </c>
      <c r="M184" t="s">
        <v>5356</v>
      </c>
      <c r="N184" t="s">
        <v>5436</v>
      </c>
      <c r="O184" t="s">
        <v>6492</v>
      </c>
      <c r="P184" t="s">
        <v>6524</v>
      </c>
      <c r="Q184" t="s">
        <v>6531</v>
      </c>
      <c r="R184" t="s">
        <v>6539</v>
      </c>
      <c r="S184" t="s">
        <v>5357</v>
      </c>
      <c r="U184" t="s">
        <v>6557</v>
      </c>
      <c r="W184" t="s">
        <v>516</v>
      </c>
      <c r="X184">
        <v>1693.04</v>
      </c>
      <c r="Y184" t="s">
        <v>6606</v>
      </c>
      <c r="Z184" t="s">
        <v>6615</v>
      </c>
      <c r="AA184" t="s">
        <v>6637</v>
      </c>
      <c r="AB184" t="s">
        <v>6834</v>
      </c>
      <c r="AC184" t="s">
        <v>8732</v>
      </c>
      <c r="AD184" t="s">
        <v>9258</v>
      </c>
      <c r="AE184">
        <v>103</v>
      </c>
      <c r="AF184" t="s">
        <v>8722</v>
      </c>
      <c r="AG184" t="s">
        <v>5406</v>
      </c>
      <c r="AH184">
        <v>2</v>
      </c>
      <c r="AI184">
        <v>1</v>
      </c>
      <c r="AJ184">
        <v>3</v>
      </c>
      <c r="AK184">
        <v>95.62</v>
      </c>
      <c r="AN184" t="s">
        <v>11050</v>
      </c>
      <c r="AO184">
        <v>24000</v>
      </c>
      <c r="AU184">
        <v>9.4</v>
      </c>
      <c r="AV184" t="s">
        <v>718</v>
      </c>
      <c r="AW184" t="s">
        <v>11492</v>
      </c>
    </row>
    <row r="185" spans="1:49">
      <c r="A185" s="1">
        <f>HYPERLINK("https://cms.ls-nyc.org/matter/dynamic-profile/view/1853193","17-1853193")</f>
        <v>0</v>
      </c>
      <c r="B185" t="s">
        <v>71</v>
      </c>
      <c r="C185" t="s">
        <v>235</v>
      </c>
      <c r="D185" t="s">
        <v>353</v>
      </c>
      <c r="F185" t="s">
        <v>1001</v>
      </c>
      <c r="G185" t="s">
        <v>2253</v>
      </c>
      <c r="H185" t="s">
        <v>3596</v>
      </c>
      <c r="I185" t="s">
        <v>4830</v>
      </c>
      <c r="J185" t="s">
        <v>5321</v>
      </c>
      <c r="K185">
        <v>10467</v>
      </c>
      <c r="L185" t="s">
        <v>5355</v>
      </c>
      <c r="M185" t="s">
        <v>5356</v>
      </c>
      <c r="O185" t="s">
        <v>5393</v>
      </c>
      <c r="P185" t="s">
        <v>6524</v>
      </c>
      <c r="R185" t="s">
        <v>6540</v>
      </c>
      <c r="S185" t="s">
        <v>5357</v>
      </c>
      <c r="U185" t="s">
        <v>6557</v>
      </c>
      <c r="W185" t="s">
        <v>6576</v>
      </c>
      <c r="X185">
        <v>1175</v>
      </c>
      <c r="Y185" t="s">
        <v>6606</v>
      </c>
      <c r="Z185" t="s">
        <v>6610</v>
      </c>
      <c r="AB185" t="s">
        <v>6835</v>
      </c>
      <c r="AD185" t="s">
        <v>9259</v>
      </c>
      <c r="AE185">
        <v>66</v>
      </c>
      <c r="AF185" t="s">
        <v>11005</v>
      </c>
      <c r="AG185" t="s">
        <v>5406</v>
      </c>
      <c r="AH185">
        <v>3</v>
      </c>
      <c r="AI185">
        <v>1</v>
      </c>
      <c r="AJ185">
        <v>1</v>
      </c>
      <c r="AK185">
        <v>96.06</v>
      </c>
      <c r="AL185" t="s">
        <v>11028</v>
      </c>
      <c r="AN185" t="s">
        <v>11049</v>
      </c>
      <c r="AO185">
        <v>15600</v>
      </c>
      <c r="AU185">
        <v>6.4</v>
      </c>
      <c r="AV185" t="s">
        <v>414</v>
      </c>
      <c r="AW185" t="s">
        <v>57</v>
      </c>
    </row>
    <row r="186" spans="1:49">
      <c r="A186" s="1">
        <f>HYPERLINK("https://cms.ls-nyc.org/matter/dynamic-profile/view/1861571","18-1861571")</f>
        <v>0</v>
      </c>
      <c r="B186" t="s">
        <v>106</v>
      </c>
      <c r="C186" t="s">
        <v>234</v>
      </c>
      <c r="D186" t="s">
        <v>339</v>
      </c>
      <c r="E186" t="s">
        <v>665</v>
      </c>
      <c r="F186" t="s">
        <v>908</v>
      </c>
      <c r="G186" t="s">
        <v>2254</v>
      </c>
      <c r="H186" t="s">
        <v>3544</v>
      </c>
      <c r="I186" t="s">
        <v>4831</v>
      </c>
      <c r="J186" t="s">
        <v>5321</v>
      </c>
      <c r="K186">
        <v>10452</v>
      </c>
      <c r="L186" t="s">
        <v>5355</v>
      </c>
      <c r="M186" t="s">
        <v>5356</v>
      </c>
      <c r="N186" t="s">
        <v>5406</v>
      </c>
      <c r="O186" t="s">
        <v>6493</v>
      </c>
      <c r="P186" t="s">
        <v>6524</v>
      </c>
      <c r="Q186" t="s">
        <v>6531</v>
      </c>
      <c r="R186" t="s">
        <v>6539</v>
      </c>
      <c r="S186" t="s">
        <v>5357</v>
      </c>
      <c r="U186" t="s">
        <v>6557</v>
      </c>
      <c r="W186" t="s">
        <v>312</v>
      </c>
      <c r="X186">
        <v>1800</v>
      </c>
      <c r="Y186" t="s">
        <v>6606</v>
      </c>
      <c r="Z186" t="s">
        <v>6616</v>
      </c>
      <c r="AA186" t="s">
        <v>6631</v>
      </c>
      <c r="AB186" t="s">
        <v>6836</v>
      </c>
      <c r="AD186" t="s">
        <v>9260</v>
      </c>
      <c r="AE186">
        <v>149</v>
      </c>
      <c r="AF186" t="s">
        <v>11006</v>
      </c>
      <c r="AG186" t="s">
        <v>11026</v>
      </c>
      <c r="AH186">
        <v>16</v>
      </c>
      <c r="AI186">
        <v>2</v>
      </c>
      <c r="AJ186">
        <v>0</v>
      </c>
      <c r="AK186">
        <v>98.64</v>
      </c>
      <c r="AN186" t="s">
        <v>11049</v>
      </c>
      <c r="AO186">
        <v>16236</v>
      </c>
      <c r="AP186" t="s">
        <v>11075</v>
      </c>
      <c r="AU186">
        <v>4.2</v>
      </c>
      <c r="AV186" t="s">
        <v>317</v>
      </c>
      <c r="AW186" t="s">
        <v>11500</v>
      </c>
    </row>
    <row r="187" spans="1:49">
      <c r="A187" s="1">
        <f>HYPERLINK("https://cms.ls-nyc.org/matter/dynamic-profile/view/1869281","18-1869281")</f>
        <v>0</v>
      </c>
      <c r="B187" t="s">
        <v>100</v>
      </c>
      <c r="C187" t="s">
        <v>234</v>
      </c>
      <c r="D187" t="s">
        <v>252</v>
      </c>
      <c r="E187" t="s">
        <v>703</v>
      </c>
      <c r="F187" t="s">
        <v>1002</v>
      </c>
      <c r="G187" t="s">
        <v>2255</v>
      </c>
      <c r="H187" t="s">
        <v>3597</v>
      </c>
      <c r="I187" t="s">
        <v>4743</v>
      </c>
      <c r="J187" t="s">
        <v>5320</v>
      </c>
      <c r="K187">
        <v>11208</v>
      </c>
      <c r="L187" t="s">
        <v>5357</v>
      </c>
      <c r="M187" t="s">
        <v>5357</v>
      </c>
      <c r="O187" t="s">
        <v>6496</v>
      </c>
      <c r="P187" t="s">
        <v>6524</v>
      </c>
      <c r="Q187" t="s">
        <v>6531</v>
      </c>
      <c r="R187" t="s">
        <v>6539</v>
      </c>
      <c r="S187" t="s">
        <v>5355</v>
      </c>
      <c r="U187" t="s">
        <v>6557</v>
      </c>
      <c r="W187" t="s">
        <v>252</v>
      </c>
      <c r="X187">
        <v>1450</v>
      </c>
      <c r="Y187" t="s">
        <v>6605</v>
      </c>
      <c r="Z187" t="s">
        <v>6617</v>
      </c>
      <c r="AA187" t="s">
        <v>6631</v>
      </c>
      <c r="AB187" t="s">
        <v>6837</v>
      </c>
      <c r="AD187" t="s">
        <v>9261</v>
      </c>
      <c r="AE187">
        <v>6</v>
      </c>
      <c r="AF187" t="s">
        <v>11005</v>
      </c>
      <c r="AG187" t="s">
        <v>5406</v>
      </c>
      <c r="AH187">
        <v>7</v>
      </c>
      <c r="AI187">
        <v>1</v>
      </c>
      <c r="AJ187">
        <v>0</v>
      </c>
      <c r="AK187">
        <v>98.84999999999999</v>
      </c>
      <c r="AN187" t="s">
        <v>11050</v>
      </c>
      <c r="AO187">
        <v>12000</v>
      </c>
      <c r="AU187">
        <v>2.25</v>
      </c>
      <c r="AV187" t="s">
        <v>307</v>
      </c>
      <c r="AW187" t="s">
        <v>11512</v>
      </c>
    </row>
    <row r="188" spans="1:49">
      <c r="A188" s="1">
        <f>HYPERLINK("https://cms.ls-nyc.org/matter/dynamic-profile/view/1848457","17-1848457")</f>
        <v>0</v>
      </c>
      <c r="B188" t="s">
        <v>80</v>
      </c>
      <c r="C188" t="s">
        <v>234</v>
      </c>
      <c r="D188" t="s">
        <v>354</v>
      </c>
      <c r="E188" t="s">
        <v>652</v>
      </c>
      <c r="F188" t="s">
        <v>1003</v>
      </c>
      <c r="G188" t="s">
        <v>2256</v>
      </c>
      <c r="H188" t="s">
        <v>3598</v>
      </c>
      <c r="I188" t="s">
        <v>4832</v>
      </c>
      <c r="J188" t="s">
        <v>5321</v>
      </c>
      <c r="K188">
        <v>10457</v>
      </c>
      <c r="L188" t="s">
        <v>5355</v>
      </c>
      <c r="M188" t="s">
        <v>5356</v>
      </c>
      <c r="O188" t="s">
        <v>5393</v>
      </c>
      <c r="P188" t="s">
        <v>6524</v>
      </c>
      <c r="Q188" t="s">
        <v>6531</v>
      </c>
      <c r="R188" t="s">
        <v>6539</v>
      </c>
      <c r="S188" t="s">
        <v>5355</v>
      </c>
      <c r="U188" t="s">
        <v>6557</v>
      </c>
      <c r="W188" t="s">
        <v>319</v>
      </c>
      <c r="X188">
        <v>0</v>
      </c>
      <c r="Y188" t="s">
        <v>6606</v>
      </c>
      <c r="Z188" t="s">
        <v>6612</v>
      </c>
      <c r="AA188" t="s">
        <v>6631</v>
      </c>
      <c r="AB188" t="s">
        <v>6838</v>
      </c>
      <c r="AD188" t="s">
        <v>9262</v>
      </c>
      <c r="AE188">
        <v>46</v>
      </c>
      <c r="AF188" t="s">
        <v>8722</v>
      </c>
      <c r="AG188" t="s">
        <v>11020</v>
      </c>
      <c r="AH188">
        <v>9</v>
      </c>
      <c r="AI188">
        <v>1</v>
      </c>
      <c r="AJ188">
        <v>0</v>
      </c>
      <c r="AK188">
        <v>99.5</v>
      </c>
      <c r="AN188" t="s">
        <v>11049</v>
      </c>
      <c r="AO188">
        <v>12000</v>
      </c>
      <c r="AU188">
        <v>0.25</v>
      </c>
      <c r="AV188" t="s">
        <v>652</v>
      </c>
      <c r="AW188" t="s">
        <v>11509</v>
      </c>
    </row>
    <row r="189" spans="1:49">
      <c r="A189" s="1">
        <f>HYPERLINK("https://cms.ls-nyc.org/matter/dynamic-profile/view/1867211","18-1867211")</f>
        <v>0</v>
      </c>
      <c r="B189" t="s">
        <v>57</v>
      </c>
      <c r="C189" t="s">
        <v>234</v>
      </c>
      <c r="D189" t="s">
        <v>355</v>
      </c>
      <c r="E189" t="s">
        <v>622</v>
      </c>
      <c r="F189" t="s">
        <v>1004</v>
      </c>
      <c r="G189" t="s">
        <v>2257</v>
      </c>
      <c r="H189" t="s">
        <v>3599</v>
      </c>
      <c r="I189" t="s">
        <v>4780</v>
      </c>
      <c r="J189" t="s">
        <v>5321</v>
      </c>
      <c r="K189">
        <v>10455</v>
      </c>
      <c r="L189" t="s">
        <v>5355</v>
      </c>
      <c r="M189" t="s">
        <v>5356</v>
      </c>
      <c r="O189" t="s">
        <v>5393</v>
      </c>
      <c r="P189" t="s">
        <v>6524</v>
      </c>
      <c r="Q189" t="s">
        <v>6531</v>
      </c>
      <c r="R189" t="s">
        <v>6540</v>
      </c>
      <c r="S189" t="s">
        <v>5357</v>
      </c>
      <c r="U189" t="s">
        <v>6557</v>
      </c>
      <c r="W189" t="s">
        <v>275</v>
      </c>
      <c r="X189">
        <v>0</v>
      </c>
      <c r="Y189" t="s">
        <v>6606</v>
      </c>
      <c r="Z189" t="s">
        <v>6610</v>
      </c>
      <c r="AA189" t="s">
        <v>6631</v>
      </c>
      <c r="AB189" t="s">
        <v>6839</v>
      </c>
      <c r="AD189" t="s">
        <v>9263</v>
      </c>
      <c r="AE189">
        <v>0</v>
      </c>
      <c r="AF189" t="s">
        <v>11004</v>
      </c>
      <c r="AG189" t="s">
        <v>5406</v>
      </c>
      <c r="AH189">
        <v>12</v>
      </c>
      <c r="AI189">
        <v>2</v>
      </c>
      <c r="AJ189">
        <v>0</v>
      </c>
      <c r="AK189">
        <v>102.07</v>
      </c>
      <c r="AL189" t="s">
        <v>11028</v>
      </c>
      <c r="AN189" t="s">
        <v>11050</v>
      </c>
      <c r="AO189">
        <v>16800</v>
      </c>
      <c r="AU189">
        <v>1.6</v>
      </c>
      <c r="AV189" t="s">
        <v>345</v>
      </c>
      <c r="AW189" t="s">
        <v>57</v>
      </c>
    </row>
    <row r="190" spans="1:49">
      <c r="A190" s="1">
        <f>HYPERLINK("https://cms.ls-nyc.org/matter/dynamic-profile/view/1846885","17-1846885")</f>
        <v>0</v>
      </c>
      <c r="B190" t="s">
        <v>76</v>
      </c>
      <c r="C190" t="s">
        <v>234</v>
      </c>
      <c r="D190" t="s">
        <v>356</v>
      </c>
      <c r="E190" t="s">
        <v>713</v>
      </c>
      <c r="F190" t="s">
        <v>972</v>
      </c>
      <c r="G190" t="s">
        <v>2258</v>
      </c>
      <c r="H190" t="s">
        <v>3600</v>
      </c>
      <c r="I190">
        <v>8</v>
      </c>
      <c r="J190" t="s">
        <v>5323</v>
      </c>
      <c r="K190">
        <v>10029</v>
      </c>
      <c r="L190" t="s">
        <v>5355</v>
      </c>
      <c r="M190" t="s">
        <v>5355</v>
      </c>
      <c r="O190" t="s">
        <v>5393</v>
      </c>
      <c r="P190" t="s">
        <v>6524</v>
      </c>
      <c r="Q190" t="s">
        <v>6531</v>
      </c>
      <c r="R190" t="s">
        <v>6539</v>
      </c>
      <c r="S190" t="s">
        <v>5357</v>
      </c>
      <c r="U190" t="s">
        <v>6557</v>
      </c>
      <c r="V190" t="s">
        <v>6566</v>
      </c>
      <c r="W190" t="s">
        <v>354</v>
      </c>
      <c r="X190">
        <v>455.85</v>
      </c>
      <c r="Y190" t="s">
        <v>6608</v>
      </c>
      <c r="Z190" t="s">
        <v>6616</v>
      </c>
      <c r="AA190" t="s">
        <v>6631</v>
      </c>
      <c r="AB190" t="s">
        <v>6840</v>
      </c>
      <c r="AD190" t="s">
        <v>9264</v>
      </c>
      <c r="AE190">
        <v>14</v>
      </c>
      <c r="AF190" t="s">
        <v>11006</v>
      </c>
      <c r="AG190" t="s">
        <v>5406</v>
      </c>
      <c r="AH190">
        <v>50</v>
      </c>
      <c r="AI190">
        <v>1</v>
      </c>
      <c r="AJ190">
        <v>0</v>
      </c>
      <c r="AK190">
        <v>102.69</v>
      </c>
      <c r="AN190" t="s">
        <v>11049</v>
      </c>
      <c r="AO190">
        <v>12384</v>
      </c>
      <c r="AU190">
        <v>1.2</v>
      </c>
      <c r="AV190" t="s">
        <v>465</v>
      </c>
      <c r="AW190" t="s">
        <v>11507</v>
      </c>
    </row>
    <row r="191" spans="1:49">
      <c r="A191" s="1">
        <f>HYPERLINK("https://cms.ls-nyc.org/matter/dynamic-profile/view/1864099","18-1864099")</f>
        <v>0</v>
      </c>
      <c r="B191" t="s">
        <v>117</v>
      </c>
      <c r="C191" t="s">
        <v>234</v>
      </c>
      <c r="D191" t="s">
        <v>357</v>
      </c>
      <c r="E191" t="s">
        <v>498</v>
      </c>
      <c r="F191" t="s">
        <v>1005</v>
      </c>
      <c r="G191" t="s">
        <v>2259</v>
      </c>
      <c r="H191" t="s">
        <v>3601</v>
      </c>
      <c r="I191" t="s">
        <v>4775</v>
      </c>
      <c r="J191" t="s">
        <v>5321</v>
      </c>
      <c r="K191">
        <v>10467</v>
      </c>
      <c r="L191" t="s">
        <v>5355</v>
      </c>
      <c r="M191" t="s">
        <v>5356</v>
      </c>
      <c r="O191" t="s">
        <v>6498</v>
      </c>
      <c r="P191" t="s">
        <v>6524</v>
      </c>
      <c r="Q191" t="s">
        <v>6531</v>
      </c>
      <c r="R191" t="s">
        <v>6539</v>
      </c>
      <c r="U191" t="s">
        <v>6559</v>
      </c>
      <c r="W191" t="s">
        <v>236</v>
      </c>
      <c r="X191">
        <v>1238</v>
      </c>
      <c r="Y191" t="s">
        <v>6606</v>
      </c>
      <c r="Z191" t="s">
        <v>6615</v>
      </c>
      <c r="AA191" t="s">
        <v>6631</v>
      </c>
      <c r="AB191" t="s">
        <v>6841</v>
      </c>
      <c r="AC191" t="s">
        <v>8733</v>
      </c>
      <c r="AD191" t="s">
        <v>9265</v>
      </c>
      <c r="AE191">
        <v>13</v>
      </c>
      <c r="AF191" t="s">
        <v>11005</v>
      </c>
      <c r="AG191" t="s">
        <v>11024</v>
      </c>
      <c r="AH191">
        <v>1</v>
      </c>
      <c r="AI191">
        <v>2</v>
      </c>
      <c r="AJ191">
        <v>2</v>
      </c>
      <c r="AK191">
        <v>103.12</v>
      </c>
      <c r="AN191" t="s">
        <v>11057</v>
      </c>
      <c r="AO191">
        <v>41880</v>
      </c>
      <c r="AU191">
        <v>0.5</v>
      </c>
      <c r="AV191" t="s">
        <v>357</v>
      </c>
      <c r="AW191" t="s">
        <v>11522</v>
      </c>
    </row>
    <row r="192" spans="1:49">
      <c r="A192" s="1">
        <f>HYPERLINK("https://cms.ls-nyc.org/matter/dynamic-profile/view/1861935","18-1861935")</f>
        <v>0</v>
      </c>
      <c r="B192" t="s">
        <v>82</v>
      </c>
      <c r="C192" t="s">
        <v>234</v>
      </c>
      <c r="D192" t="s">
        <v>358</v>
      </c>
      <c r="E192" t="s">
        <v>684</v>
      </c>
      <c r="F192" t="s">
        <v>1006</v>
      </c>
      <c r="G192" t="s">
        <v>2040</v>
      </c>
      <c r="H192" t="s">
        <v>3602</v>
      </c>
      <c r="I192">
        <v>31</v>
      </c>
      <c r="J192" t="s">
        <v>5323</v>
      </c>
      <c r="K192">
        <v>10039</v>
      </c>
      <c r="L192" t="s">
        <v>5355</v>
      </c>
      <c r="M192" t="s">
        <v>5355</v>
      </c>
      <c r="N192" t="s">
        <v>5437</v>
      </c>
      <c r="O192" t="s">
        <v>6492</v>
      </c>
      <c r="P192" t="s">
        <v>6524</v>
      </c>
      <c r="Q192" t="s">
        <v>6531</v>
      </c>
      <c r="R192" t="s">
        <v>6539</v>
      </c>
      <c r="S192" t="s">
        <v>5357</v>
      </c>
      <c r="U192" t="s">
        <v>6557</v>
      </c>
      <c r="V192" t="s">
        <v>6566</v>
      </c>
      <c r="W192" t="s">
        <v>358</v>
      </c>
      <c r="X192">
        <v>1040.49</v>
      </c>
      <c r="Y192" t="s">
        <v>6608</v>
      </c>
      <c r="Z192" t="s">
        <v>6615</v>
      </c>
      <c r="AA192" t="s">
        <v>6631</v>
      </c>
      <c r="AB192" t="s">
        <v>6842</v>
      </c>
      <c r="AD192" t="s">
        <v>9266</v>
      </c>
      <c r="AE192">
        <v>69</v>
      </c>
      <c r="AF192" t="s">
        <v>11005</v>
      </c>
      <c r="AG192" t="s">
        <v>11020</v>
      </c>
      <c r="AH192">
        <v>0</v>
      </c>
      <c r="AI192">
        <v>3</v>
      </c>
      <c r="AJ192">
        <v>0</v>
      </c>
      <c r="AK192">
        <v>103.48</v>
      </c>
      <c r="AN192" t="s">
        <v>11050</v>
      </c>
      <c r="AO192">
        <v>21504</v>
      </c>
      <c r="AU192">
        <v>1.5</v>
      </c>
      <c r="AV192" t="s">
        <v>684</v>
      </c>
      <c r="AW192" t="s">
        <v>11495</v>
      </c>
    </row>
    <row r="193" spans="1:49">
      <c r="A193" s="1">
        <f>HYPERLINK("https://cms.ls-nyc.org/matter/dynamic-profile/view/1864548","18-1864548")</f>
        <v>0</v>
      </c>
      <c r="B193" t="s">
        <v>77</v>
      </c>
      <c r="C193" t="s">
        <v>234</v>
      </c>
      <c r="D193" t="s">
        <v>256</v>
      </c>
      <c r="E193" t="s">
        <v>723</v>
      </c>
      <c r="F193" t="s">
        <v>1007</v>
      </c>
      <c r="G193" t="s">
        <v>1643</v>
      </c>
      <c r="H193" t="s">
        <v>3603</v>
      </c>
      <c r="I193" t="s">
        <v>4740</v>
      </c>
      <c r="J193" t="s">
        <v>5320</v>
      </c>
      <c r="K193">
        <v>11213</v>
      </c>
      <c r="L193" t="s">
        <v>5355</v>
      </c>
      <c r="M193" t="s">
        <v>5356</v>
      </c>
      <c r="O193" t="s">
        <v>6500</v>
      </c>
      <c r="P193" t="s">
        <v>6524</v>
      </c>
      <c r="Q193" t="s">
        <v>6531</v>
      </c>
      <c r="R193" t="s">
        <v>6539</v>
      </c>
      <c r="S193" t="s">
        <v>5355</v>
      </c>
      <c r="U193" t="s">
        <v>6557</v>
      </c>
      <c r="W193" t="s">
        <v>256</v>
      </c>
      <c r="X193">
        <v>874.4</v>
      </c>
      <c r="Y193" t="s">
        <v>6605</v>
      </c>
      <c r="Z193" t="s">
        <v>6622</v>
      </c>
      <c r="AA193" t="s">
        <v>6631</v>
      </c>
      <c r="AB193" t="s">
        <v>6843</v>
      </c>
      <c r="AC193" t="s">
        <v>8734</v>
      </c>
      <c r="AD193" t="s">
        <v>9267</v>
      </c>
      <c r="AE193">
        <v>27</v>
      </c>
      <c r="AF193" t="s">
        <v>11005</v>
      </c>
      <c r="AH193">
        <v>20</v>
      </c>
      <c r="AI193">
        <v>2</v>
      </c>
      <c r="AJ193">
        <v>2</v>
      </c>
      <c r="AK193">
        <v>104.41</v>
      </c>
      <c r="AN193" t="s">
        <v>11050</v>
      </c>
      <c r="AO193">
        <v>26208</v>
      </c>
      <c r="AU193">
        <v>0.6</v>
      </c>
      <c r="AV193" t="s">
        <v>723</v>
      </c>
      <c r="AW193" t="s">
        <v>11512</v>
      </c>
    </row>
    <row r="194" spans="1:49">
      <c r="A194" s="1">
        <f>HYPERLINK("https://cms.ls-nyc.org/matter/dynamic-profile/view/1867565","18-1867565")</f>
        <v>0</v>
      </c>
      <c r="B194" t="s">
        <v>58</v>
      </c>
      <c r="C194" t="s">
        <v>234</v>
      </c>
      <c r="D194" t="s">
        <v>317</v>
      </c>
      <c r="E194" t="s">
        <v>670</v>
      </c>
      <c r="F194" t="s">
        <v>855</v>
      </c>
      <c r="G194" t="s">
        <v>1578</v>
      </c>
      <c r="H194" t="s">
        <v>3604</v>
      </c>
      <c r="I194" t="s">
        <v>4833</v>
      </c>
      <c r="J194" t="s">
        <v>5321</v>
      </c>
      <c r="K194">
        <v>10459</v>
      </c>
      <c r="L194" t="s">
        <v>5355</v>
      </c>
      <c r="M194" t="s">
        <v>5356</v>
      </c>
      <c r="N194" t="s">
        <v>5438</v>
      </c>
      <c r="O194" t="s">
        <v>6496</v>
      </c>
      <c r="P194" t="s">
        <v>6524</v>
      </c>
      <c r="Q194" t="s">
        <v>6531</v>
      </c>
      <c r="R194" t="s">
        <v>6539</v>
      </c>
      <c r="U194" t="s">
        <v>6557</v>
      </c>
      <c r="W194" t="s">
        <v>516</v>
      </c>
      <c r="X194">
        <v>1400</v>
      </c>
      <c r="Y194" t="s">
        <v>6606</v>
      </c>
      <c r="Z194" t="s">
        <v>6614</v>
      </c>
      <c r="AA194" t="s">
        <v>6631</v>
      </c>
      <c r="AB194" t="s">
        <v>6844</v>
      </c>
      <c r="AD194" t="s">
        <v>9268</v>
      </c>
      <c r="AE194">
        <v>30</v>
      </c>
      <c r="AF194" t="s">
        <v>11005</v>
      </c>
      <c r="AG194" t="s">
        <v>11020</v>
      </c>
      <c r="AH194">
        <v>10</v>
      </c>
      <c r="AI194">
        <v>1</v>
      </c>
      <c r="AJ194">
        <v>0</v>
      </c>
      <c r="AK194">
        <v>105.17</v>
      </c>
      <c r="AN194" t="s">
        <v>11050</v>
      </c>
      <c r="AO194">
        <v>12768</v>
      </c>
      <c r="AU194">
        <v>2</v>
      </c>
      <c r="AV194" t="s">
        <v>299</v>
      </c>
      <c r="AW194" t="s">
        <v>11518</v>
      </c>
    </row>
    <row r="195" spans="1:49">
      <c r="A195" s="1">
        <f>HYPERLINK("https://cms.ls-nyc.org/matter/dynamic-profile/view/1855243","18-1855243")</f>
        <v>0</v>
      </c>
      <c r="B195" t="s">
        <v>52</v>
      </c>
      <c r="C195" t="s">
        <v>234</v>
      </c>
      <c r="D195" t="s">
        <v>351</v>
      </c>
      <c r="E195" t="s">
        <v>724</v>
      </c>
      <c r="F195" t="s">
        <v>1008</v>
      </c>
      <c r="G195" t="s">
        <v>2260</v>
      </c>
      <c r="H195" t="s">
        <v>3605</v>
      </c>
      <c r="I195" t="s">
        <v>4834</v>
      </c>
      <c r="J195" t="s">
        <v>5324</v>
      </c>
      <c r="K195">
        <v>11355</v>
      </c>
      <c r="L195" t="s">
        <v>5355</v>
      </c>
      <c r="M195" t="s">
        <v>5355</v>
      </c>
      <c r="N195" t="s">
        <v>5392</v>
      </c>
      <c r="O195" t="s">
        <v>6496</v>
      </c>
      <c r="P195" t="s">
        <v>6524</v>
      </c>
      <c r="Q195" t="s">
        <v>6531</v>
      </c>
      <c r="R195" t="s">
        <v>6539</v>
      </c>
      <c r="S195" t="s">
        <v>5357</v>
      </c>
      <c r="U195" t="s">
        <v>6557</v>
      </c>
      <c r="V195" t="s">
        <v>6566</v>
      </c>
      <c r="W195" t="s">
        <v>351</v>
      </c>
      <c r="X195">
        <v>1200</v>
      </c>
      <c r="Y195" t="s">
        <v>6604</v>
      </c>
      <c r="Z195" t="s">
        <v>6620</v>
      </c>
      <c r="AA195" t="s">
        <v>6631</v>
      </c>
      <c r="AB195" t="s">
        <v>6845</v>
      </c>
      <c r="AC195" t="s">
        <v>5392</v>
      </c>
      <c r="AD195" t="s">
        <v>9269</v>
      </c>
      <c r="AE195">
        <v>284</v>
      </c>
      <c r="AF195" t="s">
        <v>8722</v>
      </c>
      <c r="AG195" t="s">
        <v>5406</v>
      </c>
      <c r="AH195">
        <v>6</v>
      </c>
      <c r="AI195">
        <v>2</v>
      </c>
      <c r="AJ195">
        <v>0</v>
      </c>
      <c r="AK195">
        <v>105.64</v>
      </c>
      <c r="AN195" t="s">
        <v>11053</v>
      </c>
      <c r="AO195">
        <v>17156</v>
      </c>
      <c r="AU195">
        <v>1.93</v>
      </c>
      <c r="AV195" t="s">
        <v>724</v>
      </c>
      <c r="AW195" t="s">
        <v>52</v>
      </c>
    </row>
    <row r="196" spans="1:49">
      <c r="A196" s="1">
        <f>HYPERLINK("https://cms.ls-nyc.org/matter/dynamic-profile/view/1853339","17-1853339")</f>
        <v>0</v>
      </c>
      <c r="B196" t="s">
        <v>71</v>
      </c>
      <c r="C196" t="s">
        <v>234</v>
      </c>
      <c r="D196" t="s">
        <v>289</v>
      </c>
      <c r="E196" t="s">
        <v>684</v>
      </c>
      <c r="F196" t="s">
        <v>1009</v>
      </c>
      <c r="G196" t="s">
        <v>2261</v>
      </c>
      <c r="H196" t="s">
        <v>3606</v>
      </c>
      <c r="I196" t="s">
        <v>4835</v>
      </c>
      <c r="J196" t="s">
        <v>5321</v>
      </c>
      <c r="K196">
        <v>10453</v>
      </c>
      <c r="L196" t="s">
        <v>5355</v>
      </c>
      <c r="M196" t="s">
        <v>5356</v>
      </c>
      <c r="O196" t="s">
        <v>5393</v>
      </c>
      <c r="P196" t="s">
        <v>6524</v>
      </c>
      <c r="Q196" t="s">
        <v>6531</v>
      </c>
      <c r="R196" t="s">
        <v>6539</v>
      </c>
      <c r="S196" t="s">
        <v>5357</v>
      </c>
      <c r="U196" t="s">
        <v>6557</v>
      </c>
      <c r="W196" t="s">
        <v>351</v>
      </c>
      <c r="X196">
        <v>868</v>
      </c>
      <c r="Y196" t="s">
        <v>6606</v>
      </c>
      <c r="Z196" t="s">
        <v>6612</v>
      </c>
      <c r="AA196" t="s">
        <v>6631</v>
      </c>
      <c r="AB196" t="s">
        <v>6846</v>
      </c>
      <c r="AD196" t="s">
        <v>9270</v>
      </c>
      <c r="AE196">
        <v>21</v>
      </c>
      <c r="AF196" t="s">
        <v>11005</v>
      </c>
      <c r="AG196" t="s">
        <v>5406</v>
      </c>
      <c r="AH196">
        <v>0</v>
      </c>
      <c r="AI196">
        <v>3</v>
      </c>
      <c r="AJ196">
        <v>1</v>
      </c>
      <c r="AK196">
        <v>105.69</v>
      </c>
      <c r="AN196" t="s">
        <v>11049</v>
      </c>
      <c r="AO196">
        <v>26000</v>
      </c>
      <c r="AU196">
        <v>0.1</v>
      </c>
      <c r="AV196" t="s">
        <v>684</v>
      </c>
      <c r="AW196" t="s">
        <v>11523</v>
      </c>
    </row>
    <row r="197" spans="1:49">
      <c r="A197" s="1">
        <f>HYPERLINK("https://cms.ls-nyc.org/matter/dynamic-profile/view/1840099","17-1840099")</f>
        <v>0</v>
      </c>
      <c r="B197" t="s">
        <v>92</v>
      </c>
      <c r="C197" t="s">
        <v>234</v>
      </c>
      <c r="D197" t="s">
        <v>359</v>
      </c>
      <c r="E197" t="s">
        <v>725</v>
      </c>
      <c r="F197" t="s">
        <v>838</v>
      </c>
      <c r="G197" t="s">
        <v>2262</v>
      </c>
      <c r="H197" t="s">
        <v>3575</v>
      </c>
      <c r="I197">
        <v>54</v>
      </c>
      <c r="J197" t="s">
        <v>5323</v>
      </c>
      <c r="K197">
        <v>10040</v>
      </c>
      <c r="L197" t="s">
        <v>5355</v>
      </c>
      <c r="M197" t="s">
        <v>5356</v>
      </c>
      <c r="N197" t="s">
        <v>5439</v>
      </c>
      <c r="O197" t="s">
        <v>6494</v>
      </c>
      <c r="P197" t="s">
        <v>6524</v>
      </c>
      <c r="Q197" t="s">
        <v>6531</v>
      </c>
      <c r="R197" t="s">
        <v>6539</v>
      </c>
      <c r="S197" t="s">
        <v>5355</v>
      </c>
      <c r="U197" t="s">
        <v>6557</v>
      </c>
      <c r="W197" t="s">
        <v>460</v>
      </c>
      <c r="X197">
        <v>1295</v>
      </c>
      <c r="Y197" t="s">
        <v>6608</v>
      </c>
      <c r="Z197" t="s">
        <v>6622</v>
      </c>
      <c r="AA197" t="s">
        <v>6631</v>
      </c>
      <c r="AB197" t="s">
        <v>6847</v>
      </c>
      <c r="AD197" t="s">
        <v>9271</v>
      </c>
      <c r="AE197">
        <v>45</v>
      </c>
      <c r="AF197" t="s">
        <v>11005</v>
      </c>
      <c r="AG197" t="s">
        <v>5406</v>
      </c>
      <c r="AH197">
        <v>6</v>
      </c>
      <c r="AI197">
        <v>2</v>
      </c>
      <c r="AJ197">
        <v>2</v>
      </c>
      <c r="AK197">
        <v>105.69</v>
      </c>
      <c r="AL197" t="s">
        <v>301</v>
      </c>
      <c r="AN197" t="s">
        <v>11049</v>
      </c>
      <c r="AO197">
        <v>26000</v>
      </c>
      <c r="AU197">
        <v>1</v>
      </c>
      <c r="AV197" t="s">
        <v>323</v>
      </c>
      <c r="AW197" t="s">
        <v>11495</v>
      </c>
    </row>
    <row r="198" spans="1:49">
      <c r="A198" s="1">
        <f>HYPERLINK("https://cms.ls-nyc.org/matter/dynamic-profile/view/1870029","18-1870029")</f>
        <v>0</v>
      </c>
      <c r="B198" t="s">
        <v>69</v>
      </c>
      <c r="C198" t="s">
        <v>234</v>
      </c>
      <c r="D198" t="s">
        <v>307</v>
      </c>
      <c r="E198" t="s">
        <v>679</v>
      </c>
      <c r="F198" t="s">
        <v>1010</v>
      </c>
      <c r="G198" t="s">
        <v>2263</v>
      </c>
      <c r="H198" t="s">
        <v>3607</v>
      </c>
      <c r="I198" t="s">
        <v>4836</v>
      </c>
      <c r="J198" t="s">
        <v>5321</v>
      </c>
      <c r="K198">
        <v>10468</v>
      </c>
      <c r="L198" t="s">
        <v>5355</v>
      </c>
      <c r="M198" t="s">
        <v>5356</v>
      </c>
      <c r="O198" t="s">
        <v>6496</v>
      </c>
      <c r="P198" t="s">
        <v>6524</v>
      </c>
      <c r="Q198" t="s">
        <v>6532</v>
      </c>
      <c r="R198" t="s">
        <v>6539</v>
      </c>
      <c r="U198" t="s">
        <v>6557</v>
      </c>
      <c r="W198" t="s">
        <v>516</v>
      </c>
      <c r="X198">
        <v>1350</v>
      </c>
      <c r="Y198" t="s">
        <v>6606</v>
      </c>
      <c r="Z198" t="s">
        <v>6612</v>
      </c>
      <c r="AA198" t="s">
        <v>6631</v>
      </c>
      <c r="AB198" t="s">
        <v>6848</v>
      </c>
      <c r="AE198">
        <v>0</v>
      </c>
      <c r="AF198" t="s">
        <v>11012</v>
      </c>
      <c r="AG198" t="s">
        <v>5406</v>
      </c>
      <c r="AH198">
        <v>3</v>
      </c>
      <c r="AI198">
        <v>2</v>
      </c>
      <c r="AJ198">
        <v>1</v>
      </c>
      <c r="AK198">
        <v>106.26</v>
      </c>
      <c r="AN198" t="s">
        <v>11049</v>
      </c>
      <c r="AO198">
        <v>22080</v>
      </c>
      <c r="AU198">
        <v>1.1</v>
      </c>
      <c r="AV198" t="s">
        <v>255</v>
      </c>
      <c r="AW198" t="s">
        <v>69</v>
      </c>
    </row>
    <row r="199" spans="1:49">
      <c r="A199" s="1">
        <f>HYPERLINK("https://cms.ls-nyc.org/matter/dynamic-profile/view/1855620","18-1855620")</f>
        <v>0</v>
      </c>
      <c r="B199" t="s">
        <v>69</v>
      </c>
      <c r="C199" t="s">
        <v>234</v>
      </c>
      <c r="D199" t="s">
        <v>281</v>
      </c>
      <c r="E199" t="s">
        <v>710</v>
      </c>
      <c r="F199" t="s">
        <v>966</v>
      </c>
      <c r="G199" t="s">
        <v>2264</v>
      </c>
      <c r="H199" t="s">
        <v>3608</v>
      </c>
      <c r="I199" t="s">
        <v>4772</v>
      </c>
      <c r="J199" t="s">
        <v>5321</v>
      </c>
      <c r="K199">
        <v>10455</v>
      </c>
      <c r="L199" t="s">
        <v>5355</v>
      </c>
      <c r="M199" t="s">
        <v>5356</v>
      </c>
      <c r="O199" t="s">
        <v>6496</v>
      </c>
      <c r="P199" t="s">
        <v>6524</v>
      </c>
      <c r="Q199" t="s">
        <v>6531</v>
      </c>
      <c r="R199" t="s">
        <v>6539</v>
      </c>
      <c r="S199" t="s">
        <v>5357</v>
      </c>
      <c r="T199" t="s">
        <v>6539</v>
      </c>
      <c r="U199" t="s">
        <v>6557</v>
      </c>
      <c r="W199" t="s">
        <v>424</v>
      </c>
      <c r="X199">
        <v>1310.98</v>
      </c>
      <c r="Y199" t="s">
        <v>6606</v>
      </c>
      <c r="Z199" t="s">
        <v>6612</v>
      </c>
      <c r="AA199" t="s">
        <v>6631</v>
      </c>
      <c r="AB199" t="s">
        <v>6849</v>
      </c>
      <c r="AD199" t="s">
        <v>9272</v>
      </c>
      <c r="AE199">
        <v>0</v>
      </c>
      <c r="AF199" t="s">
        <v>8722</v>
      </c>
      <c r="AG199" t="s">
        <v>11026</v>
      </c>
      <c r="AH199">
        <v>1</v>
      </c>
      <c r="AI199">
        <v>1</v>
      </c>
      <c r="AJ199">
        <v>0</v>
      </c>
      <c r="AK199">
        <v>107.16</v>
      </c>
      <c r="AN199" t="s">
        <v>11050</v>
      </c>
      <c r="AO199">
        <v>12924</v>
      </c>
      <c r="AU199">
        <v>1</v>
      </c>
      <c r="AV199" t="s">
        <v>263</v>
      </c>
      <c r="AW199" t="s">
        <v>11492</v>
      </c>
    </row>
    <row r="200" spans="1:49">
      <c r="A200" s="1">
        <f>HYPERLINK("https://cms.ls-nyc.org/matter/dynamic-profile/view/1855008","18-1855008")</f>
        <v>0</v>
      </c>
      <c r="B200" t="s">
        <v>66</v>
      </c>
      <c r="C200" t="s">
        <v>234</v>
      </c>
      <c r="D200" t="s">
        <v>302</v>
      </c>
      <c r="E200" t="s">
        <v>437</v>
      </c>
      <c r="F200" t="s">
        <v>1011</v>
      </c>
      <c r="G200" t="s">
        <v>1484</v>
      </c>
      <c r="H200" t="s">
        <v>3609</v>
      </c>
      <c r="I200">
        <v>53</v>
      </c>
      <c r="J200" t="s">
        <v>5323</v>
      </c>
      <c r="K200">
        <v>10031</v>
      </c>
      <c r="L200" t="s">
        <v>5355</v>
      </c>
      <c r="M200" t="s">
        <v>5356</v>
      </c>
      <c r="O200" t="s">
        <v>5393</v>
      </c>
      <c r="P200" t="s">
        <v>6524</v>
      </c>
      <c r="Q200" t="s">
        <v>6531</v>
      </c>
      <c r="R200" t="s">
        <v>6539</v>
      </c>
      <c r="S200" t="s">
        <v>5357</v>
      </c>
      <c r="U200" t="s">
        <v>6557</v>
      </c>
      <c r="W200" t="s">
        <v>298</v>
      </c>
      <c r="X200">
        <v>1060</v>
      </c>
      <c r="Y200" t="s">
        <v>6608</v>
      </c>
      <c r="AA200" t="s">
        <v>6631</v>
      </c>
      <c r="AB200" t="s">
        <v>6850</v>
      </c>
      <c r="AD200" t="s">
        <v>9273</v>
      </c>
      <c r="AE200">
        <v>0</v>
      </c>
      <c r="AF200" t="s">
        <v>11008</v>
      </c>
      <c r="AH200">
        <v>10</v>
      </c>
      <c r="AI200">
        <v>1</v>
      </c>
      <c r="AJ200">
        <v>0</v>
      </c>
      <c r="AK200">
        <v>108.46</v>
      </c>
      <c r="AN200" t="s">
        <v>11050</v>
      </c>
      <c r="AO200">
        <v>13080</v>
      </c>
      <c r="AU200">
        <v>0.5</v>
      </c>
      <c r="AV200" t="s">
        <v>437</v>
      </c>
      <c r="AW200" t="s">
        <v>11521</v>
      </c>
    </row>
    <row r="201" spans="1:49">
      <c r="A201" s="1">
        <f>HYPERLINK("https://cms.ls-nyc.org/matter/dynamic-profile/view/1868746","18-1868746")</f>
        <v>0</v>
      </c>
      <c r="B201" t="s">
        <v>59</v>
      </c>
      <c r="C201" t="s">
        <v>234</v>
      </c>
      <c r="D201" t="s">
        <v>318</v>
      </c>
      <c r="E201" t="s">
        <v>427</v>
      </c>
      <c r="F201" t="s">
        <v>855</v>
      </c>
      <c r="G201" t="s">
        <v>2265</v>
      </c>
      <c r="H201" t="s">
        <v>3610</v>
      </c>
      <c r="I201" t="s">
        <v>4837</v>
      </c>
      <c r="J201" t="s">
        <v>5321</v>
      </c>
      <c r="K201">
        <v>10462</v>
      </c>
      <c r="L201" t="s">
        <v>5355</v>
      </c>
      <c r="M201" t="s">
        <v>5356</v>
      </c>
      <c r="O201" t="s">
        <v>5393</v>
      </c>
      <c r="P201" t="s">
        <v>6524</v>
      </c>
      <c r="Q201" t="s">
        <v>6531</v>
      </c>
      <c r="R201" t="s">
        <v>6539</v>
      </c>
      <c r="S201" t="s">
        <v>5357</v>
      </c>
      <c r="U201" t="s">
        <v>6557</v>
      </c>
      <c r="W201" t="s">
        <v>516</v>
      </c>
      <c r="X201">
        <v>0</v>
      </c>
      <c r="Y201" t="s">
        <v>6606</v>
      </c>
      <c r="Z201" t="s">
        <v>6612</v>
      </c>
      <c r="AA201" t="s">
        <v>6631</v>
      </c>
      <c r="AB201" t="s">
        <v>6851</v>
      </c>
      <c r="AE201">
        <v>0</v>
      </c>
      <c r="AF201" t="s">
        <v>11009</v>
      </c>
      <c r="AG201" t="s">
        <v>11020</v>
      </c>
      <c r="AH201">
        <v>18</v>
      </c>
      <c r="AI201">
        <v>2</v>
      </c>
      <c r="AJ201">
        <v>0</v>
      </c>
      <c r="AK201">
        <v>109.36</v>
      </c>
      <c r="AN201" t="s">
        <v>11050</v>
      </c>
      <c r="AO201">
        <v>18000</v>
      </c>
      <c r="AU201">
        <v>2.7</v>
      </c>
      <c r="AV201" t="s">
        <v>427</v>
      </c>
      <c r="AW201" t="s">
        <v>59</v>
      </c>
    </row>
    <row r="202" spans="1:49">
      <c r="A202" s="1">
        <f>HYPERLINK("https://cms.ls-nyc.org/matter/dynamic-profile/view/1869202","18-1869202")</f>
        <v>0</v>
      </c>
      <c r="B202" t="s">
        <v>52</v>
      </c>
      <c r="C202" t="s">
        <v>234</v>
      </c>
      <c r="D202" t="s">
        <v>252</v>
      </c>
      <c r="E202" t="s">
        <v>688</v>
      </c>
      <c r="F202" t="s">
        <v>1012</v>
      </c>
      <c r="G202" t="s">
        <v>2266</v>
      </c>
      <c r="H202" t="s">
        <v>3611</v>
      </c>
      <c r="I202" t="s">
        <v>4838</v>
      </c>
      <c r="J202" t="s">
        <v>5333</v>
      </c>
      <c r="K202">
        <v>11374</v>
      </c>
      <c r="L202" t="s">
        <v>5355</v>
      </c>
      <c r="M202" t="s">
        <v>5355</v>
      </c>
      <c r="N202" t="s">
        <v>5359</v>
      </c>
      <c r="O202" t="s">
        <v>5393</v>
      </c>
      <c r="P202" t="s">
        <v>6524</v>
      </c>
      <c r="Q202" t="s">
        <v>6531</v>
      </c>
      <c r="R202" t="s">
        <v>6540</v>
      </c>
      <c r="S202" t="s">
        <v>5357</v>
      </c>
      <c r="U202" t="s">
        <v>6557</v>
      </c>
      <c r="V202" t="s">
        <v>6566</v>
      </c>
      <c r="W202" t="s">
        <v>252</v>
      </c>
      <c r="X202">
        <v>1700</v>
      </c>
      <c r="Y202" t="s">
        <v>6604</v>
      </c>
      <c r="Z202" t="s">
        <v>6610</v>
      </c>
      <c r="AA202" t="s">
        <v>6631</v>
      </c>
      <c r="AB202" t="s">
        <v>6852</v>
      </c>
      <c r="AD202" t="s">
        <v>9274</v>
      </c>
      <c r="AE202">
        <v>146</v>
      </c>
      <c r="AF202" t="s">
        <v>11012</v>
      </c>
      <c r="AG202" t="s">
        <v>5406</v>
      </c>
      <c r="AH202">
        <v>1</v>
      </c>
      <c r="AI202">
        <v>1</v>
      </c>
      <c r="AJ202">
        <v>1</v>
      </c>
      <c r="AK202">
        <v>110.57</v>
      </c>
      <c r="AL202" t="s">
        <v>11028</v>
      </c>
      <c r="AN202" t="s">
        <v>6493</v>
      </c>
      <c r="AO202">
        <v>18200</v>
      </c>
      <c r="AU202">
        <v>2.78</v>
      </c>
      <c r="AV202" t="s">
        <v>688</v>
      </c>
      <c r="AW202" t="s">
        <v>52</v>
      </c>
    </row>
    <row r="203" spans="1:49">
      <c r="A203" s="1">
        <f>HYPERLINK("https://cms.ls-nyc.org/matter/dynamic-profile/view/1859777","18-1859777")</f>
        <v>0</v>
      </c>
      <c r="B203" t="s">
        <v>84</v>
      </c>
      <c r="C203" t="s">
        <v>235</v>
      </c>
      <c r="D203" t="s">
        <v>360</v>
      </c>
      <c r="F203" t="s">
        <v>1013</v>
      </c>
      <c r="G203" t="s">
        <v>2117</v>
      </c>
      <c r="H203" t="s">
        <v>3612</v>
      </c>
      <c r="I203" t="s">
        <v>4743</v>
      </c>
      <c r="J203" t="s">
        <v>5320</v>
      </c>
      <c r="K203">
        <v>11219</v>
      </c>
      <c r="L203" t="s">
        <v>5357</v>
      </c>
      <c r="M203" t="s">
        <v>5356</v>
      </c>
      <c r="O203" t="s">
        <v>6494</v>
      </c>
      <c r="P203" t="s">
        <v>6524</v>
      </c>
      <c r="R203" t="s">
        <v>6539</v>
      </c>
      <c r="S203" t="s">
        <v>5357</v>
      </c>
      <c r="U203" t="s">
        <v>6557</v>
      </c>
      <c r="W203" t="s">
        <v>262</v>
      </c>
      <c r="X203">
        <v>1500</v>
      </c>
      <c r="Y203" t="s">
        <v>6605</v>
      </c>
      <c r="Z203" t="s">
        <v>6623</v>
      </c>
      <c r="AB203" t="s">
        <v>6853</v>
      </c>
      <c r="AD203" t="s">
        <v>9275</v>
      </c>
      <c r="AE203">
        <v>3</v>
      </c>
      <c r="AF203" t="s">
        <v>8722</v>
      </c>
      <c r="AG203" t="s">
        <v>5406</v>
      </c>
      <c r="AH203">
        <v>4</v>
      </c>
      <c r="AI203">
        <v>2</v>
      </c>
      <c r="AJ203">
        <v>0</v>
      </c>
      <c r="AK203">
        <v>110.84</v>
      </c>
      <c r="AN203" t="s">
        <v>11053</v>
      </c>
      <c r="AO203">
        <v>18000</v>
      </c>
      <c r="AU203">
        <v>1.7</v>
      </c>
      <c r="AV203" t="s">
        <v>257</v>
      </c>
      <c r="AW203" t="s">
        <v>11507</v>
      </c>
    </row>
    <row r="204" spans="1:49">
      <c r="A204" s="1">
        <f>HYPERLINK("https://cms.ls-nyc.org/matter/dynamic-profile/view/1864700","18-1864700")</f>
        <v>0</v>
      </c>
      <c r="B204" t="s">
        <v>58</v>
      </c>
      <c r="C204" t="s">
        <v>234</v>
      </c>
      <c r="D204" t="s">
        <v>361</v>
      </c>
      <c r="E204" t="s">
        <v>402</v>
      </c>
      <c r="F204" t="s">
        <v>1014</v>
      </c>
      <c r="G204" t="s">
        <v>1742</v>
      </c>
      <c r="H204" t="s">
        <v>3613</v>
      </c>
      <c r="I204" t="s">
        <v>4839</v>
      </c>
      <c r="J204" t="s">
        <v>5321</v>
      </c>
      <c r="K204">
        <v>10455</v>
      </c>
      <c r="L204" t="s">
        <v>5355</v>
      </c>
      <c r="M204" t="s">
        <v>5356</v>
      </c>
      <c r="O204" t="s">
        <v>6494</v>
      </c>
      <c r="P204" t="s">
        <v>6524</v>
      </c>
      <c r="Q204" t="s">
        <v>6531</v>
      </c>
      <c r="R204" t="s">
        <v>6539</v>
      </c>
      <c r="S204" t="s">
        <v>5357</v>
      </c>
      <c r="T204" t="s">
        <v>6539</v>
      </c>
      <c r="U204" t="s">
        <v>6557</v>
      </c>
      <c r="W204" t="s">
        <v>375</v>
      </c>
      <c r="X204">
        <v>1200</v>
      </c>
      <c r="Y204" t="s">
        <v>6606</v>
      </c>
      <c r="Z204" t="s">
        <v>6613</v>
      </c>
      <c r="AA204" t="s">
        <v>6631</v>
      </c>
      <c r="AB204" t="s">
        <v>6854</v>
      </c>
      <c r="AD204" t="s">
        <v>9276</v>
      </c>
      <c r="AE204">
        <v>180</v>
      </c>
      <c r="AF204" t="s">
        <v>8722</v>
      </c>
      <c r="AG204" t="s">
        <v>11020</v>
      </c>
      <c r="AH204">
        <v>5</v>
      </c>
      <c r="AI204">
        <v>2</v>
      </c>
      <c r="AJ204">
        <v>0</v>
      </c>
      <c r="AK204">
        <v>111.83</v>
      </c>
      <c r="AN204" t="s">
        <v>11049</v>
      </c>
      <c r="AO204">
        <v>18408</v>
      </c>
      <c r="AU204">
        <v>1.76</v>
      </c>
      <c r="AV204" t="s">
        <v>318</v>
      </c>
      <c r="AW204" t="s">
        <v>11513</v>
      </c>
    </row>
    <row r="205" spans="1:49">
      <c r="A205" s="1">
        <f>HYPERLINK("https://cms.ls-nyc.org/matter/dynamic-profile/view/1866180","18-1866180")</f>
        <v>0</v>
      </c>
      <c r="B205" t="s">
        <v>118</v>
      </c>
      <c r="C205" t="s">
        <v>234</v>
      </c>
      <c r="D205" t="s">
        <v>274</v>
      </c>
      <c r="E205" t="s">
        <v>670</v>
      </c>
      <c r="F205" t="s">
        <v>1015</v>
      </c>
      <c r="G205" t="s">
        <v>2267</v>
      </c>
      <c r="H205" t="s">
        <v>3614</v>
      </c>
      <c r="I205" t="s">
        <v>4837</v>
      </c>
      <c r="J205" t="s">
        <v>5321</v>
      </c>
      <c r="K205">
        <v>10457</v>
      </c>
      <c r="L205" t="s">
        <v>5355</v>
      </c>
      <c r="M205" t="s">
        <v>5356</v>
      </c>
      <c r="O205" t="s">
        <v>6491</v>
      </c>
      <c r="P205" t="s">
        <v>6524</v>
      </c>
      <c r="Q205" t="s">
        <v>6531</v>
      </c>
      <c r="R205" t="s">
        <v>6539</v>
      </c>
      <c r="U205" t="s">
        <v>6557</v>
      </c>
      <c r="W205" t="s">
        <v>516</v>
      </c>
      <c r="X205">
        <v>1075</v>
      </c>
      <c r="Y205" t="s">
        <v>6606</v>
      </c>
      <c r="Z205" t="s">
        <v>6614</v>
      </c>
      <c r="AA205" t="s">
        <v>6631</v>
      </c>
      <c r="AB205" t="s">
        <v>6855</v>
      </c>
      <c r="AD205" t="s">
        <v>9277</v>
      </c>
      <c r="AE205">
        <v>0</v>
      </c>
      <c r="AF205" t="s">
        <v>11005</v>
      </c>
      <c r="AG205" t="s">
        <v>5406</v>
      </c>
      <c r="AH205">
        <v>2</v>
      </c>
      <c r="AI205">
        <v>2</v>
      </c>
      <c r="AJ205">
        <v>1</v>
      </c>
      <c r="AK205">
        <v>112.18</v>
      </c>
      <c r="AN205" t="s">
        <v>11050</v>
      </c>
      <c r="AO205">
        <v>23312</v>
      </c>
      <c r="AU205">
        <v>4.7</v>
      </c>
      <c r="AV205" t="s">
        <v>320</v>
      </c>
      <c r="AW205" t="s">
        <v>11491</v>
      </c>
    </row>
    <row r="206" spans="1:49">
      <c r="A206" s="1">
        <f>HYPERLINK("https://cms.ls-nyc.org/matter/dynamic-profile/view/1864976","18-1864976")</f>
        <v>0</v>
      </c>
      <c r="B206" t="s">
        <v>61</v>
      </c>
      <c r="C206" t="s">
        <v>234</v>
      </c>
      <c r="D206" t="s">
        <v>250</v>
      </c>
      <c r="E206" t="s">
        <v>673</v>
      </c>
      <c r="F206" t="s">
        <v>1016</v>
      </c>
      <c r="G206" t="s">
        <v>2268</v>
      </c>
      <c r="H206" t="s">
        <v>3615</v>
      </c>
      <c r="I206" t="s">
        <v>4840</v>
      </c>
      <c r="J206" t="s">
        <v>5321</v>
      </c>
      <c r="K206">
        <v>10452</v>
      </c>
      <c r="L206" t="s">
        <v>5355</v>
      </c>
      <c r="M206" t="s">
        <v>5356</v>
      </c>
      <c r="O206" t="s">
        <v>6492</v>
      </c>
      <c r="P206" t="s">
        <v>6524</v>
      </c>
      <c r="Q206" t="s">
        <v>6531</v>
      </c>
      <c r="R206" t="s">
        <v>6539</v>
      </c>
      <c r="S206" t="s">
        <v>5357</v>
      </c>
      <c r="U206" t="s">
        <v>6557</v>
      </c>
      <c r="W206" t="s">
        <v>326</v>
      </c>
      <c r="X206">
        <v>1586.39</v>
      </c>
      <c r="Y206" t="s">
        <v>6606</v>
      </c>
      <c r="Z206" t="s">
        <v>6612</v>
      </c>
      <c r="AA206" t="s">
        <v>6631</v>
      </c>
      <c r="AB206" t="s">
        <v>6856</v>
      </c>
      <c r="AD206" t="s">
        <v>9278</v>
      </c>
      <c r="AE206">
        <v>0</v>
      </c>
      <c r="AF206" t="s">
        <v>11005</v>
      </c>
      <c r="AG206" t="s">
        <v>5406</v>
      </c>
      <c r="AH206">
        <v>11</v>
      </c>
      <c r="AI206">
        <v>2</v>
      </c>
      <c r="AJ206">
        <v>3</v>
      </c>
      <c r="AK206">
        <v>116.66</v>
      </c>
      <c r="AN206" t="s">
        <v>6493</v>
      </c>
      <c r="AO206">
        <v>34320</v>
      </c>
      <c r="AP206" t="s">
        <v>11075</v>
      </c>
      <c r="AU206">
        <v>0.1</v>
      </c>
      <c r="AV206" t="s">
        <v>673</v>
      </c>
      <c r="AW206" t="s">
        <v>11492</v>
      </c>
    </row>
    <row r="207" spans="1:49">
      <c r="A207" s="1">
        <f>HYPERLINK("https://cms.ls-nyc.org/matter/dynamic-profile/view/1862322","18-1862322")</f>
        <v>0</v>
      </c>
      <c r="B207" t="s">
        <v>115</v>
      </c>
      <c r="C207" t="s">
        <v>234</v>
      </c>
      <c r="D207" t="s">
        <v>336</v>
      </c>
      <c r="E207" t="s">
        <v>720</v>
      </c>
      <c r="F207" t="s">
        <v>1017</v>
      </c>
      <c r="G207" t="s">
        <v>2269</v>
      </c>
      <c r="H207" t="s">
        <v>3616</v>
      </c>
      <c r="I207">
        <v>4</v>
      </c>
      <c r="J207" t="s">
        <v>5320</v>
      </c>
      <c r="K207">
        <v>11208</v>
      </c>
      <c r="L207" t="s">
        <v>5355</v>
      </c>
      <c r="M207" t="s">
        <v>5356</v>
      </c>
      <c r="N207" t="s">
        <v>5440</v>
      </c>
      <c r="O207" t="s">
        <v>6491</v>
      </c>
      <c r="P207" t="s">
        <v>6524</v>
      </c>
      <c r="Q207" t="s">
        <v>6531</v>
      </c>
      <c r="R207" t="s">
        <v>6539</v>
      </c>
      <c r="U207" t="s">
        <v>6557</v>
      </c>
      <c r="W207" t="s">
        <v>293</v>
      </c>
      <c r="X207">
        <v>1300</v>
      </c>
      <c r="Y207" t="s">
        <v>6605</v>
      </c>
      <c r="Z207" t="s">
        <v>6493</v>
      </c>
      <c r="AA207" t="s">
        <v>6631</v>
      </c>
      <c r="AB207" t="s">
        <v>6857</v>
      </c>
      <c r="AC207" t="s">
        <v>5406</v>
      </c>
      <c r="AD207" t="s">
        <v>9279</v>
      </c>
      <c r="AE207">
        <v>3</v>
      </c>
      <c r="AF207" t="s">
        <v>11005</v>
      </c>
      <c r="AG207" t="s">
        <v>5406</v>
      </c>
      <c r="AH207">
        <v>17</v>
      </c>
      <c r="AI207">
        <v>3</v>
      </c>
      <c r="AJ207">
        <v>1</v>
      </c>
      <c r="AK207">
        <v>117.47</v>
      </c>
      <c r="AN207" t="s">
        <v>11050</v>
      </c>
      <c r="AO207">
        <v>29484</v>
      </c>
      <c r="AU207">
        <v>2.6</v>
      </c>
      <c r="AV207" t="s">
        <v>242</v>
      </c>
      <c r="AW207" t="s">
        <v>11515</v>
      </c>
    </row>
    <row r="208" spans="1:49">
      <c r="A208" s="1">
        <f>HYPERLINK("https://cms.ls-nyc.org/matter/dynamic-profile/view/1864726","18-1864726")</f>
        <v>0</v>
      </c>
      <c r="B208" t="s">
        <v>106</v>
      </c>
      <c r="C208" t="s">
        <v>234</v>
      </c>
      <c r="D208" t="s">
        <v>361</v>
      </c>
      <c r="E208" t="s">
        <v>665</v>
      </c>
      <c r="F208" t="s">
        <v>1018</v>
      </c>
      <c r="G208" t="s">
        <v>2270</v>
      </c>
      <c r="H208" t="s">
        <v>3617</v>
      </c>
      <c r="I208" t="s">
        <v>4753</v>
      </c>
      <c r="J208" t="s">
        <v>5321</v>
      </c>
      <c r="K208">
        <v>10452</v>
      </c>
      <c r="L208" t="s">
        <v>5355</v>
      </c>
      <c r="M208" t="s">
        <v>5356</v>
      </c>
      <c r="N208" t="s">
        <v>5441</v>
      </c>
      <c r="O208" t="s">
        <v>6491</v>
      </c>
      <c r="P208" t="s">
        <v>6524</v>
      </c>
      <c r="Q208" t="s">
        <v>6531</v>
      </c>
      <c r="R208" t="s">
        <v>6539</v>
      </c>
      <c r="S208" t="s">
        <v>5357</v>
      </c>
      <c r="U208" t="s">
        <v>6557</v>
      </c>
      <c r="W208" t="s">
        <v>516</v>
      </c>
      <c r="X208">
        <v>780</v>
      </c>
      <c r="Y208" t="s">
        <v>6606</v>
      </c>
      <c r="Z208" t="s">
        <v>6613</v>
      </c>
      <c r="AA208" t="s">
        <v>6631</v>
      </c>
      <c r="AB208" t="s">
        <v>6858</v>
      </c>
      <c r="AC208" t="s">
        <v>8735</v>
      </c>
      <c r="AD208" t="s">
        <v>9280</v>
      </c>
      <c r="AE208">
        <v>49</v>
      </c>
      <c r="AF208" t="s">
        <v>11013</v>
      </c>
      <c r="AG208" t="s">
        <v>5406</v>
      </c>
      <c r="AH208">
        <v>1</v>
      </c>
      <c r="AI208">
        <v>1</v>
      </c>
      <c r="AJ208">
        <v>0</v>
      </c>
      <c r="AK208">
        <v>118.62</v>
      </c>
      <c r="AN208" t="s">
        <v>11050</v>
      </c>
      <c r="AO208">
        <v>14400</v>
      </c>
      <c r="AU208">
        <v>7.6</v>
      </c>
      <c r="AV208" t="s">
        <v>713</v>
      </c>
      <c r="AW208" t="s">
        <v>11513</v>
      </c>
    </row>
    <row r="209" spans="1:50">
      <c r="A209" s="1">
        <f>HYPERLINK("https://cms.ls-nyc.org/matter/dynamic-profile/view/1861644","18-1861644")</f>
        <v>0</v>
      </c>
      <c r="B209" t="s">
        <v>84</v>
      </c>
      <c r="C209" t="s">
        <v>235</v>
      </c>
      <c r="D209" t="s">
        <v>362</v>
      </c>
      <c r="F209" t="s">
        <v>969</v>
      </c>
      <c r="G209" t="s">
        <v>2271</v>
      </c>
      <c r="H209" t="s">
        <v>3618</v>
      </c>
      <c r="I209" t="s">
        <v>4778</v>
      </c>
      <c r="J209" t="s">
        <v>5320</v>
      </c>
      <c r="K209">
        <v>11212</v>
      </c>
      <c r="L209" t="s">
        <v>5357</v>
      </c>
      <c r="M209" t="s">
        <v>5356</v>
      </c>
      <c r="P209" t="s">
        <v>6524</v>
      </c>
      <c r="R209" t="s">
        <v>6539</v>
      </c>
      <c r="U209" t="s">
        <v>6557</v>
      </c>
      <c r="W209" t="s">
        <v>236</v>
      </c>
      <c r="X209">
        <v>1900</v>
      </c>
      <c r="Y209" t="s">
        <v>6605</v>
      </c>
      <c r="Z209" t="s">
        <v>6493</v>
      </c>
      <c r="AB209" t="s">
        <v>6859</v>
      </c>
      <c r="AD209" t="s">
        <v>9281</v>
      </c>
      <c r="AE209">
        <v>4</v>
      </c>
      <c r="AH209">
        <v>1</v>
      </c>
      <c r="AI209">
        <v>2</v>
      </c>
      <c r="AJ209">
        <v>3</v>
      </c>
      <c r="AK209">
        <v>118.97</v>
      </c>
      <c r="AN209" t="s">
        <v>11050</v>
      </c>
      <c r="AO209">
        <v>35000</v>
      </c>
      <c r="AU209">
        <v>1</v>
      </c>
      <c r="AV209" t="s">
        <v>362</v>
      </c>
      <c r="AW209" t="s">
        <v>11515</v>
      </c>
    </row>
    <row r="210" spans="1:50">
      <c r="A210" s="1">
        <f>HYPERLINK("https://cms.ls-nyc.org/matter/dynamic-profile/view/1850242","17-1850242")</f>
        <v>0</v>
      </c>
      <c r="B210" t="s">
        <v>64</v>
      </c>
      <c r="C210" t="s">
        <v>234</v>
      </c>
      <c r="D210" t="s">
        <v>363</v>
      </c>
      <c r="E210" t="s">
        <v>676</v>
      </c>
      <c r="F210" t="s">
        <v>1019</v>
      </c>
      <c r="G210" t="s">
        <v>2272</v>
      </c>
      <c r="H210" t="s">
        <v>3619</v>
      </c>
      <c r="I210" t="s">
        <v>4841</v>
      </c>
      <c r="J210" t="s">
        <v>5323</v>
      </c>
      <c r="K210">
        <v>10033</v>
      </c>
      <c r="L210" t="s">
        <v>5355</v>
      </c>
      <c r="M210" t="s">
        <v>5356</v>
      </c>
      <c r="N210" t="s">
        <v>5442</v>
      </c>
      <c r="O210" t="s">
        <v>6492</v>
      </c>
      <c r="P210" t="s">
        <v>6524</v>
      </c>
      <c r="Q210" t="s">
        <v>6531</v>
      </c>
      <c r="R210" t="s">
        <v>6539</v>
      </c>
      <c r="S210" t="s">
        <v>5357</v>
      </c>
      <c r="T210" t="s">
        <v>6542</v>
      </c>
      <c r="U210" t="s">
        <v>6557</v>
      </c>
      <c r="W210" t="s">
        <v>6575</v>
      </c>
      <c r="X210">
        <v>1800</v>
      </c>
      <c r="Y210" t="s">
        <v>6608</v>
      </c>
      <c r="Z210" t="s">
        <v>6615</v>
      </c>
      <c r="AA210" t="s">
        <v>6631</v>
      </c>
      <c r="AB210" t="s">
        <v>6860</v>
      </c>
      <c r="AD210" t="s">
        <v>9282</v>
      </c>
      <c r="AE210">
        <v>75</v>
      </c>
      <c r="AF210" t="s">
        <v>11014</v>
      </c>
      <c r="AG210" t="s">
        <v>11027</v>
      </c>
      <c r="AH210">
        <v>10</v>
      </c>
      <c r="AI210">
        <v>3</v>
      </c>
      <c r="AJ210">
        <v>0</v>
      </c>
      <c r="AK210">
        <v>120.86</v>
      </c>
      <c r="AM210" t="s">
        <v>11043</v>
      </c>
      <c r="AN210" t="s">
        <v>11049</v>
      </c>
      <c r="AO210">
        <v>24680</v>
      </c>
      <c r="AU210">
        <v>0.25</v>
      </c>
      <c r="AV210" t="s">
        <v>676</v>
      </c>
      <c r="AW210" t="s">
        <v>11521</v>
      </c>
    </row>
    <row r="211" spans="1:50">
      <c r="A211" s="1">
        <f>HYPERLINK("https://cms.ls-nyc.org/matter/dynamic-profile/view/1861099","18-1861099")</f>
        <v>0</v>
      </c>
      <c r="B211" t="s">
        <v>64</v>
      </c>
      <c r="C211" t="s">
        <v>235</v>
      </c>
      <c r="D211" t="s">
        <v>259</v>
      </c>
      <c r="F211" t="s">
        <v>1020</v>
      </c>
      <c r="G211" t="s">
        <v>2273</v>
      </c>
      <c r="H211" t="s">
        <v>3620</v>
      </c>
      <c r="I211" t="s">
        <v>4842</v>
      </c>
      <c r="J211" t="s">
        <v>5323</v>
      </c>
      <c r="K211">
        <v>10037</v>
      </c>
      <c r="L211" t="s">
        <v>5355</v>
      </c>
      <c r="M211" t="s">
        <v>5356</v>
      </c>
      <c r="P211" t="s">
        <v>6524</v>
      </c>
      <c r="R211" t="s">
        <v>6539</v>
      </c>
      <c r="U211" t="s">
        <v>6560</v>
      </c>
      <c r="W211" t="s">
        <v>298</v>
      </c>
      <c r="X211">
        <v>989</v>
      </c>
      <c r="Y211" t="s">
        <v>6608</v>
      </c>
      <c r="Z211" t="s">
        <v>6614</v>
      </c>
      <c r="AB211" t="s">
        <v>6861</v>
      </c>
      <c r="AD211" t="s">
        <v>9283</v>
      </c>
      <c r="AE211">
        <v>0</v>
      </c>
      <c r="AF211" t="s">
        <v>11015</v>
      </c>
      <c r="AG211" t="s">
        <v>5406</v>
      </c>
      <c r="AH211">
        <v>9</v>
      </c>
      <c r="AI211">
        <v>1</v>
      </c>
      <c r="AJ211">
        <v>1</v>
      </c>
      <c r="AK211">
        <v>121.51</v>
      </c>
      <c r="AN211" t="s">
        <v>11050</v>
      </c>
      <c r="AO211">
        <v>20000</v>
      </c>
      <c r="AU211">
        <v>0.2</v>
      </c>
      <c r="AV211" t="s">
        <v>522</v>
      </c>
      <c r="AW211" t="s">
        <v>11494</v>
      </c>
    </row>
    <row r="212" spans="1:50">
      <c r="A212" s="1">
        <f>HYPERLINK("https://cms.ls-nyc.org/matter/dynamic-profile/view/1866300","18-1866300")</f>
        <v>0</v>
      </c>
      <c r="B212" t="s">
        <v>66</v>
      </c>
      <c r="C212" t="s">
        <v>234</v>
      </c>
      <c r="D212" t="s">
        <v>274</v>
      </c>
      <c r="E212" t="s">
        <v>437</v>
      </c>
      <c r="F212" t="s">
        <v>1021</v>
      </c>
      <c r="G212" t="s">
        <v>2274</v>
      </c>
      <c r="H212" t="s">
        <v>3508</v>
      </c>
      <c r="I212">
        <v>52</v>
      </c>
      <c r="J212" t="s">
        <v>5323</v>
      </c>
      <c r="K212">
        <v>10034</v>
      </c>
      <c r="L212" t="s">
        <v>5355</v>
      </c>
      <c r="M212" t="s">
        <v>5356</v>
      </c>
      <c r="N212" t="s">
        <v>5443</v>
      </c>
      <c r="O212" t="s">
        <v>6492</v>
      </c>
      <c r="P212" t="s">
        <v>6524</v>
      </c>
      <c r="Q212" t="s">
        <v>6531</v>
      </c>
      <c r="R212" t="s">
        <v>6539</v>
      </c>
      <c r="S212" t="s">
        <v>5357</v>
      </c>
      <c r="T212" t="s">
        <v>6542</v>
      </c>
      <c r="U212" t="s">
        <v>6557</v>
      </c>
      <c r="W212" t="s">
        <v>274</v>
      </c>
      <c r="X212">
        <v>1300</v>
      </c>
      <c r="Y212" t="s">
        <v>6608</v>
      </c>
      <c r="Z212" t="s">
        <v>6615</v>
      </c>
      <c r="AA212" t="s">
        <v>6631</v>
      </c>
      <c r="AB212" t="s">
        <v>6862</v>
      </c>
      <c r="AD212" t="s">
        <v>9284</v>
      </c>
      <c r="AE212">
        <v>0</v>
      </c>
      <c r="AF212" t="s">
        <v>8722</v>
      </c>
      <c r="AG212" t="s">
        <v>5406</v>
      </c>
      <c r="AH212">
        <v>2</v>
      </c>
      <c r="AI212">
        <v>2</v>
      </c>
      <c r="AJ212">
        <v>0</v>
      </c>
      <c r="AK212">
        <v>121.51</v>
      </c>
      <c r="AO212">
        <v>20000</v>
      </c>
      <c r="AU212">
        <v>2.1</v>
      </c>
      <c r="AV212" t="s">
        <v>437</v>
      </c>
      <c r="AW212" t="s">
        <v>11496</v>
      </c>
    </row>
    <row r="213" spans="1:50">
      <c r="A213" s="1">
        <f>HYPERLINK("https://cms.ls-nyc.org/matter/dynamic-profile/view/1866701","18-1866701")</f>
        <v>0</v>
      </c>
      <c r="B213" t="s">
        <v>97</v>
      </c>
      <c r="C213" t="s">
        <v>234</v>
      </c>
      <c r="D213" t="s">
        <v>335</v>
      </c>
      <c r="E213" t="s">
        <v>703</v>
      </c>
      <c r="F213" t="s">
        <v>843</v>
      </c>
      <c r="G213" t="s">
        <v>2275</v>
      </c>
      <c r="H213" t="s">
        <v>3621</v>
      </c>
      <c r="I213" t="s">
        <v>4768</v>
      </c>
      <c r="J213" t="s">
        <v>5323</v>
      </c>
      <c r="K213">
        <v>10034</v>
      </c>
      <c r="L213" t="s">
        <v>5355</v>
      </c>
      <c r="M213" t="s">
        <v>5355</v>
      </c>
      <c r="O213" t="s">
        <v>6496</v>
      </c>
      <c r="P213" t="s">
        <v>6524</v>
      </c>
      <c r="Q213" t="s">
        <v>6531</v>
      </c>
      <c r="R213" t="s">
        <v>6539</v>
      </c>
      <c r="S213" t="s">
        <v>5357</v>
      </c>
      <c r="U213" t="s">
        <v>6557</v>
      </c>
      <c r="W213" t="s">
        <v>335</v>
      </c>
      <c r="X213">
        <v>1696.59</v>
      </c>
      <c r="Y213" t="s">
        <v>6608</v>
      </c>
      <c r="Z213" t="s">
        <v>6616</v>
      </c>
      <c r="AA213" t="s">
        <v>6631</v>
      </c>
      <c r="AB213" t="s">
        <v>6863</v>
      </c>
      <c r="AD213" t="s">
        <v>9285</v>
      </c>
      <c r="AE213">
        <v>0</v>
      </c>
      <c r="AF213" t="s">
        <v>11005</v>
      </c>
      <c r="AG213" t="s">
        <v>5406</v>
      </c>
      <c r="AH213">
        <v>3</v>
      </c>
      <c r="AI213">
        <v>1</v>
      </c>
      <c r="AJ213">
        <v>1</v>
      </c>
      <c r="AK213">
        <v>121.51</v>
      </c>
      <c r="AN213" t="s">
        <v>11050</v>
      </c>
      <c r="AO213">
        <v>20000</v>
      </c>
      <c r="AU213">
        <v>2.3</v>
      </c>
      <c r="AV213" t="s">
        <v>335</v>
      </c>
      <c r="AW213" t="s">
        <v>11495</v>
      </c>
    </row>
    <row r="214" spans="1:50">
      <c r="A214" s="1">
        <f>HYPERLINK("https://cms.ls-nyc.org/matter/dynamic-profile/view/1869575","18-1869575")</f>
        <v>0</v>
      </c>
      <c r="B214" t="s">
        <v>104</v>
      </c>
      <c r="C214" t="s">
        <v>234</v>
      </c>
      <c r="D214" t="s">
        <v>364</v>
      </c>
      <c r="E214" t="s">
        <v>706</v>
      </c>
      <c r="F214" t="s">
        <v>1022</v>
      </c>
      <c r="G214" t="s">
        <v>2276</v>
      </c>
      <c r="H214" t="s">
        <v>3622</v>
      </c>
      <c r="I214" t="s">
        <v>4832</v>
      </c>
      <c r="J214" t="s">
        <v>5321</v>
      </c>
      <c r="K214">
        <v>10453</v>
      </c>
      <c r="L214" t="s">
        <v>5355</v>
      </c>
      <c r="M214" t="s">
        <v>5356</v>
      </c>
      <c r="O214" t="s">
        <v>5393</v>
      </c>
      <c r="P214" t="s">
        <v>6524</v>
      </c>
      <c r="Q214" t="s">
        <v>6531</v>
      </c>
      <c r="R214" t="s">
        <v>6539</v>
      </c>
      <c r="S214" t="s">
        <v>5357</v>
      </c>
      <c r="U214" t="s">
        <v>6557</v>
      </c>
      <c r="W214" t="s">
        <v>516</v>
      </c>
      <c r="X214">
        <v>0</v>
      </c>
      <c r="Y214" t="s">
        <v>6606</v>
      </c>
      <c r="Z214" t="s">
        <v>6612</v>
      </c>
      <c r="AA214" t="s">
        <v>6631</v>
      </c>
      <c r="AB214" t="s">
        <v>6864</v>
      </c>
      <c r="AD214" t="s">
        <v>9286</v>
      </c>
      <c r="AE214">
        <v>60</v>
      </c>
      <c r="AF214" t="s">
        <v>11004</v>
      </c>
      <c r="AG214" t="s">
        <v>5406</v>
      </c>
      <c r="AH214">
        <v>10</v>
      </c>
      <c r="AI214">
        <v>2</v>
      </c>
      <c r="AJ214">
        <v>0</v>
      </c>
      <c r="AK214">
        <v>122.48</v>
      </c>
      <c r="AN214" t="s">
        <v>11050</v>
      </c>
      <c r="AO214">
        <v>20160</v>
      </c>
      <c r="AU214">
        <v>1.1</v>
      </c>
      <c r="AV214" t="s">
        <v>516</v>
      </c>
      <c r="AW214" t="s">
        <v>11493</v>
      </c>
    </row>
    <row r="215" spans="1:50">
      <c r="A215" s="1">
        <f>HYPERLINK("https://cms.ls-nyc.org/matter/dynamic-profile/view/1860972","18-1860972")</f>
        <v>0</v>
      </c>
      <c r="B215" t="s">
        <v>76</v>
      </c>
      <c r="C215" t="s">
        <v>234</v>
      </c>
      <c r="D215" t="s">
        <v>246</v>
      </c>
      <c r="E215" t="s">
        <v>726</v>
      </c>
      <c r="F215" t="s">
        <v>1023</v>
      </c>
      <c r="G215" t="s">
        <v>2277</v>
      </c>
      <c r="H215" t="s">
        <v>3623</v>
      </c>
      <c r="I215">
        <v>2210</v>
      </c>
      <c r="J215" t="s">
        <v>5323</v>
      </c>
      <c r="K215">
        <v>10029</v>
      </c>
      <c r="L215" t="s">
        <v>5355</v>
      </c>
      <c r="M215" t="s">
        <v>5355</v>
      </c>
      <c r="O215" t="s">
        <v>5393</v>
      </c>
      <c r="P215" t="s">
        <v>6524</v>
      </c>
      <c r="Q215" t="s">
        <v>6531</v>
      </c>
      <c r="R215" t="s">
        <v>6539</v>
      </c>
      <c r="S215" t="s">
        <v>5357</v>
      </c>
      <c r="U215" t="s">
        <v>6557</v>
      </c>
      <c r="V215" t="s">
        <v>6566</v>
      </c>
      <c r="W215" t="s">
        <v>246</v>
      </c>
      <c r="X215">
        <v>1200</v>
      </c>
      <c r="Y215" t="s">
        <v>6608</v>
      </c>
      <c r="Z215" t="s">
        <v>6616</v>
      </c>
      <c r="AA215" t="s">
        <v>6631</v>
      </c>
      <c r="AB215" t="s">
        <v>6865</v>
      </c>
      <c r="AD215" t="s">
        <v>9287</v>
      </c>
      <c r="AE215">
        <v>396</v>
      </c>
      <c r="AF215" t="s">
        <v>11010</v>
      </c>
      <c r="AG215" t="s">
        <v>11020</v>
      </c>
      <c r="AH215">
        <v>40</v>
      </c>
      <c r="AI215">
        <v>3</v>
      </c>
      <c r="AJ215">
        <v>0</v>
      </c>
      <c r="AK215">
        <v>123.2</v>
      </c>
      <c r="AN215" t="s">
        <v>11050</v>
      </c>
      <c r="AO215">
        <v>25600</v>
      </c>
      <c r="AU215">
        <v>1.2</v>
      </c>
      <c r="AV215" t="s">
        <v>781</v>
      </c>
      <c r="AW215" t="s">
        <v>11497</v>
      </c>
    </row>
    <row r="216" spans="1:50">
      <c r="A216" s="1">
        <f>HYPERLINK("https://cms.ls-nyc.org/matter/dynamic-profile/view/1868295","18-1868295")</f>
        <v>0</v>
      </c>
      <c r="B216" t="s">
        <v>119</v>
      </c>
      <c r="C216" t="s">
        <v>235</v>
      </c>
      <c r="D216" t="s">
        <v>365</v>
      </c>
      <c r="F216" t="s">
        <v>1024</v>
      </c>
      <c r="G216" t="s">
        <v>2278</v>
      </c>
      <c r="H216" t="s">
        <v>3624</v>
      </c>
      <c r="J216" t="s">
        <v>5326</v>
      </c>
      <c r="K216">
        <v>11691</v>
      </c>
      <c r="L216" t="s">
        <v>5355</v>
      </c>
      <c r="M216" t="s">
        <v>5355</v>
      </c>
      <c r="N216" t="s">
        <v>5444</v>
      </c>
      <c r="O216" t="s">
        <v>6492</v>
      </c>
      <c r="P216" t="s">
        <v>6524</v>
      </c>
      <c r="R216" t="s">
        <v>6539</v>
      </c>
      <c r="S216" t="s">
        <v>5357</v>
      </c>
      <c r="U216" t="s">
        <v>6557</v>
      </c>
      <c r="V216" t="s">
        <v>6566</v>
      </c>
      <c r="W216" t="s">
        <v>452</v>
      </c>
      <c r="X216">
        <v>1187</v>
      </c>
      <c r="Y216" t="s">
        <v>6604</v>
      </c>
      <c r="Z216" t="s">
        <v>6615</v>
      </c>
      <c r="AB216" t="s">
        <v>6866</v>
      </c>
      <c r="AD216" t="s">
        <v>9288</v>
      </c>
      <c r="AE216">
        <v>301</v>
      </c>
      <c r="AF216" t="s">
        <v>8722</v>
      </c>
      <c r="AG216" t="s">
        <v>5406</v>
      </c>
      <c r="AH216">
        <v>3</v>
      </c>
      <c r="AI216">
        <v>1</v>
      </c>
      <c r="AJ216">
        <v>2</v>
      </c>
      <c r="AK216">
        <v>125.12</v>
      </c>
      <c r="AN216" t="s">
        <v>11050</v>
      </c>
      <c r="AO216">
        <v>26000</v>
      </c>
      <c r="AU216">
        <v>1.5</v>
      </c>
      <c r="AV216" t="s">
        <v>513</v>
      </c>
      <c r="AW216" t="s">
        <v>11506</v>
      </c>
    </row>
    <row r="217" spans="1:50">
      <c r="A217" s="1">
        <f>HYPERLINK("https://cms.ls-nyc.org/matter/dynamic-profile/view/1850437","17-1850437")</f>
        <v>0</v>
      </c>
      <c r="B217" t="s">
        <v>77</v>
      </c>
      <c r="C217" t="s">
        <v>234</v>
      </c>
      <c r="D217" t="s">
        <v>366</v>
      </c>
      <c r="E217" t="s">
        <v>687</v>
      </c>
      <c r="F217" t="s">
        <v>903</v>
      </c>
      <c r="G217" t="s">
        <v>2279</v>
      </c>
      <c r="H217" t="s">
        <v>3625</v>
      </c>
      <c r="I217">
        <v>4</v>
      </c>
      <c r="J217" t="s">
        <v>5320</v>
      </c>
      <c r="K217">
        <v>11219</v>
      </c>
      <c r="L217" t="s">
        <v>5355</v>
      </c>
      <c r="M217" t="s">
        <v>5356</v>
      </c>
      <c r="P217" t="s">
        <v>6524</v>
      </c>
      <c r="Q217" t="s">
        <v>6531</v>
      </c>
      <c r="R217" t="s">
        <v>6539</v>
      </c>
      <c r="S217" t="s">
        <v>5355</v>
      </c>
      <c r="T217" t="s">
        <v>6539</v>
      </c>
      <c r="U217" t="s">
        <v>6557</v>
      </c>
      <c r="W217" t="s">
        <v>341</v>
      </c>
      <c r="X217">
        <v>0</v>
      </c>
      <c r="Y217" t="s">
        <v>6605</v>
      </c>
      <c r="Z217" t="s">
        <v>6622</v>
      </c>
      <c r="AA217" t="s">
        <v>6631</v>
      </c>
      <c r="AB217" t="s">
        <v>6867</v>
      </c>
      <c r="AE217">
        <v>14</v>
      </c>
      <c r="AF217" t="s">
        <v>11005</v>
      </c>
      <c r="AH217">
        <v>33</v>
      </c>
      <c r="AI217">
        <v>2</v>
      </c>
      <c r="AJ217">
        <v>0</v>
      </c>
      <c r="AK217">
        <v>128.08</v>
      </c>
      <c r="AL217" t="s">
        <v>333</v>
      </c>
      <c r="AN217" t="s">
        <v>11049</v>
      </c>
      <c r="AO217">
        <v>20800</v>
      </c>
      <c r="AU217">
        <v>3</v>
      </c>
      <c r="AV217" t="s">
        <v>687</v>
      </c>
      <c r="AW217" t="s">
        <v>11489</v>
      </c>
    </row>
    <row r="218" spans="1:50">
      <c r="A218" s="1">
        <f>HYPERLINK("https://cms.ls-nyc.org/matter/dynamic-profile/view/1853316","17-1853316")</f>
        <v>0</v>
      </c>
      <c r="B218" t="s">
        <v>56</v>
      </c>
      <c r="C218" t="s">
        <v>234</v>
      </c>
      <c r="D218" t="s">
        <v>289</v>
      </c>
      <c r="E218" t="s">
        <v>665</v>
      </c>
      <c r="F218" t="s">
        <v>914</v>
      </c>
      <c r="G218" t="s">
        <v>2280</v>
      </c>
      <c r="H218" t="s">
        <v>3626</v>
      </c>
      <c r="I218" t="s">
        <v>4825</v>
      </c>
      <c r="J218" t="s">
        <v>5321</v>
      </c>
      <c r="K218">
        <v>10452</v>
      </c>
      <c r="L218" t="s">
        <v>5355</v>
      </c>
      <c r="M218" t="s">
        <v>5356</v>
      </c>
      <c r="O218" t="s">
        <v>6492</v>
      </c>
      <c r="P218" t="s">
        <v>6524</v>
      </c>
      <c r="Q218" t="s">
        <v>6531</v>
      </c>
      <c r="R218" t="s">
        <v>6539</v>
      </c>
      <c r="S218" t="s">
        <v>5357</v>
      </c>
      <c r="U218" t="s">
        <v>6557</v>
      </c>
      <c r="W218" t="s">
        <v>433</v>
      </c>
      <c r="X218">
        <v>860</v>
      </c>
      <c r="Y218" t="s">
        <v>6606</v>
      </c>
      <c r="Z218" t="s">
        <v>6612</v>
      </c>
      <c r="AA218" t="s">
        <v>6631</v>
      </c>
      <c r="AB218" t="s">
        <v>6868</v>
      </c>
      <c r="AC218" t="s">
        <v>8736</v>
      </c>
      <c r="AD218" t="s">
        <v>9289</v>
      </c>
      <c r="AE218">
        <v>148</v>
      </c>
      <c r="AF218" t="s">
        <v>11006</v>
      </c>
      <c r="AH218">
        <v>12</v>
      </c>
      <c r="AI218">
        <v>1</v>
      </c>
      <c r="AJ218">
        <v>1</v>
      </c>
      <c r="AK218">
        <v>128.08</v>
      </c>
      <c r="AN218" t="s">
        <v>11049</v>
      </c>
      <c r="AO218">
        <v>20800</v>
      </c>
      <c r="AU218">
        <v>1.5</v>
      </c>
      <c r="AV218" t="s">
        <v>289</v>
      </c>
      <c r="AW218" t="s">
        <v>11509</v>
      </c>
    </row>
    <row r="219" spans="1:50">
      <c r="A219" s="1">
        <f>HYPERLINK("https://cms.ls-nyc.org/matter/dynamic-profile/view/1868798","18-1868798")</f>
        <v>0</v>
      </c>
      <c r="B219" t="s">
        <v>52</v>
      </c>
      <c r="C219" t="s">
        <v>234</v>
      </c>
      <c r="D219" t="s">
        <v>315</v>
      </c>
      <c r="E219" t="s">
        <v>688</v>
      </c>
      <c r="F219" t="s">
        <v>1025</v>
      </c>
      <c r="G219" t="s">
        <v>2281</v>
      </c>
      <c r="H219" t="s">
        <v>3627</v>
      </c>
      <c r="I219" t="s">
        <v>4735</v>
      </c>
      <c r="J219" t="s">
        <v>5324</v>
      </c>
      <c r="K219">
        <v>11354</v>
      </c>
      <c r="L219" t="s">
        <v>5355</v>
      </c>
      <c r="M219" t="s">
        <v>5355</v>
      </c>
      <c r="N219" t="s">
        <v>5413</v>
      </c>
      <c r="O219" t="s">
        <v>5393</v>
      </c>
      <c r="P219" t="s">
        <v>6524</v>
      </c>
      <c r="Q219" t="s">
        <v>6531</v>
      </c>
      <c r="R219" t="s">
        <v>6539</v>
      </c>
      <c r="S219" t="s">
        <v>5357</v>
      </c>
      <c r="U219" t="s">
        <v>6557</v>
      </c>
      <c r="V219" t="s">
        <v>6566</v>
      </c>
      <c r="W219" t="s">
        <v>315</v>
      </c>
      <c r="X219">
        <v>700</v>
      </c>
      <c r="Y219" t="s">
        <v>6604</v>
      </c>
      <c r="Z219" t="s">
        <v>6620</v>
      </c>
      <c r="AA219" t="s">
        <v>6631</v>
      </c>
      <c r="AB219" t="s">
        <v>6869</v>
      </c>
      <c r="AD219" t="s">
        <v>9290</v>
      </c>
      <c r="AE219">
        <v>5</v>
      </c>
      <c r="AF219" t="s">
        <v>11004</v>
      </c>
      <c r="AG219" t="s">
        <v>5406</v>
      </c>
      <c r="AH219">
        <v>8</v>
      </c>
      <c r="AI219">
        <v>3</v>
      </c>
      <c r="AJ219">
        <v>0</v>
      </c>
      <c r="AK219">
        <v>128.2</v>
      </c>
      <c r="AN219" t="s">
        <v>11053</v>
      </c>
      <c r="AO219">
        <v>26640</v>
      </c>
      <c r="AU219">
        <v>1.33</v>
      </c>
      <c r="AV219" t="s">
        <v>688</v>
      </c>
      <c r="AW219" t="s">
        <v>52</v>
      </c>
    </row>
    <row r="220" spans="1:50">
      <c r="A220" s="1">
        <f>HYPERLINK("https://cms.ls-nyc.org/matter/dynamic-profile/view/1864974","18-1864974")</f>
        <v>0</v>
      </c>
      <c r="B220" t="s">
        <v>77</v>
      </c>
      <c r="C220" t="s">
        <v>234</v>
      </c>
      <c r="D220" t="s">
        <v>250</v>
      </c>
      <c r="E220" t="s">
        <v>723</v>
      </c>
      <c r="F220" t="s">
        <v>1026</v>
      </c>
      <c r="G220" t="s">
        <v>2162</v>
      </c>
      <c r="H220" t="s">
        <v>3603</v>
      </c>
      <c r="I220" t="s">
        <v>4840</v>
      </c>
      <c r="J220" t="s">
        <v>5320</v>
      </c>
      <c r="K220">
        <v>11213</v>
      </c>
      <c r="L220" t="s">
        <v>5355</v>
      </c>
      <c r="M220" t="s">
        <v>5356</v>
      </c>
      <c r="O220" t="s">
        <v>6500</v>
      </c>
      <c r="P220" t="s">
        <v>6524</v>
      </c>
      <c r="Q220" t="s">
        <v>6531</v>
      </c>
      <c r="R220" t="s">
        <v>6539</v>
      </c>
      <c r="S220" t="s">
        <v>5355</v>
      </c>
      <c r="U220" t="s">
        <v>6557</v>
      </c>
      <c r="W220" t="s">
        <v>395</v>
      </c>
      <c r="X220">
        <v>909.36</v>
      </c>
      <c r="Y220" t="s">
        <v>6605</v>
      </c>
      <c r="Z220" t="s">
        <v>6622</v>
      </c>
      <c r="AA220" t="s">
        <v>6631</v>
      </c>
      <c r="AB220" t="s">
        <v>6870</v>
      </c>
      <c r="AC220" t="s">
        <v>8722</v>
      </c>
      <c r="AD220" t="s">
        <v>9291</v>
      </c>
      <c r="AE220">
        <v>27</v>
      </c>
      <c r="AF220" t="s">
        <v>11005</v>
      </c>
      <c r="AG220" t="s">
        <v>5406</v>
      </c>
      <c r="AH220">
        <v>26</v>
      </c>
      <c r="AI220">
        <v>1</v>
      </c>
      <c r="AJ220">
        <v>1</v>
      </c>
      <c r="AK220">
        <v>128.68</v>
      </c>
      <c r="AN220" t="s">
        <v>11050</v>
      </c>
      <c r="AO220">
        <v>21180</v>
      </c>
      <c r="AU220">
        <v>0.35</v>
      </c>
      <c r="AV220" t="s">
        <v>723</v>
      </c>
      <c r="AW220" t="s">
        <v>11512</v>
      </c>
    </row>
    <row r="221" spans="1:50">
      <c r="A221" s="1">
        <f>HYPERLINK("https://cms.ls-nyc.org/matter/dynamic-profile/view/1858478","18-1858478")</f>
        <v>0</v>
      </c>
      <c r="B221" t="s">
        <v>73</v>
      </c>
      <c r="C221" t="s">
        <v>234</v>
      </c>
      <c r="D221" t="s">
        <v>347</v>
      </c>
      <c r="E221" t="s">
        <v>682</v>
      </c>
      <c r="F221" t="s">
        <v>1027</v>
      </c>
      <c r="G221" t="s">
        <v>2282</v>
      </c>
      <c r="H221" t="s">
        <v>3628</v>
      </c>
      <c r="I221" t="s">
        <v>4746</v>
      </c>
      <c r="J221" t="s">
        <v>5323</v>
      </c>
      <c r="K221">
        <v>10009</v>
      </c>
      <c r="L221" t="s">
        <v>5355</v>
      </c>
      <c r="M221" t="s">
        <v>5356</v>
      </c>
      <c r="N221" t="s">
        <v>5445</v>
      </c>
      <c r="O221" t="s">
        <v>6492</v>
      </c>
      <c r="P221" t="s">
        <v>6524</v>
      </c>
      <c r="Q221" t="s">
        <v>6531</v>
      </c>
      <c r="R221" t="s">
        <v>6539</v>
      </c>
      <c r="S221" t="s">
        <v>5357</v>
      </c>
      <c r="T221" t="s">
        <v>6542</v>
      </c>
      <c r="U221" t="s">
        <v>6557</v>
      </c>
      <c r="W221" t="s">
        <v>236</v>
      </c>
      <c r="X221">
        <v>1091.39</v>
      </c>
      <c r="Y221" t="s">
        <v>6608</v>
      </c>
      <c r="Z221" t="s">
        <v>6615</v>
      </c>
      <c r="AA221" t="s">
        <v>6631</v>
      </c>
      <c r="AB221" t="s">
        <v>6871</v>
      </c>
      <c r="AD221" t="s">
        <v>9292</v>
      </c>
      <c r="AE221">
        <v>10</v>
      </c>
      <c r="AF221" t="s">
        <v>11005</v>
      </c>
      <c r="AG221" t="s">
        <v>5406</v>
      </c>
      <c r="AH221">
        <v>27</v>
      </c>
      <c r="AI221">
        <v>1</v>
      </c>
      <c r="AJ221">
        <v>0</v>
      </c>
      <c r="AK221">
        <v>129.35</v>
      </c>
      <c r="AN221" t="s">
        <v>11050</v>
      </c>
      <c r="AO221">
        <v>15600</v>
      </c>
      <c r="AU221">
        <v>1.4</v>
      </c>
      <c r="AV221" t="s">
        <v>319</v>
      </c>
      <c r="AW221" t="s">
        <v>11494</v>
      </c>
    </row>
    <row r="222" spans="1:50">
      <c r="A222" s="1">
        <f>HYPERLINK("https://cms.ls-nyc.org/matter/dynamic-profile/view/1862930","18-1862930")</f>
        <v>0</v>
      </c>
      <c r="B222" t="s">
        <v>62</v>
      </c>
      <c r="C222" t="s">
        <v>234</v>
      </c>
      <c r="D222" t="s">
        <v>293</v>
      </c>
      <c r="E222" t="s">
        <v>697</v>
      </c>
      <c r="F222" t="s">
        <v>1028</v>
      </c>
      <c r="G222" t="s">
        <v>2283</v>
      </c>
      <c r="H222" t="s">
        <v>3629</v>
      </c>
      <c r="J222" t="s">
        <v>5322</v>
      </c>
      <c r="K222">
        <v>10314</v>
      </c>
      <c r="L222" t="s">
        <v>5355</v>
      </c>
      <c r="M222" t="s">
        <v>5356</v>
      </c>
      <c r="N222" t="s">
        <v>5366</v>
      </c>
      <c r="O222" t="s">
        <v>6491</v>
      </c>
      <c r="P222" t="s">
        <v>6524</v>
      </c>
      <c r="Q222" t="s">
        <v>6531</v>
      </c>
      <c r="R222" t="s">
        <v>6540</v>
      </c>
      <c r="S222" t="s">
        <v>5357</v>
      </c>
      <c r="U222" t="s">
        <v>6557</v>
      </c>
      <c r="V222" t="s">
        <v>6566</v>
      </c>
      <c r="W222" t="s">
        <v>293</v>
      </c>
      <c r="X222">
        <v>0</v>
      </c>
      <c r="Y222" t="s">
        <v>6607</v>
      </c>
      <c r="Z222" t="s">
        <v>6610</v>
      </c>
      <c r="AA222" t="s">
        <v>6631</v>
      </c>
      <c r="AB222" t="s">
        <v>6872</v>
      </c>
      <c r="AD222" t="s">
        <v>9293</v>
      </c>
      <c r="AE222">
        <v>2</v>
      </c>
      <c r="AF222" t="s">
        <v>11004</v>
      </c>
      <c r="AG222" t="s">
        <v>5406</v>
      </c>
      <c r="AH222">
        <v>14</v>
      </c>
      <c r="AI222">
        <v>1</v>
      </c>
      <c r="AJ222">
        <v>2</v>
      </c>
      <c r="AK222">
        <v>130.12</v>
      </c>
      <c r="AL222" t="s">
        <v>11028</v>
      </c>
      <c r="AN222" t="s">
        <v>11050</v>
      </c>
      <c r="AO222">
        <v>27039.96</v>
      </c>
      <c r="AU222">
        <v>3.55</v>
      </c>
      <c r="AV222" t="s">
        <v>697</v>
      </c>
      <c r="AW222" t="s">
        <v>62</v>
      </c>
    </row>
    <row r="223" spans="1:50">
      <c r="A223" s="1">
        <f>HYPERLINK("https://cms.ls-nyc.org/matter/dynamic-profile/view/1852681","17-1852681")</f>
        <v>0</v>
      </c>
      <c r="B223" t="s">
        <v>84</v>
      </c>
      <c r="C223" t="s">
        <v>235</v>
      </c>
      <c r="D223" t="s">
        <v>304</v>
      </c>
      <c r="F223" t="s">
        <v>1005</v>
      </c>
      <c r="G223" t="s">
        <v>2284</v>
      </c>
      <c r="H223" t="s">
        <v>3630</v>
      </c>
      <c r="I223" t="s">
        <v>4780</v>
      </c>
      <c r="J223" t="s">
        <v>5320</v>
      </c>
      <c r="K223">
        <v>11233</v>
      </c>
      <c r="L223" t="s">
        <v>5357</v>
      </c>
      <c r="M223" t="s">
        <v>5356</v>
      </c>
      <c r="N223" t="s">
        <v>5446</v>
      </c>
      <c r="P223" t="s">
        <v>6524</v>
      </c>
      <c r="R223" t="s">
        <v>6539</v>
      </c>
      <c r="U223" t="s">
        <v>6557</v>
      </c>
      <c r="W223" t="s">
        <v>294</v>
      </c>
      <c r="X223">
        <v>1550</v>
      </c>
      <c r="Y223" t="s">
        <v>6605</v>
      </c>
      <c r="Z223" t="s">
        <v>6613</v>
      </c>
      <c r="AB223" t="s">
        <v>6873</v>
      </c>
      <c r="AD223" t="s">
        <v>9294</v>
      </c>
      <c r="AE223">
        <v>3</v>
      </c>
      <c r="AF223" t="s">
        <v>8722</v>
      </c>
      <c r="AH223">
        <v>6</v>
      </c>
      <c r="AI223">
        <v>1</v>
      </c>
      <c r="AJ223">
        <v>0</v>
      </c>
      <c r="AK223">
        <v>130.65</v>
      </c>
      <c r="AN223" t="s">
        <v>11050</v>
      </c>
      <c r="AO223">
        <v>15756</v>
      </c>
      <c r="AU223">
        <v>1</v>
      </c>
      <c r="AV223" t="s">
        <v>304</v>
      </c>
      <c r="AW223" t="s">
        <v>11511</v>
      </c>
    </row>
    <row r="224" spans="1:50">
      <c r="A224" s="1">
        <f>HYPERLINK("https://cms.ls-nyc.org/matter/dynamic-profile/view/1851107","17-1851107")</f>
        <v>0</v>
      </c>
      <c r="B224" t="s">
        <v>54</v>
      </c>
      <c r="C224" t="s">
        <v>234</v>
      </c>
      <c r="D224" t="s">
        <v>367</v>
      </c>
      <c r="E224" t="s">
        <v>727</v>
      </c>
      <c r="F224" t="s">
        <v>896</v>
      </c>
      <c r="G224" t="s">
        <v>2285</v>
      </c>
      <c r="H224" t="s">
        <v>3631</v>
      </c>
      <c r="I224" t="s">
        <v>4843</v>
      </c>
      <c r="J224" t="s">
        <v>5320</v>
      </c>
      <c r="K224">
        <v>11212</v>
      </c>
      <c r="L224" t="s">
        <v>5355</v>
      </c>
      <c r="M224" t="s">
        <v>5356</v>
      </c>
      <c r="O224" t="s">
        <v>6500</v>
      </c>
      <c r="P224" t="s">
        <v>6524</v>
      </c>
      <c r="Q224" t="s">
        <v>6531</v>
      </c>
      <c r="R224" t="s">
        <v>6539</v>
      </c>
      <c r="S224" t="s">
        <v>5355</v>
      </c>
      <c r="U224" t="s">
        <v>6557</v>
      </c>
      <c r="W224" t="s">
        <v>6577</v>
      </c>
      <c r="X224">
        <v>1121.05</v>
      </c>
      <c r="Y224" t="s">
        <v>6605</v>
      </c>
      <c r="Z224" t="s">
        <v>6622</v>
      </c>
      <c r="AA224" t="s">
        <v>6631</v>
      </c>
      <c r="AB224" t="s">
        <v>6874</v>
      </c>
      <c r="AC224" t="s">
        <v>8737</v>
      </c>
      <c r="AD224" t="s">
        <v>9295</v>
      </c>
      <c r="AE224">
        <v>172</v>
      </c>
      <c r="AF224" t="s">
        <v>11005</v>
      </c>
      <c r="AG224" t="s">
        <v>11020</v>
      </c>
      <c r="AH224">
        <v>5</v>
      </c>
      <c r="AI224">
        <v>2</v>
      </c>
      <c r="AJ224">
        <v>2</v>
      </c>
      <c r="AK224">
        <v>131.77</v>
      </c>
      <c r="AN224" t="s">
        <v>11050</v>
      </c>
      <c r="AO224">
        <v>32414.2</v>
      </c>
      <c r="AU224">
        <v>0.1</v>
      </c>
      <c r="AV224" t="s">
        <v>727</v>
      </c>
      <c r="AW224" t="s">
        <v>11512</v>
      </c>
      <c r="AX224" t="s">
        <v>11564</v>
      </c>
    </row>
    <row r="225" spans="1:50">
      <c r="A225" s="1">
        <f>HYPERLINK("https://cms.ls-nyc.org/matter/dynamic-profile/view/1837331","17-1837331")</f>
        <v>0</v>
      </c>
      <c r="B225" t="s">
        <v>83</v>
      </c>
      <c r="C225" t="s">
        <v>234</v>
      </c>
      <c r="D225" t="s">
        <v>368</v>
      </c>
      <c r="E225" t="s">
        <v>688</v>
      </c>
      <c r="F225" t="s">
        <v>1029</v>
      </c>
      <c r="G225" t="s">
        <v>2286</v>
      </c>
      <c r="H225" t="s">
        <v>3632</v>
      </c>
      <c r="I225" t="s">
        <v>4838</v>
      </c>
      <c r="J225" t="s">
        <v>5323</v>
      </c>
      <c r="K225">
        <v>10029</v>
      </c>
      <c r="L225" t="s">
        <v>5355</v>
      </c>
      <c r="M225" t="s">
        <v>5355</v>
      </c>
      <c r="N225" t="s">
        <v>5447</v>
      </c>
      <c r="O225" t="s">
        <v>6491</v>
      </c>
      <c r="P225" t="s">
        <v>6524</v>
      </c>
      <c r="Q225" t="s">
        <v>6531</v>
      </c>
      <c r="R225" t="s">
        <v>6539</v>
      </c>
      <c r="S225" t="s">
        <v>5357</v>
      </c>
      <c r="U225" t="s">
        <v>6557</v>
      </c>
      <c r="W225" t="s">
        <v>404</v>
      </c>
      <c r="X225">
        <v>3125</v>
      </c>
      <c r="Y225" t="s">
        <v>6608</v>
      </c>
      <c r="Z225" t="s">
        <v>6493</v>
      </c>
      <c r="AA225" t="s">
        <v>6631</v>
      </c>
      <c r="AB225" t="s">
        <v>6875</v>
      </c>
      <c r="AD225" t="s">
        <v>9296</v>
      </c>
      <c r="AE225">
        <v>100</v>
      </c>
      <c r="AF225" t="s">
        <v>8722</v>
      </c>
      <c r="AG225" t="s">
        <v>5406</v>
      </c>
      <c r="AH225">
        <v>5</v>
      </c>
      <c r="AI225">
        <v>1</v>
      </c>
      <c r="AJ225">
        <v>0</v>
      </c>
      <c r="AK225">
        <v>132.14</v>
      </c>
      <c r="AN225" t="s">
        <v>11050</v>
      </c>
      <c r="AO225">
        <v>15936</v>
      </c>
      <c r="AU225">
        <v>1.9</v>
      </c>
      <c r="AV225" t="s">
        <v>415</v>
      </c>
      <c r="AW225" t="s">
        <v>11507</v>
      </c>
    </row>
    <row r="226" spans="1:50">
      <c r="A226" s="1">
        <f>HYPERLINK("https://cms.ls-nyc.org/matter/dynamic-profile/view/1870432","18-1870432")</f>
        <v>0</v>
      </c>
      <c r="B226" t="s">
        <v>120</v>
      </c>
      <c r="C226" t="s">
        <v>234</v>
      </c>
      <c r="D226" t="s">
        <v>255</v>
      </c>
      <c r="E226" t="s">
        <v>402</v>
      </c>
      <c r="F226" t="s">
        <v>1030</v>
      </c>
      <c r="G226" t="s">
        <v>2287</v>
      </c>
      <c r="H226" t="s">
        <v>3633</v>
      </c>
      <c r="I226" t="s">
        <v>4753</v>
      </c>
      <c r="J226" t="s">
        <v>5326</v>
      </c>
      <c r="K226">
        <v>11691</v>
      </c>
      <c r="L226" t="s">
        <v>5355</v>
      </c>
      <c r="M226" t="s">
        <v>5356</v>
      </c>
      <c r="N226" t="s">
        <v>5448</v>
      </c>
      <c r="O226" t="s">
        <v>6492</v>
      </c>
      <c r="P226" t="s">
        <v>6524</v>
      </c>
      <c r="Q226" t="s">
        <v>6531</v>
      </c>
      <c r="R226" t="s">
        <v>6539</v>
      </c>
      <c r="S226" t="s">
        <v>5357</v>
      </c>
      <c r="U226" t="s">
        <v>6557</v>
      </c>
      <c r="W226" t="s">
        <v>287</v>
      </c>
      <c r="X226">
        <v>1300</v>
      </c>
      <c r="Y226" t="s">
        <v>6604</v>
      </c>
      <c r="Z226" t="s">
        <v>6617</v>
      </c>
      <c r="AA226" t="s">
        <v>6631</v>
      </c>
      <c r="AB226" t="s">
        <v>6876</v>
      </c>
      <c r="AC226" t="s">
        <v>8738</v>
      </c>
      <c r="AD226" t="s">
        <v>9297</v>
      </c>
      <c r="AE226">
        <v>35</v>
      </c>
      <c r="AF226" t="s">
        <v>11005</v>
      </c>
      <c r="AG226" t="s">
        <v>5406</v>
      </c>
      <c r="AH226">
        <v>2</v>
      </c>
      <c r="AI226">
        <v>1</v>
      </c>
      <c r="AJ226">
        <v>0</v>
      </c>
      <c r="AK226">
        <v>133.51</v>
      </c>
      <c r="AN226" t="s">
        <v>11050</v>
      </c>
      <c r="AO226">
        <v>16208</v>
      </c>
      <c r="AU226">
        <v>1.4</v>
      </c>
      <c r="AV226" t="s">
        <v>402</v>
      </c>
      <c r="AW226" t="s">
        <v>11507</v>
      </c>
    </row>
    <row r="227" spans="1:50">
      <c r="A227" s="1">
        <f>HYPERLINK("https://cms.ls-nyc.org/matter/dynamic-profile/view/1863779","18-1863779")</f>
        <v>0</v>
      </c>
      <c r="B227" t="s">
        <v>64</v>
      </c>
      <c r="C227" t="s">
        <v>235</v>
      </c>
      <c r="D227" t="s">
        <v>288</v>
      </c>
      <c r="F227" t="s">
        <v>1031</v>
      </c>
      <c r="G227" t="s">
        <v>2288</v>
      </c>
      <c r="H227" t="s">
        <v>3634</v>
      </c>
      <c r="I227" t="s">
        <v>4752</v>
      </c>
      <c r="J227" t="s">
        <v>5323</v>
      </c>
      <c r="K227">
        <v>10039</v>
      </c>
      <c r="L227" t="s">
        <v>5355</v>
      </c>
      <c r="M227" t="s">
        <v>5356</v>
      </c>
      <c r="N227" t="s">
        <v>5449</v>
      </c>
      <c r="O227" t="s">
        <v>6492</v>
      </c>
      <c r="P227" t="s">
        <v>6524</v>
      </c>
      <c r="R227" t="s">
        <v>6539</v>
      </c>
      <c r="U227" t="s">
        <v>6557</v>
      </c>
      <c r="W227" t="s">
        <v>298</v>
      </c>
      <c r="X227">
        <v>813.37</v>
      </c>
      <c r="Y227" t="s">
        <v>6608</v>
      </c>
      <c r="Z227" t="s">
        <v>6614</v>
      </c>
      <c r="AB227" t="s">
        <v>6877</v>
      </c>
      <c r="AD227" t="s">
        <v>9298</v>
      </c>
      <c r="AE227">
        <v>0</v>
      </c>
      <c r="AF227" t="s">
        <v>11005</v>
      </c>
      <c r="AG227" t="s">
        <v>11023</v>
      </c>
      <c r="AH227">
        <v>11</v>
      </c>
      <c r="AI227">
        <v>1</v>
      </c>
      <c r="AJ227">
        <v>1</v>
      </c>
      <c r="AK227">
        <v>133.95</v>
      </c>
      <c r="AN227" t="s">
        <v>11050</v>
      </c>
      <c r="AO227">
        <v>22048</v>
      </c>
      <c r="AU227">
        <v>1.2</v>
      </c>
      <c r="AV227" t="s">
        <v>312</v>
      </c>
      <c r="AW227" t="s">
        <v>11494</v>
      </c>
    </row>
    <row r="228" spans="1:50">
      <c r="A228" s="1">
        <f>HYPERLINK("https://cms.ls-nyc.org/matter/dynamic-profile/view/1865077","18-1865077")</f>
        <v>0</v>
      </c>
      <c r="B228" t="s">
        <v>69</v>
      </c>
      <c r="C228" t="s">
        <v>234</v>
      </c>
      <c r="D228" t="s">
        <v>251</v>
      </c>
      <c r="E228" t="s">
        <v>701</v>
      </c>
      <c r="F228" t="s">
        <v>1032</v>
      </c>
      <c r="G228" t="s">
        <v>2289</v>
      </c>
      <c r="H228" t="s">
        <v>3635</v>
      </c>
      <c r="I228" t="s">
        <v>4768</v>
      </c>
      <c r="J228" t="s">
        <v>5321</v>
      </c>
      <c r="K228">
        <v>10468</v>
      </c>
      <c r="L228" t="s">
        <v>5355</v>
      </c>
      <c r="M228" t="s">
        <v>5356</v>
      </c>
      <c r="O228" t="s">
        <v>6492</v>
      </c>
      <c r="P228" t="s">
        <v>6524</v>
      </c>
      <c r="Q228" t="s">
        <v>6532</v>
      </c>
      <c r="R228" t="s">
        <v>6539</v>
      </c>
      <c r="S228" t="s">
        <v>5357</v>
      </c>
      <c r="U228" t="s">
        <v>6557</v>
      </c>
      <c r="W228" t="s">
        <v>326</v>
      </c>
      <c r="X228">
        <v>1125</v>
      </c>
      <c r="Y228" t="s">
        <v>6606</v>
      </c>
      <c r="Z228" t="s">
        <v>6612</v>
      </c>
      <c r="AA228" t="s">
        <v>6631</v>
      </c>
      <c r="AB228" t="s">
        <v>6878</v>
      </c>
      <c r="AD228" t="s">
        <v>9299</v>
      </c>
      <c r="AE228">
        <v>0</v>
      </c>
      <c r="AG228" t="s">
        <v>11024</v>
      </c>
      <c r="AH228">
        <v>21</v>
      </c>
      <c r="AI228">
        <v>1</v>
      </c>
      <c r="AJ228">
        <v>0</v>
      </c>
      <c r="AK228">
        <v>134.73</v>
      </c>
      <c r="AN228" t="s">
        <v>11049</v>
      </c>
      <c r="AO228">
        <v>16356</v>
      </c>
      <c r="AU228">
        <v>0.5</v>
      </c>
      <c r="AV228" t="s">
        <v>502</v>
      </c>
      <c r="AW228" t="s">
        <v>69</v>
      </c>
    </row>
    <row r="229" spans="1:50">
      <c r="A229" s="1">
        <f>HYPERLINK("https://cms.ls-nyc.org/matter/dynamic-profile/view/1863026","18-1863026")</f>
        <v>0</v>
      </c>
      <c r="B229" t="s">
        <v>121</v>
      </c>
      <c r="C229" t="s">
        <v>234</v>
      </c>
      <c r="D229" t="s">
        <v>369</v>
      </c>
      <c r="E229" t="s">
        <v>680</v>
      </c>
      <c r="F229" t="s">
        <v>1033</v>
      </c>
      <c r="G229" t="s">
        <v>2290</v>
      </c>
      <c r="H229" t="s">
        <v>3636</v>
      </c>
      <c r="I229" t="s">
        <v>4844</v>
      </c>
      <c r="J229" t="s">
        <v>5321</v>
      </c>
      <c r="K229">
        <v>10452</v>
      </c>
      <c r="L229" t="s">
        <v>5355</v>
      </c>
      <c r="M229" t="s">
        <v>5355</v>
      </c>
      <c r="N229" t="s">
        <v>5450</v>
      </c>
      <c r="O229" t="s">
        <v>6491</v>
      </c>
      <c r="P229" t="s">
        <v>6524</v>
      </c>
      <c r="Q229" t="s">
        <v>6531</v>
      </c>
      <c r="R229" t="s">
        <v>6539</v>
      </c>
      <c r="S229" t="s">
        <v>5357</v>
      </c>
      <c r="U229" t="s">
        <v>6557</v>
      </c>
      <c r="W229" t="s">
        <v>375</v>
      </c>
      <c r="X229">
        <v>587</v>
      </c>
      <c r="Y229" t="s">
        <v>6606</v>
      </c>
      <c r="Z229" t="s">
        <v>6493</v>
      </c>
      <c r="AA229" t="s">
        <v>6631</v>
      </c>
      <c r="AB229" t="s">
        <v>6879</v>
      </c>
      <c r="AD229" t="s">
        <v>9300</v>
      </c>
      <c r="AE229">
        <v>64</v>
      </c>
      <c r="AF229" t="s">
        <v>11005</v>
      </c>
      <c r="AG229" t="s">
        <v>11024</v>
      </c>
      <c r="AH229">
        <v>11</v>
      </c>
      <c r="AI229">
        <v>3</v>
      </c>
      <c r="AJ229">
        <v>0</v>
      </c>
      <c r="AK229">
        <v>135.51</v>
      </c>
      <c r="AN229" t="s">
        <v>11049</v>
      </c>
      <c r="AO229">
        <v>28160</v>
      </c>
      <c r="AU229">
        <v>1.5</v>
      </c>
      <c r="AV229" t="s">
        <v>263</v>
      </c>
      <c r="AW229" t="s">
        <v>11513</v>
      </c>
    </row>
    <row r="230" spans="1:50">
      <c r="A230" s="1">
        <f>HYPERLINK("https://cms.ls-nyc.org/matter/dynamic-profile/view/1898820","19-1898820")</f>
        <v>0</v>
      </c>
      <c r="B230" t="s">
        <v>122</v>
      </c>
      <c r="C230" t="s">
        <v>234</v>
      </c>
      <c r="D230" t="s">
        <v>370</v>
      </c>
      <c r="E230" t="s">
        <v>728</v>
      </c>
      <c r="F230" t="s">
        <v>1034</v>
      </c>
      <c r="G230" t="s">
        <v>2291</v>
      </c>
      <c r="H230" t="s">
        <v>3637</v>
      </c>
      <c r="J230" t="s">
        <v>5320</v>
      </c>
      <c r="K230">
        <v>11207</v>
      </c>
      <c r="L230" t="s">
        <v>5355</v>
      </c>
      <c r="M230" t="s">
        <v>5355</v>
      </c>
      <c r="N230" t="s">
        <v>5451</v>
      </c>
      <c r="O230" t="s">
        <v>6490</v>
      </c>
      <c r="P230" t="s">
        <v>6524</v>
      </c>
      <c r="Q230" t="s">
        <v>6532</v>
      </c>
      <c r="R230" t="s">
        <v>6539</v>
      </c>
      <c r="S230" t="s">
        <v>5357</v>
      </c>
      <c r="U230" t="s">
        <v>6557</v>
      </c>
      <c r="V230" t="s">
        <v>6566</v>
      </c>
      <c r="W230" t="s">
        <v>241</v>
      </c>
      <c r="X230">
        <v>200</v>
      </c>
      <c r="Y230" t="s">
        <v>6605</v>
      </c>
      <c r="Z230" t="s">
        <v>6625</v>
      </c>
      <c r="AA230" t="s">
        <v>6642</v>
      </c>
      <c r="AB230" t="s">
        <v>6880</v>
      </c>
      <c r="AD230" t="s">
        <v>9301</v>
      </c>
      <c r="AE230">
        <v>3</v>
      </c>
      <c r="AF230" t="s">
        <v>11004</v>
      </c>
      <c r="AH230">
        <v>1</v>
      </c>
      <c r="AI230">
        <v>2</v>
      </c>
      <c r="AJ230">
        <v>0</v>
      </c>
      <c r="AK230">
        <v>136.44</v>
      </c>
      <c r="AN230" t="s">
        <v>11050</v>
      </c>
      <c r="AO230">
        <v>23072.4</v>
      </c>
      <c r="AU230">
        <v>4.9</v>
      </c>
      <c r="AV230" t="s">
        <v>728</v>
      </c>
      <c r="AW230" t="s">
        <v>122</v>
      </c>
    </row>
    <row r="231" spans="1:50">
      <c r="A231" s="1">
        <f>HYPERLINK("https://cms.ls-nyc.org/matter/dynamic-profile/view/1859390","18-1859390")</f>
        <v>0</v>
      </c>
      <c r="B231" t="s">
        <v>102</v>
      </c>
      <c r="C231" t="s">
        <v>234</v>
      </c>
      <c r="D231" t="s">
        <v>284</v>
      </c>
      <c r="E231" t="s">
        <v>665</v>
      </c>
      <c r="F231" t="s">
        <v>1035</v>
      </c>
      <c r="G231" t="s">
        <v>2292</v>
      </c>
      <c r="H231" t="s">
        <v>3526</v>
      </c>
      <c r="I231">
        <v>510</v>
      </c>
      <c r="J231" t="s">
        <v>5321</v>
      </c>
      <c r="K231">
        <v>10453</v>
      </c>
      <c r="L231" t="s">
        <v>5355</v>
      </c>
      <c r="M231" t="s">
        <v>5356</v>
      </c>
      <c r="O231" t="s">
        <v>6499</v>
      </c>
      <c r="P231" t="s">
        <v>6524</v>
      </c>
      <c r="Q231" t="s">
        <v>6531</v>
      </c>
      <c r="R231" t="s">
        <v>6539</v>
      </c>
      <c r="S231" t="s">
        <v>5355</v>
      </c>
      <c r="U231" t="s">
        <v>6557</v>
      </c>
      <c r="W231" t="s">
        <v>246</v>
      </c>
      <c r="X231">
        <v>1103</v>
      </c>
      <c r="Y231" t="s">
        <v>6606</v>
      </c>
      <c r="Z231" t="s">
        <v>6622</v>
      </c>
      <c r="AA231" t="s">
        <v>6631</v>
      </c>
      <c r="AB231" t="s">
        <v>6881</v>
      </c>
      <c r="AD231" t="s">
        <v>9302</v>
      </c>
      <c r="AE231">
        <v>146</v>
      </c>
      <c r="AF231" t="s">
        <v>11005</v>
      </c>
      <c r="AG231" t="s">
        <v>5406</v>
      </c>
      <c r="AH231">
        <v>10</v>
      </c>
      <c r="AI231">
        <v>2</v>
      </c>
      <c r="AJ231">
        <v>1</v>
      </c>
      <c r="AK231">
        <v>140.06</v>
      </c>
      <c r="AN231" t="s">
        <v>11049</v>
      </c>
      <c r="AO231">
        <v>28600</v>
      </c>
      <c r="AU231">
        <v>0.1</v>
      </c>
      <c r="AV231" t="s">
        <v>409</v>
      </c>
      <c r="AW231" t="s">
        <v>11492</v>
      </c>
    </row>
    <row r="232" spans="1:50">
      <c r="A232" s="1">
        <f>HYPERLINK("https://cms.ls-nyc.org/matter/dynamic-profile/view/1846014","17-1846014")</f>
        <v>0</v>
      </c>
      <c r="B232" t="s">
        <v>123</v>
      </c>
      <c r="C232" t="s">
        <v>234</v>
      </c>
      <c r="D232" t="s">
        <v>371</v>
      </c>
      <c r="E232" t="s">
        <v>665</v>
      </c>
      <c r="F232" t="s">
        <v>1036</v>
      </c>
      <c r="G232" t="s">
        <v>2293</v>
      </c>
      <c r="H232" t="s">
        <v>3638</v>
      </c>
      <c r="I232" t="s">
        <v>4845</v>
      </c>
      <c r="J232" t="s">
        <v>5323</v>
      </c>
      <c r="K232">
        <v>10034</v>
      </c>
      <c r="L232" t="s">
        <v>5356</v>
      </c>
      <c r="M232" t="s">
        <v>5356</v>
      </c>
      <c r="N232" t="s">
        <v>5452</v>
      </c>
      <c r="O232" t="s">
        <v>6492</v>
      </c>
      <c r="P232" t="s">
        <v>6524</v>
      </c>
      <c r="Q232" t="s">
        <v>6531</v>
      </c>
      <c r="R232" t="s">
        <v>6539</v>
      </c>
      <c r="S232" t="s">
        <v>5357</v>
      </c>
      <c r="U232" t="s">
        <v>6557</v>
      </c>
      <c r="W232" t="s">
        <v>371</v>
      </c>
      <c r="X232">
        <v>827</v>
      </c>
      <c r="Y232" t="s">
        <v>6608</v>
      </c>
      <c r="Z232" t="s">
        <v>6609</v>
      </c>
      <c r="AA232" t="s">
        <v>6631</v>
      </c>
      <c r="AB232" t="s">
        <v>6882</v>
      </c>
      <c r="AD232" t="s">
        <v>9303</v>
      </c>
      <c r="AE232">
        <v>91</v>
      </c>
      <c r="AF232" t="s">
        <v>11004</v>
      </c>
      <c r="AH232">
        <v>42</v>
      </c>
      <c r="AI232">
        <v>2</v>
      </c>
      <c r="AJ232">
        <v>0</v>
      </c>
      <c r="AK232">
        <v>140.39</v>
      </c>
      <c r="AN232" t="s">
        <v>11049</v>
      </c>
      <c r="AO232">
        <v>22800</v>
      </c>
      <c r="AU232">
        <v>0.4</v>
      </c>
      <c r="AV232" t="s">
        <v>576</v>
      </c>
      <c r="AW232" t="s">
        <v>11494</v>
      </c>
    </row>
    <row r="233" spans="1:50">
      <c r="A233" s="1">
        <f>HYPERLINK("https://cms.ls-nyc.org/matter/dynamic-profile/view/1852304","17-1852304")</f>
        <v>0</v>
      </c>
      <c r="B233" t="s">
        <v>67</v>
      </c>
      <c r="C233" t="s">
        <v>234</v>
      </c>
      <c r="D233" t="s">
        <v>372</v>
      </c>
      <c r="E233" t="s">
        <v>717</v>
      </c>
      <c r="F233" t="s">
        <v>1037</v>
      </c>
      <c r="G233" t="s">
        <v>2294</v>
      </c>
      <c r="H233" t="s">
        <v>3639</v>
      </c>
      <c r="I233">
        <v>8</v>
      </c>
      <c r="J233" t="s">
        <v>5323</v>
      </c>
      <c r="K233">
        <v>10035</v>
      </c>
      <c r="L233" t="s">
        <v>5355</v>
      </c>
      <c r="M233" t="s">
        <v>5355</v>
      </c>
      <c r="O233" t="s">
        <v>5393</v>
      </c>
      <c r="P233" t="s">
        <v>6524</v>
      </c>
      <c r="Q233" t="s">
        <v>6531</v>
      </c>
      <c r="R233" t="s">
        <v>6539</v>
      </c>
      <c r="S233" t="s">
        <v>5357</v>
      </c>
      <c r="U233" t="s">
        <v>6557</v>
      </c>
      <c r="V233" t="s">
        <v>6566</v>
      </c>
      <c r="W233" t="s">
        <v>372</v>
      </c>
      <c r="X233">
        <v>1650</v>
      </c>
      <c r="Y233" t="s">
        <v>6608</v>
      </c>
      <c r="Z233" t="s">
        <v>6614</v>
      </c>
      <c r="AA233" t="s">
        <v>6631</v>
      </c>
      <c r="AB233" t="s">
        <v>6784</v>
      </c>
      <c r="AD233" t="s">
        <v>9304</v>
      </c>
      <c r="AE233">
        <v>41</v>
      </c>
      <c r="AF233" t="s">
        <v>8722</v>
      </c>
      <c r="AG233" t="s">
        <v>5406</v>
      </c>
      <c r="AH233">
        <v>6</v>
      </c>
      <c r="AI233">
        <v>2</v>
      </c>
      <c r="AJ233">
        <v>0</v>
      </c>
      <c r="AK233">
        <v>141.63</v>
      </c>
      <c r="AN233" t="s">
        <v>11049</v>
      </c>
      <c r="AO233">
        <v>29337.5</v>
      </c>
      <c r="AU233">
        <v>0.2</v>
      </c>
      <c r="AV233" t="s">
        <v>717</v>
      </c>
      <c r="AW233" t="s">
        <v>11497</v>
      </c>
    </row>
    <row r="234" spans="1:50">
      <c r="A234" s="1">
        <f>HYPERLINK("https://cms.ls-nyc.org/matter/dynamic-profile/view/1866205","18-1866205")</f>
        <v>0</v>
      </c>
      <c r="B234" t="s">
        <v>124</v>
      </c>
      <c r="C234" t="s">
        <v>234</v>
      </c>
      <c r="D234" t="s">
        <v>274</v>
      </c>
      <c r="E234" t="s">
        <v>729</v>
      </c>
      <c r="F234" t="s">
        <v>1038</v>
      </c>
      <c r="G234" t="s">
        <v>2295</v>
      </c>
      <c r="H234" t="s">
        <v>3640</v>
      </c>
      <c r="I234" t="s">
        <v>4776</v>
      </c>
      <c r="J234" t="s">
        <v>5323</v>
      </c>
      <c r="K234">
        <v>10034</v>
      </c>
      <c r="L234" t="s">
        <v>5355</v>
      </c>
      <c r="M234" t="s">
        <v>5356</v>
      </c>
      <c r="N234" t="s">
        <v>5453</v>
      </c>
      <c r="O234" t="s">
        <v>6492</v>
      </c>
      <c r="P234" t="s">
        <v>6524</v>
      </c>
      <c r="Q234" t="s">
        <v>6531</v>
      </c>
      <c r="R234" t="s">
        <v>6539</v>
      </c>
      <c r="S234" t="s">
        <v>5357</v>
      </c>
      <c r="U234" t="s">
        <v>6557</v>
      </c>
      <c r="W234" t="s">
        <v>274</v>
      </c>
      <c r="X234">
        <v>1335</v>
      </c>
      <c r="Y234" t="s">
        <v>6608</v>
      </c>
      <c r="Z234" t="s">
        <v>6615</v>
      </c>
      <c r="AA234" t="s">
        <v>6631</v>
      </c>
      <c r="AB234" t="s">
        <v>6883</v>
      </c>
      <c r="AD234" t="s">
        <v>9305</v>
      </c>
      <c r="AE234">
        <v>41</v>
      </c>
      <c r="AF234" t="s">
        <v>11005</v>
      </c>
      <c r="AG234" t="s">
        <v>5406</v>
      </c>
      <c r="AH234">
        <v>25</v>
      </c>
      <c r="AI234">
        <v>1</v>
      </c>
      <c r="AJ234">
        <v>1</v>
      </c>
      <c r="AK234">
        <v>142.16</v>
      </c>
      <c r="AN234" t="s">
        <v>11049</v>
      </c>
      <c r="AO234">
        <v>23400</v>
      </c>
      <c r="AU234">
        <v>1.5</v>
      </c>
      <c r="AV234" t="s">
        <v>280</v>
      </c>
      <c r="AW234" t="s">
        <v>11497</v>
      </c>
      <c r="AX234" t="s">
        <v>11564</v>
      </c>
    </row>
    <row r="235" spans="1:50">
      <c r="A235" s="1">
        <f>HYPERLINK("https://cms.ls-nyc.org/matter/dynamic-profile/view/1863508","18-1863508")</f>
        <v>0</v>
      </c>
      <c r="B235" t="s">
        <v>121</v>
      </c>
      <c r="C235" t="s">
        <v>234</v>
      </c>
      <c r="D235" t="s">
        <v>373</v>
      </c>
      <c r="E235" t="s">
        <v>680</v>
      </c>
      <c r="F235" t="s">
        <v>1039</v>
      </c>
      <c r="G235" t="s">
        <v>2105</v>
      </c>
      <c r="H235" t="s">
        <v>3552</v>
      </c>
      <c r="I235" t="s">
        <v>4846</v>
      </c>
      <c r="J235" t="s">
        <v>5321</v>
      </c>
      <c r="K235">
        <v>10453</v>
      </c>
      <c r="L235" t="s">
        <v>5355</v>
      </c>
      <c r="M235" t="s">
        <v>5355</v>
      </c>
      <c r="O235" t="s">
        <v>6496</v>
      </c>
      <c r="P235" t="s">
        <v>6524</v>
      </c>
      <c r="Q235" t="s">
        <v>6531</v>
      </c>
      <c r="R235" t="s">
        <v>6539</v>
      </c>
      <c r="S235" t="s">
        <v>5357</v>
      </c>
      <c r="U235" t="s">
        <v>6557</v>
      </c>
      <c r="W235" t="s">
        <v>254</v>
      </c>
      <c r="X235">
        <v>1235</v>
      </c>
      <c r="Y235" t="s">
        <v>6606</v>
      </c>
      <c r="Z235" t="s">
        <v>6616</v>
      </c>
      <c r="AA235" t="s">
        <v>6631</v>
      </c>
      <c r="AB235" t="s">
        <v>6884</v>
      </c>
      <c r="AD235" t="s">
        <v>9306</v>
      </c>
      <c r="AE235">
        <v>48</v>
      </c>
      <c r="AG235" t="s">
        <v>6493</v>
      </c>
      <c r="AH235">
        <v>17</v>
      </c>
      <c r="AI235">
        <v>1</v>
      </c>
      <c r="AJ235">
        <v>0</v>
      </c>
      <c r="AK235">
        <v>142.83</v>
      </c>
      <c r="AN235" t="s">
        <v>11050</v>
      </c>
      <c r="AO235">
        <v>17340</v>
      </c>
      <c r="AU235">
        <v>1.6</v>
      </c>
      <c r="AV235" t="s">
        <v>263</v>
      </c>
      <c r="AW235" t="s">
        <v>11493</v>
      </c>
    </row>
    <row r="236" spans="1:50">
      <c r="A236" s="1">
        <f>HYPERLINK("https://cms.ls-nyc.org/matter/dynamic-profile/view/1843715","17-1843715")</f>
        <v>0</v>
      </c>
      <c r="B236" t="s">
        <v>53</v>
      </c>
      <c r="C236" t="s">
        <v>234</v>
      </c>
      <c r="D236" t="s">
        <v>374</v>
      </c>
      <c r="E236" t="s">
        <v>730</v>
      </c>
      <c r="F236" t="s">
        <v>1040</v>
      </c>
      <c r="G236" t="s">
        <v>2296</v>
      </c>
      <c r="H236" t="s">
        <v>3641</v>
      </c>
      <c r="I236" t="s">
        <v>4746</v>
      </c>
      <c r="J236" t="s">
        <v>5320</v>
      </c>
      <c r="K236">
        <v>11233</v>
      </c>
      <c r="L236" t="s">
        <v>5355</v>
      </c>
      <c r="M236" t="s">
        <v>5355</v>
      </c>
      <c r="N236" t="s">
        <v>5454</v>
      </c>
      <c r="O236" t="s">
        <v>6492</v>
      </c>
      <c r="P236" t="s">
        <v>6524</v>
      </c>
      <c r="Q236" t="s">
        <v>6531</v>
      </c>
      <c r="R236" t="s">
        <v>6539</v>
      </c>
      <c r="S236" t="s">
        <v>5355</v>
      </c>
      <c r="U236" t="s">
        <v>6557</v>
      </c>
      <c r="W236" t="s">
        <v>363</v>
      </c>
      <c r="X236">
        <v>1179.83</v>
      </c>
      <c r="Y236" t="s">
        <v>6605</v>
      </c>
      <c r="Z236" t="s">
        <v>6613</v>
      </c>
      <c r="AA236" t="s">
        <v>6631</v>
      </c>
      <c r="AB236" t="s">
        <v>6885</v>
      </c>
      <c r="AD236" t="s">
        <v>9307</v>
      </c>
      <c r="AE236">
        <v>100</v>
      </c>
      <c r="AF236" t="s">
        <v>11005</v>
      </c>
      <c r="AG236" t="s">
        <v>5406</v>
      </c>
      <c r="AH236">
        <v>30</v>
      </c>
      <c r="AI236">
        <v>2</v>
      </c>
      <c r="AJ236">
        <v>0</v>
      </c>
      <c r="AK236">
        <v>144.27</v>
      </c>
      <c r="AN236" t="s">
        <v>11050</v>
      </c>
      <c r="AO236">
        <v>23430</v>
      </c>
      <c r="AU236">
        <v>10.65</v>
      </c>
      <c r="AV236" t="s">
        <v>730</v>
      </c>
      <c r="AW236" t="s">
        <v>11519</v>
      </c>
    </row>
    <row r="237" spans="1:50">
      <c r="A237" s="1">
        <f>HYPERLINK("https://cms.ls-nyc.org/matter/dynamic-profile/view/1868631","18-1868631")</f>
        <v>0</v>
      </c>
      <c r="B237" t="s">
        <v>70</v>
      </c>
      <c r="C237" t="s">
        <v>234</v>
      </c>
      <c r="D237" t="s">
        <v>267</v>
      </c>
      <c r="E237" t="s">
        <v>680</v>
      </c>
      <c r="F237" t="s">
        <v>1041</v>
      </c>
      <c r="G237" t="s">
        <v>2297</v>
      </c>
      <c r="H237" t="s">
        <v>3642</v>
      </c>
      <c r="I237" t="s">
        <v>4833</v>
      </c>
      <c r="J237" t="s">
        <v>5323</v>
      </c>
      <c r="K237">
        <v>10039</v>
      </c>
      <c r="L237" t="s">
        <v>5355</v>
      </c>
      <c r="M237" t="s">
        <v>5355</v>
      </c>
      <c r="N237" t="s">
        <v>5455</v>
      </c>
      <c r="O237" t="s">
        <v>6492</v>
      </c>
      <c r="P237" t="s">
        <v>6524</v>
      </c>
      <c r="Q237" t="s">
        <v>6531</v>
      </c>
      <c r="R237" t="s">
        <v>6539</v>
      </c>
      <c r="S237" t="s">
        <v>5357</v>
      </c>
      <c r="U237" t="s">
        <v>6557</v>
      </c>
      <c r="W237" t="s">
        <v>315</v>
      </c>
      <c r="X237">
        <v>1358</v>
      </c>
      <c r="Y237" t="s">
        <v>6608</v>
      </c>
      <c r="Z237" t="s">
        <v>6615</v>
      </c>
      <c r="AA237" t="s">
        <v>6631</v>
      </c>
      <c r="AB237" t="s">
        <v>6886</v>
      </c>
      <c r="AD237" t="s">
        <v>9308</v>
      </c>
      <c r="AE237">
        <v>0</v>
      </c>
      <c r="AF237" t="s">
        <v>11005</v>
      </c>
      <c r="AG237" t="s">
        <v>5406</v>
      </c>
      <c r="AH237">
        <v>25</v>
      </c>
      <c r="AI237">
        <v>3</v>
      </c>
      <c r="AJ237">
        <v>0</v>
      </c>
      <c r="AK237">
        <v>144.37</v>
      </c>
      <c r="AN237" t="s">
        <v>11050</v>
      </c>
      <c r="AO237">
        <v>30000</v>
      </c>
      <c r="AU237">
        <v>2.1</v>
      </c>
      <c r="AV237" t="s">
        <v>683</v>
      </c>
      <c r="AW237" t="s">
        <v>11494</v>
      </c>
    </row>
    <row r="238" spans="1:50">
      <c r="A238" s="1">
        <f>HYPERLINK("https://cms.ls-nyc.org/matter/dynamic-profile/view/1869109","18-1869109")</f>
        <v>0</v>
      </c>
      <c r="B238" t="s">
        <v>125</v>
      </c>
      <c r="C238" t="s">
        <v>234</v>
      </c>
      <c r="D238" t="s">
        <v>375</v>
      </c>
      <c r="E238" t="s">
        <v>731</v>
      </c>
      <c r="F238" t="s">
        <v>1042</v>
      </c>
      <c r="G238" t="s">
        <v>2188</v>
      </c>
      <c r="H238" t="s">
        <v>3643</v>
      </c>
      <c r="J238" t="s">
        <v>5326</v>
      </c>
      <c r="K238">
        <v>11691</v>
      </c>
      <c r="L238" t="s">
        <v>5355</v>
      </c>
      <c r="M238" t="s">
        <v>5355</v>
      </c>
      <c r="N238" t="s">
        <v>5456</v>
      </c>
      <c r="O238" t="s">
        <v>6491</v>
      </c>
      <c r="P238" t="s">
        <v>6524</v>
      </c>
      <c r="Q238" t="s">
        <v>6531</v>
      </c>
      <c r="R238" t="s">
        <v>6539</v>
      </c>
      <c r="S238" t="s">
        <v>5357</v>
      </c>
      <c r="U238" t="s">
        <v>6557</v>
      </c>
      <c r="V238" t="s">
        <v>6566</v>
      </c>
      <c r="W238" t="s">
        <v>375</v>
      </c>
      <c r="X238">
        <v>467</v>
      </c>
      <c r="Y238" t="s">
        <v>6604</v>
      </c>
      <c r="Z238" t="s">
        <v>6615</v>
      </c>
      <c r="AA238" t="s">
        <v>6631</v>
      </c>
      <c r="AB238" t="s">
        <v>6887</v>
      </c>
      <c r="AC238" t="s">
        <v>5392</v>
      </c>
      <c r="AD238" t="s">
        <v>9309</v>
      </c>
      <c r="AE238">
        <v>3</v>
      </c>
      <c r="AF238" t="s">
        <v>11004</v>
      </c>
      <c r="AG238" t="s">
        <v>11020</v>
      </c>
      <c r="AH238">
        <v>9</v>
      </c>
      <c r="AI238">
        <v>2</v>
      </c>
      <c r="AJ238">
        <v>1</v>
      </c>
      <c r="AK238">
        <v>145.7</v>
      </c>
      <c r="AN238" t="s">
        <v>11058</v>
      </c>
      <c r="AO238">
        <v>30276</v>
      </c>
      <c r="AU238">
        <v>0.45</v>
      </c>
      <c r="AV238" t="s">
        <v>600</v>
      </c>
      <c r="AW238" t="s">
        <v>125</v>
      </c>
    </row>
    <row r="239" spans="1:50">
      <c r="A239" s="1">
        <f>HYPERLINK("https://cms.ls-nyc.org/matter/dynamic-profile/view/1850277","17-1850277")</f>
        <v>0</v>
      </c>
      <c r="B239" t="s">
        <v>97</v>
      </c>
      <c r="C239" t="s">
        <v>234</v>
      </c>
      <c r="D239" t="s">
        <v>376</v>
      </c>
      <c r="E239" t="s">
        <v>703</v>
      </c>
      <c r="F239" t="s">
        <v>1007</v>
      </c>
      <c r="G239" t="s">
        <v>2188</v>
      </c>
      <c r="H239" t="s">
        <v>3644</v>
      </c>
      <c r="I239">
        <v>47</v>
      </c>
      <c r="J239" t="s">
        <v>5323</v>
      </c>
      <c r="K239">
        <v>10034</v>
      </c>
      <c r="L239" t="s">
        <v>5355</v>
      </c>
      <c r="M239" t="s">
        <v>5355</v>
      </c>
      <c r="O239" t="s">
        <v>6491</v>
      </c>
      <c r="P239" t="s">
        <v>6524</v>
      </c>
      <c r="Q239" t="s">
        <v>6531</v>
      </c>
      <c r="R239" t="s">
        <v>6539</v>
      </c>
      <c r="S239" t="s">
        <v>5357</v>
      </c>
      <c r="U239" t="s">
        <v>6557</v>
      </c>
      <c r="W239" t="s">
        <v>376</v>
      </c>
      <c r="X239">
        <v>1340</v>
      </c>
      <c r="Y239" t="s">
        <v>6608</v>
      </c>
      <c r="Z239" t="s">
        <v>6616</v>
      </c>
      <c r="AA239" t="s">
        <v>6631</v>
      </c>
      <c r="AB239" t="s">
        <v>6888</v>
      </c>
      <c r="AE239">
        <v>50</v>
      </c>
      <c r="AF239" t="s">
        <v>11005</v>
      </c>
      <c r="AG239" t="s">
        <v>5406</v>
      </c>
      <c r="AH239">
        <v>2</v>
      </c>
      <c r="AI239">
        <v>2</v>
      </c>
      <c r="AJ239">
        <v>0</v>
      </c>
      <c r="AK239">
        <v>147.78</v>
      </c>
      <c r="AN239" t="s">
        <v>11050</v>
      </c>
      <c r="AO239">
        <v>24000</v>
      </c>
      <c r="AU239">
        <v>1.6</v>
      </c>
      <c r="AV239" t="s">
        <v>279</v>
      </c>
      <c r="AW239" t="s">
        <v>11495</v>
      </c>
    </row>
    <row r="240" spans="1:50">
      <c r="A240" s="1">
        <f>HYPERLINK("https://cms.ls-nyc.org/matter/dynamic-profile/view/1862379","18-1862379")</f>
        <v>0</v>
      </c>
      <c r="B240" t="s">
        <v>59</v>
      </c>
      <c r="C240" t="s">
        <v>234</v>
      </c>
      <c r="D240" t="s">
        <v>336</v>
      </c>
      <c r="E240" t="s">
        <v>671</v>
      </c>
      <c r="F240" t="s">
        <v>1007</v>
      </c>
      <c r="G240" t="s">
        <v>2298</v>
      </c>
      <c r="H240" t="s">
        <v>3645</v>
      </c>
      <c r="I240" t="s">
        <v>4800</v>
      </c>
      <c r="J240" t="s">
        <v>5321</v>
      </c>
      <c r="K240">
        <v>10455</v>
      </c>
      <c r="L240" t="s">
        <v>5355</v>
      </c>
      <c r="M240" t="s">
        <v>5356</v>
      </c>
      <c r="O240" t="s">
        <v>5393</v>
      </c>
      <c r="P240" t="s">
        <v>6524</v>
      </c>
      <c r="Q240" t="s">
        <v>6531</v>
      </c>
      <c r="R240" t="s">
        <v>6539</v>
      </c>
      <c r="S240" t="s">
        <v>5357</v>
      </c>
      <c r="U240" t="s">
        <v>6557</v>
      </c>
      <c r="W240" t="s">
        <v>336</v>
      </c>
      <c r="X240">
        <v>532</v>
      </c>
      <c r="Y240" t="s">
        <v>6606</v>
      </c>
      <c r="Z240" t="s">
        <v>6612</v>
      </c>
      <c r="AA240" t="s">
        <v>6631</v>
      </c>
      <c r="AB240" t="s">
        <v>6889</v>
      </c>
      <c r="AD240" t="s">
        <v>9310</v>
      </c>
      <c r="AE240">
        <v>66</v>
      </c>
      <c r="AF240" t="s">
        <v>11005</v>
      </c>
      <c r="AG240" t="s">
        <v>5406</v>
      </c>
      <c r="AH240">
        <v>1</v>
      </c>
      <c r="AI240">
        <v>2</v>
      </c>
      <c r="AJ240">
        <v>0</v>
      </c>
      <c r="AK240">
        <v>151.88</v>
      </c>
      <c r="AN240" t="s">
        <v>11050</v>
      </c>
      <c r="AO240">
        <v>25000</v>
      </c>
      <c r="AU240">
        <v>1.7</v>
      </c>
      <c r="AV240" t="s">
        <v>671</v>
      </c>
      <c r="AW240" t="s">
        <v>59</v>
      </c>
    </row>
    <row r="241" spans="1:50">
      <c r="A241" s="1">
        <f>HYPERLINK("https://cms.ls-nyc.org/matter/dynamic-profile/view/1863058","18-1863058")</f>
        <v>0</v>
      </c>
      <c r="B241" t="s">
        <v>69</v>
      </c>
      <c r="C241" t="s">
        <v>234</v>
      </c>
      <c r="D241" t="s">
        <v>377</v>
      </c>
      <c r="E241" t="s">
        <v>710</v>
      </c>
      <c r="F241" t="s">
        <v>1043</v>
      </c>
      <c r="G241" t="s">
        <v>2299</v>
      </c>
      <c r="H241" t="s">
        <v>3646</v>
      </c>
      <c r="I241" t="s">
        <v>4757</v>
      </c>
      <c r="J241" t="s">
        <v>5321</v>
      </c>
      <c r="K241">
        <v>10462</v>
      </c>
      <c r="L241" t="s">
        <v>5355</v>
      </c>
      <c r="M241" t="s">
        <v>5356</v>
      </c>
      <c r="O241" t="s">
        <v>6492</v>
      </c>
      <c r="P241" t="s">
        <v>6524</v>
      </c>
      <c r="Q241" t="s">
        <v>6531</v>
      </c>
      <c r="R241" t="s">
        <v>6539</v>
      </c>
      <c r="U241" t="s">
        <v>6557</v>
      </c>
      <c r="W241" t="s">
        <v>377</v>
      </c>
      <c r="X241">
        <v>1000</v>
      </c>
      <c r="Y241" t="s">
        <v>6606</v>
      </c>
      <c r="AA241" t="s">
        <v>6631</v>
      </c>
      <c r="AB241" t="s">
        <v>6890</v>
      </c>
      <c r="AD241" t="s">
        <v>9311</v>
      </c>
      <c r="AE241">
        <v>3857</v>
      </c>
      <c r="AH241">
        <v>12</v>
      </c>
      <c r="AI241">
        <v>1</v>
      </c>
      <c r="AJ241">
        <v>1</v>
      </c>
      <c r="AK241">
        <v>153.1</v>
      </c>
      <c r="AN241" t="s">
        <v>11050</v>
      </c>
      <c r="AO241">
        <v>25200</v>
      </c>
      <c r="AU241">
        <v>1.5</v>
      </c>
      <c r="AV241" t="s">
        <v>254</v>
      </c>
      <c r="AW241" t="s">
        <v>69</v>
      </c>
    </row>
    <row r="242" spans="1:50">
      <c r="A242" s="1">
        <f>HYPERLINK("https://cms.ls-nyc.org/matter/dynamic-profile/view/1851072","17-1851072")</f>
        <v>0</v>
      </c>
      <c r="B242" t="s">
        <v>54</v>
      </c>
      <c r="C242" t="s">
        <v>234</v>
      </c>
      <c r="D242" t="s">
        <v>367</v>
      </c>
      <c r="E242" t="s">
        <v>727</v>
      </c>
      <c r="F242" t="s">
        <v>942</v>
      </c>
      <c r="G242" t="s">
        <v>2300</v>
      </c>
      <c r="H242" t="s">
        <v>3631</v>
      </c>
      <c r="I242" t="s">
        <v>4847</v>
      </c>
      <c r="J242" t="s">
        <v>5320</v>
      </c>
      <c r="K242">
        <v>11212</v>
      </c>
      <c r="L242" t="s">
        <v>5355</v>
      </c>
      <c r="M242" t="s">
        <v>5356</v>
      </c>
      <c r="O242" t="s">
        <v>6500</v>
      </c>
      <c r="P242" t="s">
        <v>6524</v>
      </c>
      <c r="Q242" t="s">
        <v>6531</v>
      </c>
      <c r="R242" t="s">
        <v>6539</v>
      </c>
      <c r="S242" t="s">
        <v>5355</v>
      </c>
      <c r="U242" t="s">
        <v>6557</v>
      </c>
      <c r="W242" t="s">
        <v>6577</v>
      </c>
      <c r="X242">
        <v>868.91</v>
      </c>
      <c r="Y242" t="s">
        <v>6605</v>
      </c>
      <c r="Z242" t="s">
        <v>6622</v>
      </c>
      <c r="AA242" t="s">
        <v>6631</v>
      </c>
      <c r="AB242" t="s">
        <v>6891</v>
      </c>
      <c r="AC242" t="s">
        <v>8739</v>
      </c>
      <c r="AD242" t="s">
        <v>9312</v>
      </c>
      <c r="AE242">
        <v>172</v>
      </c>
      <c r="AF242" t="s">
        <v>11005</v>
      </c>
      <c r="AG242" t="s">
        <v>5406</v>
      </c>
      <c r="AH242">
        <v>7</v>
      </c>
      <c r="AI242">
        <v>1</v>
      </c>
      <c r="AJ242">
        <v>0</v>
      </c>
      <c r="AK242">
        <v>154.28</v>
      </c>
      <c r="AN242" t="s">
        <v>11050</v>
      </c>
      <c r="AO242">
        <v>18606</v>
      </c>
      <c r="AU242">
        <v>0.1</v>
      </c>
      <c r="AV242" t="s">
        <v>727</v>
      </c>
      <c r="AW242" t="s">
        <v>11512</v>
      </c>
      <c r="AX242" t="s">
        <v>11564</v>
      </c>
    </row>
    <row r="243" spans="1:50">
      <c r="A243" s="1">
        <f>HYPERLINK("https://cms.ls-nyc.org/matter/dynamic-profile/view/1870463","18-1870463")</f>
        <v>0</v>
      </c>
      <c r="B243" t="s">
        <v>65</v>
      </c>
      <c r="C243" t="s">
        <v>234</v>
      </c>
      <c r="D243" t="s">
        <v>255</v>
      </c>
      <c r="E243" t="s">
        <v>413</v>
      </c>
      <c r="F243" t="s">
        <v>1044</v>
      </c>
      <c r="G243" t="s">
        <v>2274</v>
      </c>
      <c r="H243" t="s">
        <v>3448</v>
      </c>
      <c r="I243" t="s">
        <v>4833</v>
      </c>
      <c r="J243" t="s">
        <v>5323</v>
      </c>
      <c r="K243">
        <v>10032</v>
      </c>
      <c r="L243" t="s">
        <v>5355</v>
      </c>
      <c r="M243" t="s">
        <v>5356</v>
      </c>
      <c r="O243" t="s">
        <v>6496</v>
      </c>
      <c r="P243" t="s">
        <v>6524</v>
      </c>
      <c r="Q243" t="s">
        <v>6531</v>
      </c>
      <c r="R243" t="s">
        <v>6539</v>
      </c>
      <c r="S243" t="s">
        <v>5355</v>
      </c>
      <c r="U243" t="s">
        <v>6557</v>
      </c>
      <c r="W243" t="s">
        <v>490</v>
      </c>
      <c r="X243">
        <v>1245.95</v>
      </c>
      <c r="Y243" t="s">
        <v>6608</v>
      </c>
      <c r="Z243" t="s">
        <v>6616</v>
      </c>
      <c r="AA243" t="s">
        <v>6634</v>
      </c>
      <c r="AB243" t="s">
        <v>6892</v>
      </c>
      <c r="AE243">
        <v>49</v>
      </c>
      <c r="AF243" t="s">
        <v>11005</v>
      </c>
      <c r="AG243" t="s">
        <v>5406</v>
      </c>
      <c r="AH243">
        <v>10</v>
      </c>
      <c r="AI243">
        <v>1</v>
      </c>
      <c r="AJ243">
        <v>1</v>
      </c>
      <c r="AK243">
        <v>157.21</v>
      </c>
      <c r="AN243" t="s">
        <v>11049</v>
      </c>
      <c r="AO243">
        <v>25876</v>
      </c>
      <c r="AU243">
        <v>0</v>
      </c>
      <c r="AV243" t="s">
        <v>328</v>
      </c>
      <c r="AW243" t="s">
        <v>11495</v>
      </c>
    </row>
    <row r="244" spans="1:50">
      <c r="A244" s="1">
        <f>HYPERLINK("https://cms.ls-nyc.org/matter/dynamic-profile/view/1868051","18-1868051")</f>
        <v>0</v>
      </c>
      <c r="B244" t="s">
        <v>107</v>
      </c>
      <c r="C244" t="s">
        <v>234</v>
      </c>
      <c r="D244" t="s">
        <v>270</v>
      </c>
      <c r="E244" t="s">
        <v>605</v>
      </c>
      <c r="F244" t="s">
        <v>1045</v>
      </c>
      <c r="G244" t="s">
        <v>2301</v>
      </c>
      <c r="H244" t="s">
        <v>3647</v>
      </c>
      <c r="I244" t="s">
        <v>4746</v>
      </c>
      <c r="J244" t="s">
        <v>5323</v>
      </c>
      <c r="K244">
        <v>10035</v>
      </c>
      <c r="L244" t="s">
        <v>5355</v>
      </c>
      <c r="M244" t="s">
        <v>5355</v>
      </c>
      <c r="O244" t="s">
        <v>6501</v>
      </c>
      <c r="P244" t="s">
        <v>6524</v>
      </c>
      <c r="Q244" t="s">
        <v>6531</v>
      </c>
      <c r="R244" t="s">
        <v>6539</v>
      </c>
      <c r="S244" t="s">
        <v>5357</v>
      </c>
      <c r="U244" t="s">
        <v>6563</v>
      </c>
      <c r="W244" t="s">
        <v>270</v>
      </c>
      <c r="X244">
        <v>843.01</v>
      </c>
      <c r="Y244" t="s">
        <v>6608</v>
      </c>
      <c r="Z244" t="s">
        <v>6625</v>
      </c>
      <c r="AA244" t="s">
        <v>6639</v>
      </c>
      <c r="AB244" t="s">
        <v>6893</v>
      </c>
      <c r="AD244" t="s">
        <v>9313</v>
      </c>
      <c r="AE244">
        <v>0</v>
      </c>
      <c r="AF244" t="s">
        <v>11006</v>
      </c>
      <c r="AG244" t="s">
        <v>5406</v>
      </c>
      <c r="AH244">
        <v>11</v>
      </c>
      <c r="AI244">
        <v>1</v>
      </c>
      <c r="AJ244">
        <v>1</v>
      </c>
      <c r="AK244">
        <v>157.47</v>
      </c>
      <c r="AN244" t="s">
        <v>11050</v>
      </c>
      <c r="AO244">
        <v>25920</v>
      </c>
      <c r="AU244">
        <v>1.25</v>
      </c>
      <c r="AV244" t="s">
        <v>817</v>
      </c>
      <c r="AW244" t="s">
        <v>11497</v>
      </c>
    </row>
    <row r="245" spans="1:50">
      <c r="A245" s="1">
        <f>HYPERLINK("https://cms.ls-nyc.org/matter/dynamic-profile/view/1858383","18-1858383")</f>
        <v>0</v>
      </c>
      <c r="B245" t="s">
        <v>71</v>
      </c>
      <c r="C245" t="s">
        <v>234</v>
      </c>
      <c r="D245" t="s">
        <v>347</v>
      </c>
      <c r="E245" t="s">
        <v>652</v>
      </c>
      <c r="F245" t="s">
        <v>929</v>
      </c>
      <c r="G245" t="s">
        <v>2219</v>
      </c>
      <c r="H245" t="s">
        <v>3648</v>
      </c>
      <c r="I245" t="s">
        <v>4848</v>
      </c>
      <c r="J245" t="s">
        <v>5321</v>
      </c>
      <c r="K245">
        <v>10468</v>
      </c>
      <c r="L245" t="s">
        <v>5355</v>
      </c>
      <c r="M245" t="s">
        <v>5356</v>
      </c>
      <c r="O245" t="s">
        <v>6494</v>
      </c>
      <c r="P245" t="s">
        <v>6524</v>
      </c>
      <c r="Q245" t="s">
        <v>6531</v>
      </c>
      <c r="R245" t="s">
        <v>6539</v>
      </c>
      <c r="S245" t="s">
        <v>5357</v>
      </c>
      <c r="U245" t="s">
        <v>6557</v>
      </c>
      <c r="W245" t="s">
        <v>516</v>
      </c>
      <c r="X245">
        <v>642.41</v>
      </c>
      <c r="Y245" t="s">
        <v>6606</v>
      </c>
      <c r="Z245" t="s">
        <v>6493</v>
      </c>
      <c r="AA245" t="s">
        <v>6631</v>
      </c>
      <c r="AB245" t="s">
        <v>6894</v>
      </c>
      <c r="AD245" t="s">
        <v>9314</v>
      </c>
      <c r="AE245">
        <v>0</v>
      </c>
      <c r="AG245" t="s">
        <v>11024</v>
      </c>
      <c r="AH245">
        <v>17</v>
      </c>
      <c r="AI245">
        <v>1</v>
      </c>
      <c r="AJ245">
        <v>0</v>
      </c>
      <c r="AK245">
        <v>157.81</v>
      </c>
      <c r="AN245" t="s">
        <v>11050</v>
      </c>
      <c r="AO245">
        <v>19032</v>
      </c>
      <c r="AU245">
        <v>12.2</v>
      </c>
      <c r="AV245" t="s">
        <v>652</v>
      </c>
      <c r="AW245" t="s">
        <v>11504</v>
      </c>
    </row>
    <row r="246" spans="1:50">
      <c r="A246" s="1">
        <f>HYPERLINK("https://cms.ls-nyc.org/matter/dynamic-profile/view/1859754","18-1859754")</f>
        <v>0</v>
      </c>
      <c r="B246" t="s">
        <v>64</v>
      </c>
      <c r="C246" t="s">
        <v>234</v>
      </c>
      <c r="D246" t="s">
        <v>360</v>
      </c>
      <c r="E246" t="s">
        <v>732</v>
      </c>
      <c r="F246" t="s">
        <v>1046</v>
      </c>
      <c r="G246" t="s">
        <v>2302</v>
      </c>
      <c r="H246" t="s">
        <v>3649</v>
      </c>
      <c r="I246" t="s">
        <v>4840</v>
      </c>
      <c r="J246" t="s">
        <v>5323</v>
      </c>
      <c r="K246">
        <v>10002</v>
      </c>
      <c r="L246" t="s">
        <v>5355</v>
      </c>
      <c r="M246" t="s">
        <v>5356</v>
      </c>
      <c r="N246" t="s">
        <v>5457</v>
      </c>
      <c r="O246" t="s">
        <v>6491</v>
      </c>
      <c r="P246" t="s">
        <v>6524</v>
      </c>
      <c r="Q246" t="s">
        <v>6531</v>
      </c>
      <c r="R246" t="s">
        <v>6539</v>
      </c>
      <c r="S246" t="s">
        <v>5357</v>
      </c>
      <c r="U246" t="s">
        <v>6557</v>
      </c>
      <c r="W246" t="s">
        <v>360</v>
      </c>
      <c r="X246">
        <v>823</v>
      </c>
      <c r="Y246" t="s">
        <v>6608</v>
      </c>
      <c r="Z246" t="s">
        <v>6616</v>
      </c>
      <c r="AA246" t="s">
        <v>6631</v>
      </c>
      <c r="AB246" t="s">
        <v>6895</v>
      </c>
      <c r="AD246" t="s">
        <v>9315</v>
      </c>
      <c r="AE246">
        <v>0</v>
      </c>
      <c r="AF246" t="s">
        <v>11005</v>
      </c>
      <c r="AG246" t="s">
        <v>5406</v>
      </c>
      <c r="AH246">
        <v>44</v>
      </c>
      <c r="AI246">
        <v>2</v>
      </c>
      <c r="AJ246">
        <v>0</v>
      </c>
      <c r="AK246">
        <v>158.13</v>
      </c>
      <c r="AN246" t="s">
        <v>11049</v>
      </c>
      <c r="AO246">
        <v>25680</v>
      </c>
      <c r="AU246">
        <v>0.5</v>
      </c>
      <c r="AV246" t="s">
        <v>339</v>
      </c>
      <c r="AW246" t="s">
        <v>11496</v>
      </c>
    </row>
    <row r="247" spans="1:50">
      <c r="A247" s="1">
        <f>HYPERLINK("https://cms.ls-nyc.org/matter/dynamic-profile/view/1854357","17-1854357")</f>
        <v>0</v>
      </c>
      <c r="B247" t="s">
        <v>78</v>
      </c>
      <c r="C247" t="s">
        <v>234</v>
      </c>
      <c r="D247" t="s">
        <v>378</v>
      </c>
      <c r="E247" t="s">
        <v>680</v>
      </c>
      <c r="F247" t="s">
        <v>1047</v>
      </c>
      <c r="G247" t="s">
        <v>2303</v>
      </c>
      <c r="H247" t="s">
        <v>3650</v>
      </c>
      <c r="I247" t="s">
        <v>4746</v>
      </c>
      <c r="J247" t="s">
        <v>5323</v>
      </c>
      <c r="K247">
        <v>10030</v>
      </c>
      <c r="L247" t="s">
        <v>5355</v>
      </c>
      <c r="M247" t="s">
        <v>5355</v>
      </c>
      <c r="O247" t="s">
        <v>5393</v>
      </c>
      <c r="P247" t="s">
        <v>6524</v>
      </c>
      <c r="Q247" t="s">
        <v>6531</v>
      </c>
      <c r="R247" t="s">
        <v>6539</v>
      </c>
      <c r="S247" t="s">
        <v>5357</v>
      </c>
      <c r="T247" t="s">
        <v>6542</v>
      </c>
      <c r="U247" t="s">
        <v>6557</v>
      </c>
      <c r="W247" t="s">
        <v>236</v>
      </c>
      <c r="X247">
        <v>1137</v>
      </c>
      <c r="Y247" t="s">
        <v>6608</v>
      </c>
      <c r="Z247" t="s">
        <v>6616</v>
      </c>
      <c r="AA247" t="s">
        <v>6631</v>
      </c>
      <c r="AB247" t="s">
        <v>6896</v>
      </c>
      <c r="AD247" t="s">
        <v>9316</v>
      </c>
      <c r="AE247">
        <v>111</v>
      </c>
      <c r="AF247" t="s">
        <v>11005</v>
      </c>
      <c r="AG247" t="s">
        <v>5406</v>
      </c>
      <c r="AH247">
        <v>20</v>
      </c>
      <c r="AI247">
        <v>2</v>
      </c>
      <c r="AJ247">
        <v>0</v>
      </c>
      <c r="AK247">
        <v>160.1</v>
      </c>
      <c r="AN247" t="s">
        <v>11049</v>
      </c>
      <c r="AO247">
        <v>26000</v>
      </c>
      <c r="AU247">
        <v>0.1</v>
      </c>
      <c r="AV247" t="s">
        <v>680</v>
      </c>
      <c r="AW247" t="s">
        <v>11494</v>
      </c>
    </row>
    <row r="248" spans="1:50">
      <c r="A248" s="1">
        <f>HYPERLINK("https://cms.ls-nyc.org/matter/dynamic-profile/view/1860300","18-1860300")</f>
        <v>0</v>
      </c>
      <c r="B248" t="s">
        <v>84</v>
      </c>
      <c r="C248" t="s">
        <v>235</v>
      </c>
      <c r="D248" t="s">
        <v>236</v>
      </c>
      <c r="F248" t="s">
        <v>1048</v>
      </c>
      <c r="G248" t="s">
        <v>2304</v>
      </c>
      <c r="H248" t="s">
        <v>3651</v>
      </c>
      <c r="I248" t="s">
        <v>4750</v>
      </c>
      <c r="J248" t="s">
        <v>5320</v>
      </c>
      <c r="K248">
        <v>11208</v>
      </c>
      <c r="L248" t="s">
        <v>5357</v>
      </c>
      <c r="M248" t="s">
        <v>5356</v>
      </c>
      <c r="O248" t="s">
        <v>6494</v>
      </c>
      <c r="P248" t="s">
        <v>6524</v>
      </c>
      <c r="R248" t="s">
        <v>6539</v>
      </c>
      <c r="S248" t="s">
        <v>5357</v>
      </c>
      <c r="U248" t="s">
        <v>6557</v>
      </c>
      <c r="W248" t="s">
        <v>236</v>
      </c>
      <c r="X248">
        <v>700</v>
      </c>
      <c r="Y248" t="s">
        <v>6605</v>
      </c>
      <c r="Z248" t="s">
        <v>6619</v>
      </c>
      <c r="AB248" t="s">
        <v>6897</v>
      </c>
      <c r="AE248">
        <v>192</v>
      </c>
      <c r="AF248" t="s">
        <v>8722</v>
      </c>
      <c r="AG248" t="s">
        <v>5406</v>
      </c>
      <c r="AH248">
        <v>7</v>
      </c>
      <c r="AI248">
        <v>1</v>
      </c>
      <c r="AJ248">
        <v>1</v>
      </c>
      <c r="AK248">
        <v>160.47</v>
      </c>
      <c r="AN248" t="s">
        <v>11050</v>
      </c>
      <c r="AO248">
        <v>26060</v>
      </c>
      <c r="AU248">
        <v>0.5</v>
      </c>
      <c r="AV248" t="s">
        <v>236</v>
      </c>
      <c r="AW248" t="s">
        <v>11507</v>
      </c>
    </row>
    <row r="249" spans="1:50">
      <c r="A249" s="1">
        <f>HYPERLINK("https://cms.ls-nyc.org/matter/dynamic-profile/view/1869476","18-1869476")</f>
        <v>0</v>
      </c>
      <c r="B249" t="s">
        <v>92</v>
      </c>
      <c r="C249" t="s">
        <v>234</v>
      </c>
      <c r="D249" t="s">
        <v>379</v>
      </c>
      <c r="E249" t="s">
        <v>733</v>
      </c>
      <c r="F249" t="s">
        <v>1049</v>
      </c>
      <c r="G249" t="s">
        <v>2305</v>
      </c>
      <c r="H249" t="s">
        <v>3652</v>
      </c>
      <c r="I249" t="s">
        <v>4787</v>
      </c>
      <c r="J249" t="s">
        <v>5323</v>
      </c>
      <c r="K249">
        <v>10035</v>
      </c>
      <c r="L249" t="s">
        <v>5355</v>
      </c>
      <c r="M249" t="s">
        <v>5355</v>
      </c>
      <c r="N249" t="s">
        <v>5458</v>
      </c>
      <c r="O249" t="s">
        <v>6492</v>
      </c>
      <c r="P249" t="s">
        <v>6524</v>
      </c>
      <c r="Q249" t="s">
        <v>6531</v>
      </c>
      <c r="R249" t="s">
        <v>6539</v>
      </c>
      <c r="S249" t="s">
        <v>5357</v>
      </c>
      <c r="U249" t="s">
        <v>6557</v>
      </c>
      <c r="V249" t="s">
        <v>6566</v>
      </c>
      <c r="W249" t="s">
        <v>474</v>
      </c>
      <c r="X249">
        <v>1141</v>
      </c>
      <c r="Y249" t="s">
        <v>6608</v>
      </c>
      <c r="Z249" t="s">
        <v>6616</v>
      </c>
      <c r="AA249" t="s">
        <v>6631</v>
      </c>
      <c r="AB249" t="s">
        <v>6898</v>
      </c>
      <c r="AD249" t="s">
        <v>9317</v>
      </c>
      <c r="AE249">
        <v>42</v>
      </c>
      <c r="AF249" t="s">
        <v>8722</v>
      </c>
      <c r="AG249" t="s">
        <v>5406</v>
      </c>
      <c r="AH249">
        <v>6</v>
      </c>
      <c r="AI249">
        <v>2</v>
      </c>
      <c r="AJ249">
        <v>3</v>
      </c>
      <c r="AK249">
        <v>161.81</v>
      </c>
      <c r="AN249" t="s">
        <v>11050</v>
      </c>
      <c r="AO249">
        <v>47604</v>
      </c>
      <c r="AU249">
        <v>2</v>
      </c>
      <c r="AV249" t="s">
        <v>474</v>
      </c>
      <c r="AW249" t="s">
        <v>11514</v>
      </c>
    </row>
    <row r="250" spans="1:50">
      <c r="A250" s="1">
        <f>HYPERLINK("https://cms.ls-nyc.org/matter/dynamic-profile/view/1854074","17-1854074")</f>
        <v>0</v>
      </c>
      <c r="B250" t="s">
        <v>75</v>
      </c>
      <c r="C250" t="s">
        <v>234</v>
      </c>
      <c r="D250" t="s">
        <v>332</v>
      </c>
      <c r="E250" t="s">
        <v>701</v>
      </c>
      <c r="F250" t="s">
        <v>1050</v>
      </c>
      <c r="G250" t="s">
        <v>1325</v>
      </c>
      <c r="H250" t="s">
        <v>3653</v>
      </c>
      <c r="I250" t="s">
        <v>4849</v>
      </c>
      <c r="J250" t="s">
        <v>5320</v>
      </c>
      <c r="K250">
        <v>11213</v>
      </c>
      <c r="L250" t="s">
        <v>5357</v>
      </c>
      <c r="M250" t="s">
        <v>5356</v>
      </c>
      <c r="O250" t="s">
        <v>6500</v>
      </c>
      <c r="P250" t="s">
        <v>6524</v>
      </c>
      <c r="Q250" t="s">
        <v>6531</v>
      </c>
      <c r="R250" t="s">
        <v>6539</v>
      </c>
      <c r="S250" t="s">
        <v>5355</v>
      </c>
      <c r="U250" t="s">
        <v>6557</v>
      </c>
      <c r="W250" t="s">
        <v>332</v>
      </c>
      <c r="X250">
        <v>1048</v>
      </c>
      <c r="Y250" t="s">
        <v>6605</v>
      </c>
      <c r="Z250" t="s">
        <v>6614</v>
      </c>
      <c r="AA250" t="s">
        <v>6631</v>
      </c>
      <c r="AB250" t="s">
        <v>6899</v>
      </c>
      <c r="AE250">
        <v>74</v>
      </c>
      <c r="AF250" t="s">
        <v>11005</v>
      </c>
      <c r="AH250">
        <v>0</v>
      </c>
      <c r="AI250">
        <v>2</v>
      </c>
      <c r="AJ250">
        <v>2</v>
      </c>
      <c r="AK250">
        <v>162.6</v>
      </c>
      <c r="AL250" t="s">
        <v>511</v>
      </c>
      <c r="AN250" t="s">
        <v>11050</v>
      </c>
      <c r="AO250">
        <v>40000</v>
      </c>
      <c r="AU250">
        <v>0.2</v>
      </c>
      <c r="AV250" t="s">
        <v>701</v>
      </c>
      <c r="AW250" t="s">
        <v>11489</v>
      </c>
    </row>
    <row r="251" spans="1:50">
      <c r="A251" s="1">
        <f>HYPERLINK("https://cms.ls-nyc.org/matter/dynamic-profile/view/1842703","17-1842703")</f>
        <v>0</v>
      </c>
      <c r="B251" t="s">
        <v>106</v>
      </c>
      <c r="C251" t="s">
        <v>235</v>
      </c>
      <c r="D251" t="s">
        <v>321</v>
      </c>
      <c r="F251" t="s">
        <v>1051</v>
      </c>
      <c r="G251" t="s">
        <v>2306</v>
      </c>
      <c r="H251" t="s">
        <v>3654</v>
      </c>
      <c r="I251" t="s">
        <v>4850</v>
      </c>
      <c r="J251" t="s">
        <v>5321</v>
      </c>
      <c r="K251">
        <v>10453</v>
      </c>
      <c r="L251" t="s">
        <v>5355</v>
      </c>
      <c r="M251" t="s">
        <v>5356</v>
      </c>
      <c r="O251" t="s">
        <v>5393</v>
      </c>
      <c r="P251" t="s">
        <v>6524</v>
      </c>
      <c r="R251" t="s">
        <v>6539</v>
      </c>
      <c r="S251" t="s">
        <v>5355</v>
      </c>
      <c r="U251" t="s">
        <v>6560</v>
      </c>
      <c r="W251" t="s">
        <v>480</v>
      </c>
      <c r="X251">
        <v>466.98</v>
      </c>
      <c r="Y251" t="s">
        <v>6606</v>
      </c>
      <c r="Z251" t="s">
        <v>6493</v>
      </c>
      <c r="AB251" t="s">
        <v>6900</v>
      </c>
      <c r="AD251" t="s">
        <v>9318</v>
      </c>
      <c r="AE251">
        <v>50</v>
      </c>
      <c r="AF251" t="s">
        <v>11005</v>
      </c>
      <c r="AG251" t="s">
        <v>5406</v>
      </c>
      <c r="AH251">
        <v>5</v>
      </c>
      <c r="AI251">
        <v>2</v>
      </c>
      <c r="AJ251">
        <v>2</v>
      </c>
      <c r="AK251">
        <v>162.6</v>
      </c>
      <c r="AN251" t="s">
        <v>11050</v>
      </c>
      <c r="AO251">
        <v>40000</v>
      </c>
      <c r="AU251">
        <v>2.9</v>
      </c>
      <c r="AV251" t="s">
        <v>238</v>
      </c>
      <c r="AW251" t="s">
        <v>11519</v>
      </c>
    </row>
    <row r="252" spans="1:50">
      <c r="A252" s="1">
        <f>HYPERLINK("https://cms.ls-nyc.org/matter/dynamic-profile/view/1862410","18-1862410")</f>
        <v>0</v>
      </c>
      <c r="B252" t="s">
        <v>66</v>
      </c>
      <c r="C252" t="s">
        <v>234</v>
      </c>
      <c r="D252" t="s">
        <v>285</v>
      </c>
      <c r="E252" t="s">
        <v>701</v>
      </c>
      <c r="F252" t="s">
        <v>1052</v>
      </c>
      <c r="G252" t="s">
        <v>2307</v>
      </c>
      <c r="H252" t="s">
        <v>3655</v>
      </c>
      <c r="I252">
        <v>3</v>
      </c>
      <c r="J252" t="s">
        <v>5323</v>
      </c>
      <c r="K252">
        <v>10030</v>
      </c>
      <c r="L252" t="s">
        <v>5355</v>
      </c>
      <c r="M252" t="s">
        <v>5355</v>
      </c>
      <c r="N252" t="s">
        <v>5459</v>
      </c>
      <c r="O252" t="s">
        <v>6491</v>
      </c>
      <c r="P252" t="s">
        <v>6524</v>
      </c>
      <c r="Q252" t="s">
        <v>6531</v>
      </c>
      <c r="R252" t="s">
        <v>6539</v>
      </c>
      <c r="S252" t="s">
        <v>5357</v>
      </c>
      <c r="U252" t="s">
        <v>6557</v>
      </c>
      <c r="W252" t="s">
        <v>298</v>
      </c>
      <c r="X252">
        <v>1125</v>
      </c>
      <c r="Y252" t="s">
        <v>6608</v>
      </c>
      <c r="Z252" t="s">
        <v>6616</v>
      </c>
      <c r="AA252" t="s">
        <v>6631</v>
      </c>
      <c r="AB252" t="s">
        <v>6901</v>
      </c>
      <c r="AD252" t="s">
        <v>9319</v>
      </c>
      <c r="AE252">
        <v>0</v>
      </c>
      <c r="AF252" t="s">
        <v>11004</v>
      </c>
      <c r="AG252" t="s">
        <v>5406</v>
      </c>
      <c r="AH252">
        <v>11</v>
      </c>
      <c r="AI252">
        <v>1</v>
      </c>
      <c r="AJ252">
        <v>0</v>
      </c>
      <c r="AK252">
        <v>164.74</v>
      </c>
      <c r="AN252" t="s">
        <v>11050</v>
      </c>
      <c r="AO252">
        <v>20000</v>
      </c>
      <c r="AU252">
        <v>0.4</v>
      </c>
      <c r="AV252" t="s">
        <v>693</v>
      </c>
      <c r="AW252" t="s">
        <v>11494</v>
      </c>
    </row>
    <row r="253" spans="1:50">
      <c r="A253" s="1">
        <f>HYPERLINK("https://cms.ls-nyc.org/matter/dynamic-profile/view/1858589","18-1858589")</f>
        <v>0</v>
      </c>
      <c r="B253" t="s">
        <v>84</v>
      </c>
      <c r="C253" t="s">
        <v>235</v>
      </c>
      <c r="D253" t="s">
        <v>279</v>
      </c>
      <c r="F253" t="s">
        <v>1053</v>
      </c>
      <c r="G253" t="s">
        <v>2308</v>
      </c>
      <c r="H253" t="s">
        <v>3656</v>
      </c>
      <c r="I253" t="s">
        <v>4851</v>
      </c>
      <c r="J253" t="s">
        <v>5320</v>
      </c>
      <c r="K253">
        <v>11225</v>
      </c>
      <c r="L253" t="s">
        <v>5357</v>
      </c>
      <c r="M253" t="s">
        <v>5356</v>
      </c>
      <c r="O253" t="s">
        <v>6494</v>
      </c>
      <c r="P253" t="s">
        <v>6524</v>
      </c>
      <c r="R253" t="s">
        <v>6539</v>
      </c>
      <c r="S253" t="s">
        <v>5357</v>
      </c>
      <c r="U253" t="s">
        <v>6560</v>
      </c>
      <c r="W253" t="s">
        <v>236</v>
      </c>
      <c r="X253">
        <v>1450</v>
      </c>
      <c r="Y253" t="s">
        <v>6605</v>
      </c>
      <c r="AB253" t="s">
        <v>6902</v>
      </c>
      <c r="AD253" t="s">
        <v>9320</v>
      </c>
      <c r="AE253">
        <v>126</v>
      </c>
      <c r="AG253" t="s">
        <v>11020</v>
      </c>
      <c r="AH253">
        <v>43</v>
      </c>
      <c r="AI253">
        <v>1</v>
      </c>
      <c r="AJ253">
        <v>0</v>
      </c>
      <c r="AK253">
        <v>164.98</v>
      </c>
      <c r="AN253" t="s">
        <v>11050</v>
      </c>
      <c r="AO253">
        <v>20028</v>
      </c>
      <c r="AU253">
        <v>0.5</v>
      </c>
      <c r="AV253" t="s">
        <v>279</v>
      </c>
      <c r="AW253" t="s">
        <v>11519</v>
      </c>
    </row>
    <row r="254" spans="1:50">
      <c r="A254" s="1">
        <f>HYPERLINK("https://cms.ls-nyc.org/matter/dynamic-profile/view/1855779","18-1855779")</f>
        <v>0</v>
      </c>
      <c r="B254" t="s">
        <v>83</v>
      </c>
      <c r="C254" t="s">
        <v>234</v>
      </c>
      <c r="D254" t="s">
        <v>380</v>
      </c>
      <c r="E254" t="s">
        <v>716</v>
      </c>
      <c r="F254" t="s">
        <v>1054</v>
      </c>
      <c r="G254" t="s">
        <v>2309</v>
      </c>
      <c r="H254" t="s">
        <v>3657</v>
      </c>
      <c r="I254" t="s">
        <v>4777</v>
      </c>
      <c r="J254" t="s">
        <v>5323</v>
      </c>
      <c r="K254">
        <v>10035</v>
      </c>
      <c r="L254" t="s">
        <v>5355</v>
      </c>
      <c r="M254" t="s">
        <v>5355</v>
      </c>
      <c r="N254" t="s">
        <v>5460</v>
      </c>
      <c r="O254" t="s">
        <v>6491</v>
      </c>
      <c r="P254" t="s">
        <v>6524</v>
      </c>
      <c r="Q254" t="s">
        <v>6531</v>
      </c>
      <c r="R254" t="s">
        <v>6539</v>
      </c>
      <c r="S254" t="s">
        <v>5357</v>
      </c>
      <c r="U254" t="s">
        <v>6557</v>
      </c>
      <c r="V254" t="s">
        <v>6566</v>
      </c>
      <c r="W254" t="s">
        <v>380</v>
      </c>
      <c r="X254">
        <v>1070</v>
      </c>
      <c r="Y254" t="s">
        <v>6608</v>
      </c>
      <c r="Z254" t="s">
        <v>6616</v>
      </c>
      <c r="AA254" t="s">
        <v>6631</v>
      </c>
      <c r="AB254" t="s">
        <v>6903</v>
      </c>
      <c r="AD254" t="s">
        <v>9321</v>
      </c>
      <c r="AE254">
        <v>12</v>
      </c>
      <c r="AF254" t="s">
        <v>11005</v>
      </c>
      <c r="AG254" t="s">
        <v>5406</v>
      </c>
      <c r="AH254">
        <v>25</v>
      </c>
      <c r="AI254">
        <v>1</v>
      </c>
      <c r="AJ254">
        <v>0</v>
      </c>
      <c r="AK254">
        <v>165.84</v>
      </c>
      <c r="AN254" t="s">
        <v>11050</v>
      </c>
      <c r="AO254">
        <v>20000</v>
      </c>
      <c r="AU254">
        <v>2</v>
      </c>
      <c r="AV254" t="s">
        <v>380</v>
      </c>
      <c r="AW254" t="s">
        <v>11497</v>
      </c>
    </row>
    <row r="255" spans="1:50">
      <c r="A255" s="1">
        <f>HYPERLINK("https://cms.ls-nyc.org/matter/dynamic-profile/view/1841739","17-1841739")</f>
        <v>0</v>
      </c>
      <c r="B255" t="s">
        <v>69</v>
      </c>
      <c r="C255" t="s">
        <v>234</v>
      </c>
      <c r="D255" t="s">
        <v>323</v>
      </c>
      <c r="E255" t="s">
        <v>710</v>
      </c>
      <c r="F255" t="s">
        <v>1055</v>
      </c>
      <c r="G255" t="s">
        <v>2310</v>
      </c>
      <c r="H255" t="s">
        <v>3658</v>
      </c>
      <c r="I255">
        <v>52</v>
      </c>
      <c r="J255" t="s">
        <v>5321</v>
      </c>
      <c r="K255">
        <v>10452</v>
      </c>
      <c r="L255" t="s">
        <v>5355</v>
      </c>
      <c r="M255" t="s">
        <v>5356</v>
      </c>
      <c r="O255" t="s">
        <v>5393</v>
      </c>
      <c r="P255" t="s">
        <v>6524</v>
      </c>
      <c r="Q255" t="s">
        <v>6531</v>
      </c>
      <c r="R255" t="s">
        <v>6539</v>
      </c>
      <c r="S255" t="s">
        <v>5357</v>
      </c>
      <c r="T255" t="s">
        <v>6543</v>
      </c>
      <c r="U255" t="s">
        <v>6557</v>
      </c>
      <c r="W255" t="s">
        <v>433</v>
      </c>
      <c r="X255">
        <v>1275</v>
      </c>
      <c r="Y255" t="s">
        <v>6606</v>
      </c>
      <c r="Z255" t="s">
        <v>6612</v>
      </c>
      <c r="AA255" t="s">
        <v>6636</v>
      </c>
      <c r="AB255" t="s">
        <v>6904</v>
      </c>
      <c r="AE255">
        <v>31</v>
      </c>
      <c r="AF255" t="s">
        <v>11005</v>
      </c>
      <c r="AG255" t="s">
        <v>5406</v>
      </c>
      <c r="AH255">
        <v>1</v>
      </c>
      <c r="AI255">
        <v>2</v>
      </c>
      <c r="AJ255">
        <v>0</v>
      </c>
      <c r="AK255">
        <v>166.26</v>
      </c>
      <c r="AN255" t="s">
        <v>11050</v>
      </c>
      <c r="AO255">
        <v>27000</v>
      </c>
      <c r="AP255" t="s">
        <v>11083</v>
      </c>
      <c r="AU255">
        <v>0.5</v>
      </c>
      <c r="AV255" t="s">
        <v>247</v>
      </c>
      <c r="AW255" t="s">
        <v>11492</v>
      </c>
    </row>
    <row r="256" spans="1:50">
      <c r="A256" s="1">
        <f>HYPERLINK("https://cms.ls-nyc.org/matter/dynamic-profile/view/1855722","18-1855722")</f>
        <v>0</v>
      </c>
      <c r="B256" t="s">
        <v>78</v>
      </c>
      <c r="C256" t="s">
        <v>234</v>
      </c>
      <c r="D256" t="s">
        <v>329</v>
      </c>
      <c r="E256" t="s">
        <v>734</v>
      </c>
      <c r="F256" t="s">
        <v>1056</v>
      </c>
      <c r="G256" t="s">
        <v>2311</v>
      </c>
      <c r="H256" t="s">
        <v>3659</v>
      </c>
      <c r="I256" t="s">
        <v>4852</v>
      </c>
      <c r="J256" t="s">
        <v>5321</v>
      </c>
      <c r="K256">
        <v>10463</v>
      </c>
      <c r="L256" t="s">
        <v>5355</v>
      </c>
      <c r="M256" t="s">
        <v>5355</v>
      </c>
      <c r="N256" t="s">
        <v>5461</v>
      </c>
      <c r="O256" t="s">
        <v>6492</v>
      </c>
      <c r="P256" t="s">
        <v>6524</v>
      </c>
      <c r="Q256" t="s">
        <v>6531</v>
      </c>
      <c r="R256" t="s">
        <v>6539</v>
      </c>
      <c r="S256" t="s">
        <v>5357</v>
      </c>
      <c r="T256" t="s">
        <v>6542</v>
      </c>
      <c r="U256" t="s">
        <v>6557</v>
      </c>
      <c r="W256" t="s">
        <v>236</v>
      </c>
      <c r="X256">
        <v>1122</v>
      </c>
      <c r="Y256" t="s">
        <v>6608</v>
      </c>
      <c r="Z256" t="s">
        <v>6615</v>
      </c>
      <c r="AA256" t="s">
        <v>6631</v>
      </c>
      <c r="AB256" t="s">
        <v>6905</v>
      </c>
      <c r="AD256" t="s">
        <v>9322</v>
      </c>
      <c r="AE256">
        <v>42</v>
      </c>
      <c r="AF256" t="s">
        <v>8722</v>
      </c>
      <c r="AG256" t="s">
        <v>5406</v>
      </c>
      <c r="AH256">
        <v>3</v>
      </c>
      <c r="AI256">
        <v>2</v>
      </c>
      <c r="AJ256">
        <v>1</v>
      </c>
      <c r="AK256">
        <v>166.5</v>
      </c>
      <c r="AN256" t="s">
        <v>11050</v>
      </c>
      <c r="AO256">
        <v>34000</v>
      </c>
      <c r="AU256">
        <v>0.5</v>
      </c>
      <c r="AV256" t="s">
        <v>329</v>
      </c>
      <c r="AW256" t="s">
        <v>11494</v>
      </c>
    </row>
    <row r="257" spans="1:50">
      <c r="A257" s="1">
        <f>HYPERLINK("https://cms.ls-nyc.org/matter/dynamic-profile/view/1867816","18-1867816")</f>
        <v>0</v>
      </c>
      <c r="B257" t="s">
        <v>126</v>
      </c>
      <c r="C257" t="s">
        <v>235</v>
      </c>
      <c r="D257" t="s">
        <v>334</v>
      </c>
      <c r="F257" t="s">
        <v>1057</v>
      </c>
      <c r="G257" t="s">
        <v>2136</v>
      </c>
      <c r="H257" t="s">
        <v>3660</v>
      </c>
      <c r="I257" t="s">
        <v>4803</v>
      </c>
      <c r="J257" t="s">
        <v>5323</v>
      </c>
      <c r="K257">
        <v>10009</v>
      </c>
      <c r="L257" t="s">
        <v>5355</v>
      </c>
      <c r="M257" t="s">
        <v>5355</v>
      </c>
      <c r="O257" t="s">
        <v>5393</v>
      </c>
      <c r="P257" t="s">
        <v>6524</v>
      </c>
      <c r="R257" t="s">
        <v>6539</v>
      </c>
      <c r="S257" t="s">
        <v>5357</v>
      </c>
      <c r="T257" t="s">
        <v>6542</v>
      </c>
      <c r="U257" t="s">
        <v>6557</v>
      </c>
      <c r="W257" t="s">
        <v>317</v>
      </c>
      <c r="X257">
        <v>0</v>
      </c>
      <c r="Y257" t="s">
        <v>6608</v>
      </c>
      <c r="Z257" t="s">
        <v>6614</v>
      </c>
      <c r="AB257" t="s">
        <v>6906</v>
      </c>
      <c r="AD257" t="s">
        <v>9323</v>
      </c>
      <c r="AE257">
        <v>0</v>
      </c>
      <c r="AF257" t="s">
        <v>8722</v>
      </c>
      <c r="AG257" t="s">
        <v>5406</v>
      </c>
      <c r="AH257">
        <v>0</v>
      </c>
      <c r="AI257">
        <v>3</v>
      </c>
      <c r="AJ257">
        <v>2</v>
      </c>
      <c r="AK257">
        <v>167</v>
      </c>
      <c r="AN257" t="s">
        <v>11050</v>
      </c>
      <c r="AO257">
        <v>49132.04</v>
      </c>
      <c r="AU257">
        <v>0.9</v>
      </c>
      <c r="AV257" t="s">
        <v>315</v>
      </c>
      <c r="AW257" t="s">
        <v>11494</v>
      </c>
    </row>
    <row r="258" spans="1:50">
      <c r="A258" s="1">
        <f>HYPERLINK("https://cms.ls-nyc.org/matter/dynamic-profile/view/1868208","18-1868208")</f>
        <v>0</v>
      </c>
      <c r="B258" t="s">
        <v>61</v>
      </c>
      <c r="C258" t="s">
        <v>234</v>
      </c>
      <c r="D258" t="s">
        <v>280</v>
      </c>
      <c r="E258" t="s">
        <v>712</v>
      </c>
      <c r="F258" t="s">
        <v>1058</v>
      </c>
      <c r="G258" t="s">
        <v>2312</v>
      </c>
      <c r="H258" t="s">
        <v>3661</v>
      </c>
      <c r="I258">
        <v>41</v>
      </c>
      <c r="J258" t="s">
        <v>5321</v>
      </c>
      <c r="K258">
        <v>10463</v>
      </c>
      <c r="L258" t="s">
        <v>5355</v>
      </c>
      <c r="M258" t="s">
        <v>5356</v>
      </c>
      <c r="N258" t="s">
        <v>5462</v>
      </c>
      <c r="O258" t="s">
        <v>6491</v>
      </c>
      <c r="P258" t="s">
        <v>6524</v>
      </c>
      <c r="Q258" t="s">
        <v>6531</v>
      </c>
      <c r="R258" t="s">
        <v>6539</v>
      </c>
      <c r="U258" t="s">
        <v>6557</v>
      </c>
      <c r="W258" t="s">
        <v>516</v>
      </c>
      <c r="X258">
        <v>1000</v>
      </c>
      <c r="Y258" t="s">
        <v>6606</v>
      </c>
      <c r="Z258" t="s">
        <v>6612</v>
      </c>
      <c r="AA258" t="s">
        <v>6631</v>
      </c>
      <c r="AB258" t="s">
        <v>6907</v>
      </c>
      <c r="AD258" t="s">
        <v>9324</v>
      </c>
      <c r="AE258">
        <v>0</v>
      </c>
      <c r="AF258" t="s">
        <v>8722</v>
      </c>
      <c r="AG258" t="s">
        <v>5406</v>
      </c>
      <c r="AH258">
        <v>41</v>
      </c>
      <c r="AI258">
        <v>2</v>
      </c>
      <c r="AJ258">
        <v>1</v>
      </c>
      <c r="AK258">
        <v>168.29</v>
      </c>
      <c r="AN258" t="s">
        <v>11049</v>
      </c>
      <c r="AO258">
        <v>34970</v>
      </c>
      <c r="AP258" t="s">
        <v>11075</v>
      </c>
      <c r="AU258">
        <v>1.5</v>
      </c>
      <c r="AV258" t="s">
        <v>267</v>
      </c>
      <c r="AW258" t="s">
        <v>11492</v>
      </c>
    </row>
    <row r="259" spans="1:50">
      <c r="A259" s="1">
        <f>HYPERLINK("https://cms.ls-nyc.org/matter/dynamic-profile/view/1857163","18-1857163")</f>
        <v>0</v>
      </c>
      <c r="B259" t="s">
        <v>83</v>
      </c>
      <c r="C259" t="s">
        <v>234</v>
      </c>
      <c r="D259" t="s">
        <v>297</v>
      </c>
      <c r="E259" t="s">
        <v>688</v>
      </c>
      <c r="F259" t="s">
        <v>1059</v>
      </c>
      <c r="G259" t="s">
        <v>2313</v>
      </c>
      <c r="H259" t="s">
        <v>3662</v>
      </c>
      <c r="I259" t="s">
        <v>4841</v>
      </c>
      <c r="J259" t="s">
        <v>5323</v>
      </c>
      <c r="K259">
        <v>10029</v>
      </c>
      <c r="L259" t="s">
        <v>5355</v>
      </c>
      <c r="M259" t="s">
        <v>5356</v>
      </c>
      <c r="O259" t="s">
        <v>5393</v>
      </c>
      <c r="P259" t="s">
        <v>6524</v>
      </c>
      <c r="Q259" t="s">
        <v>6531</v>
      </c>
      <c r="R259" t="s">
        <v>6539</v>
      </c>
      <c r="S259" t="s">
        <v>5357</v>
      </c>
      <c r="U259" t="s">
        <v>6557</v>
      </c>
      <c r="W259" t="s">
        <v>262</v>
      </c>
      <c r="X259">
        <v>2200</v>
      </c>
      <c r="Y259" t="s">
        <v>6608</v>
      </c>
      <c r="Z259" t="s">
        <v>6493</v>
      </c>
      <c r="AA259" t="s">
        <v>6631</v>
      </c>
      <c r="AB259" t="s">
        <v>6908</v>
      </c>
      <c r="AE259">
        <v>9</v>
      </c>
      <c r="AF259" t="s">
        <v>8722</v>
      </c>
      <c r="AG259" t="s">
        <v>5406</v>
      </c>
      <c r="AH259">
        <v>2</v>
      </c>
      <c r="AI259">
        <v>2</v>
      </c>
      <c r="AJ259">
        <v>2</v>
      </c>
      <c r="AK259">
        <v>169.11</v>
      </c>
      <c r="AN259" t="s">
        <v>11050</v>
      </c>
      <c r="AO259">
        <v>41600</v>
      </c>
      <c r="AP259" t="s">
        <v>11084</v>
      </c>
      <c r="AU259">
        <v>0.7</v>
      </c>
      <c r="AV259" t="s">
        <v>297</v>
      </c>
      <c r="AW259" t="s">
        <v>11507</v>
      </c>
    </row>
    <row r="260" spans="1:50">
      <c r="A260" s="1">
        <f>HYPERLINK("https://cms.ls-nyc.org/matter/dynamic-profile/view/1866889","18-1866889")</f>
        <v>0</v>
      </c>
      <c r="B260" t="s">
        <v>114</v>
      </c>
      <c r="C260" t="s">
        <v>234</v>
      </c>
      <c r="D260" t="s">
        <v>355</v>
      </c>
      <c r="E260" t="s">
        <v>735</v>
      </c>
      <c r="F260" t="s">
        <v>1060</v>
      </c>
      <c r="G260" t="s">
        <v>2154</v>
      </c>
      <c r="H260" t="s">
        <v>3663</v>
      </c>
      <c r="I260" t="s">
        <v>4853</v>
      </c>
      <c r="J260" t="s">
        <v>5320</v>
      </c>
      <c r="K260">
        <v>11208</v>
      </c>
      <c r="L260" t="s">
        <v>5355</v>
      </c>
      <c r="M260" t="s">
        <v>5356</v>
      </c>
      <c r="N260" t="s">
        <v>5463</v>
      </c>
      <c r="O260" t="s">
        <v>6492</v>
      </c>
      <c r="P260" t="s">
        <v>6524</v>
      </c>
      <c r="Q260" t="s">
        <v>6531</v>
      </c>
      <c r="R260" t="s">
        <v>6539</v>
      </c>
      <c r="U260" t="s">
        <v>6557</v>
      </c>
      <c r="W260" t="s">
        <v>334</v>
      </c>
      <c r="X260">
        <v>960</v>
      </c>
      <c r="Y260" t="s">
        <v>6605</v>
      </c>
      <c r="AA260" t="s">
        <v>6636</v>
      </c>
      <c r="AB260" t="s">
        <v>6909</v>
      </c>
      <c r="AC260" t="s">
        <v>5392</v>
      </c>
      <c r="AD260" t="s">
        <v>9325</v>
      </c>
      <c r="AE260">
        <v>60</v>
      </c>
      <c r="AF260" t="s">
        <v>11008</v>
      </c>
      <c r="AG260" t="s">
        <v>5406</v>
      </c>
      <c r="AH260">
        <v>10</v>
      </c>
      <c r="AI260">
        <v>1</v>
      </c>
      <c r="AJ260">
        <v>0</v>
      </c>
      <c r="AK260">
        <v>169.19</v>
      </c>
      <c r="AN260" t="s">
        <v>11050</v>
      </c>
      <c r="AO260">
        <v>20540</v>
      </c>
      <c r="AU260">
        <v>4.8</v>
      </c>
      <c r="AV260" t="s">
        <v>600</v>
      </c>
      <c r="AW260" t="s">
        <v>11511</v>
      </c>
    </row>
    <row r="261" spans="1:50">
      <c r="A261" s="1">
        <f>HYPERLINK("https://cms.ls-nyc.org/matter/dynamic-profile/view/1848785","17-1848785")</f>
        <v>0</v>
      </c>
      <c r="B261" t="s">
        <v>80</v>
      </c>
      <c r="C261" t="s">
        <v>234</v>
      </c>
      <c r="D261" t="s">
        <v>340</v>
      </c>
      <c r="E261" t="s">
        <v>652</v>
      </c>
      <c r="F261" t="s">
        <v>1061</v>
      </c>
      <c r="G261" t="s">
        <v>2314</v>
      </c>
      <c r="H261" t="s">
        <v>3664</v>
      </c>
      <c r="I261" t="s">
        <v>4854</v>
      </c>
      <c r="J261" t="s">
        <v>5321</v>
      </c>
      <c r="K261">
        <v>10457</v>
      </c>
      <c r="L261" t="s">
        <v>5355</v>
      </c>
      <c r="M261" t="s">
        <v>5356</v>
      </c>
      <c r="O261" t="s">
        <v>5393</v>
      </c>
      <c r="P261" t="s">
        <v>6524</v>
      </c>
      <c r="Q261" t="s">
        <v>6531</v>
      </c>
      <c r="R261" t="s">
        <v>6539</v>
      </c>
      <c r="S261" t="s">
        <v>5355</v>
      </c>
      <c r="U261" t="s">
        <v>6557</v>
      </c>
      <c r="W261" t="s">
        <v>516</v>
      </c>
      <c r="X261">
        <v>1650</v>
      </c>
      <c r="Y261" t="s">
        <v>6606</v>
      </c>
      <c r="Z261" t="s">
        <v>6625</v>
      </c>
      <c r="AA261" t="s">
        <v>6631</v>
      </c>
      <c r="AB261" t="s">
        <v>6910</v>
      </c>
      <c r="AD261" t="s">
        <v>9326</v>
      </c>
      <c r="AE261">
        <v>46</v>
      </c>
      <c r="AF261" t="s">
        <v>8722</v>
      </c>
      <c r="AG261" t="s">
        <v>5406</v>
      </c>
      <c r="AH261">
        <v>3</v>
      </c>
      <c r="AI261">
        <v>1</v>
      </c>
      <c r="AJ261">
        <v>2</v>
      </c>
      <c r="AK261">
        <v>170.23</v>
      </c>
      <c r="AN261" t="s">
        <v>11049</v>
      </c>
      <c r="AO261">
        <v>34760</v>
      </c>
      <c r="AU261">
        <v>0.65</v>
      </c>
      <c r="AV261" t="s">
        <v>652</v>
      </c>
      <c r="AW261" t="s">
        <v>11509</v>
      </c>
    </row>
    <row r="262" spans="1:50">
      <c r="A262" s="1">
        <f>HYPERLINK("https://cms.ls-nyc.org/matter/dynamic-profile/view/1851758","17-1851758")</f>
        <v>0</v>
      </c>
      <c r="B262" t="s">
        <v>71</v>
      </c>
      <c r="C262" t="s">
        <v>234</v>
      </c>
      <c r="D262" t="s">
        <v>381</v>
      </c>
      <c r="E262" t="s">
        <v>265</v>
      </c>
      <c r="F262" t="s">
        <v>1062</v>
      </c>
      <c r="G262" t="s">
        <v>2315</v>
      </c>
      <c r="H262" t="s">
        <v>3665</v>
      </c>
      <c r="I262" t="s">
        <v>4778</v>
      </c>
      <c r="J262" t="s">
        <v>5321</v>
      </c>
      <c r="K262">
        <v>10452</v>
      </c>
      <c r="L262" t="s">
        <v>5355</v>
      </c>
      <c r="M262" t="s">
        <v>5356</v>
      </c>
      <c r="N262" t="s">
        <v>5464</v>
      </c>
      <c r="P262" t="s">
        <v>6524</v>
      </c>
      <c r="Q262" t="s">
        <v>6531</v>
      </c>
      <c r="R262" t="s">
        <v>6539</v>
      </c>
      <c r="U262" t="s">
        <v>6557</v>
      </c>
      <c r="W262" t="s">
        <v>516</v>
      </c>
      <c r="X262">
        <v>972</v>
      </c>
      <c r="Y262" t="s">
        <v>6606</v>
      </c>
      <c r="Z262" t="s">
        <v>6618</v>
      </c>
      <c r="AA262" t="s">
        <v>6631</v>
      </c>
      <c r="AB262" t="s">
        <v>6911</v>
      </c>
      <c r="AD262" t="s">
        <v>9327</v>
      </c>
      <c r="AE262">
        <v>86</v>
      </c>
      <c r="AF262" t="s">
        <v>11005</v>
      </c>
      <c r="AG262" t="s">
        <v>5406</v>
      </c>
      <c r="AH262">
        <v>15</v>
      </c>
      <c r="AI262">
        <v>1</v>
      </c>
      <c r="AJ262">
        <v>0</v>
      </c>
      <c r="AK262">
        <v>170.75</v>
      </c>
      <c r="AN262" t="s">
        <v>11050</v>
      </c>
      <c r="AO262">
        <v>20592</v>
      </c>
      <c r="AU262">
        <v>0.6</v>
      </c>
      <c r="AV262" t="s">
        <v>579</v>
      </c>
      <c r="AW262" t="s">
        <v>11524</v>
      </c>
    </row>
    <row r="263" spans="1:50">
      <c r="A263" s="1">
        <f>HYPERLINK("https://cms.ls-nyc.org/matter/dynamic-profile/view/1865640","18-1865640")</f>
        <v>0</v>
      </c>
      <c r="B263" t="s">
        <v>70</v>
      </c>
      <c r="C263" t="s">
        <v>234</v>
      </c>
      <c r="D263" t="s">
        <v>239</v>
      </c>
      <c r="E263" t="s">
        <v>680</v>
      </c>
      <c r="F263" t="s">
        <v>1063</v>
      </c>
      <c r="G263" t="s">
        <v>2316</v>
      </c>
      <c r="H263" t="s">
        <v>3666</v>
      </c>
      <c r="I263">
        <v>9</v>
      </c>
      <c r="J263" t="s">
        <v>5323</v>
      </c>
      <c r="K263">
        <v>10002</v>
      </c>
      <c r="L263" t="s">
        <v>5355</v>
      </c>
      <c r="M263" t="s">
        <v>5355</v>
      </c>
      <c r="N263" t="s">
        <v>5465</v>
      </c>
      <c r="O263" t="s">
        <v>6492</v>
      </c>
      <c r="P263" t="s">
        <v>6524</v>
      </c>
      <c r="Q263" t="s">
        <v>6531</v>
      </c>
      <c r="R263" t="s">
        <v>6539</v>
      </c>
      <c r="S263" t="s">
        <v>5357</v>
      </c>
      <c r="U263" t="s">
        <v>6557</v>
      </c>
      <c r="W263" t="s">
        <v>335</v>
      </c>
      <c r="X263">
        <v>636.63</v>
      </c>
      <c r="Y263" t="s">
        <v>6608</v>
      </c>
      <c r="Z263" t="s">
        <v>6615</v>
      </c>
      <c r="AA263" t="s">
        <v>6631</v>
      </c>
      <c r="AB263" t="s">
        <v>6912</v>
      </c>
      <c r="AD263" t="s">
        <v>9328</v>
      </c>
      <c r="AE263">
        <v>0</v>
      </c>
      <c r="AG263" t="s">
        <v>5406</v>
      </c>
      <c r="AH263">
        <v>23</v>
      </c>
      <c r="AI263">
        <v>1</v>
      </c>
      <c r="AJ263">
        <v>0</v>
      </c>
      <c r="AK263">
        <v>171.33</v>
      </c>
      <c r="AO263">
        <v>20800</v>
      </c>
      <c r="AU263">
        <v>2.15</v>
      </c>
      <c r="AV263" t="s">
        <v>683</v>
      </c>
      <c r="AW263" t="s">
        <v>11496</v>
      </c>
    </row>
    <row r="264" spans="1:50">
      <c r="A264" s="1">
        <f>HYPERLINK("https://cms.ls-nyc.org/matter/dynamic-profile/view/1861704","18-1861704")</f>
        <v>0</v>
      </c>
      <c r="B264" t="s">
        <v>84</v>
      </c>
      <c r="C264" t="s">
        <v>235</v>
      </c>
      <c r="D264" t="s">
        <v>362</v>
      </c>
      <c r="F264" t="s">
        <v>1064</v>
      </c>
      <c r="G264" t="s">
        <v>2317</v>
      </c>
      <c r="H264" t="s">
        <v>3667</v>
      </c>
      <c r="I264" t="s">
        <v>4852</v>
      </c>
      <c r="J264" t="s">
        <v>5320</v>
      </c>
      <c r="K264">
        <v>11203</v>
      </c>
      <c r="L264" t="s">
        <v>5357</v>
      </c>
      <c r="M264" t="s">
        <v>5356</v>
      </c>
      <c r="O264" t="s">
        <v>5393</v>
      </c>
      <c r="P264" t="s">
        <v>6524</v>
      </c>
      <c r="R264" t="s">
        <v>6539</v>
      </c>
      <c r="U264" t="s">
        <v>6557</v>
      </c>
      <c r="W264" t="s">
        <v>236</v>
      </c>
      <c r="X264">
        <v>720</v>
      </c>
      <c r="Y264" t="s">
        <v>6605</v>
      </c>
      <c r="AB264" t="s">
        <v>6913</v>
      </c>
      <c r="AD264" t="s">
        <v>9329</v>
      </c>
      <c r="AE264">
        <v>0</v>
      </c>
      <c r="AF264" t="s">
        <v>8722</v>
      </c>
      <c r="AG264" t="s">
        <v>5406</v>
      </c>
      <c r="AH264">
        <v>21</v>
      </c>
      <c r="AI264">
        <v>2</v>
      </c>
      <c r="AJ264">
        <v>0</v>
      </c>
      <c r="AK264">
        <v>173.15</v>
      </c>
      <c r="AN264" t="s">
        <v>11050</v>
      </c>
      <c r="AO264">
        <v>28500</v>
      </c>
      <c r="AU264">
        <v>1</v>
      </c>
      <c r="AV264" t="s">
        <v>362</v>
      </c>
      <c r="AW264" t="s">
        <v>11514</v>
      </c>
    </row>
    <row r="265" spans="1:50">
      <c r="A265" s="1">
        <f>HYPERLINK("https://cms.ls-nyc.org/matter/dynamic-profile/view/1858187","18-1858187")</f>
        <v>0</v>
      </c>
      <c r="B265" t="s">
        <v>101</v>
      </c>
      <c r="C265" t="s">
        <v>234</v>
      </c>
      <c r="D265" t="s">
        <v>347</v>
      </c>
      <c r="E265" t="s">
        <v>667</v>
      </c>
      <c r="F265" t="s">
        <v>914</v>
      </c>
      <c r="G265" t="s">
        <v>2318</v>
      </c>
      <c r="H265" t="s">
        <v>3668</v>
      </c>
      <c r="I265">
        <v>2</v>
      </c>
      <c r="J265" t="s">
        <v>5320</v>
      </c>
      <c r="K265">
        <v>11237</v>
      </c>
      <c r="L265" t="s">
        <v>5355</v>
      </c>
      <c r="M265" t="s">
        <v>5356</v>
      </c>
      <c r="N265" t="s">
        <v>5466</v>
      </c>
      <c r="O265" t="s">
        <v>6492</v>
      </c>
      <c r="P265" t="s">
        <v>6524</v>
      </c>
      <c r="Q265" t="s">
        <v>6531</v>
      </c>
      <c r="R265" t="s">
        <v>6539</v>
      </c>
      <c r="U265" t="s">
        <v>6557</v>
      </c>
      <c r="W265" t="s">
        <v>236</v>
      </c>
      <c r="X265">
        <v>1800</v>
      </c>
      <c r="Y265" t="s">
        <v>6605</v>
      </c>
      <c r="AA265" t="s">
        <v>6632</v>
      </c>
      <c r="AB265" t="s">
        <v>6914</v>
      </c>
      <c r="AD265" t="s">
        <v>9330</v>
      </c>
      <c r="AE265">
        <v>6</v>
      </c>
      <c r="AF265" t="s">
        <v>11005</v>
      </c>
      <c r="AH265">
        <v>9</v>
      </c>
      <c r="AI265">
        <v>3</v>
      </c>
      <c r="AJ265">
        <v>0</v>
      </c>
      <c r="AK265">
        <v>175.17</v>
      </c>
      <c r="AN265" t="s">
        <v>11049</v>
      </c>
      <c r="AO265">
        <v>36400</v>
      </c>
      <c r="AU265">
        <v>2.75</v>
      </c>
      <c r="AV265" t="s">
        <v>240</v>
      </c>
      <c r="AW265" t="s">
        <v>11489</v>
      </c>
    </row>
    <row r="266" spans="1:50">
      <c r="A266" s="1">
        <f>HYPERLINK("https://cms.ls-nyc.org/matter/dynamic-profile/view/1858601","18-1858601")</f>
        <v>0</v>
      </c>
      <c r="B266" t="s">
        <v>69</v>
      </c>
      <c r="C266" t="s">
        <v>234</v>
      </c>
      <c r="D266" t="s">
        <v>279</v>
      </c>
      <c r="E266" t="s">
        <v>541</v>
      </c>
      <c r="F266" t="s">
        <v>914</v>
      </c>
      <c r="G266" t="s">
        <v>1742</v>
      </c>
      <c r="H266" t="s">
        <v>3669</v>
      </c>
      <c r="I266" t="s">
        <v>4855</v>
      </c>
      <c r="J266" t="s">
        <v>5321</v>
      </c>
      <c r="K266">
        <v>10453</v>
      </c>
      <c r="L266" t="s">
        <v>5355</v>
      </c>
      <c r="M266" t="s">
        <v>5356</v>
      </c>
      <c r="N266" t="s">
        <v>5467</v>
      </c>
      <c r="O266" t="s">
        <v>6492</v>
      </c>
      <c r="P266" t="s">
        <v>6524</v>
      </c>
      <c r="Q266" t="s">
        <v>6531</v>
      </c>
      <c r="R266" t="s">
        <v>6539</v>
      </c>
      <c r="S266" t="s">
        <v>5357</v>
      </c>
      <c r="U266" t="s">
        <v>6557</v>
      </c>
      <c r="W266" t="s">
        <v>516</v>
      </c>
      <c r="X266">
        <v>875</v>
      </c>
      <c r="Y266" t="s">
        <v>6606</v>
      </c>
      <c r="Z266" t="s">
        <v>6493</v>
      </c>
      <c r="AA266" t="s">
        <v>6631</v>
      </c>
      <c r="AB266" t="s">
        <v>6915</v>
      </c>
      <c r="AD266" t="s">
        <v>9331</v>
      </c>
      <c r="AE266">
        <v>0</v>
      </c>
      <c r="AF266" t="s">
        <v>11005</v>
      </c>
      <c r="AH266">
        <v>20</v>
      </c>
      <c r="AI266">
        <v>1</v>
      </c>
      <c r="AJ266">
        <v>0</v>
      </c>
      <c r="AK266">
        <v>175.82</v>
      </c>
      <c r="AN266" t="s">
        <v>11049</v>
      </c>
      <c r="AO266">
        <v>21204</v>
      </c>
      <c r="AU266">
        <v>1.1</v>
      </c>
      <c r="AV266" t="s">
        <v>424</v>
      </c>
      <c r="AW266" t="s">
        <v>11504</v>
      </c>
    </row>
    <row r="267" spans="1:50">
      <c r="A267" s="1">
        <f>HYPERLINK("https://cms.ls-nyc.org/matter/dynamic-profile/view/1866482","18-1866482")</f>
        <v>0</v>
      </c>
      <c r="B267" t="s">
        <v>67</v>
      </c>
      <c r="C267" t="s">
        <v>234</v>
      </c>
      <c r="D267" t="s">
        <v>268</v>
      </c>
      <c r="E267" t="s">
        <v>386</v>
      </c>
      <c r="F267" t="s">
        <v>1065</v>
      </c>
      <c r="G267" t="s">
        <v>2319</v>
      </c>
      <c r="H267" t="s">
        <v>3670</v>
      </c>
      <c r="I267">
        <v>6</v>
      </c>
      <c r="J267" t="s">
        <v>5323</v>
      </c>
      <c r="K267">
        <v>10035</v>
      </c>
      <c r="L267" t="s">
        <v>5355</v>
      </c>
      <c r="M267" t="s">
        <v>5355</v>
      </c>
      <c r="O267" t="s">
        <v>5393</v>
      </c>
      <c r="P267" t="s">
        <v>6524</v>
      </c>
      <c r="Q267" t="s">
        <v>6531</v>
      </c>
      <c r="R267" t="s">
        <v>6539</v>
      </c>
      <c r="S267" t="s">
        <v>5357</v>
      </c>
      <c r="U267" t="s">
        <v>6557</v>
      </c>
      <c r="V267" t="s">
        <v>6566</v>
      </c>
      <c r="W267" t="s">
        <v>268</v>
      </c>
      <c r="X267">
        <v>1363</v>
      </c>
      <c r="Y267" t="s">
        <v>6608</v>
      </c>
      <c r="Z267" t="s">
        <v>6617</v>
      </c>
      <c r="AA267" t="s">
        <v>6631</v>
      </c>
      <c r="AB267" t="s">
        <v>6916</v>
      </c>
      <c r="AD267" t="s">
        <v>9332</v>
      </c>
      <c r="AE267">
        <v>8</v>
      </c>
      <c r="AF267" t="s">
        <v>11005</v>
      </c>
      <c r="AG267" t="s">
        <v>5406</v>
      </c>
      <c r="AH267">
        <v>4</v>
      </c>
      <c r="AI267">
        <v>4</v>
      </c>
      <c r="AJ267">
        <v>0</v>
      </c>
      <c r="AK267">
        <v>176.1</v>
      </c>
      <c r="AN267" t="s">
        <v>11049</v>
      </c>
      <c r="AO267">
        <v>44200</v>
      </c>
      <c r="AU267">
        <v>0.1</v>
      </c>
      <c r="AV267" t="s">
        <v>677</v>
      </c>
      <c r="AW267" t="s">
        <v>11497</v>
      </c>
    </row>
    <row r="268" spans="1:50">
      <c r="A268" s="1">
        <f>HYPERLINK("https://cms.ls-nyc.org/matter/dynamic-profile/view/1868018","18-1868018")</f>
        <v>0</v>
      </c>
      <c r="B268" t="s">
        <v>53</v>
      </c>
      <c r="C268" t="s">
        <v>234</v>
      </c>
      <c r="D268" t="s">
        <v>268</v>
      </c>
      <c r="E268" t="s">
        <v>702</v>
      </c>
      <c r="F268" t="s">
        <v>1066</v>
      </c>
      <c r="G268" t="s">
        <v>2320</v>
      </c>
      <c r="H268" t="s">
        <v>3434</v>
      </c>
      <c r="I268" t="s">
        <v>4856</v>
      </c>
      <c r="J268" t="s">
        <v>5320</v>
      </c>
      <c r="K268">
        <v>11208</v>
      </c>
      <c r="L268" t="s">
        <v>5355</v>
      </c>
      <c r="M268" t="s">
        <v>5356</v>
      </c>
      <c r="N268" t="s">
        <v>5468</v>
      </c>
      <c r="O268" t="s">
        <v>6491</v>
      </c>
      <c r="P268" t="s">
        <v>6524</v>
      </c>
      <c r="Q268" t="s">
        <v>6531</v>
      </c>
      <c r="R268" t="s">
        <v>6539</v>
      </c>
      <c r="S268" t="s">
        <v>5357</v>
      </c>
      <c r="U268" t="s">
        <v>6557</v>
      </c>
      <c r="W268" t="s">
        <v>268</v>
      </c>
      <c r="X268">
        <v>700</v>
      </c>
      <c r="Y268" t="s">
        <v>6605</v>
      </c>
      <c r="Z268" t="s">
        <v>6616</v>
      </c>
      <c r="AA268" t="s">
        <v>6631</v>
      </c>
      <c r="AB268" t="s">
        <v>6917</v>
      </c>
      <c r="AC268">
        <v>182052921</v>
      </c>
      <c r="AD268" t="s">
        <v>9333</v>
      </c>
      <c r="AE268">
        <v>0</v>
      </c>
      <c r="AG268" t="s">
        <v>5406</v>
      </c>
      <c r="AH268">
        <v>3</v>
      </c>
      <c r="AI268">
        <v>1</v>
      </c>
      <c r="AJ268">
        <v>0</v>
      </c>
      <c r="AK268">
        <v>176.69</v>
      </c>
      <c r="AO268">
        <v>21450</v>
      </c>
      <c r="AU268">
        <v>7.9</v>
      </c>
      <c r="AV268" t="s">
        <v>727</v>
      </c>
      <c r="AW268" t="s">
        <v>53</v>
      </c>
      <c r="AX268" t="s">
        <v>11564</v>
      </c>
    </row>
    <row r="269" spans="1:50">
      <c r="A269" s="1">
        <f>HYPERLINK("https://cms.ls-nyc.org/matter/dynamic-profile/view/1870372","18-1870372")</f>
        <v>0</v>
      </c>
      <c r="B269" t="s">
        <v>127</v>
      </c>
      <c r="C269" t="s">
        <v>235</v>
      </c>
      <c r="D269" t="s">
        <v>322</v>
      </c>
      <c r="F269" t="s">
        <v>1067</v>
      </c>
      <c r="G269" t="s">
        <v>2321</v>
      </c>
      <c r="H269" t="s">
        <v>3671</v>
      </c>
      <c r="I269" t="s">
        <v>4735</v>
      </c>
      <c r="J269" t="s">
        <v>5324</v>
      </c>
      <c r="K269">
        <v>11358</v>
      </c>
      <c r="L269" t="s">
        <v>5355</v>
      </c>
      <c r="M269" t="s">
        <v>5356</v>
      </c>
      <c r="N269" t="s">
        <v>5469</v>
      </c>
      <c r="O269" t="s">
        <v>6491</v>
      </c>
      <c r="P269" t="s">
        <v>6524</v>
      </c>
      <c r="R269" t="s">
        <v>6539</v>
      </c>
      <c r="S269" t="s">
        <v>5357</v>
      </c>
      <c r="U269" t="s">
        <v>6557</v>
      </c>
      <c r="W269" t="s">
        <v>322</v>
      </c>
      <c r="X269">
        <v>900</v>
      </c>
      <c r="Y269" t="s">
        <v>6604</v>
      </c>
      <c r="Z269" t="s">
        <v>6613</v>
      </c>
      <c r="AB269" t="s">
        <v>6918</v>
      </c>
      <c r="AC269" t="s">
        <v>5392</v>
      </c>
      <c r="AD269" t="s">
        <v>9334</v>
      </c>
      <c r="AE269">
        <v>3</v>
      </c>
      <c r="AF269" t="s">
        <v>11004</v>
      </c>
      <c r="AG269" t="s">
        <v>5406</v>
      </c>
      <c r="AH269">
        <v>8</v>
      </c>
      <c r="AI269">
        <v>1</v>
      </c>
      <c r="AJ269">
        <v>0</v>
      </c>
      <c r="AK269">
        <v>179.9</v>
      </c>
      <c r="AN269" t="s">
        <v>11050</v>
      </c>
      <c r="AO269">
        <v>21840</v>
      </c>
      <c r="AU269">
        <v>1.1</v>
      </c>
      <c r="AV269" t="s">
        <v>287</v>
      </c>
      <c r="AW269" t="s">
        <v>93</v>
      </c>
    </row>
    <row r="270" spans="1:50">
      <c r="A270" s="1">
        <f>HYPERLINK("https://cms.ls-nyc.org/matter/dynamic-profile/view/1869642","18-1869642")</f>
        <v>0</v>
      </c>
      <c r="B270" t="s">
        <v>128</v>
      </c>
      <c r="C270" t="s">
        <v>234</v>
      </c>
      <c r="D270" t="s">
        <v>364</v>
      </c>
      <c r="E270" t="s">
        <v>665</v>
      </c>
      <c r="F270" t="s">
        <v>1068</v>
      </c>
      <c r="G270" t="s">
        <v>2322</v>
      </c>
      <c r="H270" t="s">
        <v>3672</v>
      </c>
      <c r="I270" t="s">
        <v>4857</v>
      </c>
      <c r="J270" t="s">
        <v>5320</v>
      </c>
      <c r="K270">
        <v>11233</v>
      </c>
      <c r="L270" t="s">
        <v>5355</v>
      </c>
      <c r="M270" t="s">
        <v>5356</v>
      </c>
      <c r="N270" t="s">
        <v>5470</v>
      </c>
      <c r="O270" t="s">
        <v>6492</v>
      </c>
      <c r="P270" t="s">
        <v>6524</v>
      </c>
      <c r="Q270" t="s">
        <v>6531</v>
      </c>
      <c r="R270" t="s">
        <v>6539</v>
      </c>
      <c r="S270" t="s">
        <v>5355</v>
      </c>
      <c r="U270" t="s">
        <v>6557</v>
      </c>
      <c r="W270" t="s">
        <v>516</v>
      </c>
      <c r="X270">
        <v>1268</v>
      </c>
      <c r="Y270" t="s">
        <v>6605</v>
      </c>
      <c r="Z270" t="s">
        <v>6623</v>
      </c>
      <c r="AA270" t="s">
        <v>6631</v>
      </c>
      <c r="AB270" t="s">
        <v>6919</v>
      </c>
      <c r="AC270" t="s">
        <v>8740</v>
      </c>
      <c r="AD270" t="s">
        <v>9335</v>
      </c>
      <c r="AE270">
        <v>7</v>
      </c>
      <c r="AF270" t="s">
        <v>11005</v>
      </c>
      <c r="AG270" t="s">
        <v>11022</v>
      </c>
      <c r="AH270">
        <v>2</v>
      </c>
      <c r="AI270">
        <v>2</v>
      </c>
      <c r="AJ270">
        <v>1</v>
      </c>
      <c r="AK270">
        <v>181.04</v>
      </c>
      <c r="AN270" t="s">
        <v>11050</v>
      </c>
      <c r="AO270">
        <v>37620</v>
      </c>
      <c r="AU270">
        <v>0.1</v>
      </c>
      <c r="AV270" t="s">
        <v>513</v>
      </c>
      <c r="AW270" t="s">
        <v>11512</v>
      </c>
    </row>
    <row r="271" spans="1:50">
      <c r="A271" s="1">
        <f>HYPERLINK("https://cms.ls-nyc.org/matter/dynamic-profile/view/1867750","18-1867750")</f>
        <v>0</v>
      </c>
      <c r="B271" t="s">
        <v>129</v>
      </c>
      <c r="C271" t="s">
        <v>234</v>
      </c>
      <c r="D271" t="s">
        <v>382</v>
      </c>
      <c r="E271" t="s">
        <v>686</v>
      </c>
      <c r="F271" t="s">
        <v>1069</v>
      </c>
      <c r="G271" t="s">
        <v>2323</v>
      </c>
      <c r="H271" t="s">
        <v>3673</v>
      </c>
      <c r="I271" t="s">
        <v>4772</v>
      </c>
      <c r="J271" t="s">
        <v>5321</v>
      </c>
      <c r="K271">
        <v>10455</v>
      </c>
      <c r="L271" t="s">
        <v>5355</v>
      </c>
      <c r="M271" t="s">
        <v>5355</v>
      </c>
      <c r="O271" t="s">
        <v>6502</v>
      </c>
      <c r="P271" t="s">
        <v>6524</v>
      </c>
      <c r="Q271" t="s">
        <v>6531</v>
      </c>
      <c r="R271" t="s">
        <v>6539</v>
      </c>
      <c r="S271" t="s">
        <v>5357</v>
      </c>
      <c r="U271" t="s">
        <v>6557</v>
      </c>
      <c r="W271" t="s">
        <v>6573</v>
      </c>
      <c r="X271">
        <v>1044</v>
      </c>
      <c r="Y271" t="s">
        <v>6606</v>
      </c>
      <c r="Z271" t="s">
        <v>6612</v>
      </c>
      <c r="AA271" t="s">
        <v>6631</v>
      </c>
      <c r="AB271" t="s">
        <v>6920</v>
      </c>
      <c r="AE271">
        <v>0</v>
      </c>
      <c r="AG271" t="s">
        <v>6493</v>
      </c>
      <c r="AH271">
        <v>5</v>
      </c>
      <c r="AI271">
        <v>1</v>
      </c>
      <c r="AJ271">
        <v>0</v>
      </c>
      <c r="AK271">
        <v>181.22</v>
      </c>
      <c r="AN271" t="s">
        <v>11050</v>
      </c>
      <c r="AO271">
        <v>22000</v>
      </c>
      <c r="AU271">
        <v>15</v>
      </c>
      <c r="AV271" t="s">
        <v>675</v>
      </c>
      <c r="AW271" t="s">
        <v>95</v>
      </c>
    </row>
    <row r="272" spans="1:50">
      <c r="A272" s="1">
        <f>HYPERLINK("https://cms.ls-nyc.org/matter/dynamic-profile/view/1866679","18-1866679")</f>
        <v>0</v>
      </c>
      <c r="B272" t="s">
        <v>58</v>
      </c>
      <c r="C272" t="s">
        <v>234</v>
      </c>
      <c r="D272" t="s">
        <v>335</v>
      </c>
      <c r="E272" t="s">
        <v>402</v>
      </c>
      <c r="F272" t="s">
        <v>1070</v>
      </c>
      <c r="G272" t="s">
        <v>2188</v>
      </c>
      <c r="H272" t="s">
        <v>3674</v>
      </c>
      <c r="I272" t="s">
        <v>4757</v>
      </c>
      <c r="J272" t="s">
        <v>5321</v>
      </c>
      <c r="K272">
        <v>10452</v>
      </c>
      <c r="L272" t="s">
        <v>5355</v>
      </c>
      <c r="M272" t="s">
        <v>5356</v>
      </c>
      <c r="N272" t="s">
        <v>5471</v>
      </c>
      <c r="O272" t="s">
        <v>5393</v>
      </c>
      <c r="P272" t="s">
        <v>6524</v>
      </c>
      <c r="Q272" t="s">
        <v>6531</v>
      </c>
      <c r="R272" t="s">
        <v>6539</v>
      </c>
      <c r="S272" t="s">
        <v>5357</v>
      </c>
      <c r="U272" t="s">
        <v>6557</v>
      </c>
      <c r="W272" t="s">
        <v>516</v>
      </c>
      <c r="X272">
        <v>189</v>
      </c>
      <c r="Y272" t="s">
        <v>6606</v>
      </c>
      <c r="Z272" t="s">
        <v>6623</v>
      </c>
      <c r="AA272" t="s">
        <v>6631</v>
      </c>
      <c r="AB272" t="s">
        <v>6921</v>
      </c>
      <c r="AD272" t="s">
        <v>9336</v>
      </c>
      <c r="AE272">
        <v>56</v>
      </c>
      <c r="AF272" t="s">
        <v>11008</v>
      </c>
      <c r="AG272" t="s">
        <v>11020</v>
      </c>
      <c r="AH272">
        <v>8</v>
      </c>
      <c r="AI272">
        <v>1</v>
      </c>
      <c r="AJ272">
        <v>2</v>
      </c>
      <c r="AK272">
        <v>182.33</v>
      </c>
      <c r="AN272" t="s">
        <v>11050</v>
      </c>
      <c r="AO272">
        <v>37888</v>
      </c>
      <c r="AU272">
        <v>1.3</v>
      </c>
      <c r="AV272" t="s">
        <v>299</v>
      </c>
      <c r="AW272" t="s">
        <v>11507</v>
      </c>
    </row>
    <row r="273" spans="1:49">
      <c r="A273" s="1">
        <f>HYPERLINK("https://cms.ls-nyc.org/matter/dynamic-profile/view/1857859","18-1857859")</f>
        <v>0</v>
      </c>
      <c r="B273" t="s">
        <v>66</v>
      </c>
      <c r="C273" t="s">
        <v>234</v>
      </c>
      <c r="D273" t="s">
        <v>247</v>
      </c>
      <c r="E273" t="s">
        <v>701</v>
      </c>
      <c r="F273" t="s">
        <v>1071</v>
      </c>
      <c r="G273" t="s">
        <v>2324</v>
      </c>
      <c r="H273" t="s">
        <v>3675</v>
      </c>
      <c r="I273" t="s">
        <v>4837</v>
      </c>
      <c r="J273" t="s">
        <v>5323</v>
      </c>
      <c r="K273">
        <v>10027</v>
      </c>
      <c r="L273" t="s">
        <v>5355</v>
      </c>
      <c r="M273" t="s">
        <v>5355</v>
      </c>
      <c r="N273" t="s">
        <v>5472</v>
      </c>
      <c r="O273" t="s">
        <v>6491</v>
      </c>
      <c r="P273" t="s">
        <v>6524</v>
      </c>
      <c r="Q273" t="s">
        <v>6531</v>
      </c>
      <c r="R273" t="s">
        <v>6539</v>
      </c>
      <c r="S273" t="s">
        <v>5357</v>
      </c>
      <c r="T273" t="s">
        <v>6542</v>
      </c>
      <c r="U273" t="s">
        <v>6557</v>
      </c>
      <c r="W273" t="s">
        <v>236</v>
      </c>
      <c r="X273">
        <v>691</v>
      </c>
      <c r="Y273" t="s">
        <v>6608</v>
      </c>
      <c r="Z273" t="s">
        <v>6613</v>
      </c>
      <c r="AA273" t="s">
        <v>6631</v>
      </c>
      <c r="AB273" t="s">
        <v>6922</v>
      </c>
      <c r="AD273" t="s">
        <v>9337</v>
      </c>
      <c r="AE273">
        <v>11</v>
      </c>
      <c r="AF273" t="s">
        <v>11005</v>
      </c>
      <c r="AG273" t="s">
        <v>5406</v>
      </c>
      <c r="AH273">
        <v>12</v>
      </c>
      <c r="AI273">
        <v>2</v>
      </c>
      <c r="AJ273">
        <v>2</v>
      </c>
      <c r="AK273">
        <v>182.44</v>
      </c>
      <c r="AN273" t="s">
        <v>11050</v>
      </c>
      <c r="AO273">
        <v>44880</v>
      </c>
      <c r="AU273">
        <v>1.2</v>
      </c>
      <c r="AV273" t="s">
        <v>240</v>
      </c>
      <c r="AW273" t="s">
        <v>11494</v>
      </c>
    </row>
    <row r="274" spans="1:49">
      <c r="A274" s="1">
        <f>HYPERLINK("https://cms.ls-nyc.org/matter/dynamic-profile/view/1853287","17-1853287")</f>
        <v>0</v>
      </c>
      <c r="B274" t="s">
        <v>56</v>
      </c>
      <c r="C274" t="s">
        <v>234</v>
      </c>
      <c r="D274" t="s">
        <v>289</v>
      </c>
      <c r="E274" t="s">
        <v>665</v>
      </c>
      <c r="F274" t="s">
        <v>1072</v>
      </c>
      <c r="G274" t="s">
        <v>2215</v>
      </c>
      <c r="H274" t="s">
        <v>3676</v>
      </c>
      <c r="I274" t="s">
        <v>4743</v>
      </c>
      <c r="J274" t="s">
        <v>5321</v>
      </c>
      <c r="K274">
        <v>10452</v>
      </c>
      <c r="L274" t="s">
        <v>5355</v>
      </c>
      <c r="M274" t="s">
        <v>5356</v>
      </c>
      <c r="O274" t="s">
        <v>6492</v>
      </c>
      <c r="P274" t="s">
        <v>6524</v>
      </c>
      <c r="Q274" t="s">
        <v>6531</v>
      </c>
      <c r="R274" t="s">
        <v>6539</v>
      </c>
      <c r="S274" t="s">
        <v>5357</v>
      </c>
      <c r="U274" t="s">
        <v>6557</v>
      </c>
      <c r="W274" t="s">
        <v>424</v>
      </c>
      <c r="X274">
        <v>1250</v>
      </c>
      <c r="Y274" t="s">
        <v>6606</v>
      </c>
      <c r="Z274" t="s">
        <v>6612</v>
      </c>
      <c r="AA274" t="s">
        <v>6631</v>
      </c>
      <c r="AB274" t="s">
        <v>6923</v>
      </c>
      <c r="AE274">
        <v>48</v>
      </c>
      <c r="AF274" t="s">
        <v>11005</v>
      </c>
      <c r="AG274" t="s">
        <v>5406</v>
      </c>
      <c r="AH274">
        <v>1</v>
      </c>
      <c r="AI274">
        <v>2</v>
      </c>
      <c r="AJ274">
        <v>0</v>
      </c>
      <c r="AK274">
        <v>184.73</v>
      </c>
      <c r="AN274" t="s">
        <v>11049</v>
      </c>
      <c r="AO274">
        <v>30000</v>
      </c>
      <c r="AU274">
        <v>1.35</v>
      </c>
      <c r="AV274" t="s">
        <v>436</v>
      </c>
      <c r="AW274" t="s">
        <v>11509</v>
      </c>
    </row>
    <row r="275" spans="1:49">
      <c r="A275" s="1">
        <f>HYPERLINK("https://cms.ls-nyc.org/matter/dynamic-profile/view/1868946","18-1868946")</f>
        <v>0</v>
      </c>
      <c r="B275" t="s">
        <v>111</v>
      </c>
      <c r="C275" t="s">
        <v>234</v>
      </c>
      <c r="D275" t="s">
        <v>345</v>
      </c>
      <c r="E275" t="s">
        <v>670</v>
      </c>
      <c r="F275" t="s">
        <v>1073</v>
      </c>
      <c r="G275" t="s">
        <v>2325</v>
      </c>
      <c r="H275" t="s">
        <v>3677</v>
      </c>
      <c r="I275" t="s">
        <v>4858</v>
      </c>
      <c r="J275" t="s">
        <v>5323</v>
      </c>
      <c r="K275">
        <v>10034</v>
      </c>
      <c r="L275" t="s">
        <v>5355</v>
      </c>
      <c r="M275" t="s">
        <v>5356</v>
      </c>
      <c r="N275" t="s">
        <v>5473</v>
      </c>
      <c r="O275" t="s">
        <v>6491</v>
      </c>
      <c r="P275" t="s">
        <v>6524</v>
      </c>
      <c r="Q275" t="s">
        <v>6531</v>
      </c>
      <c r="R275" t="s">
        <v>6539</v>
      </c>
      <c r="S275" t="s">
        <v>5357</v>
      </c>
      <c r="U275" t="s">
        <v>6557</v>
      </c>
      <c r="W275" t="s">
        <v>345</v>
      </c>
      <c r="X275">
        <v>1550</v>
      </c>
      <c r="Y275" t="s">
        <v>6608</v>
      </c>
      <c r="Z275" t="s">
        <v>6616</v>
      </c>
      <c r="AA275" t="s">
        <v>6631</v>
      </c>
      <c r="AB275" t="s">
        <v>6924</v>
      </c>
      <c r="AD275" t="s">
        <v>9338</v>
      </c>
      <c r="AE275">
        <v>0</v>
      </c>
      <c r="AF275" t="s">
        <v>11005</v>
      </c>
      <c r="AG275" t="s">
        <v>5406</v>
      </c>
      <c r="AH275">
        <v>1</v>
      </c>
      <c r="AI275">
        <v>3</v>
      </c>
      <c r="AJ275">
        <v>3</v>
      </c>
      <c r="AK275">
        <v>184.94</v>
      </c>
      <c r="AN275" t="s">
        <v>11049</v>
      </c>
      <c r="AO275">
        <v>62400</v>
      </c>
      <c r="AU275">
        <v>1</v>
      </c>
      <c r="AV275" t="s">
        <v>345</v>
      </c>
      <c r="AW275" t="s">
        <v>11495</v>
      </c>
    </row>
    <row r="276" spans="1:49">
      <c r="A276" s="1">
        <f>HYPERLINK("https://cms.ls-nyc.org/matter/dynamic-profile/view/1870784","18-1870784")</f>
        <v>0</v>
      </c>
      <c r="B276" t="s">
        <v>65</v>
      </c>
      <c r="C276" t="s">
        <v>234</v>
      </c>
      <c r="D276" t="s">
        <v>328</v>
      </c>
      <c r="E276" t="s">
        <v>413</v>
      </c>
      <c r="F276" t="s">
        <v>911</v>
      </c>
      <c r="G276" t="s">
        <v>2326</v>
      </c>
      <c r="H276" t="s">
        <v>3448</v>
      </c>
      <c r="I276" t="s">
        <v>4814</v>
      </c>
      <c r="J276" t="s">
        <v>5323</v>
      </c>
      <c r="K276">
        <v>10032</v>
      </c>
      <c r="L276" t="s">
        <v>5355</v>
      </c>
      <c r="M276" t="s">
        <v>5356</v>
      </c>
      <c r="O276" t="s">
        <v>6499</v>
      </c>
      <c r="P276" t="s">
        <v>6524</v>
      </c>
      <c r="Q276" t="s">
        <v>6531</v>
      </c>
      <c r="R276" t="s">
        <v>6539</v>
      </c>
      <c r="S276" t="s">
        <v>5355</v>
      </c>
      <c r="U276" t="s">
        <v>6557</v>
      </c>
      <c r="W276" t="s">
        <v>328</v>
      </c>
      <c r="X276">
        <v>1217</v>
      </c>
      <c r="Y276" t="s">
        <v>6608</v>
      </c>
      <c r="Z276" t="s">
        <v>6614</v>
      </c>
      <c r="AA276" t="s">
        <v>6634</v>
      </c>
      <c r="AB276" t="s">
        <v>6925</v>
      </c>
      <c r="AE276">
        <v>49</v>
      </c>
      <c r="AF276" t="s">
        <v>11005</v>
      </c>
      <c r="AG276" t="s">
        <v>5406</v>
      </c>
      <c r="AH276">
        <v>19</v>
      </c>
      <c r="AI276">
        <v>1</v>
      </c>
      <c r="AJ276">
        <v>0</v>
      </c>
      <c r="AK276">
        <v>187.81</v>
      </c>
      <c r="AN276" t="s">
        <v>11050</v>
      </c>
      <c r="AO276">
        <v>22800</v>
      </c>
      <c r="AU276">
        <v>1</v>
      </c>
      <c r="AV276" t="s">
        <v>328</v>
      </c>
      <c r="AW276" t="s">
        <v>11495</v>
      </c>
    </row>
    <row r="277" spans="1:49">
      <c r="A277" s="1">
        <f>HYPERLINK("https://cms.ls-nyc.org/matter/dynamic-profile/view/1844903","17-1844903")</f>
        <v>0</v>
      </c>
      <c r="B277" t="s">
        <v>69</v>
      </c>
      <c r="C277" t="s">
        <v>234</v>
      </c>
      <c r="D277" t="s">
        <v>383</v>
      </c>
      <c r="E277" t="s">
        <v>679</v>
      </c>
      <c r="F277" t="s">
        <v>1074</v>
      </c>
      <c r="G277" t="s">
        <v>2327</v>
      </c>
      <c r="H277" t="s">
        <v>3678</v>
      </c>
      <c r="I277" t="s">
        <v>4787</v>
      </c>
      <c r="J277" t="s">
        <v>5321</v>
      </c>
      <c r="K277">
        <v>10474</v>
      </c>
      <c r="L277" t="s">
        <v>5355</v>
      </c>
      <c r="M277" t="s">
        <v>5356</v>
      </c>
      <c r="O277" t="s">
        <v>5393</v>
      </c>
      <c r="P277" t="s">
        <v>6524</v>
      </c>
      <c r="Q277" t="s">
        <v>6531</v>
      </c>
      <c r="R277" t="s">
        <v>6539</v>
      </c>
      <c r="S277" t="s">
        <v>5357</v>
      </c>
      <c r="U277" t="s">
        <v>6557</v>
      </c>
      <c r="W277" t="s">
        <v>424</v>
      </c>
      <c r="X277">
        <v>875</v>
      </c>
      <c r="Y277" t="s">
        <v>6606</v>
      </c>
      <c r="Z277" t="s">
        <v>6612</v>
      </c>
      <c r="AA277" t="s">
        <v>6631</v>
      </c>
      <c r="AB277" t="s">
        <v>6926</v>
      </c>
      <c r="AD277" t="s">
        <v>9339</v>
      </c>
      <c r="AE277">
        <v>56</v>
      </c>
      <c r="AF277" t="s">
        <v>8722</v>
      </c>
      <c r="AG277" t="s">
        <v>5406</v>
      </c>
      <c r="AH277">
        <v>5</v>
      </c>
      <c r="AI277">
        <v>1</v>
      </c>
      <c r="AJ277">
        <v>1</v>
      </c>
      <c r="AK277">
        <v>190.89</v>
      </c>
      <c r="AN277" t="s">
        <v>11050</v>
      </c>
      <c r="AO277">
        <v>31000</v>
      </c>
      <c r="AP277" t="s">
        <v>11083</v>
      </c>
      <c r="AU277">
        <v>0.15</v>
      </c>
      <c r="AV277" t="s">
        <v>547</v>
      </c>
      <c r="AW277" t="s">
        <v>11492</v>
      </c>
    </row>
    <row r="278" spans="1:49">
      <c r="A278" s="1">
        <f>HYPERLINK("https://cms.ls-nyc.org/matter/dynamic-profile/view/1858707","18-1858707")</f>
        <v>0</v>
      </c>
      <c r="B278" t="s">
        <v>59</v>
      </c>
      <c r="C278" t="s">
        <v>234</v>
      </c>
      <c r="D278" t="s">
        <v>248</v>
      </c>
      <c r="E278" t="s">
        <v>709</v>
      </c>
      <c r="F278" t="s">
        <v>1075</v>
      </c>
      <c r="G278" t="s">
        <v>2247</v>
      </c>
      <c r="H278" t="s">
        <v>3679</v>
      </c>
      <c r="I278" t="s">
        <v>4859</v>
      </c>
      <c r="J278" t="s">
        <v>5321</v>
      </c>
      <c r="K278">
        <v>10457</v>
      </c>
      <c r="L278" t="s">
        <v>5355</v>
      </c>
      <c r="M278" t="s">
        <v>5356</v>
      </c>
      <c r="O278" t="s">
        <v>5393</v>
      </c>
      <c r="P278" t="s">
        <v>6524</v>
      </c>
      <c r="Q278" t="s">
        <v>6531</v>
      </c>
      <c r="R278" t="s">
        <v>6539</v>
      </c>
      <c r="S278" t="s">
        <v>5357</v>
      </c>
      <c r="U278" t="s">
        <v>6557</v>
      </c>
      <c r="W278" t="s">
        <v>319</v>
      </c>
      <c r="X278">
        <v>1015.69</v>
      </c>
      <c r="Y278" t="s">
        <v>6606</v>
      </c>
      <c r="Z278" t="s">
        <v>6612</v>
      </c>
      <c r="AA278" t="s">
        <v>6631</v>
      </c>
      <c r="AB278" t="s">
        <v>6927</v>
      </c>
      <c r="AC278" t="s">
        <v>8741</v>
      </c>
      <c r="AD278" t="s">
        <v>9340</v>
      </c>
      <c r="AE278">
        <v>47</v>
      </c>
      <c r="AF278" t="s">
        <v>11005</v>
      </c>
      <c r="AG278" t="s">
        <v>5406</v>
      </c>
      <c r="AH278">
        <v>9</v>
      </c>
      <c r="AI278">
        <v>1</v>
      </c>
      <c r="AJ278">
        <v>2</v>
      </c>
      <c r="AK278">
        <v>190.99</v>
      </c>
      <c r="AN278" t="s">
        <v>11050</v>
      </c>
      <c r="AO278">
        <v>39000</v>
      </c>
      <c r="AU278">
        <v>1.2</v>
      </c>
      <c r="AV278" t="s">
        <v>709</v>
      </c>
      <c r="AW278" t="s">
        <v>11492</v>
      </c>
    </row>
    <row r="279" spans="1:49">
      <c r="A279" s="1">
        <f>HYPERLINK("https://cms.ls-nyc.org/matter/dynamic-profile/view/1869777","18-1869777")</f>
        <v>0</v>
      </c>
      <c r="B279" t="s">
        <v>130</v>
      </c>
      <c r="C279" t="s">
        <v>234</v>
      </c>
      <c r="D279" t="s">
        <v>275</v>
      </c>
      <c r="E279" t="s">
        <v>736</v>
      </c>
      <c r="F279" t="s">
        <v>1076</v>
      </c>
      <c r="G279" t="s">
        <v>2259</v>
      </c>
      <c r="H279" t="s">
        <v>3680</v>
      </c>
      <c r="I279" t="s">
        <v>4775</v>
      </c>
      <c r="J279" t="s">
        <v>5326</v>
      </c>
      <c r="K279">
        <v>11691</v>
      </c>
      <c r="L279" t="s">
        <v>5355</v>
      </c>
      <c r="M279" t="s">
        <v>5355</v>
      </c>
      <c r="N279" t="s">
        <v>5474</v>
      </c>
      <c r="O279" t="s">
        <v>6491</v>
      </c>
      <c r="P279" t="s">
        <v>6524</v>
      </c>
      <c r="Q279" t="s">
        <v>6531</v>
      </c>
      <c r="R279" t="s">
        <v>6539</v>
      </c>
      <c r="S279" t="s">
        <v>5357</v>
      </c>
      <c r="U279" t="s">
        <v>6557</v>
      </c>
      <c r="V279" t="s">
        <v>6566</v>
      </c>
      <c r="W279" t="s">
        <v>275</v>
      </c>
      <c r="X279">
        <v>2100</v>
      </c>
      <c r="Y279" t="s">
        <v>6604</v>
      </c>
      <c r="Z279" t="s">
        <v>6615</v>
      </c>
      <c r="AA279" t="s">
        <v>6631</v>
      </c>
      <c r="AB279" t="s">
        <v>6928</v>
      </c>
      <c r="AC279" t="s">
        <v>8742</v>
      </c>
      <c r="AD279" t="s">
        <v>9341</v>
      </c>
      <c r="AE279">
        <v>17</v>
      </c>
      <c r="AF279" t="s">
        <v>11005</v>
      </c>
      <c r="AG279" t="s">
        <v>5406</v>
      </c>
      <c r="AH279">
        <v>2</v>
      </c>
      <c r="AI279">
        <v>2</v>
      </c>
      <c r="AJ279">
        <v>1</v>
      </c>
      <c r="AK279">
        <v>191.53</v>
      </c>
      <c r="AN279" t="s">
        <v>11050</v>
      </c>
      <c r="AO279">
        <v>39800</v>
      </c>
      <c r="AU279">
        <v>1.6</v>
      </c>
      <c r="AV279" t="s">
        <v>736</v>
      </c>
      <c r="AW279" t="s">
        <v>11506</v>
      </c>
    </row>
    <row r="280" spans="1:49">
      <c r="A280" s="1">
        <f>HYPERLINK("https://cms.ls-nyc.org/matter/dynamic-profile/view/1851187","17-1851187")</f>
        <v>0</v>
      </c>
      <c r="B280" t="s">
        <v>51</v>
      </c>
      <c r="C280" t="s">
        <v>234</v>
      </c>
      <c r="D280" t="s">
        <v>384</v>
      </c>
      <c r="E280" t="s">
        <v>675</v>
      </c>
      <c r="F280" t="s">
        <v>1077</v>
      </c>
      <c r="G280" t="s">
        <v>2328</v>
      </c>
      <c r="H280" t="s">
        <v>3681</v>
      </c>
      <c r="I280" t="s">
        <v>4860</v>
      </c>
      <c r="J280" t="s">
        <v>5334</v>
      </c>
      <c r="K280">
        <v>11368</v>
      </c>
      <c r="L280" t="s">
        <v>5355</v>
      </c>
      <c r="M280" t="s">
        <v>5355</v>
      </c>
      <c r="N280" t="s">
        <v>5392</v>
      </c>
      <c r="O280" t="s">
        <v>6496</v>
      </c>
      <c r="P280" t="s">
        <v>6524</v>
      </c>
      <c r="Q280" t="s">
        <v>6531</v>
      </c>
      <c r="R280" t="s">
        <v>6540</v>
      </c>
      <c r="S280" t="s">
        <v>5357</v>
      </c>
      <c r="U280" t="s">
        <v>6557</v>
      </c>
      <c r="V280" t="s">
        <v>6566</v>
      </c>
      <c r="W280" t="s">
        <v>384</v>
      </c>
      <c r="X280">
        <v>1100</v>
      </c>
      <c r="Y280" t="s">
        <v>6604</v>
      </c>
      <c r="Z280" t="s">
        <v>6610</v>
      </c>
      <c r="AA280" t="s">
        <v>6631</v>
      </c>
      <c r="AB280" t="s">
        <v>6929</v>
      </c>
      <c r="AC280" t="s">
        <v>5392</v>
      </c>
      <c r="AD280" t="s">
        <v>9342</v>
      </c>
      <c r="AE280">
        <v>225</v>
      </c>
      <c r="AF280" t="s">
        <v>11005</v>
      </c>
      <c r="AG280" t="s">
        <v>6493</v>
      </c>
      <c r="AH280">
        <v>2</v>
      </c>
      <c r="AI280">
        <v>1</v>
      </c>
      <c r="AJ280">
        <v>1</v>
      </c>
      <c r="AK280">
        <v>194.26</v>
      </c>
      <c r="AL280" t="s">
        <v>11028</v>
      </c>
      <c r="AN280" t="s">
        <v>11050</v>
      </c>
      <c r="AO280">
        <v>31548</v>
      </c>
      <c r="AU280">
        <v>2.2</v>
      </c>
      <c r="AV280" t="s">
        <v>675</v>
      </c>
      <c r="AW280" t="s">
        <v>51</v>
      </c>
    </row>
    <row r="281" spans="1:49">
      <c r="A281" s="1">
        <f>HYPERLINK("https://cms.ls-nyc.org/matter/dynamic-profile/view/1857302","18-1857302")</f>
        <v>0</v>
      </c>
      <c r="B281" t="s">
        <v>131</v>
      </c>
      <c r="C281" t="s">
        <v>234</v>
      </c>
      <c r="D281" t="s">
        <v>343</v>
      </c>
      <c r="E281" t="s">
        <v>402</v>
      </c>
      <c r="F281" t="s">
        <v>1078</v>
      </c>
      <c r="G281" t="s">
        <v>2329</v>
      </c>
      <c r="H281" t="s">
        <v>3682</v>
      </c>
      <c r="I281">
        <v>2</v>
      </c>
      <c r="J281" t="s">
        <v>5323</v>
      </c>
      <c r="K281">
        <v>10010</v>
      </c>
      <c r="L281" t="s">
        <v>5355</v>
      </c>
      <c r="M281" t="s">
        <v>5356</v>
      </c>
      <c r="O281" t="s">
        <v>5393</v>
      </c>
      <c r="P281" t="s">
        <v>6524</v>
      </c>
      <c r="Q281" t="s">
        <v>6531</v>
      </c>
      <c r="R281" t="s">
        <v>6540</v>
      </c>
      <c r="S281" t="s">
        <v>5357</v>
      </c>
      <c r="U281" t="s">
        <v>6557</v>
      </c>
      <c r="W281" t="s">
        <v>299</v>
      </c>
      <c r="X281">
        <v>3800</v>
      </c>
      <c r="Y281" t="s">
        <v>6608</v>
      </c>
      <c r="Z281" t="s">
        <v>6610</v>
      </c>
      <c r="AA281" t="s">
        <v>6631</v>
      </c>
      <c r="AB281" t="s">
        <v>6930</v>
      </c>
      <c r="AD281" t="s">
        <v>9343</v>
      </c>
      <c r="AE281">
        <v>3</v>
      </c>
      <c r="AF281" t="s">
        <v>11004</v>
      </c>
      <c r="AG281" t="s">
        <v>5406</v>
      </c>
      <c r="AH281">
        <v>9</v>
      </c>
      <c r="AI281">
        <v>1</v>
      </c>
      <c r="AJ281">
        <v>0</v>
      </c>
      <c r="AK281">
        <v>197.03</v>
      </c>
      <c r="AL281" t="s">
        <v>11028</v>
      </c>
      <c r="AN281" t="s">
        <v>11049</v>
      </c>
      <c r="AO281">
        <v>23920</v>
      </c>
      <c r="AU281">
        <v>11.75</v>
      </c>
      <c r="AV281" t="s">
        <v>402</v>
      </c>
      <c r="AW281" t="s">
        <v>11525</v>
      </c>
    </row>
    <row r="282" spans="1:49">
      <c r="A282" s="1">
        <f>HYPERLINK("https://cms.ls-nyc.org/matter/dynamic-profile/view/1866430","18-1866430")</f>
        <v>0</v>
      </c>
      <c r="B282" t="s">
        <v>127</v>
      </c>
      <c r="C282" t="s">
        <v>235</v>
      </c>
      <c r="D282" t="s">
        <v>268</v>
      </c>
      <c r="F282" t="s">
        <v>1079</v>
      </c>
      <c r="G282" t="s">
        <v>2330</v>
      </c>
      <c r="H282" t="s">
        <v>3683</v>
      </c>
      <c r="I282" t="s">
        <v>4861</v>
      </c>
      <c r="J282" t="s">
        <v>5324</v>
      </c>
      <c r="K282">
        <v>11354</v>
      </c>
      <c r="L282" t="s">
        <v>5355</v>
      </c>
      <c r="M282" t="s">
        <v>5356</v>
      </c>
      <c r="N282" t="s">
        <v>5366</v>
      </c>
      <c r="O282" t="s">
        <v>5393</v>
      </c>
      <c r="P282" t="s">
        <v>6524</v>
      </c>
      <c r="R282" t="s">
        <v>6539</v>
      </c>
      <c r="S282" t="s">
        <v>5357</v>
      </c>
      <c r="U282" t="s">
        <v>6556</v>
      </c>
      <c r="W282" t="s">
        <v>268</v>
      </c>
      <c r="X282">
        <v>2205</v>
      </c>
      <c r="Y282" t="s">
        <v>6604</v>
      </c>
      <c r="AB282" t="s">
        <v>6931</v>
      </c>
      <c r="AC282" t="s">
        <v>5392</v>
      </c>
      <c r="AE282">
        <v>64</v>
      </c>
      <c r="AF282" t="s">
        <v>8722</v>
      </c>
      <c r="AG282" t="s">
        <v>5406</v>
      </c>
      <c r="AH282">
        <v>4</v>
      </c>
      <c r="AI282">
        <v>5</v>
      </c>
      <c r="AJ282">
        <v>0</v>
      </c>
      <c r="AK282">
        <v>197.14</v>
      </c>
      <c r="AN282" t="s">
        <v>11053</v>
      </c>
      <c r="AO282">
        <v>58000</v>
      </c>
      <c r="AP282" t="s">
        <v>11077</v>
      </c>
      <c r="AU282">
        <v>0.55</v>
      </c>
      <c r="AV282" t="s">
        <v>414</v>
      </c>
      <c r="AW282" t="s">
        <v>127</v>
      </c>
    </row>
    <row r="283" spans="1:49">
      <c r="A283" s="1">
        <f>HYPERLINK("https://cms.ls-nyc.org/matter/dynamic-profile/view/1869342","18-1869342")</f>
        <v>0</v>
      </c>
      <c r="B283" t="s">
        <v>95</v>
      </c>
      <c r="C283" t="s">
        <v>234</v>
      </c>
      <c r="D283" t="s">
        <v>253</v>
      </c>
      <c r="E283" t="s">
        <v>737</v>
      </c>
      <c r="F283" t="s">
        <v>1080</v>
      </c>
      <c r="G283" t="s">
        <v>2331</v>
      </c>
      <c r="H283" t="s">
        <v>3684</v>
      </c>
      <c r="I283" t="s">
        <v>4750</v>
      </c>
      <c r="J283" t="s">
        <v>5321</v>
      </c>
      <c r="K283">
        <v>10452</v>
      </c>
      <c r="L283" t="s">
        <v>5355</v>
      </c>
      <c r="M283" t="s">
        <v>5356</v>
      </c>
      <c r="O283" t="s">
        <v>5393</v>
      </c>
      <c r="P283" t="s">
        <v>6524</v>
      </c>
      <c r="Q283" t="s">
        <v>6531</v>
      </c>
      <c r="R283" t="s">
        <v>6539</v>
      </c>
      <c r="S283" t="s">
        <v>5357</v>
      </c>
      <c r="U283" t="s">
        <v>6557</v>
      </c>
      <c r="W283" t="s">
        <v>516</v>
      </c>
      <c r="X283">
        <v>1652</v>
      </c>
      <c r="Y283" t="s">
        <v>6606</v>
      </c>
      <c r="Z283" t="s">
        <v>6616</v>
      </c>
      <c r="AA283" t="s">
        <v>6631</v>
      </c>
      <c r="AB283" t="s">
        <v>6932</v>
      </c>
      <c r="AD283" t="s">
        <v>9344</v>
      </c>
      <c r="AE283">
        <v>50</v>
      </c>
      <c r="AF283" t="s">
        <v>11005</v>
      </c>
      <c r="AG283" t="s">
        <v>5406</v>
      </c>
      <c r="AH283">
        <v>4</v>
      </c>
      <c r="AI283">
        <v>1</v>
      </c>
      <c r="AJ283">
        <v>0</v>
      </c>
      <c r="AK283">
        <v>197.69</v>
      </c>
      <c r="AN283" t="s">
        <v>11050</v>
      </c>
      <c r="AO283">
        <v>24000</v>
      </c>
      <c r="AU283">
        <v>2.8</v>
      </c>
      <c r="AV283" t="s">
        <v>737</v>
      </c>
      <c r="AW283" t="s">
        <v>11493</v>
      </c>
    </row>
    <row r="284" spans="1:49">
      <c r="A284" s="1">
        <f>HYPERLINK("https://cms.ls-nyc.org/matter/dynamic-profile/view/1858733","18-1858733")</f>
        <v>0</v>
      </c>
      <c r="B284" t="s">
        <v>59</v>
      </c>
      <c r="C284" t="s">
        <v>234</v>
      </c>
      <c r="D284" t="s">
        <v>248</v>
      </c>
      <c r="E284" t="s">
        <v>671</v>
      </c>
      <c r="F284" t="s">
        <v>1081</v>
      </c>
      <c r="G284" t="s">
        <v>2332</v>
      </c>
      <c r="H284" t="s">
        <v>3685</v>
      </c>
      <c r="I284">
        <v>10453</v>
      </c>
      <c r="J284" t="s">
        <v>5321</v>
      </c>
      <c r="K284">
        <v>10453</v>
      </c>
      <c r="L284" t="s">
        <v>5355</v>
      </c>
      <c r="M284" t="s">
        <v>5356</v>
      </c>
      <c r="O284" t="s">
        <v>5393</v>
      </c>
      <c r="P284" t="s">
        <v>6524</v>
      </c>
      <c r="Q284" t="s">
        <v>6531</v>
      </c>
      <c r="R284" t="s">
        <v>6539</v>
      </c>
      <c r="S284" t="s">
        <v>5357</v>
      </c>
      <c r="U284" t="s">
        <v>6557</v>
      </c>
      <c r="W284" t="s">
        <v>428</v>
      </c>
      <c r="X284">
        <v>0</v>
      </c>
      <c r="Y284" t="s">
        <v>6606</v>
      </c>
      <c r="Z284" t="s">
        <v>6612</v>
      </c>
      <c r="AA284" t="s">
        <v>6631</v>
      </c>
      <c r="AB284" t="s">
        <v>6933</v>
      </c>
      <c r="AD284" t="s">
        <v>9345</v>
      </c>
      <c r="AE284">
        <v>21</v>
      </c>
      <c r="AF284" t="s">
        <v>8722</v>
      </c>
      <c r="AG284" t="s">
        <v>11020</v>
      </c>
      <c r="AH284">
        <v>9</v>
      </c>
      <c r="AI284">
        <v>2</v>
      </c>
      <c r="AJ284">
        <v>0</v>
      </c>
      <c r="AK284">
        <v>198.52</v>
      </c>
      <c r="AN284" t="s">
        <v>11049</v>
      </c>
      <c r="AO284">
        <v>32240</v>
      </c>
      <c r="AU284">
        <v>1.1</v>
      </c>
      <c r="AV284" t="s">
        <v>671</v>
      </c>
      <c r="AW284" t="s">
        <v>11492</v>
      </c>
    </row>
    <row r="285" spans="1:49">
      <c r="A285" s="1">
        <f>HYPERLINK("https://cms.ls-nyc.org/matter/dynamic-profile/view/1868662","18-1868662")</f>
        <v>0</v>
      </c>
      <c r="B285" t="s">
        <v>80</v>
      </c>
      <c r="C285" t="s">
        <v>234</v>
      </c>
      <c r="D285" t="s">
        <v>318</v>
      </c>
      <c r="E285" t="s">
        <v>652</v>
      </c>
      <c r="F285" t="s">
        <v>1082</v>
      </c>
      <c r="G285" t="s">
        <v>2333</v>
      </c>
      <c r="H285" t="s">
        <v>3686</v>
      </c>
      <c r="I285" t="s">
        <v>4862</v>
      </c>
      <c r="J285" t="s">
        <v>5321</v>
      </c>
      <c r="K285">
        <v>10453</v>
      </c>
      <c r="L285" t="s">
        <v>5355</v>
      </c>
      <c r="M285" t="s">
        <v>5356</v>
      </c>
      <c r="N285" t="s">
        <v>5475</v>
      </c>
      <c r="O285" t="s">
        <v>6492</v>
      </c>
      <c r="P285" t="s">
        <v>6524</v>
      </c>
      <c r="Q285" t="s">
        <v>6531</v>
      </c>
      <c r="R285" t="s">
        <v>6539</v>
      </c>
      <c r="U285" t="s">
        <v>6557</v>
      </c>
      <c r="W285" t="s">
        <v>516</v>
      </c>
      <c r="X285">
        <v>500</v>
      </c>
      <c r="Y285" t="s">
        <v>6606</v>
      </c>
      <c r="Z285" t="s">
        <v>6617</v>
      </c>
      <c r="AA285" t="s">
        <v>6631</v>
      </c>
      <c r="AB285" t="s">
        <v>6934</v>
      </c>
      <c r="AC285" t="s">
        <v>8743</v>
      </c>
      <c r="AD285" t="s">
        <v>9346</v>
      </c>
      <c r="AE285">
        <v>48</v>
      </c>
      <c r="AF285" t="s">
        <v>11013</v>
      </c>
      <c r="AG285" t="s">
        <v>5406</v>
      </c>
      <c r="AH285">
        <v>9</v>
      </c>
      <c r="AI285">
        <v>3</v>
      </c>
      <c r="AJ285">
        <v>0</v>
      </c>
      <c r="AK285">
        <v>199.11</v>
      </c>
      <c r="AN285" t="s">
        <v>11050</v>
      </c>
      <c r="AO285">
        <v>41376</v>
      </c>
      <c r="AU285">
        <v>0.85</v>
      </c>
      <c r="AV285" t="s">
        <v>652</v>
      </c>
      <c r="AW285" t="s">
        <v>11524</v>
      </c>
    </row>
    <row r="286" spans="1:49">
      <c r="A286" s="1">
        <f>HYPERLINK("https://cms.ls-nyc.org/matter/dynamic-profile/view/1867076","18-1867076")</f>
        <v>0</v>
      </c>
      <c r="B286" t="s">
        <v>95</v>
      </c>
      <c r="C286" t="s">
        <v>234</v>
      </c>
      <c r="D286" t="s">
        <v>244</v>
      </c>
      <c r="E286" t="s">
        <v>671</v>
      </c>
      <c r="F286" t="s">
        <v>1083</v>
      </c>
      <c r="G286" t="s">
        <v>2311</v>
      </c>
      <c r="H286" t="s">
        <v>3687</v>
      </c>
      <c r="I286" t="s">
        <v>4778</v>
      </c>
      <c r="J286" t="s">
        <v>5321</v>
      </c>
      <c r="K286">
        <v>10468</v>
      </c>
      <c r="L286" t="s">
        <v>5355</v>
      </c>
      <c r="M286" t="s">
        <v>5356</v>
      </c>
      <c r="O286" t="s">
        <v>5393</v>
      </c>
      <c r="P286" t="s">
        <v>6524</v>
      </c>
      <c r="Q286" t="s">
        <v>6531</v>
      </c>
      <c r="R286" t="s">
        <v>6539</v>
      </c>
      <c r="S286" t="s">
        <v>5357</v>
      </c>
      <c r="U286" t="s">
        <v>6557</v>
      </c>
      <c r="W286" t="s">
        <v>391</v>
      </c>
      <c r="X286">
        <v>1133.22</v>
      </c>
      <c r="Y286" t="s">
        <v>6606</v>
      </c>
      <c r="Z286" t="s">
        <v>6612</v>
      </c>
      <c r="AA286" t="s">
        <v>6631</v>
      </c>
      <c r="AB286" t="s">
        <v>6935</v>
      </c>
      <c r="AD286" t="s">
        <v>9347</v>
      </c>
      <c r="AE286">
        <v>43</v>
      </c>
      <c r="AF286" t="s">
        <v>11005</v>
      </c>
      <c r="AG286" t="s">
        <v>5406</v>
      </c>
      <c r="AH286">
        <v>4</v>
      </c>
      <c r="AI286">
        <v>1</v>
      </c>
      <c r="AJ286">
        <v>0</v>
      </c>
      <c r="AK286">
        <v>203.46</v>
      </c>
      <c r="AL286" t="s">
        <v>11029</v>
      </c>
      <c r="AN286" t="s">
        <v>11049</v>
      </c>
      <c r="AO286">
        <v>24700</v>
      </c>
      <c r="AP286" t="s">
        <v>11085</v>
      </c>
      <c r="AU286">
        <v>1.2</v>
      </c>
      <c r="AV286" t="s">
        <v>671</v>
      </c>
      <c r="AW286" t="s">
        <v>95</v>
      </c>
    </row>
    <row r="287" spans="1:49">
      <c r="A287" s="1">
        <f>HYPERLINK("https://cms.ls-nyc.org/matter/dynamic-profile/view/1870745","18-1870745")</f>
        <v>0</v>
      </c>
      <c r="B287" t="s">
        <v>100</v>
      </c>
      <c r="C287" t="s">
        <v>234</v>
      </c>
      <c r="D287" t="s">
        <v>309</v>
      </c>
      <c r="E287" t="s">
        <v>386</v>
      </c>
      <c r="F287" t="s">
        <v>897</v>
      </c>
      <c r="G287" t="s">
        <v>1643</v>
      </c>
      <c r="H287" t="s">
        <v>3688</v>
      </c>
      <c r="I287">
        <v>12</v>
      </c>
      <c r="J287" t="s">
        <v>5320</v>
      </c>
      <c r="K287">
        <v>11207</v>
      </c>
      <c r="L287" t="s">
        <v>5355</v>
      </c>
      <c r="M287" t="s">
        <v>5355</v>
      </c>
      <c r="N287" t="s">
        <v>5476</v>
      </c>
      <c r="O287" t="s">
        <v>6492</v>
      </c>
      <c r="P287" t="s">
        <v>6524</v>
      </c>
      <c r="Q287" t="s">
        <v>6531</v>
      </c>
      <c r="R287" t="s">
        <v>6539</v>
      </c>
      <c r="U287" t="s">
        <v>6557</v>
      </c>
      <c r="W287" t="s">
        <v>309</v>
      </c>
      <c r="X287">
        <v>1700</v>
      </c>
      <c r="Y287" t="s">
        <v>6605</v>
      </c>
      <c r="Z287" t="s">
        <v>6611</v>
      </c>
      <c r="AA287" t="s">
        <v>6631</v>
      </c>
      <c r="AB287" t="s">
        <v>6936</v>
      </c>
      <c r="AD287" t="s">
        <v>9348</v>
      </c>
      <c r="AE287">
        <v>20</v>
      </c>
      <c r="AG287" t="s">
        <v>5406</v>
      </c>
      <c r="AH287">
        <v>7</v>
      </c>
      <c r="AI287">
        <v>2</v>
      </c>
      <c r="AJ287">
        <v>0</v>
      </c>
      <c r="AK287">
        <v>205.01</v>
      </c>
      <c r="AN287" t="s">
        <v>11050</v>
      </c>
      <c r="AO287">
        <v>33744</v>
      </c>
      <c r="AU287">
        <v>4.26</v>
      </c>
      <c r="AV287" t="s">
        <v>386</v>
      </c>
      <c r="AW287" t="s">
        <v>11503</v>
      </c>
    </row>
    <row r="288" spans="1:49">
      <c r="A288" s="1">
        <f>HYPERLINK("https://cms.ls-nyc.org/matter/dynamic-profile/view/1865827","18-1865827")</f>
        <v>0</v>
      </c>
      <c r="B288" t="s">
        <v>105</v>
      </c>
      <c r="C288" t="s">
        <v>234</v>
      </c>
      <c r="D288" t="s">
        <v>326</v>
      </c>
      <c r="E288" t="s">
        <v>719</v>
      </c>
      <c r="F288" t="s">
        <v>1084</v>
      </c>
      <c r="G288" t="s">
        <v>2334</v>
      </c>
      <c r="H288" t="s">
        <v>3689</v>
      </c>
      <c r="I288" t="s">
        <v>4816</v>
      </c>
      <c r="J288" t="s">
        <v>5323</v>
      </c>
      <c r="K288">
        <v>10031</v>
      </c>
      <c r="L288" t="s">
        <v>5355</v>
      </c>
      <c r="M288" t="s">
        <v>5355</v>
      </c>
      <c r="O288" t="s">
        <v>6492</v>
      </c>
      <c r="P288" t="s">
        <v>6524</v>
      </c>
      <c r="Q288" t="s">
        <v>6531</v>
      </c>
      <c r="R288" t="s">
        <v>6539</v>
      </c>
      <c r="S288" t="s">
        <v>5357</v>
      </c>
      <c r="U288" t="s">
        <v>6557</v>
      </c>
      <c r="W288" t="s">
        <v>326</v>
      </c>
      <c r="X288">
        <v>1850.35</v>
      </c>
      <c r="Y288" t="s">
        <v>6608</v>
      </c>
      <c r="AA288" t="s">
        <v>6631</v>
      </c>
      <c r="AB288" t="s">
        <v>6937</v>
      </c>
      <c r="AD288" t="s">
        <v>9349</v>
      </c>
      <c r="AE288">
        <v>0</v>
      </c>
      <c r="AG288" t="s">
        <v>11020</v>
      </c>
      <c r="AH288">
        <v>22</v>
      </c>
      <c r="AI288">
        <v>2</v>
      </c>
      <c r="AJ288">
        <v>0</v>
      </c>
      <c r="AK288">
        <v>206.56</v>
      </c>
      <c r="AL288" t="s">
        <v>11029</v>
      </c>
      <c r="AO288">
        <v>34000</v>
      </c>
      <c r="AU288">
        <v>1</v>
      </c>
      <c r="AV288" t="s">
        <v>326</v>
      </c>
      <c r="AW288" t="s">
        <v>11496</v>
      </c>
    </row>
    <row r="289" spans="1:50">
      <c r="A289" s="1">
        <f>HYPERLINK("https://cms.ls-nyc.org/matter/dynamic-profile/view/1867633","18-1867633")</f>
        <v>0</v>
      </c>
      <c r="B289" t="s">
        <v>58</v>
      </c>
      <c r="C289" t="s">
        <v>234</v>
      </c>
      <c r="D289" t="s">
        <v>299</v>
      </c>
      <c r="E289" t="s">
        <v>738</v>
      </c>
      <c r="F289" t="s">
        <v>1085</v>
      </c>
      <c r="G289" t="s">
        <v>2335</v>
      </c>
      <c r="H289" t="s">
        <v>3690</v>
      </c>
      <c r="I289" t="s">
        <v>4753</v>
      </c>
      <c r="J289" t="s">
        <v>5321</v>
      </c>
      <c r="K289">
        <v>10456</v>
      </c>
      <c r="L289" t="s">
        <v>5355</v>
      </c>
      <c r="M289" t="s">
        <v>5356</v>
      </c>
      <c r="N289" t="s">
        <v>5477</v>
      </c>
      <c r="O289" t="s">
        <v>6496</v>
      </c>
      <c r="P289" t="s">
        <v>6524</v>
      </c>
      <c r="Q289" t="s">
        <v>6531</v>
      </c>
      <c r="R289" t="s">
        <v>6539</v>
      </c>
      <c r="S289" t="s">
        <v>5357</v>
      </c>
      <c r="U289" t="s">
        <v>6557</v>
      </c>
      <c r="W289" t="s">
        <v>516</v>
      </c>
      <c r="X289">
        <v>629</v>
      </c>
      <c r="Y289" t="s">
        <v>6606</v>
      </c>
      <c r="Z289" t="s">
        <v>6616</v>
      </c>
      <c r="AA289" t="s">
        <v>6631</v>
      </c>
      <c r="AB289" t="s">
        <v>6938</v>
      </c>
      <c r="AD289" t="s">
        <v>9350</v>
      </c>
      <c r="AE289">
        <v>0</v>
      </c>
      <c r="AF289" t="s">
        <v>11005</v>
      </c>
      <c r="AH289">
        <v>13</v>
      </c>
      <c r="AI289">
        <v>1</v>
      </c>
      <c r="AJ289">
        <v>0</v>
      </c>
      <c r="AK289">
        <v>209.06</v>
      </c>
      <c r="AN289" t="s">
        <v>11049</v>
      </c>
      <c r="AO289">
        <v>25380</v>
      </c>
      <c r="AU289">
        <v>6.2</v>
      </c>
      <c r="AV289" t="s">
        <v>670</v>
      </c>
      <c r="AW289" t="s">
        <v>58</v>
      </c>
    </row>
    <row r="290" spans="1:50">
      <c r="A290" s="1">
        <f>HYPERLINK("https://cms.ls-nyc.org/matter/dynamic-profile/view/1855523","18-1855523")</f>
        <v>0</v>
      </c>
      <c r="B290" t="s">
        <v>69</v>
      </c>
      <c r="C290" t="s">
        <v>234</v>
      </c>
      <c r="D290" t="s">
        <v>281</v>
      </c>
      <c r="E290" t="s">
        <v>710</v>
      </c>
      <c r="F290" t="s">
        <v>1086</v>
      </c>
      <c r="G290" t="s">
        <v>2336</v>
      </c>
      <c r="H290" t="s">
        <v>3691</v>
      </c>
      <c r="I290" t="s">
        <v>4861</v>
      </c>
      <c r="J290" t="s">
        <v>5321</v>
      </c>
      <c r="K290">
        <v>10453</v>
      </c>
      <c r="L290" t="s">
        <v>5355</v>
      </c>
      <c r="M290" t="s">
        <v>5356</v>
      </c>
      <c r="O290" t="s">
        <v>6496</v>
      </c>
      <c r="P290" t="s">
        <v>6524</v>
      </c>
      <c r="Q290" t="s">
        <v>6531</v>
      </c>
      <c r="R290" t="s">
        <v>6539</v>
      </c>
      <c r="S290" t="s">
        <v>5357</v>
      </c>
      <c r="U290" t="s">
        <v>6557</v>
      </c>
      <c r="W290" t="s">
        <v>433</v>
      </c>
      <c r="X290">
        <v>1350</v>
      </c>
      <c r="Y290" t="s">
        <v>6606</v>
      </c>
      <c r="AA290" t="s">
        <v>6631</v>
      </c>
      <c r="AB290" t="s">
        <v>6939</v>
      </c>
      <c r="AE290">
        <v>70</v>
      </c>
      <c r="AG290" t="s">
        <v>5406</v>
      </c>
      <c r="AH290">
        <v>1</v>
      </c>
      <c r="AI290">
        <v>3</v>
      </c>
      <c r="AJ290">
        <v>0</v>
      </c>
      <c r="AK290">
        <v>215.48</v>
      </c>
      <c r="AL290" t="s">
        <v>11029</v>
      </c>
      <c r="AN290" t="s">
        <v>11059</v>
      </c>
      <c r="AO290">
        <v>44000</v>
      </c>
      <c r="AP290" t="s">
        <v>11086</v>
      </c>
      <c r="AU290">
        <v>0</v>
      </c>
      <c r="AW290" t="s">
        <v>11492</v>
      </c>
    </row>
    <row r="291" spans="1:50">
      <c r="A291" s="1">
        <f>HYPERLINK("https://cms.ls-nyc.org/matter/dynamic-profile/view/1841867","17-1841867")</f>
        <v>0</v>
      </c>
      <c r="B291" t="s">
        <v>92</v>
      </c>
      <c r="C291" t="s">
        <v>234</v>
      </c>
      <c r="D291" t="s">
        <v>323</v>
      </c>
      <c r="E291" t="s">
        <v>704</v>
      </c>
      <c r="F291" t="s">
        <v>1087</v>
      </c>
      <c r="G291" t="s">
        <v>2337</v>
      </c>
      <c r="H291" t="s">
        <v>3692</v>
      </c>
      <c r="I291" t="s">
        <v>4838</v>
      </c>
      <c r="J291" t="s">
        <v>5323</v>
      </c>
      <c r="K291">
        <v>10040</v>
      </c>
      <c r="L291" t="s">
        <v>5355</v>
      </c>
      <c r="M291" t="s">
        <v>5357</v>
      </c>
      <c r="N291" t="s">
        <v>5478</v>
      </c>
      <c r="O291" t="s">
        <v>6494</v>
      </c>
      <c r="P291" t="s">
        <v>6524</v>
      </c>
      <c r="Q291" t="s">
        <v>6531</v>
      </c>
      <c r="R291" t="s">
        <v>6539</v>
      </c>
      <c r="S291" t="s">
        <v>5355</v>
      </c>
      <c r="U291" t="s">
        <v>6557</v>
      </c>
      <c r="W291" t="s">
        <v>404</v>
      </c>
      <c r="X291">
        <v>1122.6</v>
      </c>
      <c r="Y291" t="s">
        <v>6608</v>
      </c>
      <c r="Z291" t="s">
        <v>6616</v>
      </c>
      <c r="AA291" t="s">
        <v>6631</v>
      </c>
      <c r="AB291" t="s">
        <v>6940</v>
      </c>
      <c r="AD291" t="s">
        <v>9351</v>
      </c>
      <c r="AE291">
        <v>31</v>
      </c>
      <c r="AF291" t="s">
        <v>11005</v>
      </c>
      <c r="AG291" t="s">
        <v>5406</v>
      </c>
      <c r="AH291">
        <v>1</v>
      </c>
      <c r="AI291">
        <v>1</v>
      </c>
      <c r="AJ291">
        <v>0</v>
      </c>
      <c r="AK291">
        <v>215.59</v>
      </c>
      <c r="AN291" t="s">
        <v>11050</v>
      </c>
      <c r="AO291">
        <v>26000</v>
      </c>
      <c r="AU291">
        <v>0.9</v>
      </c>
      <c r="AV291" t="s">
        <v>704</v>
      </c>
      <c r="AW291" t="s">
        <v>11495</v>
      </c>
    </row>
    <row r="292" spans="1:50">
      <c r="A292" s="1">
        <f>HYPERLINK("https://cms.ls-nyc.org/matter/dynamic-profile/view/1863608","18-1863608")</f>
        <v>0</v>
      </c>
      <c r="B292" t="s">
        <v>57</v>
      </c>
      <c r="C292" t="s">
        <v>234</v>
      </c>
      <c r="D292" t="s">
        <v>373</v>
      </c>
      <c r="E292" t="s">
        <v>541</v>
      </c>
      <c r="F292" t="s">
        <v>883</v>
      </c>
      <c r="G292" t="s">
        <v>2338</v>
      </c>
      <c r="H292" t="s">
        <v>3693</v>
      </c>
      <c r="I292" t="s">
        <v>4737</v>
      </c>
      <c r="J292" t="s">
        <v>5321</v>
      </c>
      <c r="K292">
        <v>10469</v>
      </c>
      <c r="L292" t="s">
        <v>5355</v>
      </c>
      <c r="M292" t="s">
        <v>5356</v>
      </c>
      <c r="O292" t="s">
        <v>5393</v>
      </c>
      <c r="P292" t="s">
        <v>6524</v>
      </c>
      <c r="Q292" t="s">
        <v>6531</v>
      </c>
      <c r="R292" t="s">
        <v>6540</v>
      </c>
      <c r="S292" t="s">
        <v>5357</v>
      </c>
      <c r="U292" t="s">
        <v>6557</v>
      </c>
      <c r="W292" t="s">
        <v>312</v>
      </c>
      <c r="X292">
        <v>3000</v>
      </c>
      <c r="Y292" t="s">
        <v>6606</v>
      </c>
      <c r="Z292" t="s">
        <v>6610</v>
      </c>
      <c r="AA292" t="s">
        <v>6631</v>
      </c>
      <c r="AB292" t="s">
        <v>6941</v>
      </c>
      <c r="AD292" t="s">
        <v>9352</v>
      </c>
      <c r="AE292">
        <v>0</v>
      </c>
      <c r="AF292" t="s">
        <v>11004</v>
      </c>
      <c r="AG292" t="s">
        <v>5406</v>
      </c>
      <c r="AH292">
        <v>5</v>
      </c>
      <c r="AI292">
        <v>1</v>
      </c>
      <c r="AJ292">
        <v>3</v>
      </c>
      <c r="AK292">
        <v>219.12</v>
      </c>
      <c r="AL292" t="s">
        <v>11028</v>
      </c>
      <c r="AN292" t="s">
        <v>11050</v>
      </c>
      <c r="AO292">
        <v>55000</v>
      </c>
      <c r="AU292">
        <v>1.6</v>
      </c>
      <c r="AV292" t="s">
        <v>541</v>
      </c>
      <c r="AW292" t="s">
        <v>57</v>
      </c>
    </row>
    <row r="293" spans="1:50">
      <c r="A293" s="1">
        <f>HYPERLINK("https://cms.ls-nyc.org/matter/dynamic-profile/view/1849826","17-1849826")</f>
        <v>0</v>
      </c>
      <c r="B293" t="s">
        <v>105</v>
      </c>
      <c r="C293" t="s">
        <v>234</v>
      </c>
      <c r="D293" t="s">
        <v>314</v>
      </c>
      <c r="E293" t="s">
        <v>677</v>
      </c>
      <c r="F293" t="s">
        <v>1088</v>
      </c>
      <c r="G293" t="s">
        <v>2339</v>
      </c>
      <c r="H293" t="s">
        <v>3694</v>
      </c>
      <c r="I293">
        <v>3</v>
      </c>
      <c r="J293" t="s">
        <v>5323</v>
      </c>
      <c r="K293">
        <v>10026</v>
      </c>
      <c r="L293" t="s">
        <v>5355</v>
      </c>
      <c r="M293" t="s">
        <v>5356</v>
      </c>
      <c r="N293" t="s">
        <v>5479</v>
      </c>
      <c r="O293" t="s">
        <v>6491</v>
      </c>
      <c r="P293" t="s">
        <v>6524</v>
      </c>
      <c r="Q293" t="s">
        <v>6531</v>
      </c>
      <c r="R293" t="s">
        <v>6539</v>
      </c>
      <c r="T293" t="s">
        <v>6542</v>
      </c>
      <c r="U293" t="s">
        <v>6557</v>
      </c>
      <c r="W293" t="s">
        <v>236</v>
      </c>
      <c r="X293">
        <v>656</v>
      </c>
      <c r="Y293" t="s">
        <v>6608</v>
      </c>
      <c r="Z293" t="s">
        <v>6616</v>
      </c>
      <c r="AA293" t="s">
        <v>6631</v>
      </c>
      <c r="AB293" t="s">
        <v>6942</v>
      </c>
      <c r="AD293" t="s">
        <v>9353</v>
      </c>
      <c r="AE293">
        <v>35</v>
      </c>
      <c r="AH293">
        <v>41</v>
      </c>
      <c r="AI293">
        <v>3</v>
      </c>
      <c r="AJ293">
        <v>1</v>
      </c>
      <c r="AK293">
        <v>223.58</v>
      </c>
      <c r="AL293" t="s">
        <v>11029</v>
      </c>
      <c r="AN293" t="s">
        <v>11050</v>
      </c>
      <c r="AO293">
        <v>55000</v>
      </c>
      <c r="AU293">
        <v>12.2</v>
      </c>
      <c r="AV293" t="s">
        <v>568</v>
      </c>
      <c r="AW293" t="s">
        <v>11526</v>
      </c>
    </row>
    <row r="294" spans="1:50">
      <c r="A294" s="1">
        <f>HYPERLINK("https://cms.ls-nyc.org/matter/dynamic-profile/view/1859412","18-1859412")</f>
        <v>0</v>
      </c>
      <c r="B294" t="s">
        <v>131</v>
      </c>
      <c r="C294" t="s">
        <v>234</v>
      </c>
      <c r="D294" t="s">
        <v>284</v>
      </c>
      <c r="E294" t="s">
        <v>665</v>
      </c>
      <c r="F294" t="s">
        <v>1089</v>
      </c>
      <c r="G294" t="s">
        <v>2340</v>
      </c>
      <c r="H294" t="s">
        <v>3695</v>
      </c>
      <c r="I294" t="s">
        <v>4775</v>
      </c>
      <c r="J294" t="s">
        <v>5323</v>
      </c>
      <c r="K294">
        <v>10034</v>
      </c>
      <c r="L294" t="s">
        <v>5355</v>
      </c>
      <c r="M294" t="s">
        <v>5356</v>
      </c>
      <c r="O294" t="s">
        <v>6496</v>
      </c>
      <c r="P294" t="s">
        <v>6524</v>
      </c>
      <c r="Q294" t="s">
        <v>6531</v>
      </c>
      <c r="R294" t="s">
        <v>6539</v>
      </c>
      <c r="S294" t="s">
        <v>5357</v>
      </c>
      <c r="U294" t="s">
        <v>6557</v>
      </c>
      <c r="W294" t="s">
        <v>284</v>
      </c>
      <c r="X294">
        <v>1690</v>
      </c>
      <c r="Y294" t="s">
        <v>6608</v>
      </c>
      <c r="Z294" t="s">
        <v>6616</v>
      </c>
      <c r="AA294" t="s">
        <v>6631</v>
      </c>
      <c r="AB294" t="s">
        <v>6943</v>
      </c>
      <c r="AD294" t="s">
        <v>9354</v>
      </c>
      <c r="AE294">
        <v>22</v>
      </c>
      <c r="AF294" t="s">
        <v>11005</v>
      </c>
      <c r="AG294" t="s">
        <v>5406</v>
      </c>
      <c r="AH294">
        <v>5</v>
      </c>
      <c r="AI294">
        <v>3</v>
      </c>
      <c r="AJ294">
        <v>2</v>
      </c>
      <c r="AK294">
        <v>225.85</v>
      </c>
      <c r="AL294" t="s">
        <v>11029</v>
      </c>
      <c r="AN294" t="s">
        <v>11050</v>
      </c>
      <c r="AO294">
        <v>65000</v>
      </c>
      <c r="AU294">
        <v>2.8</v>
      </c>
      <c r="AV294" t="s">
        <v>306</v>
      </c>
      <c r="AW294" t="s">
        <v>11495</v>
      </c>
    </row>
    <row r="295" spans="1:50">
      <c r="A295" s="1">
        <f>HYPERLINK("https://cms.ls-nyc.org/matter/dynamic-profile/view/1870908","18-1870908")</f>
        <v>0</v>
      </c>
      <c r="B295" t="s">
        <v>131</v>
      </c>
      <c r="C295" t="s">
        <v>234</v>
      </c>
      <c r="D295" t="s">
        <v>245</v>
      </c>
      <c r="E295" t="s">
        <v>402</v>
      </c>
      <c r="F295" t="s">
        <v>1090</v>
      </c>
      <c r="G295" t="s">
        <v>2341</v>
      </c>
      <c r="H295" t="s">
        <v>3696</v>
      </c>
      <c r="I295">
        <v>53</v>
      </c>
      <c r="J295" t="s">
        <v>5323</v>
      </c>
      <c r="K295">
        <v>10034</v>
      </c>
      <c r="L295" t="s">
        <v>5355</v>
      </c>
      <c r="M295" t="s">
        <v>5356</v>
      </c>
      <c r="O295" t="s">
        <v>6496</v>
      </c>
      <c r="P295" t="s">
        <v>6524</v>
      </c>
      <c r="Q295" t="s">
        <v>6531</v>
      </c>
      <c r="R295" t="s">
        <v>6539</v>
      </c>
      <c r="S295" t="s">
        <v>5357</v>
      </c>
      <c r="U295" t="s">
        <v>6557</v>
      </c>
      <c r="W295" t="s">
        <v>245</v>
      </c>
      <c r="X295">
        <v>745</v>
      </c>
      <c r="Y295" t="s">
        <v>6608</v>
      </c>
      <c r="Z295" t="s">
        <v>6616</v>
      </c>
      <c r="AA295" t="s">
        <v>6631</v>
      </c>
      <c r="AB295" t="s">
        <v>6944</v>
      </c>
      <c r="AD295" t="s">
        <v>9355</v>
      </c>
      <c r="AE295">
        <v>25</v>
      </c>
      <c r="AF295" t="s">
        <v>11005</v>
      </c>
      <c r="AG295" t="s">
        <v>5406</v>
      </c>
      <c r="AH295">
        <v>40</v>
      </c>
      <c r="AI295">
        <v>3</v>
      </c>
      <c r="AJ295">
        <v>1</v>
      </c>
      <c r="AK295">
        <v>227.09</v>
      </c>
      <c r="AN295" t="s">
        <v>11049</v>
      </c>
      <c r="AO295">
        <v>57000</v>
      </c>
      <c r="AU295">
        <v>3</v>
      </c>
      <c r="AV295" t="s">
        <v>402</v>
      </c>
      <c r="AW295" t="s">
        <v>11495</v>
      </c>
    </row>
    <row r="296" spans="1:50">
      <c r="A296" s="1">
        <f>HYPERLINK("https://cms.ls-nyc.org/matter/dynamic-profile/view/1870492","18-1870492")</f>
        <v>0</v>
      </c>
      <c r="B296" t="s">
        <v>51</v>
      </c>
      <c r="C296" t="s">
        <v>234</v>
      </c>
      <c r="D296" t="s">
        <v>255</v>
      </c>
      <c r="E296" t="s">
        <v>459</v>
      </c>
      <c r="F296" t="s">
        <v>1053</v>
      </c>
      <c r="G296" t="s">
        <v>2342</v>
      </c>
      <c r="H296" t="s">
        <v>3697</v>
      </c>
      <c r="I296" t="s">
        <v>4863</v>
      </c>
      <c r="J296" t="s">
        <v>5335</v>
      </c>
      <c r="K296">
        <v>11377</v>
      </c>
      <c r="L296" t="s">
        <v>5357</v>
      </c>
      <c r="M296" t="s">
        <v>5355</v>
      </c>
      <c r="N296" t="s">
        <v>5480</v>
      </c>
      <c r="O296" t="s">
        <v>6492</v>
      </c>
      <c r="P296" t="s">
        <v>6524</v>
      </c>
      <c r="Q296" t="s">
        <v>6531</v>
      </c>
      <c r="R296" t="s">
        <v>6540</v>
      </c>
      <c r="S296" t="s">
        <v>5357</v>
      </c>
      <c r="U296" t="s">
        <v>6557</v>
      </c>
      <c r="W296" t="s">
        <v>255</v>
      </c>
      <c r="X296">
        <v>1387.13</v>
      </c>
      <c r="Y296" t="s">
        <v>6604</v>
      </c>
      <c r="Z296" t="s">
        <v>6610</v>
      </c>
      <c r="AA296" t="s">
        <v>6631</v>
      </c>
      <c r="AB296" t="s">
        <v>6945</v>
      </c>
      <c r="AC296" t="s">
        <v>5392</v>
      </c>
      <c r="AD296" t="s">
        <v>9166</v>
      </c>
      <c r="AE296">
        <v>100</v>
      </c>
      <c r="AF296" t="s">
        <v>11005</v>
      </c>
      <c r="AG296" t="s">
        <v>5406</v>
      </c>
      <c r="AH296">
        <v>1</v>
      </c>
      <c r="AI296">
        <v>1</v>
      </c>
      <c r="AJ296">
        <v>1</v>
      </c>
      <c r="AK296">
        <v>243.01</v>
      </c>
      <c r="AN296" t="s">
        <v>11050</v>
      </c>
      <c r="AO296">
        <v>40000</v>
      </c>
      <c r="AU296">
        <v>2.55</v>
      </c>
      <c r="AV296" t="s">
        <v>800</v>
      </c>
      <c r="AW296" t="s">
        <v>51</v>
      </c>
    </row>
    <row r="297" spans="1:50">
      <c r="A297" s="1">
        <f>HYPERLINK("https://cms.ls-nyc.org/matter/dynamic-profile/view/1859559","18-1859559")</f>
        <v>0</v>
      </c>
      <c r="B297" t="s">
        <v>91</v>
      </c>
      <c r="C297" t="s">
        <v>234</v>
      </c>
      <c r="D297" t="s">
        <v>316</v>
      </c>
      <c r="E297" t="s">
        <v>716</v>
      </c>
      <c r="F297" t="s">
        <v>1091</v>
      </c>
      <c r="G297" t="s">
        <v>2343</v>
      </c>
      <c r="H297" t="s">
        <v>3698</v>
      </c>
      <c r="I297" t="s">
        <v>4817</v>
      </c>
      <c r="J297" t="s">
        <v>5323</v>
      </c>
      <c r="K297">
        <v>10009</v>
      </c>
      <c r="L297" t="s">
        <v>5355</v>
      </c>
      <c r="M297" t="s">
        <v>5356</v>
      </c>
      <c r="N297" t="s">
        <v>5481</v>
      </c>
      <c r="O297" t="s">
        <v>6492</v>
      </c>
      <c r="P297" t="s">
        <v>6524</v>
      </c>
      <c r="Q297" t="s">
        <v>6531</v>
      </c>
      <c r="R297" t="s">
        <v>6539</v>
      </c>
      <c r="S297" t="s">
        <v>5357</v>
      </c>
      <c r="T297" t="s">
        <v>6542</v>
      </c>
      <c r="U297" t="s">
        <v>6557</v>
      </c>
      <c r="W297" t="s">
        <v>262</v>
      </c>
      <c r="X297">
        <v>1200</v>
      </c>
      <c r="Y297" t="s">
        <v>6608</v>
      </c>
      <c r="Z297" t="s">
        <v>6615</v>
      </c>
      <c r="AA297" t="s">
        <v>6631</v>
      </c>
      <c r="AB297" t="s">
        <v>6946</v>
      </c>
      <c r="AD297" t="s">
        <v>9356</v>
      </c>
      <c r="AE297">
        <v>26</v>
      </c>
      <c r="AF297" t="s">
        <v>11006</v>
      </c>
      <c r="AG297" t="s">
        <v>5406</v>
      </c>
      <c r="AH297">
        <v>53</v>
      </c>
      <c r="AI297">
        <v>2</v>
      </c>
      <c r="AJ297">
        <v>0</v>
      </c>
      <c r="AK297">
        <v>247.46</v>
      </c>
      <c r="AL297" t="s">
        <v>11029</v>
      </c>
      <c r="AN297" t="s">
        <v>11050</v>
      </c>
      <c r="AO297">
        <v>40188</v>
      </c>
      <c r="AU297">
        <v>1.2</v>
      </c>
      <c r="AV297" t="s">
        <v>716</v>
      </c>
      <c r="AW297" t="s">
        <v>11494</v>
      </c>
    </row>
    <row r="298" spans="1:50">
      <c r="A298" s="1">
        <f>HYPERLINK("https://cms.ls-nyc.org/matter/dynamic-profile/view/1865793","18-1865793")</f>
        <v>0</v>
      </c>
      <c r="B298" t="s">
        <v>54</v>
      </c>
      <c r="C298" t="s">
        <v>234</v>
      </c>
      <c r="D298" t="s">
        <v>385</v>
      </c>
      <c r="E298" t="s">
        <v>667</v>
      </c>
      <c r="F298" t="s">
        <v>1092</v>
      </c>
      <c r="G298" t="s">
        <v>2344</v>
      </c>
      <c r="H298" t="s">
        <v>3699</v>
      </c>
      <c r="I298" t="s">
        <v>4780</v>
      </c>
      <c r="J298" t="s">
        <v>5320</v>
      </c>
      <c r="K298">
        <v>11234</v>
      </c>
      <c r="L298" t="s">
        <v>5355</v>
      </c>
      <c r="M298" t="s">
        <v>5356</v>
      </c>
      <c r="P298" t="s">
        <v>6524</v>
      </c>
      <c r="Q298" t="s">
        <v>6531</v>
      </c>
      <c r="R298" t="s">
        <v>6540</v>
      </c>
      <c r="S298" t="s">
        <v>5357</v>
      </c>
      <c r="U298" t="s">
        <v>6557</v>
      </c>
      <c r="W298" t="s">
        <v>385</v>
      </c>
      <c r="X298">
        <v>1050</v>
      </c>
      <c r="Y298" t="s">
        <v>6605</v>
      </c>
      <c r="Z298" t="s">
        <v>6610</v>
      </c>
      <c r="AA298" t="s">
        <v>6631</v>
      </c>
      <c r="AB298" t="s">
        <v>6947</v>
      </c>
      <c r="AD298" t="s">
        <v>9357</v>
      </c>
      <c r="AE298">
        <v>2</v>
      </c>
      <c r="AF298" t="s">
        <v>11004</v>
      </c>
      <c r="AH298">
        <v>0</v>
      </c>
      <c r="AI298">
        <v>2</v>
      </c>
      <c r="AJ298">
        <v>0</v>
      </c>
      <c r="AK298">
        <v>247.87</v>
      </c>
      <c r="AL298" t="s">
        <v>11028</v>
      </c>
      <c r="AN298" t="s">
        <v>11050</v>
      </c>
      <c r="AO298">
        <v>40800</v>
      </c>
      <c r="AU298">
        <v>2</v>
      </c>
      <c r="AV298" t="s">
        <v>667</v>
      </c>
      <c r="AW298" t="s">
        <v>11488</v>
      </c>
    </row>
    <row r="299" spans="1:50">
      <c r="A299" s="1">
        <f>HYPERLINK("https://cms.ls-nyc.org/matter/dynamic-profile/view/1862424","18-1862424")</f>
        <v>0</v>
      </c>
      <c r="B299" t="s">
        <v>66</v>
      </c>
      <c r="C299" t="s">
        <v>234</v>
      </c>
      <c r="D299" t="s">
        <v>285</v>
      </c>
      <c r="E299" t="s">
        <v>454</v>
      </c>
      <c r="F299" t="s">
        <v>1093</v>
      </c>
      <c r="G299" t="s">
        <v>2345</v>
      </c>
      <c r="H299" t="s">
        <v>3700</v>
      </c>
      <c r="I299" t="s">
        <v>4864</v>
      </c>
      <c r="J299" t="s">
        <v>5323</v>
      </c>
      <c r="K299">
        <v>10009</v>
      </c>
      <c r="L299" t="s">
        <v>5355</v>
      </c>
      <c r="M299" t="s">
        <v>5356</v>
      </c>
      <c r="N299" t="s">
        <v>5482</v>
      </c>
      <c r="O299" t="s">
        <v>6491</v>
      </c>
      <c r="P299" t="s">
        <v>6524</v>
      </c>
      <c r="Q299" t="s">
        <v>6531</v>
      </c>
      <c r="R299" t="s">
        <v>6539</v>
      </c>
      <c r="S299" t="s">
        <v>5357</v>
      </c>
      <c r="U299" t="s">
        <v>6557</v>
      </c>
      <c r="W299" t="s">
        <v>336</v>
      </c>
      <c r="X299">
        <v>924</v>
      </c>
      <c r="Y299" t="s">
        <v>6608</v>
      </c>
      <c r="Z299" t="s">
        <v>6616</v>
      </c>
      <c r="AA299" t="s">
        <v>6631</v>
      </c>
      <c r="AB299" t="s">
        <v>6948</v>
      </c>
      <c r="AD299" t="s">
        <v>9358</v>
      </c>
      <c r="AE299">
        <v>0</v>
      </c>
      <c r="AF299" t="s">
        <v>11005</v>
      </c>
      <c r="AG299" t="s">
        <v>5406</v>
      </c>
      <c r="AH299">
        <v>4</v>
      </c>
      <c r="AI299">
        <v>2</v>
      </c>
      <c r="AJ299">
        <v>0</v>
      </c>
      <c r="AK299">
        <v>249.09</v>
      </c>
      <c r="AN299" t="s">
        <v>11050</v>
      </c>
      <c r="AO299">
        <v>41000</v>
      </c>
      <c r="AU299">
        <v>0.8</v>
      </c>
      <c r="AV299" t="s">
        <v>385</v>
      </c>
      <c r="AW299" t="s">
        <v>11494</v>
      </c>
    </row>
    <row r="300" spans="1:50">
      <c r="A300" s="1">
        <f>HYPERLINK("https://cms.ls-nyc.org/matter/dynamic-profile/view/1845772","17-1845772")</f>
        <v>0</v>
      </c>
      <c r="B300" t="s">
        <v>67</v>
      </c>
      <c r="C300" t="s">
        <v>234</v>
      </c>
      <c r="D300" t="s">
        <v>386</v>
      </c>
      <c r="E300" t="s">
        <v>386</v>
      </c>
      <c r="F300" t="s">
        <v>1094</v>
      </c>
      <c r="G300" t="s">
        <v>2346</v>
      </c>
      <c r="H300" t="s">
        <v>3701</v>
      </c>
      <c r="I300" t="s">
        <v>4865</v>
      </c>
      <c r="J300" t="s">
        <v>5323</v>
      </c>
      <c r="K300">
        <v>10035</v>
      </c>
      <c r="L300" t="s">
        <v>5355</v>
      </c>
      <c r="M300" t="s">
        <v>5355</v>
      </c>
      <c r="N300" t="s">
        <v>5483</v>
      </c>
      <c r="O300" t="s">
        <v>6492</v>
      </c>
      <c r="P300" t="s">
        <v>6524</v>
      </c>
      <c r="Q300" t="s">
        <v>6531</v>
      </c>
      <c r="R300" t="s">
        <v>6539</v>
      </c>
      <c r="S300" t="s">
        <v>5357</v>
      </c>
      <c r="U300" t="s">
        <v>6557</v>
      </c>
      <c r="V300" t="s">
        <v>6568</v>
      </c>
      <c r="W300" t="s">
        <v>550</v>
      </c>
      <c r="X300">
        <v>2200</v>
      </c>
      <c r="Y300" t="s">
        <v>6608</v>
      </c>
      <c r="Z300" t="s">
        <v>6613</v>
      </c>
      <c r="AA300" t="s">
        <v>6631</v>
      </c>
      <c r="AB300" t="s">
        <v>6949</v>
      </c>
      <c r="AD300" t="s">
        <v>9359</v>
      </c>
      <c r="AE300">
        <v>255</v>
      </c>
      <c r="AF300" t="s">
        <v>11008</v>
      </c>
      <c r="AG300" t="s">
        <v>5406</v>
      </c>
      <c r="AH300">
        <v>22</v>
      </c>
      <c r="AI300">
        <v>4</v>
      </c>
      <c r="AJ300">
        <v>0</v>
      </c>
      <c r="AK300">
        <v>253.51</v>
      </c>
      <c r="AN300" t="s">
        <v>11050</v>
      </c>
      <c r="AO300">
        <v>62363.08</v>
      </c>
      <c r="AU300">
        <v>1.5</v>
      </c>
      <c r="AV300" t="s">
        <v>550</v>
      </c>
      <c r="AW300" t="s">
        <v>83</v>
      </c>
    </row>
    <row r="301" spans="1:50">
      <c r="A301" s="1">
        <f>HYPERLINK("https://cms.ls-nyc.org/matter/dynamic-profile/view/1840424","17-1840424")</f>
        <v>0</v>
      </c>
      <c r="B301" t="s">
        <v>65</v>
      </c>
      <c r="C301" t="s">
        <v>234</v>
      </c>
      <c r="D301" t="s">
        <v>387</v>
      </c>
      <c r="E301" t="s">
        <v>667</v>
      </c>
      <c r="F301" t="s">
        <v>1095</v>
      </c>
      <c r="G301" t="s">
        <v>2215</v>
      </c>
      <c r="H301" t="s">
        <v>3702</v>
      </c>
      <c r="I301">
        <v>42</v>
      </c>
      <c r="J301" t="s">
        <v>5323</v>
      </c>
      <c r="K301">
        <v>10033</v>
      </c>
      <c r="L301" t="s">
        <v>5355</v>
      </c>
      <c r="M301" t="s">
        <v>5355</v>
      </c>
      <c r="O301" t="s">
        <v>6496</v>
      </c>
      <c r="P301" t="s">
        <v>6524</v>
      </c>
      <c r="Q301" t="s">
        <v>6531</v>
      </c>
      <c r="R301" t="s">
        <v>6539</v>
      </c>
      <c r="S301" t="s">
        <v>5355</v>
      </c>
      <c r="U301" t="s">
        <v>6557</v>
      </c>
      <c r="W301" t="s">
        <v>6578</v>
      </c>
      <c r="X301">
        <v>1470</v>
      </c>
      <c r="Y301" t="s">
        <v>6608</v>
      </c>
      <c r="Z301" t="s">
        <v>6616</v>
      </c>
      <c r="AA301" t="s">
        <v>6631</v>
      </c>
      <c r="AB301" t="s">
        <v>6950</v>
      </c>
      <c r="AD301" t="s">
        <v>9360</v>
      </c>
      <c r="AE301">
        <v>33</v>
      </c>
      <c r="AF301" t="s">
        <v>11005</v>
      </c>
      <c r="AG301" t="s">
        <v>5406</v>
      </c>
      <c r="AH301">
        <v>15</v>
      </c>
      <c r="AI301">
        <v>3</v>
      </c>
      <c r="AJ301">
        <v>1</v>
      </c>
      <c r="AK301">
        <v>253.66</v>
      </c>
      <c r="AL301" t="s">
        <v>11030</v>
      </c>
      <c r="AN301" t="s">
        <v>11049</v>
      </c>
      <c r="AO301">
        <v>62400</v>
      </c>
      <c r="AU301">
        <v>0.3</v>
      </c>
      <c r="AV301" t="s">
        <v>767</v>
      </c>
      <c r="AW301" t="s">
        <v>11495</v>
      </c>
    </row>
    <row r="302" spans="1:50">
      <c r="A302" s="1">
        <f>HYPERLINK("https://cms.ls-nyc.org/matter/dynamic-profile/view/1886983","19-1886983")</f>
        <v>0</v>
      </c>
      <c r="B302" t="s">
        <v>122</v>
      </c>
      <c r="C302" t="s">
        <v>234</v>
      </c>
      <c r="D302" t="s">
        <v>258</v>
      </c>
      <c r="E302" t="s">
        <v>721</v>
      </c>
      <c r="F302" t="s">
        <v>1096</v>
      </c>
      <c r="G302" t="s">
        <v>2347</v>
      </c>
      <c r="H302" t="s">
        <v>3703</v>
      </c>
      <c r="I302" t="s">
        <v>4866</v>
      </c>
      <c r="J302" t="s">
        <v>5336</v>
      </c>
      <c r="K302">
        <v>11417</v>
      </c>
      <c r="L302" t="s">
        <v>5355</v>
      </c>
      <c r="M302" t="s">
        <v>5355</v>
      </c>
      <c r="N302" t="s">
        <v>5484</v>
      </c>
      <c r="O302" t="s">
        <v>6490</v>
      </c>
      <c r="P302" t="s">
        <v>6524</v>
      </c>
      <c r="Q302" t="s">
        <v>6531</v>
      </c>
      <c r="R302" t="s">
        <v>6539</v>
      </c>
      <c r="S302" t="s">
        <v>5357</v>
      </c>
      <c r="U302" t="s">
        <v>6562</v>
      </c>
      <c r="W302" t="s">
        <v>6579</v>
      </c>
      <c r="X302">
        <v>2175</v>
      </c>
      <c r="Y302" t="s">
        <v>6605</v>
      </c>
      <c r="AA302" t="s">
        <v>6630</v>
      </c>
      <c r="AB302" t="s">
        <v>6951</v>
      </c>
      <c r="AC302" t="s">
        <v>5383</v>
      </c>
      <c r="AD302" t="s">
        <v>9361</v>
      </c>
      <c r="AE302">
        <v>0</v>
      </c>
      <c r="AF302" t="s">
        <v>11005</v>
      </c>
      <c r="AH302">
        <v>0</v>
      </c>
      <c r="AI302">
        <v>1</v>
      </c>
      <c r="AJ302">
        <v>0</v>
      </c>
      <c r="AK302">
        <v>257</v>
      </c>
      <c r="AN302" t="s">
        <v>11050</v>
      </c>
      <c r="AO302">
        <v>31200</v>
      </c>
      <c r="AR302" t="s">
        <v>11202</v>
      </c>
      <c r="AU302">
        <v>8.6</v>
      </c>
      <c r="AV302" t="s">
        <v>721</v>
      </c>
      <c r="AW302" t="s">
        <v>11504</v>
      </c>
    </row>
    <row r="303" spans="1:50">
      <c r="A303" s="1">
        <f>HYPERLINK("https://cms.ls-nyc.org/matter/dynamic-profile/view/1860840","18-1860840")</f>
        <v>0</v>
      </c>
      <c r="B303" t="s">
        <v>85</v>
      </c>
      <c r="C303" t="s">
        <v>234</v>
      </c>
      <c r="D303" t="s">
        <v>306</v>
      </c>
      <c r="E303" t="s">
        <v>739</v>
      </c>
      <c r="F303" t="s">
        <v>1097</v>
      </c>
      <c r="G303" t="s">
        <v>2348</v>
      </c>
      <c r="H303" t="s">
        <v>3704</v>
      </c>
      <c r="I303" t="s">
        <v>4867</v>
      </c>
      <c r="J303" t="s">
        <v>5324</v>
      </c>
      <c r="K303">
        <v>11358</v>
      </c>
      <c r="L303" t="s">
        <v>5355</v>
      </c>
      <c r="M303" t="s">
        <v>5355</v>
      </c>
      <c r="N303" t="s">
        <v>5485</v>
      </c>
      <c r="O303" t="s">
        <v>6492</v>
      </c>
      <c r="P303" t="s">
        <v>6524</v>
      </c>
      <c r="Q303" t="s">
        <v>6531</v>
      </c>
      <c r="R303" t="s">
        <v>6539</v>
      </c>
      <c r="S303" t="s">
        <v>5355</v>
      </c>
      <c r="U303" t="s">
        <v>6557</v>
      </c>
      <c r="V303" t="s">
        <v>6569</v>
      </c>
      <c r="W303" t="s">
        <v>306</v>
      </c>
      <c r="X303">
        <v>1440.45</v>
      </c>
      <c r="Y303" t="s">
        <v>6604</v>
      </c>
      <c r="Z303" t="s">
        <v>6614</v>
      </c>
      <c r="AA303" t="s">
        <v>6631</v>
      </c>
      <c r="AB303" t="s">
        <v>6952</v>
      </c>
      <c r="AD303" t="s">
        <v>9362</v>
      </c>
      <c r="AE303">
        <v>6</v>
      </c>
      <c r="AF303" t="s">
        <v>11005</v>
      </c>
      <c r="AH303">
        <v>3</v>
      </c>
      <c r="AI303">
        <v>1</v>
      </c>
      <c r="AJ303">
        <v>0</v>
      </c>
      <c r="AK303">
        <v>257</v>
      </c>
      <c r="AN303" t="s">
        <v>11050</v>
      </c>
      <c r="AO303">
        <v>31200</v>
      </c>
      <c r="AU303">
        <v>0.95</v>
      </c>
      <c r="AV303" t="s">
        <v>339</v>
      </c>
      <c r="AW303" t="s">
        <v>85</v>
      </c>
    </row>
    <row r="304" spans="1:50">
      <c r="A304" s="1">
        <f>HYPERLINK("https://cms.ls-nyc.org/matter/dynamic-profile/view/1842396","17-1842396")</f>
        <v>0</v>
      </c>
      <c r="B304" t="s">
        <v>132</v>
      </c>
      <c r="C304" t="s">
        <v>235</v>
      </c>
      <c r="D304" t="s">
        <v>388</v>
      </c>
      <c r="F304" t="s">
        <v>1098</v>
      </c>
      <c r="G304" t="s">
        <v>2105</v>
      </c>
      <c r="H304" t="s">
        <v>3705</v>
      </c>
      <c r="I304" t="s">
        <v>4734</v>
      </c>
      <c r="J304" t="s">
        <v>5323</v>
      </c>
      <c r="K304">
        <v>10029</v>
      </c>
      <c r="L304" t="s">
        <v>5355</v>
      </c>
      <c r="M304" t="s">
        <v>5356</v>
      </c>
      <c r="O304" t="s">
        <v>5393</v>
      </c>
      <c r="P304" t="s">
        <v>6524</v>
      </c>
      <c r="R304" t="s">
        <v>6539</v>
      </c>
      <c r="S304" t="s">
        <v>5355</v>
      </c>
      <c r="U304" t="s">
        <v>6557</v>
      </c>
      <c r="V304" t="s">
        <v>6566</v>
      </c>
      <c r="W304" t="s">
        <v>388</v>
      </c>
      <c r="X304">
        <v>715.6900000000001</v>
      </c>
      <c r="Y304" t="s">
        <v>6608</v>
      </c>
      <c r="Z304" t="s">
        <v>6622</v>
      </c>
      <c r="AB304" t="s">
        <v>6953</v>
      </c>
      <c r="AD304" t="s">
        <v>9363</v>
      </c>
      <c r="AE304">
        <v>13</v>
      </c>
      <c r="AF304" t="s">
        <v>11005</v>
      </c>
      <c r="AG304" t="s">
        <v>5406</v>
      </c>
      <c r="AH304">
        <v>37</v>
      </c>
      <c r="AI304">
        <v>1</v>
      </c>
      <c r="AJ304">
        <v>0</v>
      </c>
      <c r="AK304">
        <v>258.71</v>
      </c>
      <c r="AL304" t="s">
        <v>11029</v>
      </c>
      <c r="AN304" t="s">
        <v>11050</v>
      </c>
      <c r="AO304">
        <v>31200</v>
      </c>
      <c r="AU304">
        <v>5.65</v>
      </c>
      <c r="AV304" t="s">
        <v>770</v>
      </c>
      <c r="AW304" t="s">
        <v>11497</v>
      </c>
      <c r="AX304" t="s">
        <v>11564</v>
      </c>
    </row>
    <row r="305" spans="1:50">
      <c r="A305" s="1">
        <f>HYPERLINK("https://cms.ls-nyc.org/matter/dynamic-profile/view/1866382","18-1866382")</f>
        <v>0</v>
      </c>
      <c r="B305" t="s">
        <v>129</v>
      </c>
      <c r="C305" t="s">
        <v>234</v>
      </c>
      <c r="D305" t="s">
        <v>241</v>
      </c>
      <c r="E305" t="s">
        <v>600</v>
      </c>
      <c r="F305" t="s">
        <v>1099</v>
      </c>
      <c r="G305" t="s">
        <v>2349</v>
      </c>
      <c r="H305" t="s">
        <v>3706</v>
      </c>
      <c r="I305">
        <v>15</v>
      </c>
      <c r="J305" t="s">
        <v>5321</v>
      </c>
      <c r="K305">
        <v>10453</v>
      </c>
      <c r="L305" t="s">
        <v>5355</v>
      </c>
      <c r="M305" t="s">
        <v>5356</v>
      </c>
      <c r="O305" t="s">
        <v>6496</v>
      </c>
      <c r="P305" t="s">
        <v>6524</v>
      </c>
      <c r="Q305" t="s">
        <v>6531</v>
      </c>
      <c r="R305" t="s">
        <v>6539</v>
      </c>
      <c r="S305" t="s">
        <v>5357</v>
      </c>
      <c r="U305" t="s">
        <v>6557</v>
      </c>
      <c r="W305" t="s">
        <v>414</v>
      </c>
      <c r="X305">
        <v>1316</v>
      </c>
      <c r="Y305" t="s">
        <v>6606</v>
      </c>
      <c r="Z305" t="s">
        <v>6622</v>
      </c>
      <c r="AA305" t="s">
        <v>6631</v>
      </c>
      <c r="AB305" t="s">
        <v>6954</v>
      </c>
      <c r="AD305" t="s">
        <v>9364</v>
      </c>
      <c r="AE305">
        <v>43</v>
      </c>
      <c r="AF305" t="s">
        <v>11005</v>
      </c>
      <c r="AH305">
        <v>16</v>
      </c>
      <c r="AI305">
        <v>2</v>
      </c>
      <c r="AJ305">
        <v>0</v>
      </c>
      <c r="AK305">
        <v>261.24</v>
      </c>
      <c r="AO305">
        <v>43000</v>
      </c>
      <c r="AU305">
        <v>2.95</v>
      </c>
      <c r="AV305" t="s">
        <v>315</v>
      </c>
      <c r="AW305" t="s">
        <v>11499</v>
      </c>
    </row>
    <row r="306" spans="1:50">
      <c r="A306" s="1">
        <f>HYPERLINK("https://cms.ls-nyc.org/matter/dynamic-profile/view/1863546","18-1863546")</f>
        <v>0</v>
      </c>
      <c r="B306" t="s">
        <v>63</v>
      </c>
      <c r="C306" t="s">
        <v>234</v>
      </c>
      <c r="D306" t="s">
        <v>373</v>
      </c>
      <c r="E306" t="s">
        <v>684</v>
      </c>
      <c r="F306" t="s">
        <v>1006</v>
      </c>
      <c r="G306" t="s">
        <v>2350</v>
      </c>
      <c r="H306" t="s">
        <v>3707</v>
      </c>
      <c r="I306">
        <v>235</v>
      </c>
      <c r="J306" t="s">
        <v>5322</v>
      </c>
      <c r="K306">
        <v>10304</v>
      </c>
      <c r="L306" t="s">
        <v>5355</v>
      </c>
      <c r="M306" t="s">
        <v>5355</v>
      </c>
      <c r="N306" t="s">
        <v>5366</v>
      </c>
      <c r="O306" t="s">
        <v>5393</v>
      </c>
      <c r="P306" t="s">
        <v>6524</v>
      </c>
      <c r="Q306" t="s">
        <v>6531</v>
      </c>
      <c r="R306" t="s">
        <v>6539</v>
      </c>
      <c r="S306" t="s">
        <v>5357</v>
      </c>
      <c r="U306" t="s">
        <v>6557</v>
      </c>
      <c r="V306" t="s">
        <v>6566</v>
      </c>
      <c r="W306" t="s">
        <v>373</v>
      </c>
      <c r="X306">
        <v>2150</v>
      </c>
      <c r="Y306" t="s">
        <v>6607</v>
      </c>
      <c r="Z306" t="s">
        <v>6618</v>
      </c>
      <c r="AA306" t="s">
        <v>6631</v>
      </c>
      <c r="AB306" t="s">
        <v>6955</v>
      </c>
      <c r="AD306" t="s">
        <v>9365</v>
      </c>
      <c r="AE306">
        <v>177</v>
      </c>
      <c r="AF306" t="s">
        <v>11008</v>
      </c>
      <c r="AG306" t="s">
        <v>11020</v>
      </c>
      <c r="AH306">
        <v>6</v>
      </c>
      <c r="AI306">
        <v>3</v>
      </c>
      <c r="AJ306">
        <v>2</v>
      </c>
      <c r="AK306">
        <v>263.33</v>
      </c>
      <c r="AL306" t="s">
        <v>11029</v>
      </c>
      <c r="AN306" t="s">
        <v>11050</v>
      </c>
      <c r="AO306">
        <v>77472</v>
      </c>
      <c r="AU306">
        <v>2.5</v>
      </c>
      <c r="AV306" t="s">
        <v>684</v>
      </c>
      <c r="AW306" t="s">
        <v>11493</v>
      </c>
    </row>
    <row r="307" spans="1:50">
      <c r="A307" s="1">
        <f>HYPERLINK("https://cms.ls-nyc.org/matter/dynamic-profile/view/1856670","18-1856670")</f>
        <v>0</v>
      </c>
      <c r="B307" t="s">
        <v>105</v>
      </c>
      <c r="C307" t="s">
        <v>234</v>
      </c>
      <c r="D307" t="s">
        <v>389</v>
      </c>
      <c r="E307" t="s">
        <v>708</v>
      </c>
      <c r="F307" t="s">
        <v>1100</v>
      </c>
      <c r="G307" t="s">
        <v>2351</v>
      </c>
      <c r="H307" t="s">
        <v>3708</v>
      </c>
      <c r="I307" t="s">
        <v>4868</v>
      </c>
      <c r="J307" t="s">
        <v>5323</v>
      </c>
      <c r="K307">
        <v>10030</v>
      </c>
      <c r="L307" t="s">
        <v>5355</v>
      </c>
      <c r="M307" t="s">
        <v>5356</v>
      </c>
      <c r="O307" t="s">
        <v>6490</v>
      </c>
      <c r="P307" t="s">
        <v>6524</v>
      </c>
      <c r="Q307" t="s">
        <v>6531</v>
      </c>
      <c r="R307" t="s">
        <v>6539</v>
      </c>
      <c r="S307" t="s">
        <v>5357</v>
      </c>
      <c r="T307" t="s">
        <v>6542</v>
      </c>
      <c r="U307" t="s">
        <v>6557</v>
      </c>
      <c r="W307" t="s">
        <v>236</v>
      </c>
      <c r="X307">
        <v>966.5700000000001</v>
      </c>
      <c r="Y307" t="s">
        <v>6608</v>
      </c>
      <c r="Z307" t="s">
        <v>6616</v>
      </c>
      <c r="AA307" t="s">
        <v>6631</v>
      </c>
      <c r="AB307" t="s">
        <v>6956</v>
      </c>
      <c r="AD307" t="s">
        <v>9366</v>
      </c>
      <c r="AE307">
        <v>20</v>
      </c>
      <c r="AF307" t="s">
        <v>11005</v>
      </c>
      <c r="AG307" t="s">
        <v>5406</v>
      </c>
      <c r="AH307">
        <v>22</v>
      </c>
      <c r="AI307">
        <v>2</v>
      </c>
      <c r="AJ307">
        <v>2</v>
      </c>
      <c r="AK307">
        <v>264.65</v>
      </c>
      <c r="AL307" t="s">
        <v>11029</v>
      </c>
      <c r="AN307" t="s">
        <v>11050</v>
      </c>
      <c r="AO307">
        <v>65104</v>
      </c>
      <c r="AU307">
        <v>1.2</v>
      </c>
      <c r="AV307" t="s">
        <v>708</v>
      </c>
      <c r="AW307" t="s">
        <v>11494</v>
      </c>
    </row>
    <row r="308" spans="1:50">
      <c r="A308" s="1">
        <f>HYPERLINK("https://cms.ls-nyc.org/matter/dynamic-profile/view/1847509","17-1847509")</f>
        <v>0</v>
      </c>
      <c r="B308" t="s">
        <v>132</v>
      </c>
      <c r="C308" t="s">
        <v>234</v>
      </c>
      <c r="D308" t="s">
        <v>390</v>
      </c>
      <c r="E308" t="s">
        <v>698</v>
      </c>
      <c r="F308" t="s">
        <v>1101</v>
      </c>
      <c r="G308" t="s">
        <v>2294</v>
      </c>
      <c r="H308" t="s">
        <v>3709</v>
      </c>
      <c r="I308">
        <v>9</v>
      </c>
      <c r="J308" t="s">
        <v>5323</v>
      </c>
      <c r="K308">
        <v>10029</v>
      </c>
      <c r="L308" t="s">
        <v>5355</v>
      </c>
      <c r="M308" t="s">
        <v>5356</v>
      </c>
      <c r="O308" t="s">
        <v>5393</v>
      </c>
      <c r="P308" t="s">
        <v>6524</v>
      </c>
      <c r="Q308" t="s">
        <v>6531</v>
      </c>
      <c r="R308" t="s">
        <v>6539</v>
      </c>
      <c r="S308" t="s">
        <v>5355</v>
      </c>
      <c r="U308" t="s">
        <v>6557</v>
      </c>
      <c r="W308" t="s">
        <v>390</v>
      </c>
      <c r="X308">
        <v>101</v>
      </c>
      <c r="Y308" t="s">
        <v>6608</v>
      </c>
      <c r="Z308" t="s">
        <v>6617</v>
      </c>
      <c r="AA308" t="s">
        <v>6631</v>
      </c>
      <c r="AB308" t="s">
        <v>6957</v>
      </c>
      <c r="AD308" t="s">
        <v>9367</v>
      </c>
      <c r="AE308">
        <v>24</v>
      </c>
      <c r="AF308" t="s">
        <v>11006</v>
      </c>
      <c r="AG308" t="s">
        <v>5406</v>
      </c>
      <c r="AH308">
        <v>30</v>
      </c>
      <c r="AI308">
        <v>2</v>
      </c>
      <c r="AJ308">
        <v>0</v>
      </c>
      <c r="AK308">
        <v>273.4</v>
      </c>
      <c r="AL308" t="s">
        <v>11029</v>
      </c>
      <c r="AN308" t="s">
        <v>11049</v>
      </c>
      <c r="AO308">
        <v>44400</v>
      </c>
      <c r="AU308">
        <v>2.1</v>
      </c>
      <c r="AV308" t="s">
        <v>267</v>
      </c>
      <c r="AW308" t="s">
        <v>11497</v>
      </c>
    </row>
    <row r="309" spans="1:50">
      <c r="A309" s="1">
        <f>HYPERLINK("https://cms.ls-nyc.org/matter/dynamic-profile/view/1865648","18-1865648")</f>
        <v>0</v>
      </c>
      <c r="B309" t="s">
        <v>104</v>
      </c>
      <c r="C309" t="s">
        <v>234</v>
      </c>
      <c r="D309" t="s">
        <v>239</v>
      </c>
      <c r="E309" t="s">
        <v>665</v>
      </c>
      <c r="F309" t="s">
        <v>1102</v>
      </c>
      <c r="G309" t="s">
        <v>2352</v>
      </c>
      <c r="H309" t="s">
        <v>3710</v>
      </c>
      <c r="I309" t="s">
        <v>4869</v>
      </c>
      <c r="J309" t="s">
        <v>5321</v>
      </c>
      <c r="K309">
        <v>10452</v>
      </c>
      <c r="L309" t="s">
        <v>5355</v>
      </c>
      <c r="M309" t="s">
        <v>5356</v>
      </c>
      <c r="N309" t="s">
        <v>5486</v>
      </c>
      <c r="O309" t="s">
        <v>6492</v>
      </c>
      <c r="P309" t="s">
        <v>6524</v>
      </c>
      <c r="Q309" t="s">
        <v>6531</v>
      </c>
      <c r="R309" t="s">
        <v>6539</v>
      </c>
      <c r="S309" t="s">
        <v>5357</v>
      </c>
      <c r="U309" t="s">
        <v>6557</v>
      </c>
      <c r="W309" t="s">
        <v>516</v>
      </c>
      <c r="X309">
        <v>1026.22</v>
      </c>
      <c r="Y309" t="s">
        <v>6606</v>
      </c>
      <c r="Z309" t="s">
        <v>6493</v>
      </c>
      <c r="AA309" t="s">
        <v>6631</v>
      </c>
      <c r="AB309" t="s">
        <v>6958</v>
      </c>
      <c r="AC309" t="s">
        <v>8744</v>
      </c>
      <c r="AD309" t="s">
        <v>9368</v>
      </c>
      <c r="AE309">
        <v>34</v>
      </c>
      <c r="AF309" t="s">
        <v>11005</v>
      </c>
      <c r="AG309" t="s">
        <v>5406</v>
      </c>
      <c r="AH309">
        <v>10</v>
      </c>
      <c r="AI309">
        <v>1</v>
      </c>
      <c r="AJ309">
        <v>1</v>
      </c>
      <c r="AK309">
        <v>273.91</v>
      </c>
      <c r="AN309" t="s">
        <v>11049</v>
      </c>
      <c r="AO309">
        <v>45085.2</v>
      </c>
      <c r="AU309">
        <v>1.5</v>
      </c>
      <c r="AV309" t="s">
        <v>239</v>
      </c>
      <c r="AW309" t="s">
        <v>11505</v>
      </c>
    </row>
    <row r="310" spans="1:50">
      <c r="A310" s="1">
        <f>HYPERLINK("https://cms.ls-nyc.org/matter/dynamic-profile/view/1867146","18-1867146")</f>
        <v>0</v>
      </c>
      <c r="B310" t="s">
        <v>105</v>
      </c>
      <c r="C310" t="s">
        <v>234</v>
      </c>
      <c r="D310" t="s">
        <v>391</v>
      </c>
      <c r="E310" t="s">
        <v>708</v>
      </c>
      <c r="F310" t="s">
        <v>857</v>
      </c>
      <c r="G310" t="s">
        <v>2353</v>
      </c>
      <c r="H310" t="s">
        <v>3711</v>
      </c>
      <c r="I310" t="s">
        <v>4870</v>
      </c>
      <c r="J310" t="s">
        <v>5323</v>
      </c>
      <c r="K310">
        <v>10037</v>
      </c>
      <c r="L310" t="s">
        <v>5355</v>
      </c>
      <c r="M310" t="s">
        <v>5356</v>
      </c>
      <c r="N310" t="s">
        <v>5487</v>
      </c>
      <c r="O310" t="s">
        <v>6492</v>
      </c>
      <c r="P310" t="s">
        <v>6524</v>
      </c>
      <c r="Q310" t="s">
        <v>6531</v>
      </c>
      <c r="R310" t="s">
        <v>6539</v>
      </c>
      <c r="U310" t="s">
        <v>6557</v>
      </c>
      <c r="W310" t="s">
        <v>391</v>
      </c>
      <c r="X310">
        <v>885</v>
      </c>
      <c r="Y310" t="s">
        <v>6608</v>
      </c>
      <c r="Z310" t="s">
        <v>6614</v>
      </c>
      <c r="AA310" t="s">
        <v>6631</v>
      </c>
      <c r="AB310" t="s">
        <v>6959</v>
      </c>
      <c r="AD310" t="s">
        <v>9369</v>
      </c>
      <c r="AE310">
        <v>0</v>
      </c>
      <c r="AF310" t="s">
        <v>8722</v>
      </c>
      <c r="AG310" t="s">
        <v>5406</v>
      </c>
      <c r="AH310">
        <v>41</v>
      </c>
      <c r="AI310">
        <v>1</v>
      </c>
      <c r="AJ310">
        <v>0</v>
      </c>
      <c r="AK310">
        <v>277.27</v>
      </c>
      <c r="AN310" t="s">
        <v>11050</v>
      </c>
      <c r="AO310">
        <v>33660</v>
      </c>
      <c r="AU310">
        <v>1.6</v>
      </c>
      <c r="AV310" t="s">
        <v>708</v>
      </c>
      <c r="AW310" t="s">
        <v>11496</v>
      </c>
    </row>
    <row r="311" spans="1:50">
      <c r="A311" s="1">
        <f>HYPERLINK("https://cms.ls-nyc.org/matter/dynamic-profile/view/1853640","17-1853640")</f>
        <v>0</v>
      </c>
      <c r="B311" t="s">
        <v>111</v>
      </c>
      <c r="C311" t="s">
        <v>234</v>
      </c>
      <c r="D311" t="s">
        <v>327</v>
      </c>
      <c r="E311" t="s">
        <v>517</v>
      </c>
      <c r="F311" t="s">
        <v>1103</v>
      </c>
      <c r="G311" t="s">
        <v>2105</v>
      </c>
      <c r="H311" t="s">
        <v>3712</v>
      </c>
      <c r="I311" t="s">
        <v>4871</v>
      </c>
      <c r="J311" t="s">
        <v>5323</v>
      </c>
      <c r="K311">
        <v>10040</v>
      </c>
      <c r="L311" t="s">
        <v>5355</v>
      </c>
      <c r="M311" t="s">
        <v>5355</v>
      </c>
      <c r="O311" t="s">
        <v>6496</v>
      </c>
      <c r="P311" t="s">
        <v>6524</v>
      </c>
      <c r="Q311" t="s">
        <v>6531</v>
      </c>
      <c r="R311" t="s">
        <v>6539</v>
      </c>
      <c r="S311" t="s">
        <v>5357</v>
      </c>
      <c r="T311" t="s">
        <v>6542</v>
      </c>
      <c r="U311" t="s">
        <v>6557</v>
      </c>
      <c r="W311" t="s">
        <v>464</v>
      </c>
      <c r="X311">
        <v>1294.3</v>
      </c>
      <c r="Y311" t="s">
        <v>6608</v>
      </c>
      <c r="Z311" t="s">
        <v>6614</v>
      </c>
      <c r="AA311" t="s">
        <v>6631</v>
      </c>
      <c r="AB311" t="s">
        <v>6960</v>
      </c>
      <c r="AD311" t="s">
        <v>9370</v>
      </c>
      <c r="AE311">
        <v>100</v>
      </c>
      <c r="AF311" t="s">
        <v>11005</v>
      </c>
      <c r="AG311" t="s">
        <v>5406</v>
      </c>
      <c r="AH311">
        <v>7</v>
      </c>
      <c r="AI311">
        <v>3</v>
      </c>
      <c r="AJ311">
        <v>1</v>
      </c>
      <c r="AK311">
        <v>278.98</v>
      </c>
      <c r="AN311" t="s">
        <v>11049</v>
      </c>
      <c r="AO311">
        <v>119059.5</v>
      </c>
      <c r="AU311">
        <v>1.15</v>
      </c>
      <c r="AV311" t="s">
        <v>517</v>
      </c>
      <c r="AW311" t="s">
        <v>11495</v>
      </c>
    </row>
    <row r="312" spans="1:50">
      <c r="A312" s="1">
        <f>HYPERLINK("https://cms.ls-nyc.org/matter/dynamic-profile/view/1856879","18-1856879")</f>
        <v>0</v>
      </c>
      <c r="B312" t="s">
        <v>113</v>
      </c>
      <c r="C312" t="s">
        <v>234</v>
      </c>
      <c r="D312" t="s">
        <v>249</v>
      </c>
      <c r="E312" t="s">
        <v>688</v>
      </c>
      <c r="F312" t="s">
        <v>1104</v>
      </c>
      <c r="G312" t="s">
        <v>2354</v>
      </c>
      <c r="H312" t="s">
        <v>3713</v>
      </c>
      <c r="J312" t="s">
        <v>5323</v>
      </c>
      <c r="K312">
        <v>10029</v>
      </c>
      <c r="L312" t="s">
        <v>5355</v>
      </c>
      <c r="M312" t="s">
        <v>5355</v>
      </c>
      <c r="N312" t="s">
        <v>5488</v>
      </c>
      <c r="O312" t="s">
        <v>6491</v>
      </c>
      <c r="P312" t="s">
        <v>6524</v>
      </c>
      <c r="Q312" t="s">
        <v>6531</v>
      </c>
      <c r="R312" t="s">
        <v>6539</v>
      </c>
      <c r="S312" t="s">
        <v>5357</v>
      </c>
      <c r="U312" t="s">
        <v>6557</v>
      </c>
      <c r="V312" t="s">
        <v>6566</v>
      </c>
      <c r="W312" t="s">
        <v>249</v>
      </c>
      <c r="X312">
        <v>854</v>
      </c>
      <c r="Y312" t="s">
        <v>6608</v>
      </c>
      <c r="Z312" t="s">
        <v>6493</v>
      </c>
      <c r="AA312" t="s">
        <v>6631</v>
      </c>
      <c r="AB312" t="s">
        <v>6961</v>
      </c>
      <c r="AD312" t="s">
        <v>9371</v>
      </c>
      <c r="AE312">
        <v>8</v>
      </c>
      <c r="AF312" t="s">
        <v>11005</v>
      </c>
      <c r="AG312" t="s">
        <v>5406</v>
      </c>
      <c r="AH312">
        <v>23</v>
      </c>
      <c r="AI312">
        <v>3</v>
      </c>
      <c r="AJ312">
        <v>1</v>
      </c>
      <c r="AK312">
        <v>281.5</v>
      </c>
      <c r="AL312" t="s">
        <v>11029</v>
      </c>
      <c r="AN312" t="s">
        <v>11049</v>
      </c>
      <c r="AO312">
        <v>69248</v>
      </c>
      <c r="AU312">
        <v>0.5</v>
      </c>
      <c r="AV312" t="s">
        <v>751</v>
      </c>
      <c r="AW312" t="s">
        <v>11497</v>
      </c>
    </row>
    <row r="313" spans="1:50">
      <c r="A313" s="1">
        <f>HYPERLINK("https://cms.ls-nyc.org/matter/dynamic-profile/view/1851096","17-1851096")</f>
        <v>0</v>
      </c>
      <c r="B313" t="s">
        <v>54</v>
      </c>
      <c r="C313" t="s">
        <v>234</v>
      </c>
      <c r="D313" t="s">
        <v>367</v>
      </c>
      <c r="E313" t="s">
        <v>727</v>
      </c>
      <c r="F313" t="s">
        <v>946</v>
      </c>
      <c r="G313" t="s">
        <v>1168</v>
      </c>
      <c r="H313" t="s">
        <v>3714</v>
      </c>
      <c r="I313" t="s">
        <v>4872</v>
      </c>
      <c r="J313" t="s">
        <v>5320</v>
      </c>
      <c r="K313">
        <v>11236</v>
      </c>
      <c r="L313" t="s">
        <v>5355</v>
      </c>
      <c r="M313" t="s">
        <v>5356</v>
      </c>
      <c r="O313" t="s">
        <v>6500</v>
      </c>
      <c r="P313" t="s">
        <v>6524</v>
      </c>
      <c r="Q313" t="s">
        <v>6531</v>
      </c>
      <c r="R313" t="s">
        <v>6539</v>
      </c>
      <c r="S313" t="s">
        <v>5355</v>
      </c>
      <c r="U313" t="s">
        <v>6557</v>
      </c>
      <c r="W313" t="s">
        <v>6577</v>
      </c>
      <c r="X313">
        <v>869</v>
      </c>
      <c r="Y313" t="s">
        <v>6605</v>
      </c>
      <c r="Z313" t="s">
        <v>6622</v>
      </c>
      <c r="AA313" t="s">
        <v>6631</v>
      </c>
      <c r="AB313" t="s">
        <v>6962</v>
      </c>
      <c r="AC313" t="s">
        <v>5406</v>
      </c>
      <c r="AD313" t="s">
        <v>9372</v>
      </c>
      <c r="AE313">
        <v>113</v>
      </c>
      <c r="AF313" t="s">
        <v>11005</v>
      </c>
      <c r="AG313" t="s">
        <v>5406</v>
      </c>
      <c r="AH313">
        <v>15</v>
      </c>
      <c r="AI313">
        <v>1</v>
      </c>
      <c r="AJ313">
        <v>0</v>
      </c>
      <c r="AK313">
        <v>281.92</v>
      </c>
      <c r="AL313" t="s">
        <v>11029</v>
      </c>
      <c r="AN313" t="s">
        <v>11050</v>
      </c>
      <c r="AO313">
        <v>34000</v>
      </c>
      <c r="AU313">
        <v>1</v>
      </c>
      <c r="AV313" t="s">
        <v>677</v>
      </c>
      <c r="AW313" t="s">
        <v>11512</v>
      </c>
      <c r="AX313" t="s">
        <v>11564</v>
      </c>
    </row>
    <row r="314" spans="1:50">
      <c r="A314" s="1">
        <f>HYPERLINK("https://cms.ls-nyc.org/matter/dynamic-profile/view/1859379","18-1859379")</f>
        <v>0</v>
      </c>
      <c r="B314" t="s">
        <v>102</v>
      </c>
      <c r="C314" t="s">
        <v>234</v>
      </c>
      <c r="D314" t="s">
        <v>284</v>
      </c>
      <c r="E314" t="s">
        <v>665</v>
      </c>
      <c r="F314" t="s">
        <v>901</v>
      </c>
      <c r="G314" t="s">
        <v>2105</v>
      </c>
      <c r="H314" t="s">
        <v>3526</v>
      </c>
      <c r="I314">
        <v>624</v>
      </c>
      <c r="J314" t="s">
        <v>5321</v>
      </c>
      <c r="K314">
        <v>10453</v>
      </c>
      <c r="L314" t="s">
        <v>5355</v>
      </c>
      <c r="M314" t="s">
        <v>5356</v>
      </c>
      <c r="O314" t="s">
        <v>6499</v>
      </c>
      <c r="P314" t="s">
        <v>6524</v>
      </c>
      <c r="Q314" t="s">
        <v>6531</v>
      </c>
      <c r="R314" t="s">
        <v>6539</v>
      </c>
      <c r="S314" t="s">
        <v>5355</v>
      </c>
      <c r="U314" t="s">
        <v>6557</v>
      </c>
      <c r="W314" t="s">
        <v>246</v>
      </c>
      <c r="X314">
        <v>13000</v>
      </c>
      <c r="Y314" t="s">
        <v>6606</v>
      </c>
      <c r="Z314" t="s">
        <v>6622</v>
      </c>
      <c r="AA314" t="s">
        <v>6631</v>
      </c>
      <c r="AB314" t="s">
        <v>6963</v>
      </c>
      <c r="AD314" t="s">
        <v>9373</v>
      </c>
      <c r="AE314">
        <v>146</v>
      </c>
      <c r="AF314" t="s">
        <v>11005</v>
      </c>
      <c r="AG314" t="s">
        <v>5406</v>
      </c>
      <c r="AH314">
        <v>5</v>
      </c>
      <c r="AI314">
        <v>3</v>
      </c>
      <c r="AJ314">
        <v>1</v>
      </c>
      <c r="AK314">
        <v>284.55</v>
      </c>
      <c r="AN314" t="s">
        <v>11049</v>
      </c>
      <c r="AO314">
        <v>70000</v>
      </c>
      <c r="AU314">
        <v>1.1</v>
      </c>
      <c r="AV314" t="s">
        <v>256</v>
      </c>
      <c r="AW314" t="s">
        <v>11492</v>
      </c>
    </row>
    <row r="315" spans="1:50">
      <c r="A315" s="1">
        <f>HYPERLINK("https://cms.ls-nyc.org/matter/dynamic-profile/view/1859528","18-1859528")</f>
        <v>0</v>
      </c>
      <c r="B315" t="s">
        <v>102</v>
      </c>
      <c r="C315" t="s">
        <v>234</v>
      </c>
      <c r="D315" t="s">
        <v>316</v>
      </c>
      <c r="E315" t="s">
        <v>665</v>
      </c>
      <c r="F315" t="s">
        <v>1105</v>
      </c>
      <c r="G315" t="s">
        <v>2355</v>
      </c>
      <c r="H315" t="s">
        <v>3526</v>
      </c>
      <c r="I315">
        <v>623</v>
      </c>
      <c r="J315" t="s">
        <v>5321</v>
      </c>
      <c r="K315">
        <v>10453</v>
      </c>
      <c r="L315" t="s">
        <v>5355</v>
      </c>
      <c r="M315" t="s">
        <v>5356</v>
      </c>
      <c r="O315" t="s">
        <v>6499</v>
      </c>
      <c r="P315" t="s">
        <v>6524</v>
      </c>
      <c r="Q315" t="s">
        <v>6531</v>
      </c>
      <c r="R315" t="s">
        <v>6539</v>
      </c>
      <c r="S315" t="s">
        <v>5355</v>
      </c>
      <c r="U315" t="s">
        <v>6557</v>
      </c>
      <c r="W315" t="s">
        <v>336</v>
      </c>
      <c r="X315">
        <v>1229.5</v>
      </c>
      <c r="Y315" t="s">
        <v>6606</v>
      </c>
      <c r="Z315" t="s">
        <v>6622</v>
      </c>
      <c r="AA315" t="s">
        <v>6631</v>
      </c>
      <c r="AB315" t="s">
        <v>6964</v>
      </c>
      <c r="AD315" t="s">
        <v>9374</v>
      </c>
      <c r="AE315">
        <v>146</v>
      </c>
      <c r="AF315" t="s">
        <v>11005</v>
      </c>
      <c r="AG315" t="s">
        <v>5406</v>
      </c>
      <c r="AH315">
        <v>20</v>
      </c>
      <c r="AI315">
        <v>3</v>
      </c>
      <c r="AJ315">
        <v>0</v>
      </c>
      <c r="AK315">
        <v>285.01</v>
      </c>
      <c r="AN315" t="s">
        <v>11049</v>
      </c>
      <c r="AO315">
        <v>103800</v>
      </c>
      <c r="AU315">
        <v>1.1</v>
      </c>
      <c r="AV315" t="s">
        <v>256</v>
      </c>
      <c r="AW315" t="s">
        <v>11492</v>
      </c>
    </row>
    <row r="316" spans="1:50">
      <c r="A316" s="1">
        <f>HYPERLINK("https://cms.ls-nyc.org/matter/dynamic-profile/view/1870538","18-1870538")</f>
        <v>0</v>
      </c>
      <c r="B316" t="s">
        <v>65</v>
      </c>
      <c r="C316" t="s">
        <v>234</v>
      </c>
      <c r="D316" t="s">
        <v>255</v>
      </c>
      <c r="E316" t="s">
        <v>413</v>
      </c>
      <c r="F316" t="s">
        <v>1106</v>
      </c>
      <c r="G316" t="s">
        <v>2356</v>
      </c>
      <c r="H316" t="s">
        <v>3448</v>
      </c>
      <c r="I316" t="s">
        <v>4841</v>
      </c>
      <c r="J316" t="s">
        <v>5323</v>
      </c>
      <c r="K316">
        <v>10032</v>
      </c>
      <c r="L316" t="s">
        <v>5355</v>
      </c>
      <c r="M316" t="s">
        <v>5356</v>
      </c>
      <c r="O316" t="s">
        <v>6496</v>
      </c>
      <c r="P316" t="s">
        <v>6524</v>
      </c>
      <c r="Q316" t="s">
        <v>6531</v>
      </c>
      <c r="R316" t="s">
        <v>6539</v>
      </c>
      <c r="S316" t="s">
        <v>5355</v>
      </c>
      <c r="U316" t="s">
        <v>6557</v>
      </c>
      <c r="W316" t="s">
        <v>490</v>
      </c>
      <c r="X316">
        <v>913.63</v>
      </c>
      <c r="Y316" t="s">
        <v>6608</v>
      </c>
      <c r="Z316" t="s">
        <v>6624</v>
      </c>
      <c r="AA316" t="s">
        <v>6634</v>
      </c>
      <c r="AD316" t="s">
        <v>9375</v>
      </c>
      <c r="AE316">
        <v>49</v>
      </c>
      <c r="AF316" t="s">
        <v>11005</v>
      </c>
      <c r="AG316" t="s">
        <v>5406</v>
      </c>
      <c r="AH316">
        <v>17</v>
      </c>
      <c r="AI316">
        <v>1</v>
      </c>
      <c r="AJ316">
        <v>0</v>
      </c>
      <c r="AK316">
        <v>288.3</v>
      </c>
      <c r="AN316" t="s">
        <v>11049</v>
      </c>
      <c r="AO316">
        <v>35000</v>
      </c>
      <c r="AU316">
        <v>0</v>
      </c>
      <c r="AV316" t="s">
        <v>328</v>
      </c>
      <c r="AW316" t="s">
        <v>11495</v>
      </c>
    </row>
    <row r="317" spans="1:50">
      <c r="A317" s="1">
        <f>HYPERLINK("https://cms.ls-nyc.org/matter/dynamic-profile/view/1865227","18-1865227")</f>
        <v>0</v>
      </c>
      <c r="B317" t="s">
        <v>64</v>
      </c>
      <c r="C317" t="s">
        <v>234</v>
      </c>
      <c r="D317" t="s">
        <v>254</v>
      </c>
      <c r="E317" t="s">
        <v>740</v>
      </c>
      <c r="F317" t="s">
        <v>1107</v>
      </c>
      <c r="G317" t="s">
        <v>1578</v>
      </c>
      <c r="H317" t="s">
        <v>3715</v>
      </c>
      <c r="I317" t="s">
        <v>4738</v>
      </c>
      <c r="J317" t="s">
        <v>5323</v>
      </c>
      <c r="K317">
        <v>10027</v>
      </c>
      <c r="L317" t="s">
        <v>5355</v>
      </c>
      <c r="M317" t="s">
        <v>5355</v>
      </c>
      <c r="O317" t="s">
        <v>6496</v>
      </c>
      <c r="P317" t="s">
        <v>6524</v>
      </c>
      <c r="Q317" t="s">
        <v>6531</v>
      </c>
      <c r="R317" t="s">
        <v>6539</v>
      </c>
      <c r="S317" t="s">
        <v>5355</v>
      </c>
      <c r="T317" t="s">
        <v>6542</v>
      </c>
      <c r="U317" t="s">
        <v>6557</v>
      </c>
      <c r="W317" t="s">
        <v>254</v>
      </c>
      <c r="X317">
        <v>810</v>
      </c>
      <c r="Y317" t="s">
        <v>6608</v>
      </c>
      <c r="Z317" t="s">
        <v>6614</v>
      </c>
      <c r="AA317" t="s">
        <v>6631</v>
      </c>
      <c r="AB317" t="s">
        <v>6965</v>
      </c>
      <c r="AD317" t="s">
        <v>9376</v>
      </c>
      <c r="AE317">
        <v>0</v>
      </c>
      <c r="AF317" t="s">
        <v>11005</v>
      </c>
      <c r="AG317" t="s">
        <v>5406</v>
      </c>
      <c r="AH317">
        <v>3</v>
      </c>
      <c r="AI317">
        <v>1</v>
      </c>
      <c r="AJ317">
        <v>1</v>
      </c>
      <c r="AK317">
        <v>291.62</v>
      </c>
      <c r="AL317" t="s">
        <v>11029</v>
      </c>
      <c r="AN317" t="s">
        <v>11050</v>
      </c>
      <c r="AO317">
        <v>48000</v>
      </c>
      <c r="AU317">
        <v>0.5</v>
      </c>
      <c r="AV317" t="s">
        <v>502</v>
      </c>
      <c r="AW317" t="s">
        <v>11494</v>
      </c>
    </row>
    <row r="318" spans="1:50">
      <c r="A318" s="1">
        <f>HYPERLINK("https://cms.ls-nyc.org/matter/dynamic-profile/view/1855565","18-1855565")</f>
        <v>0</v>
      </c>
      <c r="B318" t="s">
        <v>69</v>
      </c>
      <c r="C318" t="s">
        <v>234</v>
      </c>
      <c r="D318" t="s">
        <v>281</v>
      </c>
      <c r="E318" t="s">
        <v>710</v>
      </c>
      <c r="F318" t="s">
        <v>1058</v>
      </c>
      <c r="G318" t="s">
        <v>2122</v>
      </c>
      <c r="H318" t="s">
        <v>3716</v>
      </c>
      <c r="I318" t="s">
        <v>4873</v>
      </c>
      <c r="J318" t="s">
        <v>5321</v>
      </c>
      <c r="K318">
        <v>10453</v>
      </c>
      <c r="L318" t="s">
        <v>5355</v>
      </c>
      <c r="M318" t="s">
        <v>5356</v>
      </c>
      <c r="O318" t="s">
        <v>6503</v>
      </c>
      <c r="P318" t="s">
        <v>6524</v>
      </c>
      <c r="Q318" t="s">
        <v>6531</v>
      </c>
      <c r="R318" t="s">
        <v>6539</v>
      </c>
      <c r="S318" t="s">
        <v>5357</v>
      </c>
      <c r="U318" t="s">
        <v>6557</v>
      </c>
      <c r="W318" t="s">
        <v>433</v>
      </c>
      <c r="X318">
        <v>1808.24</v>
      </c>
      <c r="Y318" t="s">
        <v>6606</v>
      </c>
      <c r="Z318" t="s">
        <v>6612</v>
      </c>
      <c r="AA318" t="s">
        <v>6631</v>
      </c>
      <c r="AB318" t="s">
        <v>6966</v>
      </c>
      <c r="AD318" t="s">
        <v>9377</v>
      </c>
      <c r="AE318">
        <v>101</v>
      </c>
      <c r="AF318" t="s">
        <v>11005</v>
      </c>
      <c r="AG318" t="s">
        <v>11020</v>
      </c>
      <c r="AH318">
        <v>3</v>
      </c>
      <c r="AI318">
        <v>3</v>
      </c>
      <c r="AJ318">
        <v>0</v>
      </c>
      <c r="AK318">
        <v>298.73</v>
      </c>
      <c r="AL318" t="s">
        <v>11029</v>
      </c>
      <c r="AN318" t="s">
        <v>11050</v>
      </c>
      <c r="AO318">
        <v>61000</v>
      </c>
      <c r="AP318" t="s">
        <v>11087</v>
      </c>
      <c r="AU318">
        <v>0.5</v>
      </c>
      <c r="AV318" t="s">
        <v>263</v>
      </c>
      <c r="AW318" t="s">
        <v>11492</v>
      </c>
    </row>
    <row r="319" spans="1:50">
      <c r="A319" s="1">
        <f>HYPERLINK("https://cms.ls-nyc.org/matter/dynamic-profile/view/1858673","18-1858673")</f>
        <v>0</v>
      </c>
      <c r="B319" t="s">
        <v>123</v>
      </c>
      <c r="C319" t="s">
        <v>234</v>
      </c>
      <c r="D319" t="s">
        <v>248</v>
      </c>
      <c r="E319" t="s">
        <v>676</v>
      </c>
      <c r="F319" t="s">
        <v>1108</v>
      </c>
      <c r="G319" t="s">
        <v>2357</v>
      </c>
      <c r="H319" t="s">
        <v>3717</v>
      </c>
      <c r="I319">
        <v>4</v>
      </c>
      <c r="J319" t="s">
        <v>5323</v>
      </c>
      <c r="K319">
        <v>10027</v>
      </c>
      <c r="L319" t="s">
        <v>5355</v>
      </c>
      <c r="M319" t="s">
        <v>5356</v>
      </c>
      <c r="O319" t="s">
        <v>5393</v>
      </c>
      <c r="P319" t="s">
        <v>6524</v>
      </c>
      <c r="Q319" t="s">
        <v>6531</v>
      </c>
      <c r="R319" t="s">
        <v>6539</v>
      </c>
      <c r="S319" t="s">
        <v>5357</v>
      </c>
      <c r="U319" t="s">
        <v>6557</v>
      </c>
      <c r="W319" t="s">
        <v>236</v>
      </c>
      <c r="X319">
        <v>1428</v>
      </c>
      <c r="Y319" t="s">
        <v>6608</v>
      </c>
      <c r="Z319" t="s">
        <v>6614</v>
      </c>
      <c r="AA319" t="s">
        <v>6631</v>
      </c>
      <c r="AB319" t="s">
        <v>6967</v>
      </c>
      <c r="AD319" t="s">
        <v>9378</v>
      </c>
      <c r="AE319">
        <v>0</v>
      </c>
      <c r="AF319" t="s">
        <v>11005</v>
      </c>
      <c r="AG319" t="s">
        <v>5406</v>
      </c>
      <c r="AH319">
        <v>15</v>
      </c>
      <c r="AI319">
        <v>1</v>
      </c>
      <c r="AJ319">
        <v>0</v>
      </c>
      <c r="AK319">
        <v>301.82</v>
      </c>
      <c r="AN319" t="s">
        <v>11050</v>
      </c>
      <c r="AO319">
        <v>36400</v>
      </c>
      <c r="AU319">
        <v>0.15</v>
      </c>
      <c r="AV319" t="s">
        <v>480</v>
      </c>
      <c r="AW319" t="s">
        <v>11494</v>
      </c>
    </row>
    <row r="320" spans="1:50">
      <c r="A320" s="1">
        <f>HYPERLINK("https://cms.ls-nyc.org/matter/dynamic-profile/view/1855597","18-1855597")</f>
        <v>0</v>
      </c>
      <c r="B320" t="s">
        <v>69</v>
      </c>
      <c r="C320" t="s">
        <v>234</v>
      </c>
      <c r="D320" t="s">
        <v>281</v>
      </c>
      <c r="E320" t="s">
        <v>679</v>
      </c>
      <c r="F320" t="s">
        <v>1109</v>
      </c>
      <c r="G320" t="s">
        <v>2358</v>
      </c>
      <c r="H320" t="s">
        <v>3544</v>
      </c>
      <c r="I320" t="s">
        <v>4874</v>
      </c>
      <c r="J320" t="s">
        <v>5321</v>
      </c>
      <c r="K320">
        <v>10452</v>
      </c>
      <c r="L320" t="s">
        <v>5355</v>
      </c>
      <c r="M320" t="s">
        <v>5356</v>
      </c>
      <c r="O320" t="s">
        <v>6496</v>
      </c>
      <c r="P320" t="s">
        <v>6524</v>
      </c>
      <c r="Q320" t="s">
        <v>6531</v>
      </c>
      <c r="R320" t="s">
        <v>6539</v>
      </c>
      <c r="S320" t="s">
        <v>5357</v>
      </c>
      <c r="U320" t="s">
        <v>6557</v>
      </c>
      <c r="W320" t="s">
        <v>391</v>
      </c>
      <c r="X320">
        <v>1040.49</v>
      </c>
      <c r="Y320" t="s">
        <v>6606</v>
      </c>
      <c r="Z320" t="s">
        <v>6612</v>
      </c>
      <c r="AA320" t="s">
        <v>6631</v>
      </c>
      <c r="AB320" t="s">
        <v>6968</v>
      </c>
      <c r="AE320">
        <v>0</v>
      </c>
      <c r="AF320" t="s">
        <v>11005</v>
      </c>
      <c r="AG320" t="s">
        <v>5406</v>
      </c>
      <c r="AH320">
        <v>10</v>
      </c>
      <c r="AI320">
        <v>1</v>
      </c>
      <c r="AJ320">
        <v>1</v>
      </c>
      <c r="AK320">
        <v>307.88</v>
      </c>
      <c r="AN320" t="s">
        <v>11050</v>
      </c>
      <c r="AO320">
        <v>50000</v>
      </c>
      <c r="AP320" t="s">
        <v>11088</v>
      </c>
      <c r="AU320">
        <v>1</v>
      </c>
      <c r="AV320" t="s">
        <v>263</v>
      </c>
      <c r="AW320" t="s">
        <v>11492</v>
      </c>
    </row>
    <row r="321" spans="1:50">
      <c r="A321" s="1">
        <f>HYPERLINK("https://cms.ls-nyc.org/matter/dynamic-profile/view/1849246","17-1849246")</f>
        <v>0</v>
      </c>
      <c r="B321" t="s">
        <v>64</v>
      </c>
      <c r="C321" t="s">
        <v>235</v>
      </c>
      <c r="D321" t="s">
        <v>392</v>
      </c>
      <c r="F321" t="s">
        <v>1110</v>
      </c>
      <c r="G321" t="s">
        <v>2359</v>
      </c>
      <c r="H321" t="s">
        <v>3718</v>
      </c>
      <c r="I321" t="s">
        <v>4875</v>
      </c>
      <c r="J321" t="s">
        <v>5323</v>
      </c>
      <c r="K321">
        <v>10019</v>
      </c>
      <c r="L321" t="s">
        <v>5355</v>
      </c>
      <c r="M321" t="s">
        <v>5356</v>
      </c>
      <c r="N321" t="s">
        <v>5489</v>
      </c>
      <c r="O321" t="s">
        <v>6491</v>
      </c>
      <c r="P321" t="s">
        <v>6524</v>
      </c>
      <c r="R321" t="s">
        <v>6539</v>
      </c>
      <c r="S321" t="s">
        <v>5357</v>
      </c>
      <c r="T321" t="s">
        <v>6542</v>
      </c>
      <c r="U321" t="s">
        <v>6557</v>
      </c>
      <c r="W321" t="s">
        <v>236</v>
      </c>
      <c r="X321">
        <v>564</v>
      </c>
      <c r="Y321" t="s">
        <v>6608</v>
      </c>
      <c r="Z321" t="s">
        <v>6616</v>
      </c>
      <c r="AB321" t="s">
        <v>6969</v>
      </c>
      <c r="AD321" t="s">
        <v>9379</v>
      </c>
      <c r="AE321">
        <v>597</v>
      </c>
      <c r="AF321" t="s">
        <v>11005</v>
      </c>
      <c r="AG321" t="s">
        <v>5406</v>
      </c>
      <c r="AH321">
        <v>7</v>
      </c>
      <c r="AI321">
        <v>1</v>
      </c>
      <c r="AJ321">
        <v>1</v>
      </c>
      <c r="AK321">
        <v>307.88</v>
      </c>
      <c r="AL321" t="s">
        <v>11029</v>
      </c>
      <c r="AN321" t="s">
        <v>11050</v>
      </c>
      <c r="AO321">
        <v>50000</v>
      </c>
      <c r="AU321">
        <v>0</v>
      </c>
      <c r="AW321" t="s">
        <v>11494</v>
      </c>
    </row>
    <row r="322" spans="1:50">
      <c r="A322" s="1">
        <f>HYPERLINK("https://cms.ls-nyc.org/matter/dynamic-profile/view/1842421","17-1842421")</f>
        <v>0</v>
      </c>
      <c r="B322" t="s">
        <v>54</v>
      </c>
      <c r="C322" t="s">
        <v>234</v>
      </c>
      <c r="D322" t="s">
        <v>388</v>
      </c>
      <c r="E322" t="s">
        <v>741</v>
      </c>
      <c r="F322" t="s">
        <v>1111</v>
      </c>
      <c r="G322" t="s">
        <v>2101</v>
      </c>
      <c r="H322" t="s">
        <v>3719</v>
      </c>
      <c r="I322" t="s">
        <v>4740</v>
      </c>
      <c r="J322" t="s">
        <v>5320</v>
      </c>
      <c r="K322">
        <v>11213</v>
      </c>
      <c r="L322" t="s">
        <v>5355</v>
      </c>
      <c r="M322" t="s">
        <v>5356</v>
      </c>
      <c r="P322" t="s">
        <v>6524</v>
      </c>
      <c r="Q322" t="s">
        <v>6531</v>
      </c>
      <c r="R322" t="s">
        <v>6539</v>
      </c>
      <c r="S322" t="s">
        <v>5355</v>
      </c>
      <c r="U322" t="s">
        <v>6557</v>
      </c>
      <c r="W322" t="s">
        <v>294</v>
      </c>
      <c r="X322">
        <v>1792</v>
      </c>
      <c r="Y322" t="s">
        <v>6605</v>
      </c>
      <c r="AA322" t="s">
        <v>6632</v>
      </c>
      <c r="AB322" t="s">
        <v>6970</v>
      </c>
      <c r="AD322" t="s">
        <v>9380</v>
      </c>
      <c r="AE322">
        <v>23</v>
      </c>
      <c r="AF322" t="s">
        <v>11005</v>
      </c>
      <c r="AH322">
        <v>10</v>
      </c>
      <c r="AI322">
        <v>3</v>
      </c>
      <c r="AJ322">
        <v>0</v>
      </c>
      <c r="AK322">
        <v>314.89</v>
      </c>
      <c r="AL322" t="s">
        <v>591</v>
      </c>
      <c r="AN322" t="s">
        <v>11050</v>
      </c>
      <c r="AO322">
        <v>64300</v>
      </c>
      <c r="AU322">
        <v>1.2</v>
      </c>
      <c r="AV322" t="s">
        <v>509</v>
      </c>
      <c r="AW322" t="s">
        <v>11489</v>
      </c>
    </row>
    <row r="323" spans="1:50">
      <c r="A323" s="1">
        <f>HYPERLINK("https://cms.ls-nyc.org/matter/dynamic-profile/view/1856109","18-1856109")</f>
        <v>0</v>
      </c>
      <c r="B323" t="s">
        <v>91</v>
      </c>
      <c r="C323" t="s">
        <v>234</v>
      </c>
      <c r="D323" t="s">
        <v>290</v>
      </c>
      <c r="E323" t="s">
        <v>568</v>
      </c>
      <c r="F323" t="s">
        <v>1112</v>
      </c>
      <c r="G323" t="s">
        <v>2360</v>
      </c>
      <c r="H323" t="s">
        <v>3720</v>
      </c>
      <c r="I323">
        <v>13</v>
      </c>
      <c r="J323" t="s">
        <v>5323</v>
      </c>
      <c r="K323">
        <v>10038</v>
      </c>
      <c r="L323" t="s">
        <v>5355</v>
      </c>
      <c r="M323" t="s">
        <v>5356</v>
      </c>
      <c r="O323" t="s">
        <v>5393</v>
      </c>
      <c r="P323" t="s">
        <v>6524</v>
      </c>
      <c r="Q323" t="s">
        <v>6531</v>
      </c>
      <c r="R323" t="s">
        <v>6539</v>
      </c>
      <c r="T323" t="s">
        <v>6539</v>
      </c>
      <c r="U323" t="s">
        <v>6557</v>
      </c>
      <c r="W323" t="s">
        <v>236</v>
      </c>
      <c r="X323">
        <v>0</v>
      </c>
      <c r="Y323" t="s">
        <v>6608</v>
      </c>
      <c r="Z323" t="s">
        <v>6622</v>
      </c>
      <c r="AA323" t="s">
        <v>6631</v>
      </c>
      <c r="AB323" t="s">
        <v>6971</v>
      </c>
      <c r="AD323" t="s">
        <v>9381</v>
      </c>
      <c r="AE323">
        <v>18</v>
      </c>
      <c r="AF323" t="s">
        <v>11005</v>
      </c>
      <c r="AH323">
        <v>0</v>
      </c>
      <c r="AI323">
        <v>3</v>
      </c>
      <c r="AJ323">
        <v>0</v>
      </c>
      <c r="AK323">
        <v>318.32</v>
      </c>
      <c r="AL323" t="s">
        <v>11029</v>
      </c>
      <c r="AN323" t="s">
        <v>11050</v>
      </c>
      <c r="AO323">
        <v>65000</v>
      </c>
      <c r="AU323">
        <v>0.1</v>
      </c>
      <c r="AV323" t="s">
        <v>397</v>
      </c>
      <c r="AW323" t="s">
        <v>11494</v>
      </c>
    </row>
    <row r="324" spans="1:50">
      <c r="A324" s="1">
        <f>HYPERLINK("https://cms.ls-nyc.org/matter/dynamic-profile/view/1841839","17-1841839")</f>
        <v>0</v>
      </c>
      <c r="B324" t="s">
        <v>92</v>
      </c>
      <c r="C324" t="s">
        <v>234</v>
      </c>
      <c r="D324" t="s">
        <v>323</v>
      </c>
      <c r="E324" t="s">
        <v>704</v>
      </c>
      <c r="F324" t="s">
        <v>865</v>
      </c>
      <c r="G324" t="s">
        <v>2252</v>
      </c>
      <c r="H324" t="s">
        <v>3692</v>
      </c>
      <c r="I324" t="s">
        <v>4823</v>
      </c>
      <c r="J324" t="s">
        <v>5323</v>
      </c>
      <c r="K324">
        <v>10040</v>
      </c>
      <c r="L324" t="s">
        <v>5355</v>
      </c>
      <c r="M324" t="s">
        <v>5355</v>
      </c>
      <c r="N324" t="s">
        <v>5478</v>
      </c>
      <c r="O324" t="s">
        <v>6494</v>
      </c>
      <c r="P324" t="s">
        <v>6524</v>
      </c>
      <c r="Q324" t="s">
        <v>6531</v>
      </c>
      <c r="R324" t="s">
        <v>6539</v>
      </c>
      <c r="S324" t="s">
        <v>5355</v>
      </c>
      <c r="U324" t="s">
        <v>6557</v>
      </c>
      <c r="W324" t="s">
        <v>404</v>
      </c>
      <c r="X324">
        <v>596.58</v>
      </c>
      <c r="Y324" t="s">
        <v>6608</v>
      </c>
      <c r="Z324" t="s">
        <v>6622</v>
      </c>
      <c r="AA324" t="s">
        <v>6631</v>
      </c>
      <c r="AB324" t="s">
        <v>6972</v>
      </c>
      <c r="AE324">
        <v>31</v>
      </c>
      <c r="AF324" t="s">
        <v>11005</v>
      </c>
      <c r="AG324" t="s">
        <v>5406</v>
      </c>
      <c r="AH324">
        <v>35</v>
      </c>
      <c r="AI324">
        <v>2</v>
      </c>
      <c r="AJ324">
        <v>0</v>
      </c>
      <c r="AK324">
        <v>320.2</v>
      </c>
      <c r="AL324" t="s">
        <v>11029</v>
      </c>
      <c r="AN324" t="s">
        <v>11049</v>
      </c>
      <c r="AO324">
        <v>52000</v>
      </c>
      <c r="AP324" t="s">
        <v>11089</v>
      </c>
      <c r="AU324">
        <v>0.9</v>
      </c>
      <c r="AV324" t="s">
        <v>704</v>
      </c>
      <c r="AW324" t="s">
        <v>11495</v>
      </c>
    </row>
    <row r="325" spans="1:50">
      <c r="A325" s="1">
        <f>HYPERLINK("https://cms.ls-nyc.org/matter/dynamic-profile/view/1851874","17-1851874")</f>
        <v>0</v>
      </c>
      <c r="B325" t="s">
        <v>56</v>
      </c>
      <c r="C325" t="s">
        <v>234</v>
      </c>
      <c r="D325" t="s">
        <v>300</v>
      </c>
      <c r="E325" t="s">
        <v>665</v>
      </c>
      <c r="F325" t="s">
        <v>1113</v>
      </c>
      <c r="G325" t="s">
        <v>2361</v>
      </c>
      <c r="H325" t="s">
        <v>3721</v>
      </c>
      <c r="I325" t="s">
        <v>4852</v>
      </c>
      <c r="J325" t="s">
        <v>5321</v>
      </c>
      <c r="K325">
        <v>10453</v>
      </c>
      <c r="L325" t="s">
        <v>5355</v>
      </c>
      <c r="M325" t="s">
        <v>5356</v>
      </c>
      <c r="N325" t="s">
        <v>5490</v>
      </c>
      <c r="O325" t="s">
        <v>6492</v>
      </c>
      <c r="P325" t="s">
        <v>6524</v>
      </c>
      <c r="Q325" t="s">
        <v>6531</v>
      </c>
      <c r="R325" t="s">
        <v>6539</v>
      </c>
      <c r="S325" t="s">
        <v>5357</v>
      </c>
      <c r="U325" t="s">
        <v>6557</v>
      </c>
      <c r="W325" t="s">
        <v>391</v>
      </c>
      <c r="X325">
        <v>1194</v>
      </c>
      <c r="Y325" t="s">
        <v>6606</v>
      </c>
      <c r="Z325" t="s">
        <v>6616</v>
      </c>
      <c r="AA325" t="s">
        <v>6631</v>
      </c>
      <c r="AB325" t="s">
        <v>6973</v>
      </c>
      <c r="AD325" t="s">
        <v>9382</v>
      </c>
      <c r="AE325">
        <v>25</v>
      </c>
      <c r="AF325" t="s">
        <v>11005</v>
      </c>
      <c r="AG325" t="s">
        <v>5406</v>
      </c>
      <c r="AH325">
        <v>10</v>
      </c>
      <c r="AI325">
        <v>1</v>
      </c>
      <c r="AJ325">
        <v>0</v>
      </c>
      <c r="AK325">
        <v>323.38</v>
      </c>
      <c r="AL325" t="s">
        <v>11029</v>
      </c>
      <c r="AN325" t="s">
        <v>11050</v>
      </c>
      <c r="AO325">
        <v>39000</v>
      </c>
      <c r="AP325" t="s">
        <v>11090</v>
      </c>
      <c r="AU325">
        <v>0.9</v>
      </c>
      <c r="AV325" t="s">
        <v>372</v>
      </c>
      <c r="AW325" t="s">
        <v>11520</v>
      </c>
    </row>
    <row r="326" spans="1:50">
      <c r="A326" s="1">
        <f>HYPERLINK("https://cms.ls-nyc.org/matter/dynamic-profile/view/1866523","18-1866523")</f>
        <v>0</v>
      </c>
      <c r="B326" t="s">
        <v>129</v>
      </c>
      <c r="C326" t="s">
        <v>234</v>
      </c>
      <c r="D326" t="s">
        <v>268</v>
      </c>
      <c r="E326" t="s">
        <v>742</v>
      </c>
      <c r="F326" t="s">
        <v>1114</v>
      </c>
      <c r="G326" t="s">
        <v>2251</v>
      </c>
      <c r="H326" t="s">
        <v>3706</v>
      </c>
      <c r="I326">
        <v>54</v>
      </c>
      <c r="J326" t="s">
        <v>5321</v>
      </c>
      <c r="K326">
        <v>10453</v>
      </c>
      <c r="L326" t="s">
        <v>5355</v>
      </c>
      <c r="M326" t="s">
        <v>5356</v>
      </c>
      <c r="O326" t="s">
        <v>6494</v>
      </c>
      <c r="P326" t="s">
        <v>6524</v>
      </c>
      <c r="Q326" t="s">
        <v>6531</v>
      </c>
      <c r="R326" t="s">
        <v>6539</v>
      </c>
      <c r="S326" t="s">
        <v>5357</v>
      </c>
      <c r="U326" t="s">
        <v>6557</v>
      </c>
      <c r="W326" t="s">
        <v>275</v>
      </c>
      <c r="X326">
        <v>1339</v>
      </c>
      <c r="Y326" t="s">
        <v>6606</v>
      </c>
      <c r="Z326" t="s">
        <v>6622</v>
      </c>
      <c r="AA326" t="s">
        <v>6631</v>
      </c>
      <c r="AB326" t="s">
        <v>6974</v>
      </c>
      <c r="AD326" t="s">
        <v>9383</v>
      </c>
      <c r="AE326">
        <v>43</v>
      </c>
      <c r="AF326" t="s">
        <v>11005</v>
      </c>
      <c r="AH326">
        <v>5</v>
      </c>
      <c r="AI326">
        <v>2</v>
      </c>
      <c r="AJ326">
        <v>0</v>
      </c>
      <c r="AK326">
        <v>328.07</v>
      </c>
      <c r="AO326">
        <v>54000</v>
      </c>
      <c r="AU326">
        <v>0.6</v>
      </c>
      <c r="AV326" t="s">
        <v>11436</v>
      </c>
      <c r="AW326" t="s">
        <v>11499</v>
      </c>
    </row>
    <row r="327" spans="1:50">
      <c r="A327" s="1">
        <f>HYPERLINK("https://cms.ls-nyc.org/matter/dynamic-profile/view/1865129","18-1865129")</f>
        <v>0</v>
      </c>
      <c r="B327" t="s">
        <v>61</v>
      </c>
      <c r="C327" t="s">
        <v>234</v>
      </c>
      <c r="D327" t="s">
        <v>251</v>
      </c>
      <c r="E327" t="s">
        <v>673</v>
      </c>
      <c r="F327" t="s">
        <v>1102</v>
      </c>
      <c r="G327" t="s">
        <v>2352</v>
      </c>
      <c r="H327" t="s">
        <v>3710</v>
      </c>
      <c r="I327" t="s">
        <v>4869</v>
      </c>
      <c r="J327" t="s">
        <v>5321</v>
      </c>
      <c r="K327">
        <v>10452</v>
      </c>
      <c r="L327" t="s">
        <v>5355</v>
      </c>
      <c r="M327" t="s">
        <v>5356</v>
      </c>
      <c r="O327" t="s">
        <v>6492</v>
      </c>
      <c r="P327" t="s">
        <v>6524</v>
      </c>
      <c r="Q327" t="s">
        <v>6531</v>
      </c>
      <c r="R327" t="s">
        <v>6539</v>
      </c>
      <c r="S327" t="s">
        <v>5357</v>
      </c>
      <c r="U327" t="s">
        <v>6557</v>
      </c>
      <c r="W327" t="s">
        <v>375</v>
      </c>
      <c r="X327">
        <v>1026.22</v>
      </c>
      <c r="Y327" t="s">
        <v>6606</v>
      </c>
      <c r="Z327" t="s">
        <v>6612</v>
      </c>
      <c r="AA327" t="s">
        <v>6631</v>
      </c>
      <c r="AB327" t="s">
        <v>6958</v>
      </c>
      <c r="AD327" t="s">
        <v>9368</v>
      </c>
      <c r="AE327">
        <v>0</v>
      </c>
      <c r="AF327" t="s">
        <v>11006</v>
      </c>
      <c r="AG327" t="s">
        <v>5406</v>
      </c>
      <c r="AH327">
        <v>10</v>
      </c>
      <c r="AI327">
        <v>1</v>
      </c>
      <c r="AJ327">
        <v>1</v>
      </c>
      <c r="AK327">
        <v>328.07</v>
      </c>
      <c r="AN327" t="s">
        <v>11049</v>
      </c>
      <c r="AO327">
        <v>54000</v>
      </c>
      <c r="AP327" t="s">
        <v>11088</v>
      </c>
      <c r="AU327">
        <v>0.1</v>
      </c>
      <c r="AV327" t="s">
        <v>673</v>
      </c>
      <c r="AW327" t="s">
        <v>11492</v>
      </c>
    </row>
    <row r="328" spans="1:50">
      <c r="A328" s="1">
        <f>HYPERLINK("https://cms.ls-nyc.org/matter/dynamic-profile/view/1857301","18-1857301")</f>
        <v>0</v>
      </c>
      <c r="B328" t="s">
        <v>70</v>
      </c>
      <c r="C328" t="s">
        <v>234</v>
      </c>
      <c r="D328" t="s">
        <v>343</v>
      </c>
      <c r="E328" t="s">
        <v>736</v>
      </c>
      <c r="F328" t="s">
        <v>1115</v>
      </c>
      <c r="G328" t="s">
        <v>1325</v>
      </c>
      <c r="H328" t="s">
        <v>3722</v>
      </c>
      <c r="I328" t="s">
        <v>4854</v>
      </c>
      <c r="J328" t="s">
        <v>5323</v>
      </c>
      <c r="K328">
        <v>10030</v>
      </c>
      <c r="L328" t="s">
        <v>5355</v>
      </c>
      <c r="M328" t="s">
        <v>5355</v>
      </c>
      <c r="N328" t="s">
        <v>5491</v>
      </c>
      <c r="O328" t="s">
        <v>6492</v>
      </c>
      <c r="P328" t="s">
        <v>6524</v>
      </c>
      <c r="Q328" t="s">
        <v>6531</v>
      </c>
      <c r="R328" t="s">
        <v>6539</v>
      </c>
      <c r="S328" t="s">
        <v>5357</v>
      </c>
      <c r="T328" t="s">
        <v>6542</v>
      </c>
      <c r="U328" t="s">
        <v>6557</v>
      </c>
      <c r="W328" t="s">
        <v>236</v>
      </c>
      <c r="X328">
        <v>853.53</v>
      </c>
      <c r="Y328" t="s">
        <v>6608</v>
      </c>
      <c r="Z328" t="s">
        <v>6616</v>
      </c>
      <c r="AA328" t="s">
        <v>6631</v>
      </c>
      <c r="AB328" t="s">
        <v>6975</v>
      </c>
      <c r="AD328" t="s">
        <v>9384</v>
      </c>
      <c r="AE328">
        <v>11</v>
      </c>
      <c r="AF328" t="s">
        <v>11005</v>
      </c>
      <c r="AG328" t="s">
        <v>5406</v>
      </c>
      <c r="AH328">
        <v>25</v>
      </c>
      <c r="AI328">
        <v>1</v>
      </c>
      <c r="AJ328">
        <v>0</v>
      </c>
      <c r="AK328">
        <v>331.67</v>
      </c>
      <c r="AL328" t="s">
        <v>11029</v>
      </c>
      <c r="AN328" t="s">
        <v>11050</v>
      </c>
      <c r="AO328">
        <v>40000</v>
      </c>
      <c r="AU328">
        <v>0.25</v>
      </c>
      <c r="AV328" t="s">
        <v>253</v>
      </c>
      <c r="AW328" t="s">
        <v>11494</v>
      </c>
    </row>
    <row r="329" spans="1:50">
      <c r="A329" s="1">
        <f>HYPERLINK("https://cms.ls-nyc.org/matter/dynamic-profile/view/1842036","17-1842036")</f>
        <v>0</v>
      </c>
      <c r="B329" t="s">
        <v>132</v>
      </c>
      <c r="C329" t="s">
        <v>235</v>
      </c>
      <c r="D329" t="s">
        <v>393</v>
      </c>
      <c r="F329" t="s">
        <v>1087</v>
      </c>
      <c r="G329" t="s">
        <v>2362</v>
      </c>
      <c r="H329" t="s">
        <v>3705</v>
      </c>
      <c r="I329" t="s">
        <v>4850</v>
      </c>
      <c r="J329" t="s">
        <v>5323</v>
      </c>
      <c r="K329">
        <v>10029</v>
      </c>
      <c r="L329" t="s">
        <v>5355</v>
      </c>
      <c r="M329" t="s">
        <v>5356</v>
      </c>
      <c r="O329" t="s">
        <v>5393</v>
      </c>
      <c r="P329" t="s">
        <v>6524</v>
      </c>
      <c r="R329" t="s">
        <v>6539</v>
      </c>
      <c r="S329" t="s">
        <v>5355</v>
      </c>
      <c r="U329" t="s">
        <v>6557</v>
      </c>
      <c r="W329" t="s">
        <v>404</v>
      </c>
      <c r="X329">
        <v>1043</v>
      </c>
      <c r="Y329" t="s">
        <v>6608</v>
      </c>
      <c r="Z329" t="s">
        <v>6622</v>
      </c>
      <c r="AB329" t="s">
        <v>6976</v>
      </c>
      <c r="AD329" t="s">
        <v>9385</v>
      </c>
      <c r="AE329">
        <v>13</v>
      </c>
      <c r="AF329" t="s">
        <v>11005</v>
      </c>
      <c r="AG329" t="s">
        <v>5406</v>
      </c>
      <c r="AH329">
        <v>20</v>
      </c>
      <c r="AI329">
        <v>1</v>
      </c>
      <c r="AJ329">
        <v>0</v>
      </c>
      <c r="AK329">
        <v>333.33</v>
      </c>
      <c r="AL329" t="s">
        <v>11029</v>
      </c>
      <c r="AN329" t="s">
        <v>11050</v>
      </c>
      <c r="AO329">
        <v>40200</v>
      </c>
      <c r="AU329">
        <v>2.25</v>
      </c>
      <c r="AV329" t="s">
        <v>257</v>
      </c>
      <c r="AW329" t="s">
        <v>11497</v>
      </c>
      <c r="AX329" t="s">
        <v>11564</v>
      </c>
    </row>
    <row r="330" spans="1:50">
      <c r="A330" s="1">
        <f>HYPERLINK("https://cms.ls-nyc.org/matter/dynamic-profile/view/1867033","18-1867033")</f>
        <v>0</v>
      </c>
      <c r="B330" t="s">
        <v>103</v>
      </c>
      <c r="C330" t="s">
        <v>234</v>
      </c>
      <c r="D330" t="s">
        <v>244</v>
      </c>
      <c r="E330" t="s">
        <v>674</v>
      </c>
      <c r="F330" t="s">
        <v>1051</v>
      </c>
      <c r="G330" t="s">
        <v>2363</v>
      </c>
      <c r="H330" t="s">
        <v>3723</v>
      </c>
      <c r="I330" t="s">
        <v>4852</v>
      </c>
      <c r="J330" t="s">
        <v>5321</v>
      </c>
      <c r="K330">
        <v>10453</v>
      </c>
      <c r="L330" t="s">
        <v>5355</v>
      </c>
      <c r="M330" t="s">
        <v>5355</v>
      </c>
      <c r="N330" t="s">
        <v>5492</v>
      </c>
      <c r="O330" t="s">
        <v>6492</v>
      </c>
      <c r="P330" t="s">
        <v>6524</v>
      </c>
      <c r="Q330" t="s">
        <v>6531</v>
      </c>
      <c r="R330" t="s">
        <v>6539</v>
      </c>
      <c r="S330" t="s">
        <v>5357</v>
      </c>
      <c r="U330" t="s">
        <v>6557</v>
      </c>
      <c r="W330" t="s">
        <v>6573</v>
      </c>
      <c r="X330">
        <v>1500</v>
      </c>
      <c r="Y330" t="s">
        <v>6606</v>
      </c>
      <c r="Z330" t="s">
        <v>6612</v>
      </c>
      <c r="AA330" t="s">
        <v>6631</v>
      </c>
      <c r="AB330" t="s">
        <v>6977</v>
      </c>
      <c r="AD330" t="s">
        <v>9386</v>
      </c>
      <c r="AE330">
        <v>0</v>
      </c>
      <c r="AF330" t="s">
        <v>11005</v>
      </c>
      <c r="AG330" t="s">
        <v>11019</v>
      </c>
      <c r="AH330">
        <v>3</v>
      </c>
      <c r="AI330">
        <v>1</v>
      </c>
      <c r="AJ330">
        <v>0</v>
      </c>
      <c r="AK330">
        <v>364.09</v>
      </c>
      <c r="AL330" t="s">
        <v>11029</v>
      </c>
      <c r="AN330" t="s">
        <v>11049</v>
      </c>
      <c r="AO330">
        <v>44200</v>
      </c>
      <c r="AU330">
        <v>0.8</v>
      </c>
      <c r="AV330" t="s">
        <v>244</v>
      </c>
      <c r="AW330" t="s">
        <v>103</v>
      </c>
    </row>
    <row r="331" spans="1:50">
      <c r="A331" s="1">
        <f>HYPERLINK("https://cms.ls-nyc.org/matter/dynamic-profile/view/1865069","18-1865069")</f>
        <v>0</v>
      </c>
      <c r="B331" t="s">
        <v>113</v>
      </c>
      <c r="C331" t="s">
        <v>234</v>
      </c>
      <c r="D331" t="s">
        <v>251</v>
      </c>
      <c r="E331" t="s">
        <v>605</v>
      </c>
      <c r="F331" t="s">
        <v>1116</v>
      </c>
      <c r="G331" t="s">
        <v>2364</v>
      </c>
      <c r="H331" t="s">
        <v>3724</v>
      </c>
      <c r="I331" t="s">
        <v>4838</v>
      </c>
      <c r="J331" t="s">
        <v>5323</v>
      </c>
      <c r="K331">
        <v>10029</v>
      </c>
      <c r="L331" t="s">
        <v>5355</v>
      </c>
      <c r="M331" t="s">
        <v>5355</v>
      </c>
      <c r="N331" t="s">
        <v>5493</v>
      </c>
      <c r="O331" t="s">
        <v>6491</v>
      </c>
      <c r="P331" t="s">
        <v>6524</v>
      </c>
      <c r="Q331" t="s">
        <v>6531</v>
      </c>
      <c r="R331" t="s">
        <v>6539</v>
      </c>
      <c r="S331" t="s">
        <v>5357</v>
      </c>
      <c r="U331" t="s">
        <v>6557</v>
      </c>
      <c r="V331" t="s">
        <v>6566</v>
      </c>
      <c r="W331" t="s">
        <v>251</v>
      </c>
      <c r="X331">
        <v>1100</v>
      </c>
      <c r="Y331" t="s">
        <v>6608</v>
      </c>
      <c r="Z331" t="s">
        <v>6625</v>
      </c>
      <c r="AA331" t="s">
        <v>6631</v>
      </c>
      <c r="AB331" t="s">
        <v>6978</v>
      </c>
      <c r="AD331" t="s">
        <v>9387</v>
      </c>
      <c r="AE331">
        <v>116</v>
      </c>
      <c r="AF331" t="s">
        <v>11010</v>
      </c>
      <c r="AG331" t="s">
        <v>5406</v>
      </c>
      <c r="AH331">
        <v>0</v>
      </c>
      <c r="AI331">
        <v>1</v>
      </c>
      <c r="AJ331">
        <v>0</v>
      </c>
      <c r="AK331">
        <v>367.04</v>
      </c>
      <c r="AL331" t="s">
        <v>11029</v>
      </c>
      <c r="AN331" t="s">
        <v>11050</v>
      </c>
      <c r="AO331">
        <v>44559</v>
      </c>
      <c r="AU331">
        <v>7.4</v>
      </c>
      <c r="AV331" t="s">
        <v>806</v>
      </c>
      <c r="AW331" t="s">
        <v>11497</v>
      </c>
    </row>
    <row r="332" spans="1:50">
      <c r="A332" s="1">
        <f>HYPERLINK("https://cms.ls-nyc.org/matter/dynamic-profile/view/1842382","17-1842382")</f>
        <v>0</v>
      </c>
      <c r="B332" t="s">
        <v>83</v>
      </c>
      <c r="C332" t="s">
        <v>234</v>
      </c>
      <c r="D332" t="s">
        <v>388</v>
      </c>
      <c r="E332" t="s">
        <v>449</v>
      </c>
      <c r="F332" t="s">
        <v>902</v>
      </c>
      <c r="G332" t="s">
        <v>2365</v>
      </c>
      <c r="H332" t="s">
        <v>3725</v>
      </c>
      <c r="I332">
        <v>10</v>
      </c>
      <c r="J332" t="s">
        <v>5323</v>
      </c>
      <c r="K332">
        <v>10029</v>
      </c>
      <c r="L332" t="s">
        <v>5355</v>
      </c>
      <c r="M332" t="s">
        <v>5355</v>
      </c>
      <c r="O332" t="s">
        <v>5393</v>
      </c>
      <c r="P332" t="s">
        <v>6524</v>
      </c>
      <c r="Q332" t="s">
        <v>6531</v>
      </c>
      <c r="R332" t="s">
        <v>6539</v>
      </c>
      <c r="S332" t="s">
        <v>5357</v>
      </c>
      <c r="U332" t="s">
        <v>6557</v>
      </c>
      <c r="V332" t="s">
        <v>6566</v>
      </c>
      <c r="W332" t="s">
        <v>388</v>
      </c>
      <c r="X332">
        <v>1472</v>
      </c>
      <c r="Y332" t="s">
        <v>6608</v>
      </c>
      <c r="Z332" t="s">
        <v>6616</v>
      </c>
      <c r="AA332" t="s">
        <v>6631</v>
      </c>
      <c r="AB332" t="s">
        <v>6979</v>
      </c>
      <c r="AD332" t="s">
        <v>9388</v>
      </c>
      <c r="AE332">
        <v>22</v>
      </c>
      <c r="AF332" t="s">
        <v>11005</v>
      </c>
      <c r="AG332" t="s">
        <v>5406</v>
      </c>
      <c r="AH332">
        <v>20</v>
      </c>
      <c r="AI332">
        <v>2</v>
      </c>
      <c r="AJ332">
        <v>0</v>
      </c>
      <c r="AK332">
        <v>369.46</v>
      </c>
      <c r="AL332" t="s">
        <v>11029</v>
      </c>
      <c r="AN332" t="s">
        <v>11050</v>
      </c>
      <c r="AO332">
        <v>60000</v>
      </c>
      <c r="AU332">
        <v>1.2</v>
      </c>
      <c r="AV332" t="s">
        <v>388</v>
      </c>
      <c r="AW332" t="s">
        <v>11497</v>
      </c>
    </row>
    <row r="333" spans="1:50">
      <c r="A333" s="1">
        <f>HYPERLINK("https://cms.ls-nyc.org/matter/dynamic-profile/view/1848528","17-1848528")</f>
        <v>0</v>
      </c>
      <c r="B333" t="s">
        <v>80</v>
      </c>
      <c r="C333" t="s">
        <v>234</v>
      </c>
      <c r="D333" t="s">
        <v>354</v>
      </c>
      <c r="E333" t="s">
        <v>652</v>
      </c>
      <c r="F333" t="s">
        <v>1117</v>
      </c>
      <c r="G333" t="s">
        <v>2366</v>
      </c>
      <c r="H333" t="s">
        <v>3664</v>
      </c>
      <c r="I333" t="s">
        <v>4753</v>
      </c>
      <c r="J333" t="s">
        <v>5321</v>
      </c>
      <c r="K333">
        <v>10457</v>
      </c>
      <c r="L333" t="s">
        <v>5355</v>
      </c>
      <c r="M333" t="s">
        <v>5356</v>
      </c>
      <c r="O333" t="s">
        <v>5393</v>
      </c>
      <c r="P333" t="s">
        <v>6524</v>
      </c>
      <c r="Q333" t="s">
        <v>6531</v>
      </c>
      <c r="R333" t="s">
        <v>6539</v>
      </c>
      <c r="S333" t="s">
        <v>5355</v>
      </c>
      <c r="U333" t="s">
        <v>6557</v>
      </c>
      <c r="W333" t="s">
        <v>391</v>
      </c>
      <c r="X333">
        <v>1103</v>
      </c>
      <c r="Y333" t="s">
        <v>6606</v>
      </c>
      <c r="Z333" t="s">
        <v>6625</v>
      </c>
      <c r="AA333" t="s">
        <v>6631</v>
      </c>
      <c r="AB333" t="s">
        <v>6980</v>
      </c>
      <c r="AD333" t="s">
        <v>9389</v>
      </c>
      <c r="AE333">
        <v>46</v>
      </c>
      <c r="AF333" t="s">
        <v>8722</v>
      </c>
      <c r="AG333" t="s">
        <v>11020</v>
      </c>
      <c r="AH333">
        <v>22</v>
      </c>
      <c r="AI333">
        <v>1</v>
      </c>
      <c r="AJ333">
        <v>0</v>
      </c>
      <c r="AK333">
        <v>373.13</v>
      </c>
      <c r="AL333" t="s">
        <v>11029</v>
      </c>
      <c r="AN333" t="s">
        <v>11050</v>
      </c>
      <c r="AO333">
        <v>45000</v>
      </c>
      <c r="AU333">
        <v>0.25</v>
      </c>
      <c r="AV333" t="s">
        <v>652</v>
      </c>
      <c r="AW333" t="s">
        <v>11509</v>
      </c>
    </row>
    <row r="334" spans="1:50">
      <c r="A334" s="1">
        <f>HYPERLINK("https://cms.ls-nyc.org/matter/dynamic-profile/view/1859435","18-1859435")</f>
        <v>0</v>
      </c>
      <c r="B334" t="s">
        <v>102</v>
      </c>
      <c r="C334" t="s">
        <v>234</v>
      </c>
      <c r="D334" t="s">
        <v>284</v>
      </c>
      <c r="E334" t="s">
        <v>665</v>
      </c>
      <c r="F334" t="s">
        <v>1118</v>
      </c>
      <c r="G334" t="s">
        <v>2122</v>
      </c>
      <c r="H334" t="s">
        <v>3526</v>
      </c>
      <c r="I334">
        <v>518</v>
      </c>
      <c r="J334" t="s">
        <v>5321</v>
      </c>
      <c r="K334">
        <v>10453</v>
      </c>
      <c r="L334" t="s">
        <v>5355</v>
      </c>
      <c r="M334" t="s">
        <v>5356</v>
      </c>
      <c r="O334" t="s">
        <v>6499</v>
      </c>
      <c r="P334" t="s">
        <v>6524</v>
      </c>
      <c r="Q334" t="s">
        <v>6531</v>
      </c>
      <c r="R334" t="s">
        <v>6539</v>
      </c>
      <c r="S334" t="s">
        <v>5355</v>
      </c>
      <c r="U334" t="s">
        <v>6557</v>
      </c>
      <c r="W334" t="s">
        <v>319</v>
      </c>
      <c r="X334">
        <v>927</v>
      </c>
      <c r="Y334" t="s">
        <v>6606</v>
      </c>
      <c r="Z334" t="s">
        <v>6622</v>
      </c>
      <c r="AA334" t="s">
        <v>6631</v>
      </c>
      <c r="AB334" t="s">
        <v>6981</v>
      </c>
      <c r="AD334" t="s">
        <v>9390</v>
      </c>
      <c r="AE334">
        <v>146</v>
      </c>
      <c r="AF334" t="s">
        <v>11005</v>
      </c>
      <c r="AG334" t="s">
        <v>5406</v>
      </c>
      <c r="AH334">
        <v>21</v>
      </c>
      <c r="AI334">
        <v>2</v>
      </c>
      <c r="AJ334">
        <v>1</v>
      </c>
      <c r="AK334">
        <v>381.98</v>
      </c>
      <c r="AN334" t="s">
        <v>11050</v>
      </c>
      <c r="AO334">
        <v>109200</v>
      </c>
      <c r="AU334">
        <v>1.6</v>
      </c>
      <c r="AV334" t="s">
        <v>349</v>
      </c>
      <c r="AW334" t="s">
        <v>11492</v>
      </c>
    </row>
    <row r="335" spans="1:50">
      <c r="A335" s="1">
        <f>HYPERLINK("https://cms.ls-nyc.org/matter/dynamic-profile/view/1869801","18-1869801")</f>
        <v>0</v>
      </c>
      <c r="B335" t="s">
        <v>67</v>
      </c>
      <c r="C335" t="s">
        <v>234</v>
      </c>
      <c r="D335" t="s">
        <v>275</v>
      </c>
      <c r="E335" t="s">
        <v>743</v>
      </c>
      <c r="F335" t="s">
        <v>1119</v>
      </c>
      <c r="G335" t="s">
        <v>2367</v>
      </c>
      <c r="H335" t="s">
        <v>3726</v>
      </c>
      <c r="I335" t="s">
        <v>4843</v>
      </c>
      <c r="J335" t="s">
        <v>5323</v>
      </c>
      <c r="K335">
        <v>10029</v>
      </c>
      <c r="L335" t="s">
        <v>5355</v>
      </c>
      <c r="M335" t="s">
        <v>5355</v>
      </c>
      <c r="O335" t="s">
        <v>5393</v>
      </c>
      <c r="P335" t="s">
        <v>6524</v>
      </c>
      <c r="Q335" t="s">
        <v>6531</v>
      </c>
      <c r="R335" t="s">
        <v>6539</v>
      </c>
      <c r="S335" t="s">
        <v>5357</v>
      </c>
      <c r="U335" t="s">
        <v>6560</v>
      </c>
      <c r="V335" t="s">
        <v>6566</v>
      </c>
      <c r="W335" t="s">
        <v>338</v>
      </c>
      <c r="X335">
        <v>1091</v>
      </c>
      <c r="Y335" t="s">
        <v>6608</v>
      </c>
      <c r="Z335" t="s">
        <v>6625</v>
      </c>
      <c r="AA335" t="s">
        <v>6631</v>
      </c>
      <c r="AB335" t="s">
        <v>6982</v>
      </c>
      <c r="AD335" t="s">
        <v>9391</v>
      </c>
      <c r="AE335">
        <v>70</v>
      </c>
      <c r="AF335" t="s">
        <v>11010</v>
      </c>
      <c r="AG335" t="s">
        <v>5406</v>
      </c>
      <c r="AH335">
        <v>30</v>
      </c>
      <c r="AI335">
        <v>1</v>
      </c>
      <c r="AJ335">
        <v>0</v>
      </c>
      <c r="AK335">
        <v>401.32</v>
      </c>
      <c r="AN335" t="s">
        <v>11050</v>
      </c>
      <c r="AO335">
        <v>48720</v>
      </c>
      <c r="AU335">
        <v>0.85</v>
      </c>
      <c r="AV335" t="s">
        <v>677</v>
      </c>
      <c r="AW335" t="s">
        <v>11519</v>
      </c>
    </row>
    <row r="336" spans="1:50">
      <c r="A336" s="1">
        <f>HYPERLINK("https://cms.ls-nyc.org/matter/dynamic-profile/view/1871622","18-1871622")</f>
        <v>0</v>
      </c>
      <c r="B336" t="s">
        <v>133</v>
      </c>
      <c r="C336" t="s">
        <v>234</v>
      </c>
      <c r="D336" t="s">
        <v>394</v>
      </c>
      <c r="E336" t="s">
        <v>683</v>
      </c>
      <c r="F336" t="s">
        <v>1120</v>
      </c>
      <c r="G336" t="s">
        <v>2368</v>
      </c>
      <c r="H336" t="s">
        <v>3727</v>
      </c>
      <c r="I336" t="s">
        <v>4876</v>
      </c>
      <c r="J336" t="s">
        <v>5337</v>
      </c>
      <c r="K336">
        <v>11372</v>
      </c>
      <c r="L336" t="s">
        <v>5355</v>
      </c>
      <c r="M336" t="s">
        <v>5355</v>
      </c>
      <c r="N336" t="s">
        <v>5494</v>
      </c>
      <c r="O336" t="s">
        <v>6491</v>
      </c>
      <c r="P336" t="s">
        <v>6524</v>
      </c>
      <c r="Q336" t="s">
        <v>6531</v>
      </c>
      <c r="R336" t="s">
        <v>6539</v>
      </c>
      <c r="S336" t="s">
        <v>5357</v>
      </c>
      <c r="U336" t="s">
        <v>6557</v>
      </c>
      <c r="V336" t="s">
        <v>6566</v>
      </c>
      <c r="W336" t="s">
        <v>322</v>
      </c>
      <c r="X336">
        <v>2450</v>
      </c>
      <c r="Y336" t="s">
        <v>6604</v>
      </c>
      <c r="Z336" t="s">
        <v>6615</v>
      </c>
      <c r="AA336" t="s">
        <v>6631</v>
      </c>
      <c r="AB336" t="s">
        <v>6983</v>
      </c>
      <c r="AC336" t="s">
        <v>5406</v>
      </c>
      <c r="AD336" t="s">
        <v>9392</v>
      </c>
      <c r="AE336">
        <v>64</v>
      </c>
      <c r="AF336" t="s">
        <v>11004</v>
      </c>
      <c r="AG336" t="s">
        <v>5406</v>
      </c>
      <c r="AH336">
        <v>3</v>
      </c>
      <c r="AI336">
        <v>3</v>
      </c>
      <c r="AJ336">
        <v>0</v>
      </c>
      <c r="AK336">
        <v>423.48</v>
      </c>
      <c r="AN336" t="s">
        <v>11049</v>
      </c>
      <c r="AO336">
        <v>88000</v>
      </c>
      <c r="AU336">
        <v>1.1</v>
      </c>
      <c r="AV336" t="s">
        <v>622</v>
      </c>
      <c r="AW336" t="s">
        <v>11506</v>
      </c>
    </row>
    <row r="337" spans="1:49">
      <c r="A337" s="1">
        <f>HYPERLINK("https://cms.ls-nyc.org/matter/dynamic-profile/view/1864869","18-1864869")</f>
        <v>0</v>
      </c>
      <c r="B337" t="s">
        <v>104</v>
      </c>
      <c r="C337" t="s">
        <v>234</v>
      </c>
      <c r="D337" t="s">
        <v>395</v>
      </c>
      <c r="E337" t="s">
        <v>706</v>
      </c>
      <c r="F337" t="s">
        <v>967</v>
      </c>
      <c r="G337" t="s">
        <v>2136</v>
      </c>
      <c r="H337" t="s">
        <v>3728</v>
      </c>
      <c r="I337" t="s">
        <v>4877</v>
      </c>
      <c r="J337" t="s">
        <v>5321</v>
      </c>
      <c r="K337">
        <v>10461</v>
      </c>
      <c r="L337" t="s">
        <v>5355</v>
      </c>
      <c r="M337" t="s">
        <v>5356</v>
      </c>
      <c r="N337" t="s">
        <v>5495</v>
      </c>
      <c r="O337" t="s">
        <v>6491</v>
      </c>
      <c r="P337" t="s">
        <v>6524</v>
      </c>
      <c r="Q337" t="s">
        <v>6531</v>
      </c>
      <c r="R337" t="s">
        <v>6540</v>
      </c>
      <c r="S337" t="s">
        <v>5357</v>
      </c>
      <c r="U337" t="s">
        <v>6557</v>
      </c>
      <c r="W337" t="s">
        <v>312</v>
      </c>
      <c r="X337">
        <v>700</v>
      </c>
      <c r="Y337" t="s">
        <v>6606</v>
      </c>
      <c r="Z337" t="s">
        <v>6610</v>
      </c>
      <c r="AA337" t="s">
        <v>6631</v>
      </c>
      <c r="AB337" t="s">
        <v>6984</v>
      </c>
      <c r="AC337" t="s">
        <v>8745</v>
      </c>
      <c r="AD337" t="s">
        <v>9393</v>
      </c>
      <c r="AE337">
        <v>4</v>
      </c>
      <c r="AF337" t="s">
        <v>11009</v>
      </c>
      <c r="AG337" t="s">
        <v>5406</v>
      </c>
      <c r="AH337">
        <v>10</v>
      </c>
      <c r="AI337">
        <v>2</v>
      </c>
      <c r="AJ337">
        <v>0</v>
      </c>
      <c r="AK337">
        <v>425.27</v>
      </c>
      <c r="AL337" t="s">
        <v>723</v>
      </c>
      <c r="AN337" t="s">
        <v>11050</v>
      </c>
      <c r="AO337">
        <v>70000</v>
      </c>
      <c r="AU337">
        <v>7.25</v>
      </c>
      <c r="AV337" t="s">
        <v>253</v>
      </c>
      <c r="AW337" t="s">
        <v>57</v>
      </c>
    </row>
    <row r="338" spans="1:49">
      <c r="A338" s="1">
        <f>HYPERLINK("https://cms.ls-nyc.org/matter/dynamic-profile/view/1842721","17-1842721")</f>
        <v>0</v>
      </c>
      <c r="B338" t="s">
        <v>92</v>
      </c>
      <c r="C338" t="s">
        <v>235</v>
      </c>
      <c r="D338" t="s">
        <v>321</v>
      </c>
      <c r="F338" t="s">
        <v>1121</v>
      </c>
      <c r="G338" t="s">
        <v>2369</v>
      </c>
      <c r="H338" t="s">
        <v>3534</v>
      </c>
      <c r="I338" t="s">
        <v>4756</v>
      </c>
      <c r="J338" t="s">
        <v>5323</v>
      </c>
      <c r="K338">
        <v>10040</v>
      </c>
      <c r="L338" t="s">
        <v>5355</v>
      </c>
      <c r="M338" t="s">
        <v>5355</v>
      </c>
      <c r="O338" t="s">
        <v>5393</v>
      </c>
      <c r="P338" t="s">
        <v>6524</v>
      </c>
      <c r="R338" t="s">
        <v>6539</v>
      </c>
      <c r="S338" t="s">
        <v>5357</v>
      </c>
      <c r="U338" t="s">
        <v>6557</v>
      </c>
      <c r="W338" t="s">
        <v>236</v>
      </c>
      <c r="X338">
        <v>1575</v>
      </c>
      <c r="Y338" t="s">
        <v>6608</v>
      </c>
      <c r="Z338" t="s">
        <v>6616</v>
      </c>
      <c r="AB338" t="s">
        <v>6985</v>
      </c>
      <c r="AD338" t="s">
        <v>9394</v>
      </c>
      <c r="AE338">
        <v>42</v>
      </c>
      <c r="AF338" t="s">
        <v>11005</v>
      </c>
      <c r="AG338" t="s">
        <v>5406</v>
      </c>
      <c r="AH338">
        <v>10</v>
      </c>
      <c r="AI338">
        <v>2</v>
      </c>
      <c r="AJ338">
        <v>1</v>
      </c>
      <c r="AK338">
        <v>440.74</v>
      </c>
      <c r="AL338" t="s">
        <v>531</v>
      </c>
      <c r="AN338" t="s">
        <v>11049</v>
      </c>
      <c r="AO338">
        <v>90000</v>
      </c>
      <c r="AU338">
        <v>0.2</v>
      </c>
      <c r="AV338" t="s">
        <v>413</v>
      </c>
      <c r="AW338" t="s">
        <v>11495</v>
      </c>
    </row>
    <row r="339" spans="1:49">
      <c r="A339" s="1">
        <f>HYPERLINK("https://cms.ls-nyc.org/matter/dynamic-profile/view/1859997","18-1859997")</f>
        <v>0</v>
      </c>
      <c r="B339" t="s">
        <v>59</v>
      </c>
      <c r="C339" t="s">
        <v>234</v>
      </c>
      <c r="D339" t="s">
        <v>260</v>
      </c>
      <c r="E339" t="s">
        <v>675</v>
      </c>
      <c r="F339" t="s">
        <v>1122</v>
      </c>
      <c r="G339" t="s">
        <v>2370</v>
      </c>
      <c r="H339" t="s">
        <v>3729</v>
      </c>
      <c r="I339" t="s">
        <v>4785</v>
      </c>
      <c r="J339" t="s">
        <v>5321</v>
      </c>
      <c r="K339">
        <v>10451</v>
      </c>
      <c r="L339" t="s">
        <v>5356</v>
      </c>
      <c r="M339" t="s">
        <v>5356</v>
      </c>
      <c r="O339" t="s">
        <v>6496</v>
      </c>
      <c r="P339" t="s">
        <v>6524</v>
      </c>
      <c r="Q339" t="s">
        <v>6531</v>
      </c>
      <c r="R339" t="s">
        <v>6539</v>
      </c>
      <c r="S339" t="s">
        <v>5357</v>
      </c>
      <c r="U339" t="s">
        <v>6557</v>
      </c>
      <c r="W339" t="s">
        <v>260</v>
      </c>
      <c r="X339">
        <v>0</v>
      </c>
      <c r="Y339" t="s">
        <v>6606</v>
      </c>
      <c r="AA339" t="s">
        <v>6631</v>
      </c>
      <c r="AB339" t="s">
        <v>6986</v>
      </c>
      <c r="AE339">
        <v>68</v>
      </c>
      <c r="AF339" t="s">
        <v>11005</v>
      </c>
      <c r="AH339">
        <v>33</v>
      </c>
      <c r="AI339">
        <v>1</v>
      </c>
      <c r="AJ339">
        <v>0</v>
      </c>
      <c r="AK339">
        <v>447.76</v>
      </c>
      <c r="AN339" t="s">
        <v>11050</v>
      </c>
      <c r="AO339">
        <v>54000</v>
      </c>
      <c r="AU339">
        <v>3.85</v>
      </c>
      <c r="AV339" t="s">
        <v>675</v>
      </c>
      <c r="AW339" t="s">
        <v>11499</v>
      </c>
    </row>
    <row r="340" spans="1:49">
      <c r="A340" s="1">
        <f>HYPERLINK("https://cms.ls-nyc.org/matter/dynamic-profile/view/1860988","18-1860988")</f>
        <v>0</v>
      </c>
      <c r="B340" t="s">
        <v>83</v>
      </c>
      <c r="C340" t="s">
        <v>234</v>
      </c>
      <c r="D340" t="s">
        <v>246</v>
      </c>
      <c r="E340" t="s">
        <v>716</v>
      </c>
      <c r="F340" t="s">
        <v>1123</v>
      </c>
      <c r="G340" t="s">
        <v>2371</v>
      </c>
      <c r="H340" t="s">
        <v>3730</v>
      </c>
      <c r="I340" t="s">
        <v>4854</v>
      </c>
      <c r="J340" t="s">
        <v>5323</v>
      </c>
      <c r="K340">
        <v>10029</v>
      </c>
      <c r="L340" t="s">
        <v>5355</v>
      </c>
      <c r="M340" t="s">
        <v>5355</v>
      </c>
      <c r="O340" t="s">
        <v>5393</v>
      </c>
      <c r="P340" t="s">
        <v>6524</v>
      </c>
      <c r="Q340" t="s">
        <v>6531</v>
      </c>
      <c r="R340" t="s">
        <v>6539</v>
      </c>
      <c r="S340" t="s">
        <v>5355</v>
      </c>
      <c r="U340" t="s">
        <v>6557</v>
      </c>
      <c r="V340" t="s">
        <v>6566</v>
      </c>
      <c r="W340" t="s">
        <v>246</v>
      </c>
      <c r="X340">
        <v>2047.96</v>
      </c>
      <c r="Y340" t="s">
        <v>6608</v>
      </c>
      <c r="Z340" t="s">
        <v>6617</v>
      </c>
      <c r="AA340" t="s">
        <v>6631</v>
      </c>
      <c r="AB340" t="s">
        <v>6987</v>
      </c>
      <c r="AD340" t="s">
        <v>9395</v>
      </c>
      <c r="AE340">
        <v>28</v>
      </c>
      <c r="AF340" t="s">
        <v>11005</v>
      </c>
      <c r="AG340" t="s">
        <v>5406</v>
      </c>
      <c r="AH340">
        <v>9</v>
      </c>
      <c r="AI340">
        <v>2</v>
      </c>
      <c r="AJ340">
        <v>0</v>
      </c>
      <c r="AK340">
        <v>486.03</v>
      </c>
      <c r="AN340" t="s">
        <v>11050</v>
      </c>
      <c r="AO340">
        <v>80000</v>
      </c>
      <c r="AU340">
        <v>2.5</v>
      </c>
      <c r="AV340" t="s">
        <v>408</v>
      </c>
      <c r="AW340" t="s">
        <v>11497</v>
      </c>
    </row>
    <row r="341" spans="1:49">
      <c r="A341" s="1">
        <f>HYPERLINK("https://cms.ls-nyc.org/matter/dynamic-profile/view/0819926","16-0819926")</f>
        <v>0</v>
      </c>
      <c r="B341" t="s">
        <v>129</v>
      </c>
      <c r="C341" t="s">
        <v>234</v>
      </c>
      <c r="D341" t="s">
        <v>396</v>
      </c>
      <c r="E341" t="s">
        <v>744</v>
      </c>
      <c r="F341" t="s">
        <v>1124</v>
      </c>
      <c r="G341" t="s">
        <v>2372</v>
      </c>
      <c r="H341" t="s">
        <v>3721</v>
      </c>
      <c r="I341" t="s">
        <v>4800</v>
      </c>
      <c r="J341" t="s">
        <v>5321</v>
      </c>
      <c r="K341">
        <v>10453</v>
      </c>
      <c r="L341" t="s">
        <v>5355</v>
      </c>
      <c r="M341" t="s">
        <v>5356</v>
      </c>
      <c r="O341" t="s">
        <v>5393</v>
      </c>
      <c r="P341" t="s">
        <v>6524</v>
      </c>
      <c r="Q341" t="s">
        <v>6531</v>
      </c>
      <c r="R341" t="s">
        <v>6539</v>
      </c>
      <c r="S341" t="s">
        <v>5357</v>
      </c>
      <c r="U341" t="s">
        <v>6557</v>
      </c>
      <c r="W341" t="s">
        <v>341</v>
      </c>
      <c r="X341">
        <v>855</v>
      </c>
      <c r="Y341" t="s">
        <v>6606</v>
      </c>
      <c r="Z341" t="s">
        <v>6612</v>
      </c>
      <c r="AA341" t="s">
        <v>6631</v>
      </c>
      <c r="AB341" t="s">
        <v>6988</v>
      </c>
      <c r="AD341" t="s">
        <v>9396</v>
      </c>
      <c r="AE341">
        <v>170</v>
      </c>
      <c r="AF341" t="s">
        <v>11005</v>
      </c>
      <c r="AG341" t="s">
        <v>5406</v>
      </c>
      <c r="AH341">
        <v>32</v>
      </c>
      <c r="AI341">
        <v>1</v>
      </c>
      <c r="AJ341">
        <v>0</v>
      </c>
      <c r="AK341">
        <v>673.4</v>
      </c>
      <c r="AN341" t="s">
        <v>11050</v>
      </c>
      <c r="AO341">
        <v>80000</v>
      </c>
      <c r="AP341" t="s">
        <v>11091</v>
      </c>
      <c r="AU341">
        <v>0.3</v>
      </c>
      <c r="AV341" t="s">
        <v>744</v>
      </c>
      <c r="AW341" t="s">
        <v>11509</v>
      </c>
    </row>
    <row r="342" spans="1:49">
      <c r="A342" s="1">
        <f>HYPERLINK("https://cms.ls-nyc.org/matter/dynamic-profile/view/1856256","18-1856256")</f>
        <v>0</v>
      </c>
      <c r="B342" t="s">
        <v>92</v>
      </c>
      <c r="C342" t="s">
        <v>234</v>
      </c>
      <c r="D342" t="s">
        <v>290</v>
      </c>
      <c r="E342" t="s">
        <v>695</v>
      </c>
      <c r="F342" t="s">
        <v>1125</v>
      </c>
      <c r="G342" t="s">
        <v>2373</v>
      </c>
      <c r="H342" t="s">
        <v>3731</v>
      </c>
      <c r="I342" t="s">
        <v>4791</v>
      </c>
      <c r="J342" t="s">
        <v>5323</v>
      </c>
      <c r="K342">
        <v>10033</v>
      </c>
      <c r="L342" t="s">
        <v>5355</v>
      </c>
      <c r="M342" t="s">
        <v>5356</v>
      </c>
      <c r="O342" t="s">
        <v>5393</v>
      </c>
      <c r="P342" t="s">
        <v>6524</v>
      </c>
      <c r="Q342" t="s">
        <v>6531</v>
      </c>
      <c r="R342" t="s">
        <v>6539</v>
      </c>
      <c r="S342" t="s">
        <v>5357</v>
      </c>
      <c r="U342" t="s">
        <v>6557</v>
      </c>
      <c r="W342" t="s">
        <v>290</v>
      </c>
      <c r="X342">
        <v>0</v>
      </c>
      <c r="Y342" t="s">
        <v>6608</v>
      </c>
      <c r="Z342" t="s">
        <v>6622</v>
      </c>
      <c r="AA342" t="s">
        <v>6631</v>
      </c>
      <c r="AB342" t="s">
        <v>6989</v>
      </c>
      <c r="AD342" t="s">
        <v>9397</v>
      </c>
      <c r="AE342">
        <v>48</v>
      </c>
      <c r="AF342" t="s">
        <v>11005</v>
      </c>
      <c r="AG342" t="s">
        <v>5406</v>
      </c>
      <c r="AH342">
        <v>0</v>
      </c>
      <c r="AI342">
        <v>2</v>
      </c>
      <c r="AJ342">
        <v>1</v>
      </c>
      <c r="AK342">
        <v>734.5700000000001</v>
      </c>
      <c r="AN342" t="s">
        <v>11049</v>
      </c>
      <c r="AO342">
        <v>150000</v>
      </c>
      <c r="AU342">
        <v>0.2</v>
      </c>
      <c r="AV342" t="s">
        <v>329</v>
      </c>
      <c r="AW342" t="s">
        <v>11495</v>
      </c>
    </row>
    <row r="343" spans="1:49">
      <c r="A343" s="1">
        <f>HYPERLINK("https://cms.ls-nyc.org/matter/dynamic-profile/view/1870545","18-1870545")</f>
        <v>0</v>
      </c>
      <c r="B343" t="s">
        <v>65</v>
      </c>
      <c r="C343" t="s">
        <v>234</v>
      </c>
      <c r="D343" t="s">
        <v>255</v>
      </c>
      <c r="E343" t="s">
        <v>413</v>
      </c>
      <c r="F343" t="s">
        <v>1126</v>
      </c>
      <c r="G343" t="s">
        <v>2311</v>
      </c>
      <c r="H343" t="s">
        <v>3448</v>
      </c>
      <c r="I343" t="s">
        <v>4878</v>
      </c>
      <c r="J343" t="s">
        <v>5323</v>
      </c>
      <c r="K343">
        <v>10032</v>
      </c>
      <c r="L343" t="s">
        <v>5355</v>
      </c>
      <c r="M343" t="s">
        <v>5356</v>
      </c>
      <c r="O343" t="s">
        <v>6496</v>
      </c>
      <c r="P343" t="s">
        <v>6524</v>
      </c>
      <c r="Q343" t="s">
        <v>6531</v>
      </c>
      <c r="R343" t="s">
        <v>6539</v>
      </c>
      <c r="S343" t="s">
        <v>5355</v>
      </c>
      <c r="U343" t="s">
        <v>6557</v>
      </c>
      <c r="W343" t="s">
        <v>490</v>
      </c>
      <c r="X343">
        <v>837.88</v>
      </c>
      <c r="Y343" t="s">
        <v>6608</v>
      </c>
      <c r="Z343" t="s">
        <v>6616</v>
      </c>
      <c r="AA343" t="s">
        <v>6634</v>
      </c>
      <c r="AB343" t="s">
        <v>6990</v>
      </c>
      <c r="AD343" t="s">
        <v>9398</v>
      </c>
      <c r="AE343">
        <v>49</v>
      </c>
      <c r="AF343" t="s">
        <v>11005</v>
      </c>
      <c r="AG343" t="s">
        <v>5406</v>
      </c>
      <c r="AH343">
        <v>40</v>
      </c>
      <c r="AI343">
        <v>1</v>
      </c>
      <c r="AJ343">
        <v>0</v>
      </c>
      <c r="AK343">
        <v>1075.16</v>
      </c>
      <c r="AN343" t="s">
        <v>11049</v>
      </c>
      <c r="AO343">
        <v>130524</v>
      </c>
      <c r="AU343">
        <v>0</v>
      </c>
      <c r="AV343" t="s">
        <v>328</v>
      </c>
      <c r="AW343" t="s">
        <v>11495</v>
      </c>
    </row>
    <row r="344" spans="1:49">
      <c r="A344" s="1">
        <f>HYPERLINK("https://cms.ls-nyc.org/matter/dynamic-profile/view/1861084","18-1861084")</f>
        <v>0</v>
      </c>
      <c r="B344" t="s">
        <v>56</v>
      </c>
      <c r="C344" t="s">
        <v>234</v>
      </c>
      <c r="D344" t="s">
        <v>246</v>
      </c>
      <c r="E344" t="s">
        <v>665</v>
      </c>
      <c r="F344" t="s">
        <v>860</v>
      </c>
      <c r="G344" t="s">
        <v>2115</v>
      </c>
      <c r="H344" t="s">
        <v>3732</v>
      </c>
      <c r="J344" t="s">
        <v>5321</v>
      </c>
      <c r="K344">
        <v>10452</v>
      </c>
      <c r="L344" t="s">
        <v>5355</v>
      </c>
      <c r="M344" t="s">
        <v>5356</v>
      </c>
      <c r="N344" t="s">
        <v>5496</v>
      </c>
      <c r="O344" t="s">
        <v>6492</v>
      </c>
      <c r="P344" t="s">
        <v>6524</v>
      </c>
      <c r="Q344" t="s">
        <v>6531</v>
      </c>
      <c r="R344" t="s">
        <v>6539</v>
      </c>
      <c r="S344" t="s">
        <v>5357</v>
      </c>
      <c r="U344" t="s">
        <v>6557</v>
      </c>
      <c r="W344" t="s">
        <v>425</v>
      </c>
      <c r="X344">
        <v>1400</v>
      </c>
      <c r="Y344" t="s">
        <v>6606</v>
      </c>
      <c r="Z344" t="s">
        <v>6612</v>
      </c>
      <c r="AA344" t="s">
        <v>6631</v>
      </c>
      <c r="AB344" t="s">
        <v>6991</v>
      </c>
      <c r="AE344">
        <v>66</v>
      </c>
      <c r="AF344" t="s">
        <v>11005</v>
      </c>
      <c r="AG344" t="s">
        <v>5406</v>
      </c>
      <c r="AH344">
        <v>2</v>
      </c>
      <c r="AI344">
        <v>2</v>
      </c>
      <c r="AJ344">
        <v>3</v>
      </c>
      <c r="AK344">
        <v>1427.6</v>
      </c>
      <c r="AN344" t="s">
        <v>11050</v>
      </c>
      <c r="AO344">
        <v>420000</v>
      </c>
      <c r="AU344">
        <v>0.5</v>
      </c>
      <c r="AV344" t="s">
        <v>665</v>
      </c>
      <c r="AW344" t="s">
        <v>56</v>
      </c>
    </row>
    <row r="345" spans="1:49">
      <c r="A345" s="1">
        <f>HYPERLINK("https://cms.ls-nyc.org/matter/dynamic-profile/view/1857518","18-1857518")</f>
        <v>0</v>
      </c>
      <c r="B345" t="s">
        <v>134</v>
      </c>
      <c r="C345" t="s">
        <v>234</v>
      </c>
      <c r="D345" t="s">
        <v>397</v>
      </c>
      <c r="E345" t="s">
        <v>665</v>
      </c>
      <c r="F345" t="s">
        <v>1014</v>
      </c>
      <c r="G345" t="s">
        <v>2374</v>
      </c>
      <c r="H345" t="s">
        <v>3733</v>
      </c>
      <c r="I345" t="s">
        <v>4778</v>
      </c>
      <c r="J345" t="s">
        <v>5324</v>
      </c>
      <c r="K345">
        <v>11355</v>
      </c>
      <c r="L345" t="s">
        <v>5355</v>
      </c>
      <c r="M345" t="s">
        <v>5355</v>
      </c>
      <c r="N345" t="s">
        <v>5497</v>
      </c>
      <c r="O345" t="s">
        <v>6492</v>
      </c>
      <c r="P345" t="s">
        <v>6525</v>
      </c>
      <c r="Q345" t="s">
        <v>6531</v>
      </c>
      <c r="R345" t="s">
        <v>6539</v>
      </c>
      <c r="S345" t="s">
        <v>5357</v>
      </c>
      <c r="U345" t="s">
        <v>6557</v>
      </c>
      <c r="V345" t="s">
        <v>6567</v>
      </c>
      <c r="W345" t="s">
        <v>397</v>
      </c>
      <c r="X345">
        <v>1312</v>
      </c>
      <c r="Y345" t="s">
        <v>6604</v>
      </c>
      <c r="Z345" t="s">
        <v>6609</v>
      </c>
      <c r="AA345" t="s">
        <v>6631</v>
      </c>
      <c r="AB345" t="s">
        <v>6992</v>
      </c>
      <c r="AC345">
        <v>35131133</v>
      </c>
      <c r="AD345" t="s">
        <v>9399</v>
      </c>
      <c r="AE345">
        <v>126</v>
      </c>
      <c r="AF345" t="s">
        <v>11005</v>
      </c>
      <c r="AG345" t="s">
        <v>11023</v>
      </c>
      <c r="AH345">
        <v>23</v>
      </c>
      <c r="AI345">
        <v>2</v>
      </c>
      <c r="AJ345">
        <v>3</v>
      </c>
      <c r="AK345">
        <v>0</v>
      </c>
      <c r="AN345" t="s">
        <v>11050</v>
      </c>
      <c r="AO345">
        <v>0</v>
      </c>
      <c r="AU345">
        <v>2.3</v>
      </c>
      <c r="AV345" t="s">
        <v>770</v>
      </c>
      <c r="AW345" t="s">
        <v>11506</v>
      </c>
    </row>
    <row r="346" spans="1:49">
      <c r="A346" s="1">
        <f>HYPERLINK("https://cms.ls-nyc.org/matter/dynamic-profile/view/1869417","18-1869417")</f>
        <v>0</v>
      </c>
      <c r="B346" t="s">
        <v>135</v>
      </c>
      <c r="C346" t="s">
        <v>235</v>
      </c>
      <c r="D346" t="s">
        <v>253</v>
      </c>
      <c r="F346" t="s">
        <v>1127</v>
      </c>
      <c r="G346" t="s">
        <v>2375</v>
      </c>
      <c r="H346" t="s">
        <v>3734</v>
      </c>
      <c r="I346" t="s">
        <v>4734</v>
      </c>
      <c r="J346" t="s">
        <v>5320</v>
      </c>
      <c r="K346">
        <v>11233</v>
      </c>
      <c r="L346" t="s">
        <v>5355</v>
      </c>
      <c r="M346" t="s">
        <v>5356</v>
      </c>
      <c r="O346" t="s">
        <v>6500</v>
      </c>
      <c r="P346" t="s">
        <v>6525</v>
      </c>
      <c r="R346" t="s">
        <v>6539</v>
      </c>
      <c r="S346" t="s">
        <v>5355</v>
      </c>
      <c r="U346" t="s">
        <v>6557</v>
      </c>
      <c r="W346" t="s">
        <v>239</v>
      </c>
      <c r="X346">
        <v>900</v>
      </c>
      <c r="Y346" t="s">
        <v>6605</v>
      </c>
      <c r="AB346" t="s">
        <v>6993</v>
      </c>
      <c r="AD346" t="s">
        <v>9400</v>
      </c>
      <c r="AE346">
        <v>8</v>
      </c>
      <c r="AF346" t="s">
        <v>11005</v>
      </c>
      <c r="AG346" t="s">
        <v>5406</v>
      </c>
      <c r="AH346">
        <v>27</v>
      </c>
      <c r="AI346">
        <v>4</v>
      </c>
      <c r="AJ346">
        <v>1</v>
      </c>
      <c r="AK346">
        <v>0</v>
      </c>
      <c r="AN346" t="s">
        <v>11050</v>
      </c>
      <c r="AO346">
        <v>0</v>
      </c>
      <c r="AU346">
        <v>0</v>
      </c>
      <c r="AW346" t="s">
        <v>11512</v>
      </c>
    </row>
    <row r="347" spans="1:49">
      <c r="A347" s="1">
        <f>HYPERLINK("https://cms.ls-nyc.org/matter/dynamic-profile/view/1872081","18-1872081")</f>
        <v>0</v>
      </c>
      <c r="B347" t="s">
        <v>135</v>
      </c>
      <c r="C347" t="s">
        <v>235</v>
      </c>
      <c r="D347" t="s">
        <v>398</v>
      </c>
      <c r="F347" t="s">
        <v>1128</v>
      </c>
      <c r="G347" t="s">
        <v>2376</v>
      </c>
      <c r="H347" t="s">
        <v>3735</v>
      </c>
      <c r="I347" t="s">
        <v>4879</v>
      </c>
      <c r="J347" t="s">
        <v>5320</v>
      </c>
      <c r="K347">
        <v>11225</v>
      </c>
      <c r="L347" t="s">
        <v>5355</v>
      </c>
      <c r="M347" t="s">
        <v>5355</v>
      </c>
      <c r="O347" t="s">
        <v>6500</v>
      </c>
      <c r="P347" t="s">
        <v>6525</v>
      </c>
      <c r="R347" t="s">
        <v>6539</v>
      </c>
      <c r="S347" t="s">
        <v>5355</v>
      </c>
      <c r="U347" t="s">
        <v>6557</v>
      </c>
      <c r="W347" t="s">
        <v>523</v>
      </c>
      <c r="X347">
        <v>757.21</v>
      </c>
      <c r="Y347" t="s">
        <v>6605</v>
      </c>
      <c r="Z347" t="s">
        <v>6622</v>
      </c>
      <c r="AB347" t="s">
        <v>6994</v>
      </c>
      <c r="AD347" t="s">
        <v>9401</v>
      </c>
      <c r="AE347">
        <v>89</v>
      </c>
      <c r="AF347" t="s">
        <v>11005</v>
      </c>
      <c r="AG347" t="s">
        <v>5406</v>
      </c>
      <c r="AH347">
        <v>29</v>
      </c>
      <c r="AI347">
        <v>2</v>
      </c>
      <c r="AJ347">
        <v>2</v>
      </c>
      <c r="AK347">
        <v>0</v>
      </c>
      <c r="AN347" t="s">
        <v>11050</v>
      </c>
      <c r="AO347">
        <v>0</v>
      </c>
      <c r="AU347">
        <v>0</v>
      </c>
      <c r="AW347" t="s">
        <v>11512</v>
      </c>
    </row>
    <row r="348" spans="1:49">
      <c r="A348" s="1">
        <f>HYPERLINK("https://cms.ls-nyc.org/matter/dynamic-profile/view/1872110","18-1872110")</f>
        <v>0</v>
      </c>
      <c r="B348" t="s">
        <v>135</v>
      </c>
      <c r="C348" t="s">
        <v>235</v>
      </c>
      <c r="D348" t="s">
        <v>398</v>
      </c>
      <c r="F348" t="s">
        <v>900</v>
      </c>
      <c r="G348" t="s">
        <v>2144</v>
      </c>
      <c r="H348" t="s">
        <v>3735</v>
      </c>
      <c r="I348" t="s">
        <v>4880</v>
      </c>
      <c r="J348" t="s">
        <v>5320</v>
      </c>
      <c r="K348">
        <v>11225</v>
      </c>
      <c r="L348" t="s">
        <v>5355</v>
      </c>
      <c r="M348" t="s">
        <v>5356</v>
      </c>
      <c r="O348" t="s">
        <v>6500</v>
      </c>
      <c r="P348" t="s">
        <v>6525</v>
      </c>
      <c r="R348" t="s">
        <v>6539</v>
      </c>
      <c r="S348" t="s">
        <v>5355</v>
      </c>
      <c r="U348" t="s">
        <v>6557</v>
      </c>
      <c r="W348" t="s">
        <v>523</v>
      </c>
      <c r="X348">
        <v>1021</v>
      </c>
      <c r="Y348" t="s">
        <v>6605</v>
      </c>
      <c r="Z348" t="s">
        <v>6622</v>
      </c>
      <c r="AB348" t="s">
        <v>6995</v>
      </c>
      <c r="AD348" t="s">
        <v>9402</v>
      </c>
      <c r="AE348">
        <v>89</v>
      </c>
      <c r="AF348" t="s">
        <v>11005</v>
      </c>
      <c r="AG348" t="s">
        <v>5406</v>
      </c>
      <c r="AH348">
        <v>17</v>
      </c>
      <c r="AI348">
        <v>1</v>
      </c>
      <c r="AJ348">
        <v>0</v>
      </c>
      <c r="AK348">
        <v>0</v>
      </c>
      <c r="AN348" t="s">
        <v>11050</v>
      </c>
      <c r="AO348">
        <v>0</v>
      </c>
      <c r="AU348">
        <v>0</v>
      </c>
      <c r="AW348" t="s">
        <v>11512</v>
      </c>
    </row>
    <row r="349" spans="1:49">
      <c r="A349" s="1">
        <f>HYPERLINK("https://cms.ls-nyc.org/matter/dynamic-profile/view/1860345","18-1860345")</f>
        <v>0</v>
      </c>
      <c r="B349" t="s">
        <v>101</v>
      </c>
      <c r="C349" t="s">
        <v>234</v>
      </c>
      <c r="D349" t="s">
        <v>236</v>
      </c>
      <c r="E349" t="s">
        <v>745</v>
      </c>
      <c r="F349" t="s">
        <v>1129</v>
      </c>
      <c r="G349" t="s">
        <v>2377</v>
      </c>
      <c r="H349" t="s">
        <v>3736</v>
      </c>
      <c r="I349" t="s">
        <v>4753</v>
      </c>
      <c r="J349" t="s">
        <v>5320</v>
      </c>
      <c r="K349">
        <v>11219</v>
      </c>
      <c r="L349" t="s">
        <v>5355</v>
      </c>
      <c r="M349" t="s">
        <v>5356</v>
      </c>
      <c r="O349" t="s">
        <v>6492</v>
      </c>
      <c r="P349" t="s">
        <v>6525</v>
      </c>
      <c r="Q349" t="s">
        <v>6532</v>
      </c>
      <c r="R349" t="s">
        <v>6540</v>
      </c>
      <c r="U349" t="s">
        <v>6557</v>
      </c>
      <c r="W349" t="s">
        <v>236</v>
      </c>
      <c r="X349">
        <v>1510.94</v>
      </c>
      <c r="Y349" t="s">
        <v>6605</v>
      </c>
      <c r="Z349" t="s">
        <v>6610</v>
      </c>
      <c r="AA349" t="s">
        <v>6643</v>
      </c>
      <c r="AB349" t="s">
        <v>6996</v>
      </c>
      <c r="AC349">
        <v>337537960</v>
      </c>
      <c r="AD349" t="s">
        <v>9403</v>
      </c>
      <c r="AE349">
        <v>6</v>
      </c>
      <c r="AH349">
        <v>7</v>
      </c>
      <c r="AI349">
        <v>1</v>
      </c>
      <c r="AJ349">
        <v>3</v>
      </c>
      <c r="AK349">
        <v>0</v>
      </c>
      <c r="AL349" t="s">
        <v>11028</v>
      </c>
      <c r="AN349" t="s">
        <v>11050</v>
      </c>
      <c r="AO349">
        <v>0</v>
      </c>
      <c r="AU349">
        <v>7.85</v>
      </c>
      <c r="AV349" t="s">
        <v>413</v>
      </c>
      <c r="AW349" t="s">
        <v>11488</v>
      </c>
    </row>
    <row r="350" spans="1:49">
      <c r="A350" s="1">
        <f>HYPERLINK("https://cms.ls-nyc.org/matter/dynamic-profile/view/1853741","17-1853741")</f>
        <v>0</v>
      </c>
      <c r="B350" t="s">
        <v>94</v>
      </c>
      <c r="C350" t="s">
        <v>234</v>
      </c>
      <c r="D350" t="s">
        <v>399</v>
      </c>
      <c r="E350" t="s">
        <v>427</v>
      </c>
      <c r="F350" t="s">
        <v>842</v>
      </c>
      <c r="G350" t="s">
        <v>2378</v>
      </c>
      <c r="H350" t="s">
        <v>3737</v>
      </c>
      <c r="I350" t="s">
        <v>4776</v>
      </c>
      <c r="J350" t="s">
        <v>5320</v>
      </c>
      <c r="K350">
        <v>11218</v>
      </c>
      <c r="L350" t="s">
        <v>5355</v>
      </c>
      <c r="M350" t="s">
        <v>5356</v>
      </c>
      <c r="O350" t="s">
        <v>5393</v>
      </c>
      <c r="P350" t="s">
        <v>6525</v>
      </c>
      <c r="Q350" t="s">
        <v>6532</v>
      </c>
      <c r="R350" t="s">
        <v>6540</v>
      </c>
      <c r="S350" t="s">
        <v>5357</v>
      </c>
      <c r="U350" t="s">
        <v>6557</v>
      </c>
      <c r="W350" t="s">
        <v>247</v>
      </c>
      <c r="X350">
        <v>3000</v>
      </c>
      <c r="Y350" t="s">
        <v>6605</v>
      </c>
      <c r="Z350" t="s">
        <v>6610</v>
      </c>
      <c r="AA350" t="s">
        <v>6636</v>
      </c>
      <c r="AB350" t="s">
        <v>6997</v>
      </c>
      <c r="AD350" t="s">
        <v>9404</v>
      </c>
      <c r="AE350">
        <v>8</v>
      </c>
      <c r="AF350" t="s">
        <v>8722</v>
      </c>
      <c r="AH350">
        <v>1</v>
      </c>
      <c r="AI350">
        <v>1</v>
      </c>
      <c r="AJ350">
        <v>0</v>
      </c>
      <c r="AK350">
        <v>0</v>
      </c>
      <c r="AL350" t="s">
        <v>11028</v>
      </c>
      <c r="AN350" t="s">
        <v>11050</v>
      </c>
      <c r="AO350">
        <v>0</v>
      </c>
      <c r="AU350">
        <v>10.9</v>
      </c>
      <c r="AV350" t="s">
        <v>541</v>
      </c>
      <c r="AW350" t="s">
        <v>11525</v>
      </c>
    </row>
    <row r="351" spans="1:49">
      <c r="A351" s="1">
        <f>HYPERLINK("https://cms.ls-nyc.org/matter/dynamic-profile/view/1866480","18-1866480")</f>
        <v>0</v>
      </c>
      <c r="B351" t="s">
        <v>88</v>
      </c>
      <c r="C351" t="s">
        <v>234</v>
      </c>
      <c r="D351" t="s">
        <v>268</v>
      </c>
      <c r="E351" t="s">
        <v>265</v>
      </c>
      <c r="F351" t="s">
        <v>1130</v>
      </c>
      <c r="G351" t="s">
        <v>2379</v>
      </c>
      <c r="H351" t="s">
        <v>3738</v>
      </c>
      <c r="I351" t="s">
        <v>4739</v>
      </c>
      <c r="J351" t="s">
        <v>5320</v>
      </c>
      <c r="K351">
        <v>11217</v>
      </c>
      <c r="L351" t="s">
        <v>5355</v>
      </c>
      <c r="M351" t="s">
        <v>5356</v>
      </c>
      <c r="N351" t="s">
        <v>5498</v>
      </c>
      <c r="O351" t="s">
        <v>6492</v>
      </c>
      <c r="P351" t="s">
        <v>6525</v>
      </c>
      <c r="Q351" t="s">
        <v>6532</v>
      </c>
      <c r="R351" t="s">
        <v>6539</v>
      </c>
      <c r="U351" t="s">
        <v>6557</v>
      </c>
      <c r="W351" t="s">
        <v>299</v>
      </c>
      <c r="X351">
        <v>1006</v>
      </c>
      <c r="Y351" t="s">
        <v>6605</v>
      </c>
      <c r="AA351" t="s">
        <v>6636</v>
      </c>
      <c r="AB351" t="s">
        <v>6998</v>
      </c>
      <c r="AD351" t="s">
        <v>9405</v>
      </c>
      <c r="AE351">
        <v>0</v>
      </c>
      <c r="AG351" t="s">
        <v>11020</v>
      </c>
      <c r="AH351">
        <v>0</v>
      </c>
      <c r="AI351">
        <v>1</v>
      </c>
      <c r="AJ351">
        <v>0</v>
      </c>
      <c r="AK351">
        <v>0</v>
      </c>
      <c r="AN351" t="s">
        <v>11050</v>
      </c>
      <c r="AO351">
        <v>0</v>
      </c>
      <c r="AU351">
        <v>4.9</v>
      </c>
      <c r="AV351" t="s">
        <v>322</v>
      </c>
      <c r="AW351" t="s">
        <v>11503</v>
      </c>
    </row>
    <row r="352" spans="1:49">
      <c r="A352" s="1">
        <f>HYPERLINK("https://cms.ls-nyc.org/matter/dynamic-profile/view/1850793","17-1850793")</f>
        <v>0</v>
      </c>
      <c r="B352" t="s">
        <v>77</v>
      </c>
      <c r="C352" t="s">
        <v>234</v>
      </c>
      <c r="D352" t="s">
        <v>400</v>
      </c>
      <c r="E352" t="s">
        <v>704</v>
      </c>
      <c r="F352" t="s">
        <v>1131</v>
      </c>
      <c r="G352" t="s">
        <v>2151</v>
      </c>
      <c r="H352" t="s">
        <v>3480</v>
      </c>
      <c r="I352" t="s">
        <v>4841</v>
      </c>
      <c r="J352" t="s">
        <v>5320</v>
      </c>
      <c r="K352">
        <v>11213</v>
      </c>
      <c r="L352" t="s">
        <v>5355</v>
      </c>
      <c r="M352" t="s">
        <v>5356</v>
      </c>
      <c r="O352" t="s">
        <v>6500</v>
      </c>
      <c r="P352" t="s">
        <v>6525</v>
      </c>
      <c r="Q352" t="s">
        <v>6531</v>
      </c>
      <c r="R352" t="s">
        <v>6539</v>
      </c>
      <c r="S352" t="s">
        <v>5355</v>
      </c>
      <c r="U352" t="s">
        <v>6557</v>
      </c>
      <c r="W352" t="s">
        <v>6580</v>
      </c>
      <c r="X352">
        <v>1300</v>
      </c>
      <c r="Y352" t="s">
        <v>6605</v>
      </c>
      <c r="Z352" t="s">
        <v>6622</v>
      </c>
      <c r="AA352" t="s">
        <v>6634</v>
      </c>
      <c r="AB352" t="s">
        <v>6999</v>
      </c>
      <c r="AC352">
        <v>9654246</v>
      </c>
      <c r="AD352" t="s">
        <v>9406</v>
      </c>
      <c r="AE352">
        <v>107</v>
      </c>
      <c r="AF352" t="s">
        <v>11005</v>
      </c>
      <c r="AG352" t="s">
        <v>5406</v>
      </c>
      <c r="AH352">
        <v>2</v>
      </c>
      <c r="AI352">
        <v>1</v>
      </c>
      <c r="AJ352">
        <v>0</v>
      </c>
      <c r="AK352">
        <v>0</v>
      </c>
      <c r="AL352" t="s">
        <v>266</v>
      </c>
      <c r="AN352" t="s">
        <v>11050</v>
      </c>
      <c r="AO352">
        <v>0</v>
      </c>
      <c r="AU352">
        <v>0.6</v>
      </c>
      <c r="AV352" t="s">
        <v>704</v>
      </c>
      <c r="AW352" t="s">
        <v>11512</v>
      </c>
    </row>
    <row r="353" spans="1:50">
      <c r="A353" s="1">
        <f>HYPERLINK("https://cms.ls-nyc.org/matter/dynamic-profile/view/1871319","18-1871319")</f>
        <v>0</v>
      </c>
      <c r="B353" t="s">
        <v>135</v>
      </c>
      <c r="C353" t="s">
        <v>234</v>
      </c>
      <c r="D353" t="s">
        <v>401</v>
      </c>
      <c r="E353" t="s">
        <v>742</v>
      </c>
      <c r="F353" t="s">
        <v>1132</v>
      </c>
      <c r="G353" t="s">
        <v>2380</v>
      </c>
      <c r="H353" t="s">
        <v>3739</v>
      </c>
      <c r="I353" t="s">
        <v>4852</v>
      </c>
      <c r="J353" t="s">
        <v>5320</v>
      </c>
      <c r="K353">
        <v>11212</v>
      </c>
      <c r="L353" t="s">
        <v>5355</v>
      </c>
      <c r="M353" t="s">
        <v>5356</v>
      </c>
      <c r="O353" t="s">
        <v>6499</v>
      </c>
      <c r="P353" t="s">
        <v>6525</v>
      </c>
      <c r="Q353" t="s">
        <v>6532</v>
      </c>
      <c r="R353" t="s">
        <v>6539</v>
      </c>
      <c r="S353" t="s">
        <v>5355</v>
      </c>
      <c r="U353" t="s">
        <v>6557</v>
      </c>
      <c r="W353" t="s">
        <v>349</v>
      </c>
      <c r="X353">
        <v>1180.14</v>
      </c>
      <c r="Y353" t="s">
        <v>6605</v>
      </c>
      <c r="Z353" t="s">
        <v>6493</v>
      </c>
      <c r="AA353" t="s">
        <v>6642</v>
      </c>
      <c r="AB353" t="s">
        <v>7000</v>
      </c>
      <c r="AD353" t="s">
        <v>9407</v>
      </c>
      <c r="AE353">
        <v>0</v>
      </c>
      <c r="AF353" t="s">
        <v>11005</v>
      </c>
      <c r="AH353">
        <v>16</v>
      </c>
      <c r="AI353">
        <v>1</v>
      </c>
      <c r="AJ353">
        <v>0</v>
      </c>
      <c r="AK353">
        <v>0</v>
      </c>
      <c r="AN353" t="s">
        <v>11050</v>
      </c>
      <c r="AO353">
        <v>0</v>
      </c>
      <c r="AU353">
        <v>0.08</v>
      </c>
      <c r="AV353" t="s">
        <v>726</v>
      </c>
      <c r="AW353" t="s">
        <v>11517</v>
      </c>
    </row>
    <row r="354" spans="1:50">
      <c r="A354" s="1">
        <f>HYPERLINK("https://cms.ls-nyc.org/matter/dynamic-profile/view/1871569","18-1871569")</f>
        <v>0</v>
      </c>
      <c r="B354" t="s">
        <v>135</v>
      </c>
      <c r="C354" t="s">
        <v>235</v>
      </c>
      <c r="D354" t="s">
        <v>402</v>
      </c>
      <c r="F354" t="s">
        <v>1132</v>
      </c>
      <c r="G354" t="s">
        <v>2380</v>
      </c>
      <c r="H354" t="s">
        <v>3739</v>
      </c>
      <c r="I354" t="s">
        <v>4852</v>
      </c>
      <c r="J354" t="s">
        <v>5320</v>
      </c>
      <c r="K354">
        <v>11212</v>
      </c>
      <c r="L354" t="s">
        <v>5355</v>
      </c>
      <c r="M354" t="s">
        <v>5356</v>
      </c>
      <c r="O354" t="s">
        <v>5393</v>
      </c>
      <c r="P354" t="s">
        <v>6525</v>
      </c>
      <c r="R354" t="s">
        <v>6539</v>
      </c>
      <c r="S354" t="s">
        <v>5355</v>
      </c>
      <c r="U354" t="s">
        <v>6557</v>
      </c>
      <c r="W354" t="s">
        <v>6581</v>
      </c>
      <c r="X354">
        <v>1180.14</v>
      </c>
      <c r="Y354" t="s">
        <v>6605</v>
      </c>
      <c r="Z354" t="s">
        <v>6493</v>
      </c>
      <c r="AB354" t="s">
        <v>7000</v>
      </c>
      <c r="AD354" t="s">
        <v>9407</v>
      </c>
      <c r="AE354">
        <v>32</v>
      </c>
      <c r="AF354" t="s">
        <v>11005</v>
      </c>
      <c r="AH354">
        <v>16</v>
      </c>
      <c r="AI354">
        <v>1</v>
      </c>
      <c r="AJ354">
        <v>0</v>
      </c>
      <c r="AK354">
        <v>0</v>
      </c>
      <c r="AN354" t="s">
        <v>11050</v>
      </c>
      <c r="AO354">
        <v>0</v>
      </c>
      <c r="AU354">
        <v>0</v>
      </c>
      <c r="AW354" t="s">
        <v>11517</v>
      </c>
    </row>
    <row r="355" spans="1:50">
      <c r="A355" s="1">
        <f>HYPERLINK("https://cms.ls-nyc.org/matter/dynamic-profile/view/1848433","17-1848433")</f>
        <v>0</v>
      </c>
      <c r="B355" t="s">
        <v>136</v>
      </c>
      <c r="C355" t="s">
        <v>235</v>
      </c>
      <c r="D355" t="s">
        <v>354</v>
      </c>
      <c r="F355" t="s">
        <v>1133</v>
      </c>
      <c r="G355" t="s">
        <v>2381</v>
      </c>
      <c r="H355" t="s">
        <v>3740</v>
      </c>
      <c r="I355" t="s">
        <v>4766</v>
      </c>
      <c r="J355" t="s">
        <v>5320</v>
      </c>
      <c r="K355">
        <v>11212</v>
      </c>
      <c r="L355" t="s">
        <v>5357</v>
      </c>
      <c r="M355" t="s">
        <v>5356</v>
      </c>
      <c r="N355" t="s">
        <v>5499</v>
      </c>
      <c r="O355" t="s">
        <v>6492</v>
      </c>
      <c r="P355" t="s">
        <v>6525</v>
      </c>
      <c r="R355" t="s">
        <v>6539</v>
      </c>
      <c r="U355" t="s">
        <v>6557</v>
      </c>
      <c r="W355" t="s">
        <v>372</v>
      </c>
      <c r="X355">
        <v>813</v>
      </c>
      <c r="Y355" t="s">
        <v>6605</v>
      </c>
      <c r="Z355" t="s">
        <v>6613</v>
      </c>
      <c r="AB355" t="s">
        <v>7001</v>
      </c>
      <c r="AD355" t="s">
        <v>9408</v>
      </c>
      <c r="AE355">
        <v>107</v>
      </c>
      <c r="AH355">
        <v>2</v>
      </c>
      <c r="AI355">
        <v>1</v>
      </c>
      <c r="AJ355">
        <v>0</v>
      </c>
      <c r="AK355">
        <v>0</v>
      </c>
      <c r="AN355" t="s">
        <v>11049</v>
      </c>
      <c r="AO355">
        <v>0</v>
      </c>
      <c r="AU355">
        <v>4.48</v>
      </c>
      <c r="AV355" t="s">
        <v>395</v>
      </c>
      <c r="AW355" t="s">
        <v>11527</v>
      </c>
    </row>
    <row r="356" spans="1:50">
      <c r="A356" s="1">
        <f>HYPERLINK("https://cms.ls-nyc.org/matter/dynamic-profile/view/1864296","18-1864296")</f>
        <v>0</v>
      </c>
      <c r="B356" t="s">
        <v>137</v>
      </c>
      <c r="C356" t="s">
        <v>234</v>
      </c>
      <c r="D356" t="s">
        <v>239</v>
      </c>
      <c r="E356" t="s">
        <v>718</v>
      </c>
      <c r="F356" t="s">
        <v>1020</v>
      </c>
      <c r="G356" t="s">
        <v>2382</v>
      </c>
      <c r="H356" t="s">
        <v>3741</v>
      </c>
      <c r="I356" t="s">
        <v>4783</v>
      </c>
      <c r="J356" t="s">
        <v>5320</v>
      </c>
      <c r="K356">
        <v>11212</v>
      </c>
      <c r="L356" t="s">
        <v>5355</v>
      </c>
      <c r="M356" t="s">
        <v>5355</v>
      </c>
      <c r="N356" t="s">
        <v>5500</v>
      </c>
      <c r="O356" t="s">
        <v>6492</v>
      </c>
      <c r="P356" t="s">
        <v>6525</v>
      </c>
      <c r="Q356" t="s">
        <v>6534</v>
      </c>
      <c r="R356" t="s">
        <v>6539</v>
      </c>
      <c r="S356" t="s">
        <v>5355</v>
      </c>
      <c r="U356" t="s">
        <v>6557</v>
      </c>
      <c r="W356" t="s">
        <v>298</v>
      </c>
      <c r="X356">
        <v>972</v>
      </c>
      <c r="Y356" t="s">
        <v>6605</v>
      </c>
      <c r="Z356" t="s">
        <v>6612</v>
      </c>
      <c r="AA356" t="s">
        <v>6637</v>
      </c>
      <c r="AB356" t="s">
        <v>7002</v>
      </c>
      <c r="AE356">
        <v>30</v>
      </c>
      <c r="AF356" t="s">
        <v>11005</v>
      </c>
      <c r="AH356">
        <v>6</v>
      </c>
      <c r="AI356">
        <v>1</v>
      </c>
      <c r="AJ356">
        <v>0</v>
      </c>
      <c r="AK356">
        <v>0</v>
      </c>
      <c r="AN356" t="s">
        <v>11050</v>
      </c>
      <c r="AO356">
        <v>0</v>
      </c>
      <c r="AU356">
        <v>11.03</v>
      </c>
      <c r="AV356" t="s">
        <v>718</v>
      </c>
      <c r="AW356" t="s">
        <v>194</v>
      </c>
    </row>
    <row r="357" spans="1:50">
      <c r="A357" s="1">
        <f>HYPERLINK("https://cms.ls-nyc.org/matter/dynamic-profile/view/1866117","18-1866117")</f>
        <v>0</v>
      </c>
      <c r="B357" t="s">
        <v>53</v>
      </c>
      <c r="C357" t="s">
        <v>234</v>
      </c>
      <c r="D357" t="s">
        <v>298</v>
      </c>
      <c r="E357" t="s">
        <v>746</v>
      </c>
      <c r="F357" t="s">
        <v>1134</v>
      </c>
      <c r="G357" t="s">
        <v>2383</v>
      </c>
      <c r="H357" t="s">
        <v>3742</v>
      </c>
      <c r="I357" t="s">
        <v>4881</v>
      </c>
      <c r="J357" t="s">
        <v>5320</v>
      </c>
      <c r="K357">
        <v>11212</v>
      </c>
      <c r="L357" t="s">
        <v>5355</v>
      </c>
      <c r="M357" t="s">
        <v>5355</v>
      </c>
      <c r="N357" t="s">
        <v>5501</v>
      </c>
      <c r="O357" t="s">
        <v>6492</v>
      </c>
      <c r="P357" t="s">
        <v>6525</v>
      </c>
      <c r="Q357" t="s">
        <v>6532</v>
      </c>
      <c r="R357" t="s">
        <v>6539</v>
      </c>
      <c r="S357" t="s">
        <v>5355</v>
      </c>
      <c r="U357" t="s">
        <v>6557</v>
      </c>
      <c r="W357" t="s">
        <v>355</v>
      </c>
      <c r="X357">
        <v>1289.63</v>
      </c>
      <c r="Y357" t="s">
        <v>6605</v>
      </c>
      <c r="Z357" t="s">
        <v>6617</v>
      </c>
      <c r="AA357" t="s">
        <v>6636</v>
      </c>
      <c r="AB357" t="s">
        <v>7003</v>
      </c>
      <c r="AC357" t="s">
        <v>8746</v>
      </c>
      <c r="AD357" t="s">
        <v>9409</v>
      </c>
      <c r="AE357">
        <v>39</v>
      </c>
      <c r="AF357" t="s">
        <v>11005</v>
      </c>
      <c r="AG357" t="s">
        <v>5406</v>
      </c>
      <c r="AH357">
        <v>8</v>
      </c>
      <c r="AI357">
        <v>1</v>
      </c>
      <c r="AJ357">
        <v>0</v>
      </c>
      <c r="AK357">
        <v>0</v>
      </c>
      <c r="AN357" t="s">
        <v>11050</v>
      </c>
      <c r="AO357">
        <v>0</v>
      </c>
      <c r="AU357">
        <v>14.5</v>
      </c>
      <c r="AV357" t="s">
        <v>800</v>
      </c>
      <c r="AW357" t="s">
        <v>11518</v>
      </c>
    </row>
    <row r="358" spans="1:50">
      <c r="A358" s="1">
        <f>HYPERLINK("https://cms.ls-nyc.org/matter/dynamic-profile/view/1848024","17-1848024")</f>
        <v>0</v>
      </c>
      <c r="B358" t="s">
        <v>138</v>
      </c>
      <c r="C358" t="s">
        <v>235</v>
      </c>
      <c r="D358" t="s">
        <v>403</v>
      </c>
      <c r="F358" t="s">
        <v>1089</v>
      </c>
      <c r="G358" t="s">
        <v>2384</v>
      </c>
      <c r="H358" t="s">
        <v>3743</v>
      </c>
      <c r="I358">
        <v>5</v>
      </c>
      <c r="J358" t="s">
        <v>5320</v>
      </c>
      <c r="K358">
        <v>11207</v>
      </c>
      <c r="L358" t="s">
        <v>5355</v>
      </c>
      <c r="M358" t="s">
        <v>5356</v>
      </c>
      <c r="O358" t="s">
        <v>6500</v>
      </c>
      <c r="P358" t="s">
        <v>6525</v>
      </c>
      <c r="R358" t="s">
        <v>6539</v>
      </c>
      <c r="S358" t="s">
        <v>5355</v>
      </c>
      <c r="U358" t="s">
        <v>6557</v>
      </c>
      <c r="W358" t="s">
        <v>426</v>
      </c>
      <c r="X358">
        <v>500</v>
      </c>
      <c r="Y358" t="s">
        <v>6605</v>
      </c>
      <c r="Z358" t="s">
        <v>6623</v>
      </c>
      <c r="AB358" t="s">
        <v>7004</v>
      </c>
      <c r="AE358">
        <v>7</v>
      </c>
      <c r="AF358" t="s">
        <v>11004</v>
      </c>
      <c r="AG358" t="s">
        <v>5406</v>
      </c>
      <c r="AH358">
        <v>0</v>
      </c>
      <c r="AI358">
        <v>3</v>
      </c>
      <c r="AJ358">
        <v>0</v>
      </c>
      <c r="AK358">
        <v>0</v>
      </c>
      <c r="AO358">
        <v>0</v>
      </c>
      <c r="AU358">
        <v>0.6</v>
      </c>
      <c r="AV358" t="s">
        <v>716</v>
      </c>
      <c r="AW358" t="s">
        <v>11512</v>
      </c>
    </row>
    <row r="359" spans="1:50">
      <c r="A359" s="1">
        <f>HYPERLINK("https://cms.ls-nyc.org/matter/dynamic-profile/view/1870046","18-1870046")</f>
        <v>0</v>
      </c>
      <c r="B359" t="s">
        <v>77</v>
      </c>
      <c r="C359" t="s">
        <v>234</v>
      </c>
      <c r="D359" t="s">
        <v>307</v>
      </c>
      <c r="E359" t="s">
        <v>687</v>
      </c>
      <c r="F359" t="s">
        <v>1135</v>
      </c>
      <c r="G359" t="s">
        <v>2385</v>
      </c>
      <c r="H359" t="s">
        <v>3557</v>
      </c>
      <c r="I359" t="s">
        <v>4743</v>
      </c>
      <c r="J359" t="s">
        <v>5320</v>
      </c>
      <c r="K359">
        <v>11207</v>
      </c>
      <c r="L359" t="s">
        <v>5355</v>
      </c>
      <c r="M359" t="s">
        <v>5356</v>
      </c>
      <c r="O359" t="s">
        <v>6500</v>
      </c>
      <c r="P359" t="s">
        <v>6525</v>
      </c>
      <c r="Q359" t="s">
        <v>6531</v>
      </c>
      <c r="R359" t="s">
        <v>6539</v>
      </c>
      <c r="U359" t="s">
        <v>6557</v>
      </c>
      <c r="W359" t="s">
        <v>275</v>
      </c>
      <c r="X359">
        <v>1250</v>
      </c>
      <c r="Y359" t="s">
        <v>6605</v>
      </c>
      <c r="Z359" t="s">
        <v>6614</v>
      </c>
      <c r="AA359" t="s">
        <v>6631</v>
      </c>
      <c r="AB359" t="s">
        <v>7005</v>
      </c>
      <c r="AC359">
        <v>7172896</v>
      </c>
      <c r="AD359" t="s">
        <v>9410</v>
      </c>
      <c r="AE359">
        <v>6</v>
      </c>
      <c r="AF359" t="s">
        <v>11005</v>
      </c>
      <c r="AG359" t="s">
        <v>5406</v>
      </c>
      <c r="AH359">
        <v>5</v>
      </c>
      <c r="AI359">
        <v>1</v>
      </c>
      <c r="AJ359">
        <v>5</v>
      </c>
      <c r="AK359">
        <v>0</v>
      </c>
      <c r="AN359" t="s">
        <v>11050</v>
      </c>
      <c r="AO359">
        <v>0</v>
      </c>
      <c r="AU359">
        <v>0.75</v>
      </c>
      <c r="AV359" t="s">
        <v>714</v>
      </c>
      <c r="AW359" t="s">
        <v>11512</v>
      </c>
    </row>
    <row r="360" spans="1:50">
      <c r="A360" s="1">
        <f>HYPERLINK("https://cms.ls-nyc.org/matter/dynamic-profile/view/1870932","18-1870932")</f>
        <v>0</v>
      </c>
      <c r="B360" t="s">
        <v>84</v>
      </c>
      <c r="C360" t="s">
        <v>234</v>
      </c>
      <c r="D360" t="s">
        <v>245</v>
      </c>
      <c r="E360" t="s">
        <v>652</v>
      </c>
      <c r="F360" t="s">
        <v>1136</v>
      </c>
      <c r="G360" t="s">
        <v>2144</v>
      </c>
      <c r="H360" t="s">
        <v>3744</v>
      </c>
      <c r="I360">
        <v>410</v>
      </c>
      <c r="J360" t="s">
        <v>5320</v>
      </c>
      <c r="K360">
        <v>11207</v>
      </c>
      <c r="L360" t="s">
        <v>5355</v>
      </c>
      <c r="M360" t="s">
        <v>5356</v>
      </c>
      <c r="N360" t="s">
        <v>5393</v>
      </c>
      <c r="P360" t="s">
        <v>6525</v>
      </c>
      <c r="Q360" t="s">
        <v>6532</v>
      </c>
      <c r="R360" t="s">
        <v>6539</v>
      </c>
      <c r="U360" t="s">
        <v>6557</v>
      </c>
      <c r="W360" t="s">
        <v>245</v>
      </c>
      <c r="X360">
        <v>0</v>
      </c>
      <c r="Y360" t="s">
        <v>6605</v>
      </c>
      <c r="Z360" t="s">
        <v>6609</v>
      </c>
      <c r="AA360" t="s">
        <v>6631</v>
      </c>
      <c r="AB360" t="s">
        <v>7006</v>
      </c>
      <c r="AE360">
        <v>0</v>
      </c>
      <c r="AG360" t="s">
        <v>5406</v>
      </c>
      <c r="AH360">
        <v>0</v>
      </c>
      <c r="AI360">
        <v>1</v>
      </c>
      <c r="AJ360">
        <v>0</v>
      </c>
      <c r="AK360">
        <v>0</v>
      </c>
      <c r="AN360" t="s">
        <v>11050</v>
      </c>
      <c r="AO360">
        <v>0</v>
      </c>
      <c r="AU360">
        <v>1.4</v>
      </c>
      <c r="AV360" t="s">
        <v>791</v>
      </c>
      <c r="AW360" t="s">
        <v>11512</v>
      </c>
    </row>
    <row r="361" spans="1:50">
      <c r="A361" s="1">
        <f>HYPERLINK("https://cms.ls-nyc.org/matter/dynamic-profile/view/1864337","18-1864337")</f>
        <v>0</v>
      </c>
      <c r="B361" t="s">
        <v>139</v>
      </c>
      <c r="C361" t="s">
        <v>234</v>
      </c>
      <c r="D361" t="s">
        <v>342</v>
      </c>
      <c r="E361" t="s">
        <v>747</v>
      </c>
      <c r="F361" t="s">
        <v>1137</v>
      </c>
      <c r="G361" t="s">
        <v>2386</v>
      </c>
      <c r="H361" t="s">
        <v>3745</v>
      </c>
      <c r="I361" t="s">
        <v>4787</v>
      </c>
      <c r="J361" t="s">
        <v>5321</v>
      </c>
      <c r="K361">
        <v>10453</v>
      </c>
      <c r="L361" t="s">
        <v>5355</v>
      </c>
      <c r="M361" t="s">
        <v>5356</v>
      </c>
      <c r="O361" t="s">
        <v>6504</v>
      </c>
      <c r="P361" t="s">
        <v>6525</v>
      </c>
      <c r="Q361" t="s">
        <v>6532</v>
      </c>
      <c r="R361" t="s">
        <v>6539</v>
      </c>
      <c r="U361" t="s">
        <v>6560</v>
      </c>
      <c r="W361" t="s">
        <v>342</v>
      </c>
      <c r="X361">
        <v>1285.1</v>
      </c>
      <c r="Y361" t="s">
        <v>6606</v>
      </c>
      <c r="AA361" t="s">
        <v>6644</v>
      </c>
      <c r="AB361" t="s">
        <v>7007</v>
      </c>
      <c r="AD361" t="s">
        <v>9411</v>
      </c>
      <c r="AE361">
        <v>0</v>
      </c>
      <c r="AF361" t="s">
        <v>11016</v>
      </c>
      <c r="AG361" t="s">
        <v>11020</v>
      </c>
      <c r="AH361">
        <v>19</v>
      </c>
      <c r="AI361">
        <v>2</v>
      </c>
      <c r="AJ361">
        <v>2</v>
      </c>
      <c r="AK361">
        <v>0</v>
      </c>
      <c r="AO361">
        <v>0</v>
      </c>
      <c r="AS361" t="s">
        <v>11253</v>
      </c>
      <c r="AT361" t="s">
        <v>11258</v>
      </c>
      <c r="AU361">
        <v>6.85</v>
      </c>
      <c r="AV361" t="s">
        <v>765</v>
      </c>
      <c r="AW361" t="s">
        <v>11505</v>
      </c>
      <c r="AX361" t="s">
        <v>11564</v>
      </c>
    </row>
    <row r="362" spans="1:50">
      <c r="A362" s="1">
        <f>HYPERLINK("https://cms.ls-nyc.org/matter/dynamic-profile/view/1852924","17-1852924")</f>
        <v>0</v>
      </c>
      <c r="B362" t="s">
        <v>63</v>
      </c>
      <c r="C362" t="s">
        <v>234</v>
      </c>
      <c r="D362" t="s">
        <v>327</v>
      </c>
      <c r="E362" t="s">
        <v>748</v>
      </c>
      <c r="F362" t="s">
        <v>925</v>
      </c>
      <c r="G362" t="s">
        <v>2387</v>
      </c>
      <c r="H362" t="s">
        <v>3746</v>
      </c>
      <c r="I362">
        <v>1</v>
      </c>
      <c r="J362" t="s">
        <v>5322</v>
      </c>
      <c r="K362">
        <v>10301</v>
      </c>
      <c r="L362" t="s">
        <v>5355</v>
      </c>
      <c r="M362" t="s">
        <v>5355</v>
      </c>
      <c r="N362" t="s">
        <v>5393</v>
      </c>
      <c r="O362" t="s">
        <v>5393</v>
      </c>
      <c r="P362" t="s">
        <v>6525</v>
      </c>
      <c r="Q362" t="s">
        <v>6532</v>
      </c>
      <c r="R362" t="s">
        <v>6539</v>
      </c>
      <c r="S362" t="s">
        <v>5357</v>
      </c>
      <c r="U362" t="s">
        <v>6557</v>
      </c>
      <c r="W362" t="s">
        <v>327</v>
      </c>
      <c r="X362">
        <v>325</v>
      </c>
      <c r="Y362" t="s">
        <v>6607</v>
      </c>
      <c r="Z362" t="s">
        <v>6622</v>
      </c>
      <c r="AA362" t="s">
        <v>6631</v>
      </c>
      <c r="AB362" t="s">
        <v>7008</v>
      </c>
      <c r="AD362" t="s">
        <v>9412</v>
      </c>
      <c r="AE362">
        <v>15</v>
      </c>
      <c r="AF362" t="s">
        <v>11005</v>
      </c>
      <c r="AG362" t="s">
        <v>5406</v>
      </c>
      <c r="AH362">
        <v>19</v>
      </c>
      <c r="AI362">
        <v>1</v>
      </c>
      <c r="AJ362">
        <v>0</v>
      </c>
      <c r="AK362">
        <v>0</v>
      </c>
      <c r="AN362" t="s">
        <v>11050</v>
      </c>
      <c r="AO362">
        <v>0</v>
      </c>
      <c r="AU362">
        <v>3.8</v>
      </c>
      <c r="AV362" t="s">
        <v>748</v>
      </c>
      <c r="AW362" t="s">
        <v>140</v>
      </c>
    </row>
    <row r="363" spans="1:50">
      <c r="A363" s="1">
        <f>HYPERLINK("https://cms.ls-nyc.org/matter/dynamic-profile/view/1842321","17-1842321")</f>
        <v>0</v>
      </c>
      <c r="B363" t="s">
        <v>97</v>
      </c>
      <c r="C363" t="s">
        <v>234</v>
      </c>
      <c r="D363" t="s">
        <v>404</v>
      </c>
      <c r="E363" t="s">
        <v>703</v>
      </c>
      <c r="F363" t="s">
        <v>1138</v>
      </c>
      <c r="G363" t="s">
        <v>2388</v>
      </c>
      <c r="H363" t="s">
        <v>3747</v>
      </c>
      <c r="I363">
        <v>2</v>
      </c>
      <c r="J363" t="s">
        <v>5323</v>
      </c>
      <c r="K363">
        <v>10034</v>
      </c>
      <c r="L363" t="s">
        <v>5355</v>
      </c>
      <c r="M363" t="s">
        <v>5355</v>
      </c>
      <c r="O363" t="s">
        <v>6498</v>
      </c>
      <c r="P363" t="s">
        <v>6525</v>
      </c>
      <c r="Q363" t="s">
        <v>6532</v>
      </c>
      <c r="R363" t="s">
        <v>6539</v>
      </c>
      <c r="S363" t="s">
        <v>5357</v>
      </c>
      <c r="U363" t="s">
        <v>6557</v>
      </c>
      <c r="W363" t="s">
        <v>404</v>
      </c>
      <c r="X363">
        <v>824.79</v>
      </c>
      <c r="Y363" t="s">
        <v>6608</v>
      </c>
      <c r="Z363" t="s">
        <v>6616</v>
      </c>
      <c r="AA363" t="s">
        <v>6636</v>
      </c>
      <c r="AB363" t="s">
        <v>7009</v>
      </c>
      <c r="AD363" t="s">
        <v>9413</v>
      </c>
      <c r="AE363">
        <v>50</v>
      </c>
      <c r="AF363" t="s">
        <v>11005</v>
      </c>
      <c r="AG363" t="s">
        <v>11024</v>
      </c>
      <c r="AH363">
        <v>40</v>
      </c>
      <c r="AI363">
        <v>2</v>
      </c>
      <c r="AJ363">
        <v>0</v>
      </c>
      <c r="AK363">
        <v>0</v>
      </c>
      <c r="AN363" t="s">
        <v>11049</v>
      </c>
      <c r="AO363">
        <v>0</v>
      </c>
      <c r="AU363">
        <v>1.4</v>
      </c>
      <c r="AV363" t="s">
        <v>394</v>
      </c>
      <c r="AW363" t="s">
        <v>11495</v>
      </c>
    </row>
    <row r="364" spans="1:50">
      <c r="A364" s="1">
        <f>HYPERLINK("https://cms.ls-nyc.org/matter/dynamic-profile/view/1870535","18-1870535")</f>
        <v>0</v>
      </c>
      <c r="B364" t="s">
        <v>65</v>
      </c>
      <c r="C364" t="s">
        <v>234</v>
      </c>
      <c r="D364" t="s">
        <v>255</v>
      </c>
      <c r="E364" t="s">
        <v>413</v>
      </c>
      <c r="F364" t="s">
        <v>860</v>
      </c>
      <c r="G364" t="s">
        <v>2119</v>
      </c>
      <c r="H364" t="s">
        <v>3448</v>
      </c>
      <c r="I364" t="s">
        <v>4750</v>
      </c>
      <c r="J364" t="s">
        <v>5323</v>
      </c>
      <c r="K364">
        <v>10032</v>
      </c>
      <c r="L364" t="s">
        <v>5355</v>
      </c>
      <c r="M364" t="s">
        <v>5356</v>
      </c>
      <c r="O364" t="s">
        <v>6499</v>
      </c>
      <c r="P364" t="s">
        <v>6525</v>
      </c>
      <c r="Q364" t="s">
        <v>6531</v>
      </c>
      <c r="R364" t="s">
        <v>6539</v>
      </c>
      <c r="S364" t="s">
        <v>5355</v>
      </c>
      <c r="U364" t="s">
        <v>6557</v>
      </c>
      <c r="W364" t="s">
        <v>490</v>
      </c>
      <c r="X364">
        <v>726.0599999999999</v>
      </c>
      <c r="Y364" t="s">
        <v>6608</v>
      </c>
      <c r="Z364" t="s">
        <v>6616</v>
      </c>
      <c r="AA364" t="s">
        <v>6642</v>
      </c>
      <c r="AB364" t="s">
        <v>6680</v>
      </c>
      <c r="AE364">
        <v>49</v>
      </c>
      <c r="AF364" t="s">
        <v>11005</v>
      </c>
      <c r="AG364" t="s">
        <v>5406</v>
      </c>
      <c r="AH364">
        <v>39</v>
      </c>
      <c r="AI364">
        <v>2</v>
      </c>
      <c r="AJ364">
        <v>0</v>
      </c>
      <c r="AK364">
        <v>0</v>
      </c>
      <c r="AN364" t="s">
        <v>11049</v>
      </c>
      <c r="AO364">
        <v>0</v>
      </c>
      <c r="AU364">
        <v>0</v>
      </c>
      <c r="AV364" t="s">
        <v>328</v>
      </c>
      <c r="AW364" t="s">
        <v>11495</v>
      </c>
    </row>
    <row r="365" spans="1:50">
      <c r="A365" s="1">
        <f>HYPERLINK("https://cms.ls-nyc.org/matter/dynamic-profile/view/1864801","18-1864801")</f>
        <v>0</v>
      </c>
      <c r="B365" t="s">
        <v>76</v>
      </c>
      <c r="C365" t="s">
        <v>234</v>
      </c>
      <c r="D365" t="s">
        <v>395</v>
      </c>
      <c r="E365" t="s">
        <v>726</v>
      </c>
      <c r="F365" t="s">
        <v>1139</v>
      </c>
      <c r="G365" t="s">
        <v>2389</v>
      </c>
      <c r="H365" t="s">
        <v>3748</v>
      </c>
      <c r="I365" t="s">
        <v>4882</v>
      </c>
      <c r="J365" t="s">
        <v>5323</v>
      </c>
      <c r="K365">
        <v>10031</v>
      </c>
      <c r="L365" t="s">
        <v>5355</v>
      </c>
      <c r="M365" t="s">
        <v>5355</v>
      </c>
      <c r="O365" t="s">
        <v>6499</v>
      </c>
      <c r="P365" t="s">
        <v>6525</v>
      </c>
      <c r="Q365" t="s">
        <v>6532</v>
      </c>
      <c r="R365" t="s">
        <v>6539</v>
      </c>
      <c r="S365" t="s">
        <v>5357</v>
      </c>
      <c r="U365" t="s">
        <v>6557</v>
      </c>
      <c r="V365" t="s">
        <v>6566</v>
      </c>
      <c r="W365" t="s">
        <v>395</v>
      </c>
      <c r="X365">
        <v>3243</v>
      </c>
      <c r="Y365" t="s">
        <v>6608</v>
      </c>
      <c r="Z365" t="s">
        <v>6625</v>
      </c>
      <c r="AA365" t="s">
        <v>6636</v>
      </c>
      <c r="AB365" t="s">
        <v>7010</v>
      </c>
      <c r="AD365" t="s">
        <v>9414</v>
      </c>
      <c r="AE365">
        <v>282</v>
      </c>
      <c r="AF365" t="s">
        <v>11005</v>
      </c>
      <c r="AG365" t="s">
        <v>11020</v>
      </c>
      <c r="AH365">
        <v>27</v>
      </c>
      <c r="AI365">
        <v>2</v>
      </c>
      <c r="AJ365">
        <v>2</v>
      </c>
      <c r="AK365">
        <v>0</v>
      </c>
      <c r="AL365" t="s">
        <v>246</v>
      </c>
      <c r="AN365" t="s">
        <v>11050</v>
      </c>
      <c r="AO365">
        <v>0</v>
      </c>
      <c r="AU365">
        <v>2</v>
      </c>
      <c r="AV365" t="s">
        <v>740</v>
      </c>
      <c r="AW365" t="s">
        <v>11497</v>
      </c>
    </row>
    <row r="366" spans="1:50">
      <c r="A366" s="1">
        <f>HYPERLINK("https://cms.ls-nyc.org/matter/dynamic-profile/view/1853355","17-1853355")</f>
        <v>0</v>
      </c>
      <c r="B366" t="s">
        <v>56</v>
      </c>
      <c r="C366" t="s">
        <v>234</v>
      </c>
      <c r="D366" t="s">
        <v>289</v>
      </c>
      <c r="E366" t="s">
        <v>665</v>
      </c>
      <c r="F366" t="s">
        <v>1140</v>
      </c>
      <c r="G366" t="s">
        <v>2254</v>
      </c>
      <c r="H366" t="s">
        <v>3749</v>
      </c>
      <c r="I366" t="s">
        <v>4883</v>
      </c>
      <c r="J366" t="s">
        <v>5321</v>
      </c>
      <c r="K366">
        <v>10453</v>
      </c>
      <c r="L366" t="s">
        <v>5355</v>
      </c>
      <c r="M366" t="s">
        <v>5356</v>
      </c>
      <c r="O366" t="s">
        <v>5393</v>
      </c>
      <c r="P366" t="s">
        <v>6525</v>
      </c>
      <c r="Q366" t="s">
        <v>6531</v>
      </c>
      <c r="R366" t="s">
        <v>6539</v>
      </c>
      <c r="S366" t="s">
        <v>5357</v>
      </c>
      <c r="U366" t="s">
        <v>6557</v>
      </c>
      <c r="W366" t="s">
        <v>397</v>
      </c>
      <c r="X366">
        <v>183.39</v>
      </c>
      <c r="Y366" t="s">
        <v>6606</v>
      </c>
      <c r="Z366" t="s">
        <v>6612</v>
      </c>
      <c r="AA366" t="s">
        <v>6631</v>
      </c>
      <c r="AB366" t="s">
        <v>7011</v>
      </c>
      <c r="AD366" t="s">
        <v>9415</v>
      </c>
      <c r="AE366">
        <v>249</v>
      </c>
      <c r="AF366" t="s">
        <v>11005</v>
      </c>
      <c r="AG366" t="s">
        <v>11020</v>
      </c>
      <c r="AH366">
        <v>30</v>
      </c>
      <c r="AI366">
        <v>1</v>
      </c>
      <c r="AJ366">
        <v>0</v>
      </c>
      <c r="AK366">
        <v>6.09</v>
      </c>
      <c r="AN366" t="s">
        <v>11050</v>
      </c>
      <c r="AO366">
        <v>735</v>
      </c>
      <c r="AU366">
        <v>1</v>
      </c>
      <c r="AV366" t="s">
        <v>289</v>
      </c>
      <c r="AW366" t="s">
        <v>11509</v>
      </c>
    </row>
    <row r="367" spans="1:50">
      <c r="A367" s="1">
        <f>HYPERLINK("https://cms.ls-nyc.org/matter/dynamic-profile/view/1839805","17-1839805")</f>
        <v>0</v>
      </c>
      <c r="B367" t="s">
        <v>138</v>
      </c>
      <c r="C367" t="s">
        <v>235</v>
      </c>
      <c r="D367" t="s">
        <v>405</v>
      </c>
      <c r="F367" t="s">
        <v>1141</v>
      </c>
      <c r="G367" t="s">
        <v>2105</v>
      </c>
      <c r="H367" t="s">
        <v>3750</v>
      </c>
      <c r="I367" t="s">
        <v>4739</v>
      </c>
      <c r="J367" t="s">
        <v>5320</v>
      </c>
      <c r="K367">
        <v>11207</v>
      </c>
      <c r="L367" t="s">
        <v>5355</v>
      </c>
      <c r="M367" t="s">
        <v>5355</v>
      </c>
      <c r="O367" t="s">
        <v>5393</v>
      </c>
      <c r="P367" t="s">
        <v>6525</v>
      </c>
      <c r="R367" t="s">
        <v>6539</v>
      </c>
      <c r="S367" t="s">
        <v>5355</v>
      </c>
      <c r="U367" t="s">
        <v>6557</v>
      </c>
      <c r="W367" t="s">
        <v>405</v>
      </c>
      <c r="X367">
        <v>1435</v>
      </c>
      <c r="Y367" t="s">
        <v>6605</v>
      </c>
      <c r="AB367" t="s">
        <v>7012</v>
      </c>
      <c r="AC367">
        <v>9507238</v>
      </c>
      <c r="AD367" t="s">
        <v>9416</v>
      </c>
      <c r="AE367">
        <v>6</v>
      </c>
      <c r="AF367" t="s">
        <v>11005</v>
      </c>
      <c r="AH367">
        <v>7</v>
      </c>
      <c r="AI367">
        <v>1</v>
      </c>
      <c r="AJ367">
        <v>4</v>
      </c>
      <c r="AK367">
        <v>10.51</v>
      </c>
      <c r="AN367" t="s">
        <v>11050</v>
      </c>
      <c r="AO367">
        <v>3024</v>
      </c>
      <c r="AP367" t="s">
        <v>11092</v>
      </c>
      <c r="AU367">
        <v>30.65</v>
      </c>
      <c r="AV367" t="s">
        <v>11437</v>
      </c>
      <c r="AW367" t="s">
        <v>11489</v>
      </c>
    </row>
    <row r="368" spans="1:50">
      <c r="A368" s="1">
        <f>HYPERLINK("https://cms.ls-nyc.org/matter/dynamic-profile/view/1860850","18-1860850")</f>
        <v>0</v>
      </c>
      <c r="B368" t="s">
        <v>97</v>
      </c>
      <c r="C368" t="s">
        <v>234</v>
      </c>
      <c r="D368" t="s">
        <v>306</v>
      </c>
      <c r="E368" t="s">
        <v>703</v>
      </c>
      <c r="F368" t="s">
        <v>1069</v>
      </c>
      <c r="G368" t="s">
        <v>2390</v>
      </c>
      <c r="H368" t="s">
        <v>3621</v>
      </c>
      <c r="I368" t="s">
        <v>4884</v>
      </c>
      <c r="J368" t="s">
        <v>5323</v>
      </c>
      <c r="K368">
        <v>10034</v>
      </c>
      <c r="L368" t="s">
        <v>5355</v>
      </c>
      <c r="M368" t="s">
        <v>5355</v>
      </c>
      <c r="O368" t="s">
        <v>6498</v>
      </c>
      <c r="P368" t="s">
        <v>6525</v>
      </c>
      <c r="Q368" t="s">
        <v>6532</v>
      </c>
      <c r="R368" t="s">
        <v>6539</v>
      </c>
      <c r="S368" t="s">
        <v>5357</v>
      </c>
      <c r="U368" t="s">
        <v>6557</v>
      </c>
      <c r="W368" t="s">
        <v>414</v>
      </c>
      <c r="X368">
        <v>913.12</v>
      </c>
      <c r="Y368" t="s">
        <v>6608</v>
      </c>
      <c r="Z368" t="s">
        <v>6612</v>
      </c>
      <c r="AA368" t="s">
        <v>6636</v>
      </c>
      <c r="AB368" t="s">
        <v>7013</v>
      </c>
      <c r="AC368" t="s">
        <v>8747</v>
      </c>
      <c r="AD368" t="s">
        <v>9417</v>
      </c>
      <c r="AE368">
        <v>65</v>
      </c>
      <c r="AG368" t="s">
        <v>11024</v>
      </c>
      <c r="AH368">
        <v>43</v>
      </c>
      <c r="AI368">
        <v>1</v>
      </c>
      <c r="AJ368">
        <v>0</v>
      </c>
      <c r="AK368">
        <v>12.85</v>
      </c>
      <c r="AN368" t="s">
        <v>11050</v>
      </c>
      <c r="AO368">
        <v>1560</v>
      </c>
      <c r="AU368">
        <v>16.6</v>
      </c>
      <c r="AV368" t="s">
        <v>786</v>
      </c>
      <c r="AW368" t="s">
        <v>11518</v>
      </c>
    </row>
    <row r="369" spans="1:50">
      <c r="A369" s="1">
        <f>HYPERLINK("https://cms.ls-nyc.org/matter/dynamic-profile/view/1855947","18-1855947")</f>
        <v>0</v>
      </c>
      <c r="B369" t="s">
        <v>77</v>
      </c>
      <c r="C369" t="s">
        <v>234</v>
      </c>
      <c r="D369" t="s">
        <v>380</v>
      </c>
      <c r="E369" t="s">
        <v>704</v>
      </c>
      <c r="F369" t="s">
        <v>1142</v>
      </c>
      <c r="G369" t="s">
        <v>2391</v>
      </c>
      <c r="H369" t="s">
        <v>3480</v>
      </c>
      <c r="I369" t="s">
        <v>4885</v>
      </c>
      <c r="J369" t="s">
        <v>5320</v>
      </c>
      <c r="K369">
        <v>11213</v>
      </c>
      <c r="L369" t="s">
        <v>5355</v>
      </c>
      <c r="M369" t="s">
        <v>5356</v>
      </c>
      <c r="O369" t="s">
        <v>5393</v>
      </c>
      <c r="P369" t="s">
        <v>6525</v>
      </c>
      <c r="Q369" t="s">
        <v>6532</v>
      </c>
      <c r="R369" t="s">
        <v>6539</v>
      </c>
      <c r="S369" t="s">
        <v>5355</v>
      </c>
      <c r="U369" t="s">
        <v>6557</v>
      </c>
      <c r="W369" t="s">
        <v>302</v>
      </c>
      <c r="X369">
        <v>1573.56</v>
      </c>
      <c r="Y369" t="s">
        <v>6605</v>
      </c>
      <c r="Z369" t="s">
        <v>6622</v>
      </c>
      <c r="AA369" t="s">
        <v>6634</v>
      </c>
      <c r="AB369" t="s">
        <v>7014</v>
      </c>
      <c r="AC369" t="s">
        <v>8748</v>
      </c>
      <c r="AD369" t="s">
        <v>9418</v>
      </c>
      <c r="AE369">
        <v>107</v>
      </c>
      <c r="AF369" t="s">
        <v>11005</v>
      </c>
      <c r="AG369" t="s">
        <v>5406</v>
      </c>
      <c r="AH369">
        <v>5</v>
      </c>
      <c r="AI369">
        <v>2</v>
      </c>
      <c r="AJ369">
        <v>0</v>
      </c>
      <c r="AK369">
        <v>14.04</v>
      </c>
      <c r="AL369" t="s">
        <v>266</v>
      </c>
      <c r="AN369" t="s">
        <v>11050</v>
      </c>
      <c r="AO369">
        <v>2280</v>
      </c>
      <c r="AU369">
        <v>0.26</v>
      </c>
      <c r="AV369" t="s">
        <v>704</v>
      </c>
      <c r="AW369" t="s">
        <v>77</v>
      </c>
    </row>
    <row r="370" spans="1:50">
      <c r="A370" s="1">
        <f>HYPERLINK("https://cms.ls-nyc.org/matter/dynamic-profile/view/1844814","17-1844814")</f>
        <v>0</v>
      </c>
      <c r="B370" t="s">
        <v>77</v>
      </c>
      <c r="C370" t="s">
        <v>234</v>
      </c>
      <c r="D370" t="s">
        <v>406</v>
      </c>
      <c r="E370" t="s">
        <v>704</v>
      </c>
      <c r="F370" t="s">
        <v>1142</v>
      </c>
      <c r="G370" t="s">
        <v>2391</v>
      </c>
      <c r="H370" t="s">
        <v>3480</v>
      </c>
      <c r="I370" t="s">
        <v>4885</v>
      </c>
      <c r="J370" t="s">
        <v>5320</v>
      </c>
      <c r="K370">
        <v>11213</v>
      </c>
      <c r="L370" t="s">
        <v>5355</v>
      </c>
      <c r="M370" t="s">
        <v>5356</v>
      </c>
      <c r="N370" t="s">
        <v>5406</v>
      </c>
      <c r="O370" t="s">
        <v>6500</v>
      </c>
      <c r="P370" t="s">
        <v>6525</v>
      </c>
      <c r="Q370" t="s">
        <v>6532</v>
      </c>
      <c r="R370" t="s">
        <v>6539</v>
      </c>
      <c r="S370" t="s">
        <v>5355</v>
      </c>
      <c r="U370" t="s">
        <v>6557</v>
      </c>
      <c r="W370" t="s">
        <v>574</v>
      </c>
      <c r="X370">
        <v>1573.56</v>
      </c>
      <c r="Y370" t="s">
        <v>6605</v>
      </c>
      <c r="Z370" t="s">
        <v>6622</v>
      </c>
      <c r="AA370" t="s">
        <v>6634</v>
      </c>
      <c r="AB370" t="s">
        <v>7014</v>
      </c>
      <c r="AC370" t="s">
        <v>8748</v>
      </c>
      <c r="AD370" t="s">
        <v>9418</v>
      </c>
      <c r="AE370">
        <v>107</v>
      </c>
      <c r="AF370" t="s">
        <v>11005</v>
      </c>
      <c r="AG370" t="s">
        <v>6493</v>
      </c>
      <c r="AH370">
        <v>5</v>
      </c>
      <c r="AI370">
        <v>2</v>
      </c>
      <c r="AJ370">
        <v>0</v>
      </c>
      <c r="AK370">
        <v>14.04</v>
      </c>
      <c r="AL370" t="s">
        <v>266</v>
      </c>
      <c r="AN370" t="s">
        <v>11050</v>
      </c>
      <c r="AO370">
        <v>2280</v>
      </c>
      <c r="AU370">
        <v>2.26</v>
      </c>
      <c r="AV370" t="s">
        <v>704</v>
      </c>
      <c r="AW370" t="s">
        <v>11512</v>
      </c>
    </row>
    <row r="371" spans="1:50">
      <c r="A371" s="1">
        <f>HYPERLINK("https://cms.ls-nyc.org/matter/dynamic-profile/view/1845074","17-1845074")</f>
        <v>0</v>
      </c>
      <c r="B371" t="s">
        <v>77</v>
      </c>
      <c r="C371" t="s">
        <v>234</v>
      </c>
      <c r="D371" t="s">
        <v>407</v>
      </c>
      <c r="E371" t="s">
        <v>704</v>
      </c>
      <c r="F371" t="s">
        <v>1143</v>
      </c>
      <c r="G371" t="s">
        <v>2392</v>
      </c>
      <c r="H371" t="s">
        <v>3480</v>
      </c>
      <c r="I371" t="s">
        <v>4886</v>
      </c>
      <c r="J371" t="s">
        <v>5320</v>
      </c>
      <c r="K371">
        <v>11213</v>
      </c>
      <c r="L371" t="s">
        <v>5355</v>
      </c>
      <c r="M371" t="s">
        <v>5356</v>
      </c>
      <c r="O371" t="s">
        <v>6500</v>
      </c>
      <c r="P371" t="s">
        <v>6525</v>
      </c>
      <c r="Q371" t="s">
        <v>6532</v>
      </c>
      <c r="R371" t="s">
        <v>6539</v>
      </c>
      <c r="S371" t="s">
        <v>5355</v>
      </c>
      <c r="U371" t="s">
        <v>6557</v>
      </c>
      <c r="W371" t="s">
        <v>461</v>
      </c>
      <c r="X371">
        <v>0</v>
      </c>
      <c r="Y371" t="s">
        <v>6605</v>
      </c>
      <c r="Z371" t="s">
        <v>6622</v>
      </c>
      <c r="AA371" t="s">
        <v>6634</v>
      </c>
      <c r="AB371" t="s">
        <v>7015</v>
      </c>
      <c r="AC371" t="s">
        <v>8749</v>
      </c>
      <c r="AD371" t="s">
        <v>9419</v>
      </c>
      <c r="AE371">
        <v>107</v>
      </c>
      <c r="AF371" t="s">
        <v>11005</v>
      </c>
      <c r="AG371" t="s">
        <v>5406</v>
      </c>
      <c r="AH371">
        <v>1</v>
      </c>
      <c r="AI371">
        <v>1</v>
      </c>
      <c r="AJ371">
        <v>0</v>
      </c>
      <c r="AK371">
        <v>14.53</v>
      </c>
      <c r="AL371" t="s">
        <v>266</v>
      </c>
      <c r="AN371" t="s">
        <v>11050</v>
      </c>
      <c r="AO371">
        <v>1752</v>
      </c>
      <c r="AU371">
        <v>0.35</v>
      </c>
      <c r="AV371" t="s">
        <v>704</v>
      </c>
      <c r="AW371" t="s">
        <v>11512</v>
      </c>
    </row>
    <row r="372" spans="1:50">
      <c r="A372" s="1">
        <f>HYPERLINK("https://cms.ls-nyc.org/matter/dynamic-profile/view/1862540","18-1862540")</f>
        <v>0</v>
      </c>
      <c r="B372" t="s">
        <v>85</v>
      </c>
      <c r="C372" t="s">
        <v>235</v>
      </c>
      <c r="D372" t="s">
        <v>408</v>
      </c>
      <c r="F372" t="s">
        <v>1144</v>
      </c>
      <c r="G372" t="s">
        <v>2270</v>
      </c>
      <c r="H372" t="s">
        <v>3751</v>
      </c>
      <c r="I372">
        <v>2</v>
      </c>
      <c r="J372" t="s">
        <v>5326</v>
      </c>
      <c r="K372">
        <v>11691</v>
      </c>
      <c r="L372" t="s">
        <v>5355</v>
      </c>
      <c r="M372" t="s">
        <v>5356</v>
      </c>
      <c r="N372" t="s">
        <v>5392</v>
      </c>
      <c r="O372" t="s">
        <v>6496</v>
      </c>
      <c r="P372" t="s">
        <v>6525</v>
      </c>
      <c r="R372" t="s">
        <v>6539</v>
      </c>
      <c r="S372" t="s">
        <v>5357</v>
      </c>
      <c r="U372" t="s">
        <v>6557</v>
      </c>
      <c r="W372" t="s">
        <v>408</v>
      </c>
      <c r="X372">
        <v>1560</v>
      </c>
      <c r="Y372" t="s">
        <v>6604</v>
      </c>
      <c r="Z372" t="s">
        <v>6614</v>
      </c>
      <c r="AB372" t="s">
        <v>7016</v>
      </c>
      <c r="AC372" t="s">
        <v>8750</v>
      </c>
      <c r="AD372" t="s">
        <v>9420</v>
      </c>
      <c r="AE372">
        <v>2</v>
      </c>
      <c r="AF372" t="s">
        <v>8722</v>
      </c>
      <c r="AG372" t="s">
        <v>11025</v>
      </c>
      <c r="AH372">
        <v>4</v>
      </c>
      <c r="AI372">
        <v>2</v>
      </c>
      <c r="AJ372">
        <v>0</v>
      </c>
      <c r="AK372">
        <v>17.24</v>
      </c>
      <c r="AN372" t="s">
        <v>11050</v>
      </c>
      <c r="AO372">
        <v>2838</v>
      </c>
      <c r="AU372">
        <v>1.23</v>
      </c>
      <c r="AV372" t="s">
        <v>299</v>
      </c>
      <c r="AW372" t="s">
        <v>11506</v>
      </c>
    </row>
    <row r="373" spans="1:50">
      <c r="A373" s="1">
        <f>HYPERLINK("https://cms.ls-nyc.org/matter/dynamic-profile/view/1860670","18-1860670")</f>
        <v>0</v>
      </c>
      <c r="B373" t="s">
        <v>84</v>
      </c>
      <c r="C373" t="s">
        <v>234</v>
      </c>
      <c r="D373" t="s">
        <v>409</v>
      </c>
      <c r="E373" t="s">
        <v>749</v>
      </c>
      <c r="F373" t="s">
        <v>1145</v>
      </c>
      <c r="G373" t="s">
        <v>2393</v>
      </c>
      <c r="H373" t="s">
        <v>3752</v>
      </c>
      <c r="I373" t="s">
        <v>4749</v>
      </c>
      <c r="J373" t="s">
        <v>5320</v>
      </c>
      <c r="K373">
        <v>11212</v>
      </c>
      <c r="L373" t="s">
        <v>5355</v>
      </c>
      <c r="M373" t="s">
        <v>5356</v>
      </c>
      <c r="N373" t="s">
        <v>5502</v>
      </c>
      <c r="O373" t="s">
        <v>6492</v>
      </c>
      <c r="P373" t="s">
        <v>6525</v>
      </c>
      <c r="Q373" t="s">
        <v>6535</v>
      </c>
      <c r="R373" t="s">
        <v>6539</v>
      </c>
      <c r="S373" t="s">
        <v>5357</v>
      </c>
      <c r="U373" t="s">
        <v>6557</v>
      </c>
      <c r="W373" t="s">
        <v>409</v>
      </c>
      <c r="X373">
        <v>840</v>
      </c>
      <c r="Y373" t="s">
        <v>6605</v>
      </c>
      <c r="Z373" t="s">
        <v>6612</v>
      </c>
      <c r="AA373" t="s">
        <v>6637</v>
      </c>
      <c r="AB373" t="s">
        <v>7017</v>
      </c>
      <c r="AC373" t="s">
        <v>8751</v>
      </c>
      <c r="AD373" t="s">
        <v>9421</v>
      </c>
      <c r="AE373">
        <v>28</v>
      </c>
      <c r="AF373" t="s">
        <v>11005</v>
      </c>
      <c r="AG373" t="s">
        <v>5406</v>
      </c>
      <c r="AH373">
        <v>23</v>
      </c>
      <c r="AI373">
        <v>1</v>
      </c>
      <c r="AJ373">
        <v>0</v>
      </c>
      <c r="AK373">
        <v>17.99</v>
      </c>
      <c r="AN373" t="s">
        <v>11050</v>
      </c>
      <c r="AO373">
        <v>2184</v>
      </c>
      <c r="AU373">
        <v>31</v>
      </c>
      <c r="AV373" t="s">
        <v>282</v>
      </c>
      <c r="AW373" t="s">
        <v>11519</v>
      </c>
    </row>
    <row r="374" spans="1:50">
      <c r="A374" s="1">
        <f>HYPERLINK("https://cms.ls-nyc.org/matter/dynamic-profile/view/1866939","18-1866939")</f>
        <v>0</v>
      </c>
      <c r="B374" t="s">
        <v>140</v>
      </c>
      <c r="C374" t="s">
        <v>234</v>
      </c>
      <c r="D374" t="s">
        <v>355</v>
      </c>
      <c r="E374" t="s">
        <v>676</v>
      </c>
      <c r="F374" t="s">
        <v>1146</v>
      </c>
      <c r="G374" t="s">
        <v>2394</v>
      </c>
      <c r="H374" t="s">
        <v>3753</v>
      </c>
      <c r="J374" t="s">
        <v>5322</v>
      </c>
      <c r="K374">
        <v>10301</v>
      </c>
      <c r="L374" t="s">
        <v>5355</v>
      </c>
      <c r="M374" t="s">
        <v>5356</v>
      </c>
      <c r="N374" t="s">
        <v>5366</v>
      </c>
      <c r="O374" t="s">
        <v>5393</v>
      </c>
      <c r="P374" t="s">
        <v>6525</v>
      </c>
      <c r="Q374" t="s">
        <v>6532</v>
      </c>
      <c r="R374" t="s">
        <v>6540</v>
      </c>
      <c r="S374" t="s">
        <v>5357</v>
      </c>
      <c r="U374" t="s">
        <v>6557</v>
      </c>
      <c r="W374" t="s">
        <v>355</v>
      </c>
      <c r="X374">
        <v>1500</v>
      </c>
      <c r="Y374" t="s">
        <v>6607</v>
      </c>
      <c r="Z374" t="s">
        <v>6610</v>
      </c>
      <c r="AA374" t="s">
        <v>6631</v>
      </c>
      <c r="AB374" t="s">
        <v>7018</v>
      </c>
      <c r="AE374">
        <v>4</v>
      </c>
      <c r="AF374" t="s">
        <v>8722</v>
      </c>
      <c r="AG374" t="s">
        <v>5406</v>
      </c>
      <c r="AH374">
        <v>2</v>
      </c>
      <c r="AI374">
        <v>1</v>
      </c>
      <c r="AJ374">
        <v>0</v>
      </c>
      <c r="AK374">
        <v>21.25</v>
      </c>
      <c r="AN374" t="s">
        <v>11056</v>
      </c>
      <c r="AO374">
        <v>2580</v>
      </c>
      <c r="AU374">
        <v>2</v>
      </c>
      <c r="AV374" t="s">
        <v>676</v>
      </c>
      <c r="AW374" t="s">
        <v>140</v>
      </c>
    </row>
    <row r="375" spans="1:50">
      <c r="A375" s="1">
        <f>HYPERLINK("https://cms.ls-nyc.org/matter/dynamic-profile/view/1871250","18-1871250")</f>
        <v>0</v>
      </c>
      <c r="B375" t="s">
        <v>135</v>
      </c>
      <c r="C375" t="s">
        <v>234</v>
      </c>
      <c r="D375" t="s">
        <v>401</v>
      </c>
      <c r="E375" t="s">
        <v>742</v>
      </c>
      <c r="F375" t="s">
        <v>1147</v>
      </c>
      <c r="G375" t="s">
        <v>2395</v>
      </c>
      <c r="H375" t="s">
        <v>3739</v>
      </c>
      <c r="I375" t="s">
        <v>4887</v>
      </c>
      <c r="J375" t="s">
        <v>5320</v>
      </c>
      <c r="K375">
        <v>11212</v>
      </c>
      <c r="L375" t="s">
        <v>5355</v>
      </c>
      <c r="M375" t="s">
        <v>5356</v>
      </c>
      <c r="O375" t="s">
        <v>6499</v>
      </c>
      <c r="P375" t="s">
        <v>6525</v>
      </c>
      <c r="Q375" t="s">
        <v>6532</v>
      </c>
      <c r="R375" t="s">
        <v>6539</v>
      </c>
      <c r="S375" t="s">
        <v>5355</v>
      </c>
      <c r="U375" t="s">
        <v>6557</v>
      </c>
      <c r="W375" t="s">
        <v>349</v>
      </c>
      <c r="X375">
        <v>1135</v>
      </c>
      <c r="Y375" t="s">
        <v>6605</v>
      </c>
      <c r="Z375" t="s">
        <v>6493</v>
      </c>
      <c r="AA375" t="s">
        <v>6642</v>
      </c>
      <c r="AB375" t="s">
        <v>7019</v>
      </c>
      <c r="AD375" t="s">
        <v>9422</v>
      </c>
      <c r="AE375">
        <v>32</v>
      </c>
      <c r="AF375" t="s">
        <v>11005</v>
      </c>
      <c r="AG375" t="s">
        <v>5406</v>
      </c>
      <c r="AH375">
        <v>20</v>
      </c>
      <c r="AI375">
        <v>2</v>
      </c>
      <c r="AJ375">
        <v>0</v>
      </c>
      <c r="AK375">
        <v>21.87</v>
      </c>
      <c r="AN375" t="s">
        <v>11050</v>
      </c>
      <c r="AO375">
        <v>3600</v>
      </c>
      <c r="AU375">
        <v>0.08</v>
      </c>
      <c r="AV375" t="s">
        <v>726</v>
      </c>
      <c r="AW375" t="s">
        <v>11517</v>
      </c>
    </row>
    <row r="376" spans="1:50">
      <c r="A376" s="1">
        <f>HYPERLINK("https://cms.ls-nyc.org/matter/dynamic-profile/view/1871632","18-1871632")</f>
        <v>0</v>
      </c>
      <c r="B376" t="s">
        <v>135</v>
      </c>
      <c r="C376" t="s">
        <v>235</v>
      </c>
      <c r="D376" t="s">
        <v>394</v>
      </c>
      <c r="F376" t="s">
        <v>1147</v>
      </c>
      <c r="G376" t="s">
        <v>2395</v>
      </c>
      <c r="H376" t="s">
        <v>3739</v>
      </c>
      <c r="I376" t="s">
        <v>4887</v>
      </c>
      <c r="J376" t="s">
        <v>5320</v>
      </c>
      <c r="K376">
        <v>11212</v>
      </c>
      <c r="L376" t="s">
        <v>5355</v>
      </c>
      <c r="M376" t="s">
        <v>5356</v>
      </c>
      <c r="O376" t="s">
        <v>5393</v>
      </c>
      <c r="P376" t="s">
        <v>6525</v>
      </c>
      <c r="R376" t="s">
        <v>6539</v>
      </c>
      <c r="S376" t="s">
        <v>5355</v>
      </c>
      <c r="U376" t="s">
        <v>6557</v>
      </c>
      <c r="W376" t="s">
        <v>6581</v>
      </c>
      <c r="X376">
        <v>1135</v>
      </c>
      <c r="Y376" t="s">
        <v>6605</v>
      </c>
      <c r="Z376" t="s">
        <v>6493</v>
      </c>
      <c r="AB376" t="s">
        <v>7019</v>
      </c>
      <c r="AD376" t="s">
        <v>9422</v>
      </c>
      <c r="AE376">
        <v>32</v>
      </c>
      <c r="AF376" t="s">
        <v>11005</v>
      </c>
      <c r="AG376" t="s">
        <v>5406</v>
      </c>
      <c r="AH376">
        <v>20</v>
      </c>
      <c r="AI376">
        <v>2</v>
      </c>
      <c r="AJ376">
        <v>0</v>
      </c>
      <c r="AK376">
        <v>21.87</v>
      </c>
      <c r="AN376" t="s">
        <v>11050</v>
      </c>
      <c r="AO376">
        <v>3600</v>
      </c>
      <c r="AU376">
        <v>0</v>
      </c>
      <c r="AW376" t="s">
        <v>11517</v>
      </c>
    </row>
    <row r="377" spans="1:50">
      <c r="A377" s="1">
        <f>HYPERLINK("https://cms.ls-nyc.org/matter/dynamic-profile/view/1866044","18-1866044")</f>
        <v>0</v>
      </c>
      <c r="B377" t="s">
        <v>58</v>
      </c>
      <c r="C377" t="s">
        <v>234</v>
      </c>
      <c r="D377" t="s">
        <v>312</v>
      </c>
      <c r="E377" t="s">
        <v>665</v>
      </c>
      <c r="F377" t="s">
        <v>1148</v>
      </c>
      <c r="G377" t="s">
        <v>2189</v>
      </c>
      <c r="H377" t="s">
        <v>3754</v>
      </c>
      <c r="I377" t="s">
        <v>4778</v>
      </c>
      <c r="J377" t="s">
        <v>5321</v>
      </c>
      <c r="K377">
        <v>10463</v>
      </c>
      <c r="L377" t="s">
        <v>5355</v>
      </c>
      <c r="M377" t="s">
        <v>5356</v>
      </c>
      <c r="P377" t="s">
        <v>6525</v>
      </c>
      <c r="Q377" t="s">
        <v>6532</v>
      </c>
      <c r="R377" t="s">
        <v>6539</v>
      </c>
      <c r="S377" t="s">
        <v>5355</v>
      </c>
      <c r="U377" t="s">
        <v>6557</v>
      </c>
      <c r="W377" t="s">
        <v>516</v>
      </c>
      <c r="X377">
        <v>0</v>
      </c>
      <c r="Y377" t="s">
        <v>6606</v>
      </c>
      <c r="Z377" t="s">
        <v>6614</v>
      </c>
      <c r="AA377" t="s">
        <v>6634</v>
      </c>
      <c r="AB377" t="s">
        <v>7020</v>
      </c>
      <c r="AD377" t="s">
        <v>9423</v>
      </c>
      <c r="AE377">
        <v>0</v>
      </c>
      <c r="AF377" t="s">
        <v>11005</v>
      </c>
      <c r="AG377" t="s">
        <v>11026</v>
      </c>
      <c r="AH377">
        <v>1</v>
      </c>
      <c r="AI377">
        <v>1</v>
      </c>
      <c r="AJ377">
        <v>2</v>
      </c>
      <c r="AK377">
        <v>21.9</v>
      </c>
      <c r="AN377" t="s">
        <v>11050</v>
      </c>
      <c r="AO377">
        <v>4550</v>
      </c>
      <c r="AU377">
        <v>0.7</v>
      </c>
      <c r="AV377" t="s">
        <v>652</v>
      </c>
      <c r="AW377" t="s">
        <v>11492</v>
      </c>
    </row>
    <row r="378" spans="1:50">
      <c r="A378" s="1">
        <f>HYPERLINK("https://cms.ls-nyc.org/matter/dynamic-profile/view/1841494","17-1841494")</f>
        <v>0</v>
      </c>
      <c r="B378" t="s">
        <v>132</v>
      </c>
      <c r="C378" t="s">
        <v>235</v>
      </c>
      <c r="D378" t="s">
        <v>410</v>
      </c>
      <c r="F378" t="s">
        <v>1149</v>
      </c>
      <c r="G378" t="s">
        <v>2237</v>
      </c>
      <c r="H378" t="s">
        <v>3705</v>
      </c>
      <c r="I378" t="s">
        <v>4796</v>
      </c>
      <c r="J378" t="s">
        <v>5323</v>
      </c>
      <c r="K378">
        <v>10029</v>
      </c>
      <c r="L378" t="s">
        <v>5355</v>
      </c>
      <c r="M378" t="s">
        <v>5356</v>
      </c>
      <c r="O378" t="s">
        <v>5393</v>
      </c>
      <c r="P378" t="s">
        <v>6525</v>
      </c>
      <c r="R378" t="s">
        <v>6539</v>
      </c>
      <c r="S378" t="s">
        <v>5355</v>
      </c>
      <c r="U378" t="s">
        <v>6557</v>
      </c>
      <c r="W378" t="s">
        <v>404</v>
      </c>
      <c r="X378">
        <v>677.6</v>
      </c>
      <c r="Y378" t="s">
        <v>6608</v>
      </c>
      <c r="Z378" t="s">
        <v>6622</v>
      </c>
      <c r="AB378" t="s">
        <v>7021</v>
      </c>
      <c r="AD378" t="s">
        <v>9424</v>
      </c>
      <c r="AE378">
        <v>13</v>
      </c>
      <c r="AF378" t="s">
        <v>11005</v>
      </c>
      <c r="AG378" t="s">
        <v>5406</v>
      </c>
      <c r="AH378">
        <v>40</v>
      </c>
      <c r="AI378">
        <v>1</v>
      </c>
      <c r="AJ378">
        <v>1</v>
      </c>
      <c r="AK378">
        <v>22.17</v>
      </c>
      <c r="AN378" t="s">
        <v>11050</v>
      </c>
      <c r="AO378">
        <v>3600</v>
      </c>
      <c r="AU378">
        <v>3.45</v>
      </c>
      <c r="AV378" t="s">
        <v>835</v>
      </c>
      <c r="AW378" t="s">
        <v>11497</v>
      </c>
      <c r="AX378" t="s">
        <v>11564</v>
      </c>
    </row>
    <row r="379" spans="1:50">
      <c r="A379" s="1">
        <f>HYPERLINK("https://cms.ls-nyc.org/matter/dynamic-profile/view/1850763","17-1850763")</f>
        <v>0</v>
      </c>
      <c r="B379" t="s">
        <v>76</v>
      </c>
      <c r="C379" t="s">
        <v>234</v>
      </c>
      <c r="D379" t="s">
        <v>292</v>
      </c>
      <c r="E379" t="s">
        <v>733</v>
      </c>
      <c r="F379" t="s">
        <v>1150</v>
      </c>
      <c r="G379" t="s">
        <v>2396</v>
      </c>
      <c r="H379" t="s">
        <v>3755</v>
      </c>
      <c r="I379" t="s">
        <v>4888</v>
      </c>
      <c r="J379" t="s">
        <v>5323</v>
      </c>
      <c r="K379">
        <v>10035</v>
      </c>
      <c r="L379" t="s">
        <v>5355</v>
      </c>
      <c r="M379" t="s">
        <v>5355</v>
      </c>
      <c r="O379" t="s">
        <v>5393</v>
      </c>
      <c r="P379" t="s">
        <v>6525</v>
      </c>
      <c r="Q379" t="s">
        <v>6531</v>
      </c>
      <c r="R379" t="s">
        <v>6539</v>
      </c>
      <c r="S379" t="s">
        <v>5357</v>
      </c>
      <c r="U379" t="s">
        <v>6557</v>
      </c>
      <c r="V379" t="s">
        <v>6566</v>
      </c>
      <c r="W379" t="s">
        <v>560</v>
      </c>
      <c r="X379">
        <v>233</v>
      </c>
      <c r="Y379" t="s">
        <v>6608</v>
      </c>
      <c r="Z379" t="s">
        <v>6617</v>
      </c>
      <c r="AA379" t="s">
        <v>6631</v>
      </c>
      <c r="AB379" t="s">
        <v>7022</v>
      </c>
      <c r="AD379" t="s">
        <v>9425</v>
      </c>
      <c r="AE379">
        <v>20</v>
      </c>
      <c r="AF379" t="s">
        <v>11005</v>
      </c>
      <c r="AG379" t="s">
        <v>5406</v>
      </c>
      <c r="AH379">
        <v>5</v>
      </c>
      <c r="AI379">
        <v>1</v>
      </c>
      <c r="AJ379">
        <v>0</v>
      </c>
      <c r="AK379">
        <v>23.18</v>
      </c>
      <c r="AN379" t="s">
        <v>11050</v>
      </c>
      <c r="AO379">
        <v>2796</v>
      </c>
      <c r="AU379">
        <v>0.8</v>
      </c>
      <c r="AV379" t="s">
        <v>562</v>
      </c>
      <c r="AW379" t="s">
        <v>11500</v>
      </c>
    </row>
    <row r="380" spans="1:50">
      <c r="A380" s="1">
        <f>HYPERLINK("https://cms.ls-nyc.org/matter/dynamic-profile/view/1847637","17-1847637")</f>
        <v>0</v>
      </c>
      <c r="B380" t="s">
        <v>81</v>
      </c>
      <c r="C380" t="s">
        <v>234</v>
      </c>
      <c r="D380" t="s">
        <v>346</v>
      </c>
      <c r="E380" t="s">
        <v>386</v>
      </c>
      <c r="F380" t="s">
        <v>1151</v>
      </c>
      <c r="G380" t="s">
        <v>2397</v>
      </c>
      <c r="H380" t="s">
        <v>3756</v>
      </c>
      <c r="J380" t="s">
        <v>5321</v>
      </c>
      <c r="K380">
        <v>10454</v>
      </c>
      <c r="L380" t="s">
        <v>5355</v>
      </c>
      <c r="M380" t="s">
        <v>5356</v>
      </c>
      <c r="N380" t="s">
        <v>5406</v>
      </c>
      <c r="O380" t="s">
        <v>6500</v>
      </c>
      <c r="P380" t="s">
        <v>6525</v>
      </c>
      <c r="Q380" t="s">
        <v>6532</v>
      </c>
      <c r="R380" t="s">
        <v>6540</v>
      </c>
      <c r="S380" t="s">
        <v>5357</v>
      </c>
      <c r="U380" t="s">
        <v>6564</v>
      </c>
      <c r="W380" t="s">
        <v>346</v>
      </c>
      <c r="X380">
        <v>1</v>
      </c>
      <c r="Y380" t="s">
        <v>6604</v>
      </c>
      <c r="Z380" t="s">
        <v>6610</v>
      </c>
      <c r="AA380" t="s">
        <v>6632</v>
      </c>
      <c r="AB380" t="s">
        <v>6803</v>
      </c>
      <c r="AD380" t="s">
        <v>9426</v>
      </c>
      <c r="AE380">
        <v>100</v>
      </c>
      <c r="AF380" t="s">
        <v>11004</v>
      </c>
      <c r="AG380" t="s">
        <v>5406</v>
      </c>
      <c r="AH380">
        <v>1</v>
      </c>
      <c r="AI380">
        <v>1</v>
      </c>
      <c r="AJ380">
        <v>1</v>
      </c>
      <c r="AK380">
        <v>23.21</v>
      </c>
      <c r="AL380" t="s">
        <v>11028</v>
      </c>
      <c r="AN380" t="s">
        <v>11060</v>
      </c>
      <c r="AO380">
        <v>3770</v>
      </c>
      <c r="AU380">
        <v>24.4</v>
      </c>
      <c r="AV380" t="s">
        <v>303</v>
      </c>
      <c r="AW380" t="s">
        <v>81</v>
      </c>
    </row>
    <row r="381" spans="1:50">
      <c r="A381" s="1">
        <f>HYPERLINK("https://cms.ls-nyc.org/matter/dynamic-profile/view/1868186","18-1868186")</f>
        <v>0</v>
      </c>
      <c r="B381" t="s">
        <v>92</v>
      </c>
      <c r="C381" t="s">
        <v>235</v>
      </c>
      <c r="D381" t="s">
        <v>280</v>
      </c>
      <c r="F381" t="s">
        <v>1152</v>
      </c>
      <c r="G381" t="s">
        <v>2139</v>
      </c>
      <c r="H381" t="s">
        <v>3757</v>
      </c>
      <c r="I381">
        <v>14</v>
      </c>
      <c r="J381" t="s">
        <v>5323</v>
      </c>
      <c r="K381">
        <v>10029</v>
      </c>
      <c r="L381" t="s">
        <v>5355</v>
      </c>
      <c r="M381" t="s">
        <v>5356</v>
      </c>
      <c r="O381" t="s">
        <v>5393</v>
      </c>
      <c r="P381" t="s">
        <v>6525</v>
      </c>
      <c r="R381" t="s">
        <v>6539</v>
      </c>
      <c r="S381" t="s">
        <v>5357</v>
      </c>
      <c r="U381" t="s">
        <v>6557</v>
      </c>
      <c r="W381" t="s">
        <v>307</v>
      </c>
      <c r="X381">
        <v>2150</v>
      </c>
      <c r="Y381" t="s">
        <v>6608</v>
      </c>
      <c r="Z381" t="s">
        <v>6622</v>
      </c>
      <c r="AB381" t="s">
        <v>7023</v>
      </c>
      <c r="AE381">
        <v>25</v>
      </c>
      <c r="AF381" t="s">
        <v>11005</v>
      </c>
      <c r="AG381" t="s">
        <v>11026</v>
      </c>
      <c r="AH381">
        <v>8</v>
      </c>
      <c r="AI381">
        <v>2</v>
      </c>
      <c r="AJ381">
        <v>0</v>
      </c>
      <c r="AK381">
        <v>27.41</v>
      </c>
      <c r="AO381">
        <v>4512</v>
      </c>
      <c r="AU381">
        <v>30</v>
      </c>
      <c r="AV381" t="s">
        <v>698</v>
      </c>
      <c r="AW381" t="s">
        <v>11528</v>
      </c>
    </row>
    <row r="382" spans="1:50">
      <c r="A382" s="1">
        <f>HYPERLINK("https://cms.ls-nyc.org/matter/dynamic-profile/view/1848236","17-1848236")</f>
        <v>0</v>
      </c>
      <c r="B382" t="s">
        <v>141</v>
      </c>
      <c r="C382" t="s">
        <v>234</v>
      </c>
      <c r="D382" t="s">
        <v>411</v>
      </c>
      <c r="E382" t="s">
        <v>699</v>
      </c>
      <c r="F382" t="s">
        <v>1153</v>
      </c>
      <c r="G382" t="s">
        <v>1415</v>
      </c>
      <c r="H382" t="s">
        <v>3758</v>
      </c>
      <c r="I382" t="s">
        <v>4734</v>
      </c>
      <c r="J382" t="s">
        <v>5320</v>
      </c>
      <c r="K382">
        <v>11212</v>
      </c>
      <c r="L382" t="s">
        <v>5357</v>
      </c>
      <c r="M382" t="s">
        <v>5356</v>
      </c>
      <c r="N382" t="s">
        <v>5503</v>
      </c>
      <c r="O382" t="s">
        <v>6491</v>
      </c>
      <c r="P382" t="s">
        <v>6525</v>
      </c>
      <c r="Q382" t="s">
        <v>6533</v>
      </c>
      <c r="R382" t="s">
        <v>6539</v>
      </c>
      <c r="S382" t="s">
        <v>5357</v>
      </c>
      <c r="U382" t="s">
        <v>6557</v>
      </c>
      <c r="W382" t="s">
        <v>372</v>
      </c>
      <c r="X382">
        <v>1600</v>
      </c>
      <c r="Y382" t="s">
        <v>6605</v>
      </c>
      <c r="AA382" t="s">
        <v>6640</v>
      </c>
      <c r="AB382" t="s">
        <v>7024</v>
      </c>
      <c r="AD382" t="s">
        <v>9427</v>
      </c>
      <c r="AE382">
        <v>4</v>
      </c>
      <c r="AF382" t="s">
        <v>8722</v>
      </c>
      <c r="AG382" t="s">
        <v>5406</v>
      </c>
      <c r="AH382">
        <v>2</v>
      </c>
      <c r="AI382">
        <v>1</v>
      </c>
      <c r="AJ382">
        <v>1</v>
      </c>
      <c r="AK382">
        <v>28.08</v>
      </c>
      <c r="AN382" t="s">
        <v>11050</v>
      </c>
      <c r="AO382">
        <v>4560</v>
      </c>
      <c r="AU382">
        <v>7.82</v>
      </c>
      <c r="AV382" t="s">
        <v>247</v>
      </c>
      <c r="AW382" t="s">
        <v>11513</v>
      </c>
    </row>
    <row r="383" spans="1:50">
      <c r="A383" s="1">
        <f>HYPERLINK("https://cms.ls-nyc.org/matter/dynamic-profile/view/1855861","18-1855861")</f>
        <v>0</v>
      </c>
      <c r="B383" t="s">
        <v>77</v>
      </c>
      <c r="C383" t="s">
        <v>234</v>
      </c>
      <c r="D383" t="s">
        <v>380</v>
      </c>
      <c r="E383" t="s">
        <v>715</v>
      </c>
      <c r="F383" t="s">
        <v>1154</v>
      </c>
      <c r="G383" t="s">
        <v>2398</v>
      </c>
      <c r="H383" t="s">
        <v>3480</v>
      </c>
      <c r="I383" t="s">
        <v>4832</v>
      </c>
      <c r="J383" t="s">
        <v>5320</v>
      </c>
      <c r="K383">
        <v>11213</v>
      </c>
      <c r="L383" t="s">
        <v>5355</v>
      </c>
      <c r="M383" t="s">
        <v>5356</v>
      </c>
      <c r="O383" t="s">
        <v>5393</v>
      </c>
      <c r="P383" t="s">
        <v>6525</v>
      </c>
      <c r="Q383" t="s">
        <v>6532</v>
      </c>
      <c r="R383" t="s">
        <v>6539</v>
      </c>
      <c r="S383" t="s">
        <v>5355</v>
      </c>
      <c r="U383" t="s">
        <v>6557</v>
      </c>
      <c r="W383" t="s">
        <v>302</v>
      </c>
      <c r="X383">
        <v>1200</v>
      </c>
      <c r="Y383" t="s">
        <v>6605</v>
      </c>
      <c r="Z383" t="s">
        <v>6622</v>
      </c>
      <c r="AA383" t="s">
        <v>6634</v>
      </c>
      <c r="AB383" t="s">
        <v>7025</v>
      </c>
      <c r="AD383" t="s">
        <v>9428</v>
      </c>
      <c r="AE383">
        <v>107</v>
      </c>
      <c r="AF383" t="s">
        <v>11005</v>
      </c>
      <c r="AG383" t="s">
        <v>11026</v>
      </c>
      <c r="AH383">
        <v>3</v>
      </c>
      <c r="AI383">
        <v>1</v>
      </c>
      <c r="AJ383">
        <v>0</v>
      </c>
      <c r="AK383">
        <v>28.26</v>
      </c>
      <c r="AL383" t="s">
        <v>266</v>
      </c>
      <c r="AN383" t="s">
        <v>11050</v>
      </c>
      <c r="AO383">
        <v>3408</v>
      </c>
      <c r="AU383">
        <v>0.75</v>
      </c>
      <c r="AV383" t="s">
        <v>715</v>
      </c>
      <c r="AW383" t="s">
        <v>77</v>
      </c>
    </row>
    <row r="384" spans="1:50">
      <c r="A384" s="1">
        <f>HYPERLINK("https://cms.ls-nyc.org/matter/dynamic-profile/view/1845103","17-1845103")</f>
        <v>0</v>
      </c>
      <c r="B384" t="s">
        <v>77</v>
      </c>
      <c r="C384" t="s">
        <v>234</v>
      </c>
      <c r="D384" t="s">
        <v>407</v>
      </c>
      <c r="E384" t="s">
        <v>715</v>
      </c>
      <c r="F384" t="s">
        <v>1154</v>
      </c>
      <c r="G384" t="s">
        <v>2398</v>
      </c>
      <c r="H384" t="s">
        <v>3480</v>
      </c>
      <c r="I384" t="s">
        <v>4832</v>
      </c>
      <c r="J384" t="s">
        <v>5320</v>
      </c>
      <c r="K384">
        <v>11213</v>
      </c>
      <c r="L384" t="s">
        <v>5355</v>
      </c>
      <c r="M384" t="s">
        <v>5356</v>
      </c>
      <c r="O384" t="s">
        <v>6500</v>
      </c>
      <c r="P384" t="s">
        <v>6525</v>
      </c>
      <c r="Q384" t="s">
        <v>6532</v>
      </c>
      <c r="R384" t="s">
        <v>6539</v>
      </c>
      <c r="S384" t="s">
        <v>5355</v>
      </c>
      <c r="U384" t="s">
        <v>6557</v>
      </c>
      <c r="W384" t="s">
        <v>574</v>
      </c>
      <c r="X384">
        <v>1200</v>
      </c>
      <c r="Y384" t="s">
        <v>6605</v>
      </c>
      <c r="Z384" t="s">
        <v>6622</v>
      </c>
      <c r="AA384" t="s">
        <v>6631</v>
      </c>
      <c r="AB384" t="s">
        <v>7025</v>
      </c>
      <c r="AC384" t="s">
        <v>8722</v>
      </c>
      <c r="AD384" t="s">
        <v>9428</v>
      </c>
      <c r="AE384">
        <v>107</v>
      </c>
      <c r="AF384" t="s">
        <v>11005</v>
      </c>
      <c r="AG384" t="s">
        <v>11026</v>
      </c>
      <c r="AH384">
        <v>3</v>
      </c>
      <c r="AI384">
        <v>1</v>
      </c>
      <c r="AJ384">
        <v>0</v>
      </c>
      <c r="AK384">
        <v>28.26</v>
      </c>
      <c r="AL384" t="s">
        <v>266</v>
      </c>
      <c r="AN384" t="s">
        <v>11050</v>
      </c>
      <c r="AO384">
        <v>3408</v>
      </c>
      <c r="AU384">
        <v>1.75</v>
      </c>
      <c r="AV384" t="s">
        <v>715</v>
      </c>
      <c r="AW384" t="s">
        <v>11512</v>
      </c>
    </row>
    <row r="385" spans="1:49">
      <c r="A385" s="1">
        <f>HYPERLINK("https://cms.ls-nyc.org/matter/dynamic-profile/view/1839938","17-1839938")</f>
        <v>0</v>
      </c>
      <c r="B385" t="s">
        <v>137</v>
      </c>
      <c r="C385" t="s">
        <v>235</v>
      </c>
      <c r="D385" t="s">
        <v>412</v>
      </c>
      <c r="F385" t="s">
        <v>1040</v>
      </c>
      <c r="G385" t="s">
        <v>2399</v>
      </c>
      <c r="H385" t="s">
        <v>3759</v>
      </c>
      <c r="I385" t="s">
        <v>4889</v>
      </c>
      <c r="J385" t="s">
        <v>5320</v>
      </c>
      <c r="K385">
        <v>11213</v>
      </c>
      <c r="L385" t="s">
        <v>5355</v>
      </c>
      <c r="M385" t="s">
        <v>5356</v>
      </c>
      <c r="O385" t="s">
        <v>6500</v>
      </c>
      <c r="P385" t="s">
        <v>6525</v>
      </c>
      <c r="R385" t="s">
        <v>6539</v>
      </c>
      <c r="S385" t="s">
        <v>5355</v>
      </c>
      <c r="U385" t="s">
        <v>6557</v>
      </c>
      <c r="W385" t="s">
        <v>404</v>
      </c>
      <c r="X385">
        <v>1100</v>
      </c>
      <c r="Y385" t="s">
        <v>6605</v>
      </c>
      <c r="AB385" t="s">
        <v>7026</v>
      </c>
      <c r="AD385" t="s">
        <v>9429</v>
      </c>
      <c r="AE385">
        <v>74</v>
      </c>
      <c r="AF385" t="s">
        <v>11005</v>
      </c>
      <c r="AH385">
        <v>8</v>
      </c>
      <c r="AI385">
        <v>2</v>
      </c>
      <c r="AJ385">
        <v>1</v>
      </c>
      <c r="AK385">
        <v>30.81</v>
      </c>
      <c r="AL385" t="s">
        <v>511</v>
      </c>
      <c r="AN385" t="s">
        <v>11050</v>
      </c>
      <c r="AO385">
        <v>6292</v>
      </c>
      <c r="AP385" t="s">
        <v>11093</v>
      </c>
      <c r="AU385">
        <v>0</v>
      </c>
      <c r="AW385" t="s">
        <v>11489</v>
      </c>
    </row>
    <row r="386" spans="1:49">
      <c r="A386" s="1">
        <f>HYPERLINK("https://cms.ls-nyc.org/matter/dynamic-profile/view/1849034","17-1849034")</f>
        <v>0</v>
      </c>
      <c r="B386" t="s">
        <v>142</v>
      </c>
      <c r="C386" t="s">
        <v>234</v>
      </c>
      <c r="D386" t="s">
        <v>314</v>
      </c>
      <c r="E386" t="s">
        <v>750</v>
      </c>
      <c r="F386" t="s">
        <v>1155</v>
      </c>
      <c r="G386" t="s">
        <v>2400</v>
      </c>
      <c r="H386" t="s">
        <v>3760</v>
      </c>
      <c r="J386" t="s">
        <v>5320</v>
      </c>
      <c r="K386">
        <v>11207</v>
      </c>
      <c r="L386" t="s">
        <v>5355</v>
      </c>
      <c r="M386" t="s">
        <v>5356</v>
      </c>
      <c r="O386" t="s">
        <v>6505</v>
      </c>
      <c r="P386" t="s">
        <v>6525</v>
      </c>
      <c r="Q386" t="s">
        <v>6532</v>
      </c>
      <c r="R386" t="s">
        <v>6539</v>
      </c>
      <c r="S386" t="s">
        <v>5357</v>
      </c>
      <c r="U386" t="s">
        <v>6557</v>
      </c>
      <c r="W386" t="s">
        <v>294</v>
      </c>
      <c r="X386">
        <v>0</v>
      </c>
      <c r="Y386" t="s">
        <v>6605</v>
      </c>
      <c r="AA386" t="s">
        <v>6632</v>
      </c>
      <c r="AB386" t="s">
        <v>7027</v>
      </c>
      <c r="AE386">
        <v>2</v>
      </c>
      <c r="AH386">
        <v>0</v>
      </c>
      <c r="AI386">
        <v>1</v>
      </c>
      <c r="AJ386">
        <v>2</v>
      </c>
      <c r="AK386">
        <v>33.73</v>
      </c>
      <c r="AN386" t="s">
        <v>11050</v>
      </c>
      <c r="AO386">
        <v>6888</v>
      </c>
      <c r="AU386">
        <v>4.8</v>
      </c>
      <c r="AV386" t="s">
        <v>750</v>
      </c>
      <c r="AW386" t="s">
        <v>142</v>
      </c>
    </row>
    <row r="387" spans="1:49">
      <c r="A387" s="1">
        <f>HYPERLINK("https://cms.ls-nyc.org/matter/dynamic-profile/view/1855948","18-1855948")</f>
        <v>0</v>
      </c>
      <c r="B387" t="s">
        <v>77</v>
      </c>
      <c r="C387" t="s">
        <v>234</v>
      </c>
      <c r="D387" t="s">
        <v>380</v>
      </c>
      <c r="E387" t="s">
        <v>704</v>
      </c>
      <c r="F387" t="s">
        <v>1143</v>
      </c>
      <c r="G387" t="s">
        <v>2392</v>
      </c>
      <c r="H387" t="s">
        <v>3480</v>
      </c>
      <c r="I387" t="s">
        <v>4886</v>
      </c>
      <c r="J387" t="s">
        <v>5320</v>
      </c>
      <c r="K387">
        <v>11213</v>
      </c>
      <c r="L387" t="s">
        <v>5355</v>
      </c>
      <c r="M387" t="s">
        <v>5356</v>
      </c>
      <c r="O387" t="s">
        <v>5393</v>
      </c>
      <c r="P387" t="s">
        <v>6525</v>
      </c>
      <c r="Q387" t="s">
        <v>6532</v>
      </c>
      <c r="R387" t="s">
        <v>6539</v>
      </c>
      <c r="S387" t="s">
        <v>5355</v>
      </c>
      <c r="U387" t="s">
        <v>6557</v>
      </c>
      <c r="W387" t="s">
        <v>302</v>
      </c>
      <c r="X387">
        <v>0</v>
      </c>
      <c r="Y387" t="s">
        <v>6605</v>
      </c>
      <c r="Z387" t="s">
        <v>6622</v>
      </c>
      <c r="AA387" t="s">
        <v>6634</v>
      </c>
      <c r="AB387" t="s">
        <v>7015</v>
      </c>
      <c r="AC387" t="s">
        <v>8749</v>
      </c>
      <c r="AD387" t="s">
        <v>9419</v>
      </c>
      <c r="AE387">
        <v>107</v>
      </c>
      <c r="AF387" t="s">
        <v>11005</v>
      </c>
      <c r="AG387" t="s">
        <v>5406</v>
      </c>
      <c r="AH387">
        <v>1</v>
      </c>
      <c r="AI387">
        <v>1</v>
      </c>
      <c r="AJ387">
        <v>0</v>
      </c>
      <c r="AK387">
        <v>35.92</v>
      </c>
      <c r="AL387" t="s">
        <v>266</v>
      </c>
      <c r="AN387" t="s">
        <v>11050</v>
      </c>
      <c r="AO387">
        <v>4332</v>
      </c>
      <c r="AU387">
        <v>0.35</v>
      </c>
      <c r="AV387" t="s">
        <v>704</v>
      </c>
      <c r="AW387" t="s">
        <v>77</v>
      </c>
    </row>
    <row r="388" spans="1:49">
      <c r="A388" s="1">
        <f>HYPERLINK("https://cms.ls-nyc.org/matter/dynamic-profile/view/1860628","18-1860628")</f>
        <v>0</v>
      </c>
      <c r="B388" t="s">
        <v>92</v>
      </c>
      <c r="C388" t="s">
        <v>235</v>
      </c>
      <c r="D388" t="s">
        <v>409</v>
      </c>
      <c r="F388" t="s">
        <v>1033</v>
      </c>
      <c r="G388" t="s">
        <v>2401</v>
      </c>
      <c r="H388" t="s">
        <v>3761</v>
      </c>
      <c r="I388" t="s">
        <v>4756</v>
      </c>
      <c r="J388" t="s">
        <v>5323</v>
      </c>
      <c r="K388">
        <v>10031</v>
      </c>
      <c r="L388" t="s">
        <v>5355</v>
      </c>
      <c r="M388" t="s">
        <v>5355</v>
      </c>
      <c r="O388" t="s">
        <v>6494</v>
      </c>
      <c r="P388" t="s">
        <v>6525</v>
      </c>
      <c r="R388" t="s">
        <v>6539</v>
      </c>
      <c r="S388" t="s">
        <v>5355</v>
      </c>
      <c r="U388" t="s">
        <v>6557</v>
      </c>
      <c r="V388" t="s">
        <v>6566</v>
      </c>
      <c r="W388" t="s">
        <v>316</v>
      </c>
      <c r="X388">
        <v>2697</v>
      </c>
      <c r="Y388" t="s">
        <v>6608</v>
      </c>
      <c r="Z388" t="s">
        <v>6622</v>
      </c>
      <c r="AB388" t="s">
        <v>7028</v>
      </c>
      <c r="AD388" t="s">
        <v>9430</v>
      </c>
      <c r="AE388">
        <v>44</v>
      </c>
      <c r="AF388" t="s">
        <v>11008</v>
      </c>
      <c r="AG388" t="s">
        <v>11020</v>
      </c>
      <c r="AH388">
        <v>17</v>
      </c>
      <c r="AI388">
        <v>2</v>
      </c>
      <c r="AJ388">
        <v>1</v>
      </c>
      <c r="AK388">
        <v>37.54</v>
      </c>
      <c r="AN388" t="s">
        <v>11049</v>
      </c>
      <c r="AO388">
        <v>7800</v>
      </c>
      <c r="AU388">
        <v>0</v>
      </c>
      <c r="AW388" t="s">
        <v>11497</v>
      </c>
    </row>
    <row r="389" spans="1:49">
      <c r="A389" s="1">
        <f>HYPERLINK("https://cms.ls-nyc.org/matter/dynamic-profile/view/1871330","18-1871330")</f>
        <v>0</v>
      </c>
      <c r="B389" t="s">
        <v>135</v>
      </c>
      <c r="C389" t="s">
        <v>234</v>
      </c>
      <c r="D389" t="s">
        <v>413</v>
      </c>
      <c r="E389" t="s">
        <v>742</v>
      </c>
      <c r="F389" t="s">
        <v>1156</v>
      </c>
      <c r="G389" t="s">
        <v>2402</v>
      </c>
      <c r="H389" t="s">
        <v>3739</v>
      </c>
      <c r="I389" t="s">
        <v>4890</v>
      </c>
      <c r="J389" t="s">
        <v>5320</v>
      </c>
      <c r="K389">
        <v>11212</v>
      </c>
      <c r="L389" t="s">
        <v>5355</v>
      </c>
      <c r="M389" t="s">
        <v>5355</v>
      </c>
      <c r="O389" t="s">
        <v>6499</v>
      </c>
      <c r="P389" t="s">
        <v>6525</v>
      </c>
      <c r="Q389" t="s">
        <v>6532</v>
      </c>
      <c r="R389" t="s">
        <v>6539</v>
      </c>
      <c r="S389" t="s">
        <v>5355</v>
      </c>
      <c r="U389" t="s">
        <v>6557</v>
      </c>
      <c r="W389" t="s">
        <v>349</v>
      </c>
      <c r="X389">
        <v>939.42</v>
      </c>
      <c r="Y389" t="s">
        <v>6605</v>
      </c>
      <c r="Z389" t="s">
        <v>6493</v>
      </c>
      <c r="AA389" t="s">
        <v>6642</v>
      </c>
      <c r="AB389" t="s">
        <v>7029</v>
      </c>
      <c r="AD389" t="s">
        <v>9431</v>
      </c>
      <c r="AE389">
        <v>32</v>
      </c>
      <c r="AF389" t="s">
        <v>11005</v>
      </c>
      <c r="AG389" t="s">
        <v>11024</v>
      </c>
      <c r="AH389">
        <v>19</v>
      </c>
      <c r="AI389">
        <v>1</v>
      </c>
      <c r="AJ389">
        <v>2</v>
      </c>
      <c r="AK389">
        <v>37.65</v>
      </c>
      <c r="AN389" t="s">
        <v>11050</v>
      </c>
      <c r="AO389">
        <v>7824</v>
      </c>
      <c r="AP389" t="s">
        <v>11094</v>
      </c>
      <c r="AU389">
        <v>0.08</v>
      </c>
      <c r="AV389" t="s">
        <v>726</v>
      </c>
      <c r="AW389" t="s">
        <v>11517</v>
      </c>
    </row>
    <row r="390" spans="1:49">
      <c r="A390" s="1">
        <f>HYPERLINK("https://cms.ls-nyc.org/matter/dynamic-profile/view/1871564","18-1871564")</f>
        <v>0</v>
      </c>
      <c r="B390" t="s">
        <v>135</v>
      </c>
      <c r="C390" t="s">
        <v>235</v>
      </c>
      <c r="D390" t="s">
        <v>402</v>
      </c>
      <c r="F390" t="s">
        <v>1156</v>
      </c>
      <c r="G390" t="s">
        <v>2402</v>
      </c>
      <c r="H390" t="s">
        <v>3739</v>
      </c>
      <c r="I390" t="s">
        <v>4890</v>
      </c>
      <c r="J390" t="s">
        <v>5320</v>
      </c>
      <c r="K390">
        <v>11212</v>
      </c>
      <c r="L390" t="s">
        <v>5355</v>
      </c>
      <c r="M390" t="s">
        <v>5356</v>
      </c>
      <c r="O390" t="s">
        <v>5393</v>
      </c>
      <c r="P390" t="s">
        <v>6525</v>
      </c>
      <c r="R390" t="s">
        <v>6539</v>
      </c>
      <c r="S390" t="s">
        <v>5355</v>
      </c>
      <c r="U390" t="s">
        <v>6557</v>
      </c>
      <c r="W390" t="s">
        <v>6581</v>
      </c>
      <c r="X390">
        <v>939.42</v>
      </c>
      <c r="Y390" t="s">
        <v>6605</v>
      </c>
      <c r="Z390" t="s">
        <v>6493</v>
      </c>
      <c r="AB390" t="s">
        <v>7029</v>
      </c>
      <c r="AD390" t="s">
        <v>9431</v>
      </c>
      <c r="AE390">
        <v>32</v>
      </c>
      <c r="AF390" t="s">
        <v>11005</v>
      </c>
      <c r="AG390" t="s">
        <v>11024</v>
      </c>
      <c r="AH390">
        <v>19</v>
      </c>
      <c r="AI390">
        <v>1</v>
      </c>
      <c r="AJ390">
        <v>2</v>
      </c>
      <c r="AK390">
        <v>37.65</v>
      </c>
      <c r="AN390" t="s">
        <v>11050</v>
      </c>
      <c r="AO390">
        <v>15648</v>
      </c>
      <c r="AU390">
        <v>0</v>
      </c>
      <c r="AW390" t="s">
        <v>11517</v>
      </c>
    </row>
    <row r="391" spans="1:49">
      <c r="A391" s="1">
        <f>HYPERLINK("https://cms.ls-nyc.org/matter/dynamic-profile/view/1840299","17-1840299")</f>
        <v>0</v>
      </c>
      <c r="B391" t="s">
        <v>97</v>
      </c>
      <c r="C391" t="s">
        <v>234</v>
      </c>
      <c r="D391" t="s">
        <v>405</v>
      </c>
      <c r="E391" t="s">
        <v>711</v>
      </c>
      <c r="F391" t="s">
        <v>1033</v>
      </c>
      <c r="G391" t="s">
        <v>2403</v>
      </c>
      <c r="H391" t="s">
        <v>3621</v>
      </c>
      <c r="I391" t="s">
        <v>4891</v>
      </c>
      <c r="J391" t="s">
        <v>5323</v>
      </c>
      <c r="K391">
        <v>10034</v>
      </c>
      <c r="L391" t="s">
        <v>5355</v>
      </c>
      <c r="M391" t="s">
        <v>5356</v>
      </c>
      <c r="O391" t="s">
        <v>6502</v>
      </c>
      <c r="P391" t="s">
        <v>6525</v>
      </c>
      <c r="Q391" t="s">
        <v>6532</v>
      </c>
      <c r="R391" t="s">
        <v>6539</v>
      </c>
      <c r="S391" t="s">
        <v>5357</v>
      </c>
      <c r="U391" t="s">
        <v>6557</v>
      </c>
      <c r="W391" t="s">
        <v>404</v>
      </c>
      <c r="X391">
        <v>1600</v>
      </c>
      <c r="Y391" t="s">
        <v>6608</v>
      </c>
      <c r="Z391" t="s">
        <v>6616</v>
      </c>
      <c r="AA391" t="s">
        <v>6631</v>
      </c>
      <c r="AB391" t="s">
        <v>7030</v>
      </c>
      <c r="AD391" t="s">
        <v>9432</v>
      </c>
      <c r="AE391">
        <v>65</v>
      </c>
      <c r="AF391" t="s">
        <v>11004</v>
      </c>
      <c r="AG391" t="s">
        <v>5406</v>
      </c>
      <c r="AH391">
        <v>9</v>
      </c>
      <c r="AI391">
        <v>3</v>
      </c>
      <c r="AJ391">
        <v>4</v>
      </c>
      <c r="AK391">
        <v>37.7</v>
      </c>
      <c r="AN391" t="s">
        <v>11049</v>
      </c>
      <c r="AO391">
        <v>14000</v>
      </c>
      <c r="AU391">
        <v>3.7</v>
      </c>
      <c r="AV391" t="s">
        <v>711</v>
      </c>
      <c r="AW391" t="s">
        <v>11495</v>
      </c>
    </row>
    <row r="392" spans="1:49">
      <c r="A392" s="1">
        <f>HYPERLINK("https://cms.ls-nyc.org/matter/dynamic-profile/view/1866639","18-1866639")</f>
        <v>0</v>
      </c>
      <c r="B392" t="s">
        <v>95</v>
      </c>
      <c r="C392" t="s">
        <v>234</v>
      </c>
      <c r="D392" t="s">
        <v>414</v>
      </c>
      <c r="E392" t="s">
        <v>665</v>
      </c>
      <c r="F392" t="s">
        <v>1157</v>
      </c>
      <c r="G392" t="s">
        <v>2168</v>
      </c>
      <c r="H392" t="s">
        <v>3721</v>
      </c>
      <c r="I392" t="s">
        <v>4892</v>
      </c>
      <c r="J392" t="s">
        <v>5321</v>
      </c>
      <c r="K392">
        <v>10453</v>
      </c>
      <c r="L392" t="s">
        <v>5355</v>
      </c>
      <c r="M392" t="s">
        <v>5356</v>
      </c>
      <c r="O392" t="s">
        <v>5393</v>
      </c>
      <c r="P392" t="s">
        <v>6525</v>
      </c>
      <c r="Q392" t="s">
        <v>6532</v>
      </c>
      <c r="R392" t="s">
        <v>6539</v>
      </c>
      <c r="S392" t="s">
        <v>5357</v>
      </c>
      <c r="U392" t="s">
        <v>6557</v>
      </c>
      <c r="W392" t="s">
        <v>414</v>
      </c>
      <c r="X392">
        <v>1217.69</v>
      </c>
      <c r="Y392" t="s">
        <v>6606</v>
      </c>
      <c r="Z392" t="s">
        <v>6614</v>
      </c>
      <c r="AA392" t="s">
        <v>6642</v>
      </c>
      <c r="AB392" t="s">
        <v>7031</v>
      </c>
      <c r="AD392" t="s">
        <v>9433</v>
      </c>
      <c r="AE392">
        <v>170</v>
      </c>
      <c r="AF392" t="s">
        <v>11005</v>
      </c>
      <c r="AG392" t="s">
        <v>11020</v>
      </c>
      <c r="AH392">
        <v>12</v>
      </c>
      <c r="AI392">
        <v>2</v>
      </c>
      <c r="AJ392">
        <v>0</v>
      </c>
      <c r="AK392">
        <v>38.13</v>
      </c>
      <c r="AN392" t="s">
        <v>11049</v>
      </c>
      <c r="AO392">
        <v>6276</v>
      </c>
      <c r="AU392">
        <v>8.199999999999999</v>
      </c>
      <c r="AV392" t="s">
        <v>513</v>
      </c>
      <c r="AW392" t="s">
        <v>95</v>
      </c>
    </row>
    <row r="393" spans="1:49">
      <c r="A393" s="1">
        <f>HYPERLINK("https://cms.ls-nyc.org/matter/dynamic-profile/view/1852920","17-1852920")</f>
        <v>0</v>
      </c>
      <c r="B393" t="s">
        <v>135</v>
      </c>
      <c r="C393" t="s">
        <v>234</v>
      </c>
      <c r="D393" t="s">
        <v>353</v>
      </c>
      <c r="E393" t="s">
        <v>665</v>
      </c>
      <c r="F393" t="s">
        <v>1158</v>
      </c>
      <c r="G393" t="s">
        <v>2404</v>
      </c>
      <c r="H393" t="s">
        <v>3762</v>
      </c>
      <c r="I393" t="s">
        <v>4825</v>
      </c>
      <c r="J393" t="s">
        <v>5320</v>
      </c>
      <c r="K393">
        <v>11206</v>
      </c>
      <c r="L393" t="s">
        <v>5355</v>
      </c>
      <c r="M393" t="s">
        <v>5355</v>
      </c>
      <c r="O393" t="s">
        <v>6500</v>
      </c>
      <c r="P393" t="s">
        <v>6525</v>
      </c>
      <c r="Q393" t="s">
        <v>6533</v>
      </c>
      <c r="R393" t="s">
        <v>6539</v>
      </c>
      <c r="S393" t="s">
        <v>5355</v>
      </c>
      <c r="U393" t="s">
        <v>6557</v>
      </c>
      <c r="W393" t="s">
        <v>390</v>
      </c>
      <c r="X393">
        <v>1291.45</v>
      </c>
      <c r="Y393" t="s">
        <v>6605</v>
      </c>
      <c r="AA393" t="s">
        <v>6634</v>
      </c>
      <c r="AB393" t="s">
        <v>7032</v>
      </c>
      <c r="AD393" t="s">
        <v>9434</v>
      </c>
      <c r="AE393">
        <v>29</v>
      </c>
      <c r="AF393" t="s">
        <v>11005</v>
      </c>
      <c r="AG393" t="s">
        <v>11020</v>
      </c>
      <c r="AH393">
        <v>23</v>
      </c>
      <c r="AI393">
        <v>3</v>
      </c>
      <c r="AJ393">
        <v>0</v>
      </c>
      <c r="AK393">
        <v>38.87</v>
      </c>
      <c r="AN393" t="s">
        <v>11050</v>
      </c>
      <c r="AO393">
        <v>7938</v>
      </c>
      <c r="AP393" t="s">
        <v>11094</v>
      </c>
      <c r="AU393">
        <v>1.5</v>
      </c>
      <c r="AV393" t="s">
        <v>351</v>
      </c>
      <c r="AW393" t="s">
        <v>11489</v>
      </c>
    </row>
    <row r="394" spans="1:49">
      <c r="A394" s="1">
        <f>HYPERLINK("https://cms.ls-nyc.org/matter/dynamic-profile/view/1847171","17-1847171")</f>
        <v>0</v>
      </c>
      <c r="B394" t="s">
        <v>76</v>
      </c>
      <c r="C394" t="s">
        <v>234</v>
      </c>
      <c r="D394" t="s">
        <v>415</v>
      </c>
      <c r="E394" t="s">
        <v>386</v>
      </c>
      <c r="F394" t="s">
        <v>1159</v>
      </c>
      <c r="G394" t="s">
        <v>2405</v>
      </c>
      <c r="H394" t="s">
        <v>3763</v>
      </c>
      <c r="I394" t="s">
        <v>4752</v>
      </c>
      <c r="J394" t="s">
        <v>5323</v>
      </c>
      <c r="K394">
        <v>10029</v>
      </c>
      <c r="L394" t="s">
        <v>5355</v>
      </c>
      <c r="M394" t="s">
        <v>5355</v>
      </c>
      <c r="O394" t="s">
        <v>5393</v>
      </c>
      <c r="P394" t="s">
        <v>6525</v>
      </c>
      <c r="Q394" t="s">
        <v>6532</v>
      </c>
      <c r="R394" t="s">
        <v>6539</v>
      </c>
      <c r="S394" t="s">
        <v>5357</v>
      </c>
      <c r="U394" t="s">
        <v>6557</v>
      </c>
      <c r="V394" t="s">
        <v>6566</v>
      </c>
      <c r="W394" t="s">
        <v>415</v>
      </c>
      <c r="X394">
        <v>250</v>
      </c>
      <c r="Y394" t="s">
        <v>6608</v>
      </c>
      <c r="Z394" t="s">
        <v>6616</v>
      </c>
      <c r="AA394" t="s">
        <v>6631</v>
      </c>
      <c r="AB394" t="s">
        <v>7033</v>
      </c>
      <c r="AD394" t="s">
        <v>9435</v>
      </c>
      <c r="AE394">
        <v>10</v>
      </c>
      <c r="AF394" t="s">
        <v>11006</v>
      </c>
      <c r="AG394" t="s">
        <v>5406</v>
      </c>
      <c r="AH394">
        <v>45</v>
      </c>
      <c r="AI394">
        <v>2</v>
      </c>
      <c r="AJ394">
        <v>0</v>
      </c>
      <c r="AK394">
        <v>40.24</v>
      </c>
      <c r="AN394" t="s">
        <v>11050</v>
      </c>
      <c r="AO394">
        <v>6535.2</v>
      </c>
      <c r="AU394">
        <v>16.1</v>
      </c>
      <c r="AV394" t="s">
        <v>413</v>
      </c>
      <c r="AW394" t="s">
        <v>11497</v>
      </c>
    </row>
    <row r="395" spans="1:49">
      <c r="A395" s="1">
        <f>HYPERLINK("https://cms.ls-nyc.org/matter/dynamic-profile/view/1839991","17-1839991")</f>
        <v>0</v>
      </c>
      <c r="B395" t="s">
        <v>92</v>
      </c>
      <c r="C395" t="s">
        <v>234</v>
      </c>
      <c r="D395" t="s">
        <v>412</v>
      </c>
      <c r="E395" t="s">
        <v>695</v>
      </c>
      <c r="F395" t="s">
        <v>1104</v>
      </c>
      <c r="G395" t="s">
        <v>2406</v>
      </c>
      <c r="H395" t="s">
        <v>3764</v>
      </c>
      <c r="I395" t="s">
        <v>4740</v>
      </c>
      <c r="J395" t="s">
        <v>5323</v>
      </c>
      <c r="K395">
        <v>10034</v>
      </c>
      <c r="L395" t="s">
        <v>5355</v>
      </c>
      <c r="M395" t="s">
        <v>5356</v>
      </c>
      <c r="O395" t="s">
        <v>5393</v>
      </c>
      <c r="P395" t="s">
        <v>6525</v>
      </c>
      <c r="Q395" t="s">
        <v>6532</v>
      </c>
      <c r="R395" t="s">
        <v>6539</v>
      </c>
      <c r="S395" t="s">
        <v>5357</v>
      </c>
      <c r="U395" t="s">
        <v>6557</v>
      </c>
      <c r="W395" t="s">
        <v>262</v>
      </c>
      <c r="X395">
        <v>294.68</v>
      </c>
      <c r="Y395" t="s">
        <v>6608</v>
      </c>
      <c r="Z395" t="s">
        <v>6616</v>
      </c>
      <c r="AA395" t="s">
        <v>6645</v>
      </c>
      <c r="AB395" t="s">
        <v>7034</v>
      </c>
      <c r="AE395">
        <v>50</v>
      </c>
      <c r="AF395" t="s">
        <v>11005</v>
      </c>
      <c r="AG395" t="s">
        <v>5406</v>
      </c>
      <c r="AH395">
        <v>49</v>
      </c>
      <c r="AI395">
        <v>3</v>
      </c>
      <c r="AJ395">
        <v>0</v>
      </c>
      <c r="AK395">
        <v>41.14</v>
      </c>
      <c r="AN395" t="s">
        <v>11049</v>
      </c>
      <c r="AO395">
        <v>8400</v>
      </c>
      <c r="AP395" t="s">
        <v>11095</v>
      </c>
      <c r="AU395">
        <v>2</v>
      </c>
      <c r="AV395" t="s">
        <v>353</v>
      </c>
      <c r="AW395" t="s">
        <v>11495</v>
      </c>
    </row>
    <row r="396" spans="1:49">
      <c r="A396" s="1">
        <f>HYPERLINK("https://cms.ls-nyc.org/matter/dynamic-profile/view/1868211","18-1868211")</f>
        <v>0</v>
      </c>
      <c r="B396" t="s">
        <v>67</v>
      </c>
      <c r="C396" t="s">
        <v>234</v>
      </c>
      <c r="D396" t="s">
        <v>280</v>
      </c>
      <c r="E396" t="s">
        <v>386</v>
      </c>
      <c r="F396" t="s">
        <v>1160</v>
      </c>
      <c r="G396" t="s">
        <v>2407</v>
      </c>
      <c r="H396" t="s">
        <v>3765</v>
      </c>
      <c r="I396">
        <v>602</v>
      </c>
      <c r="J396" t="s">
        <v>5323</v>
      </c>
      <c r="K396">
        <v>10029</v>
      </c>
      <c r="L396" t="s">
        <v>5355</v>
      </c>
      <c r="M396" t="s">
        <v>5355</v>
      </c>
      <c r="O396" t="s">
        <v>5393</v>
      </c>
      <c r="P396" t="s">
        <v>6525</v>
      </c>
      <c r="Q396" t="s">
        <v>6531</v>
      </c>
      <c r="R396" t="s">
        <v>6539</v>
      </c>
      <c r="S396" t="s">
        <v>5357</v>
      </c>
      <c r="U396" t="s">
        <v>6557</v>
      </c>
      <c r="V396" t="s">
        <v>6566</v>
      </c>
      <c r="W396" t="s">
        <v>280</v>
      </c>
      <c r="X396">
        <v>152</v>
      </c>
      <c r="Y396" t="s">
        <v>6608</v>
      </c>
      <c r="Z396" t="s">
        <v>6493</v>
      </c>
      <c r="AA396" t="s">
        <v>6631</v>
      </c>
      <c r="AB396" t="s">
        <v>7035</v>
      </c>
      <c r="AD396" t="s">
        <v>9436</v>
      </c>
      <c r="AE396">
        <v>135</v>
      </c>
      <c r="AF396" t="s">
        <v>11006</v>
      </c>
      <c r="AG396" t="s">
        <v>5406</v>
      </c>
      <c r="AH396">
        <v>7</v>
      </c>
      <c r="AI396">
        <v>1</v>
      </c>
      <c r="AJ396">
        <v>0</v>
      </c>
      <c r="AK396">
        <v>43</v>
      </c>
      <c r="AN396" t="s">
        <v>11049</v>
      </c>
      <c r="AO396">
        <v>5220</v>
      </c>
      <c r="AU396">
        <v>2.85</v>
      </c>
      <c r="AV396" t="s">
        <v>677</v>
      </c>
      <c r="AW396" t="s">
        <v>11513</v>
      </c>
    </row>
    <row r="397" spans="1:49">
      <c r="A397" s="1">
        <f>HYPERLINK("https://cms.ls-nyc.org/matter/dynamic-profile/view/1887543","19-1887543")</f>
        <v>0</v>
      </c>
      <c r="B397" t="s">
        <v>54</v>
      </c>
      <c r="C397" t="s">
        <v>234</v>
      </c>
      <c r="D397" t="s">
        <v>416</v>
      </c>
      <c r="E397" t="s">
        <v>665</v>
      </c>
      <c r="F397" t="s">
        <v>1161</v>
      </c>
      <c r="G397" t="s">
        <v>2408</v>
      </c>
      <c r="H397" t="s">
        <v>3743</v>
      </c>
      <c r="I397">
        <v>4</v>
      </c>
      <c r="J397" t="s">
        <v>5320</v>
      </c>
      <c r="K397">
        <v>11207</v>
      </c>
      <c r="L397" t="s">
        <v>5355</v>
      </c>
      <c r="M397" t="s">
        <v>5355</v>
      </c>
      <c r="O397" t="s">
        <v>6500</v>
      </c>
      <c r="P397" t="s">
        <v>6525</v>
      </c>
      <c r="Q397" t="s">
        <v>6532</v>
      </c>
      <c r="R397" t="s">
        <v>6539</v>
      </c>
      <c r="S397" t="s">
        <v>5355</v>
      </c>
      <c r="U397" t="s">
        <v>6557</v>
      </c>
      <c r="W397" t="s">
        <v>385</v>
      </c>
      <c r="X397">
        <v>1100</v>
      </c>
      <c r="Y397" t="s">
        <v>6605</v>
      </c>
      <c r="Z397" t="s">
        <v>6622</v>
      </c>
      <c r="AA397" t="s">
        <v>6636</v>
      </c>
      <c r="AB397" t="s">
        <v>7036</v>
      </c>
      <c r="AD397" t="s">
        <v>9437</v>
      </c>
      <c r="AE397">
        <v>7</v>
      </c>
      <c r="AF397" t="s">
        <v>11005</v>
      </c>
      <c r="AH397">
        <v>4</v>
      </c>
      <c r="AI397">
        <v>3</v>
      </c>
      <c r="AJ397">
        <v>1</v>
      </c>
      <c r="AK397">
        <v>43.03</v>
      </c>
      <c r="AN397" t="s">
        <v>11050</v>
      </c>
      <c r="AO397">
        <v>10800</v>
      </c>
      <c r="AR397" t="s">
        <v>6493</v>
      </c>
      <c r="AT397" t="s">
        <v>11259</v>
      </c>
      <c r="AU397">
        <v>1</v>
      </c>
      <c r="AV397" t="s">
        <v>416</v>
      </c>
      <c r="AW397" t="s">
        <v>54</v>
      </c>
    </row>
    <row r="398" spans="1:49">
      <c r="A398" s="1">
        <f>HYPERLINK("https://cms.ls-nyc.org/matter/dynamic-profile/view/1870983","18-1870983")</f>
        <v>0</v>
      </c>
      <c r="B398" t="s">
        <v>143</v>
      </c>
      <c r="C398" t="s">
        <v>235</v>
      </c>
      <c r="D398" t="s">
        <v>338</v>
      </c>
      <c r="F398" t="s">
        <v>1162</v>
      </c>
      <c r="G398" t="s">
        <v>2409</v>
      </c>
      <c r="H398" t="s">
        <v>3766</v>
      </c>
      <c r="I398" t="s">
        <v>4788</v>
      </c>
      <c r="J398" t="s">
        <v>5323</v>
      </c>
      <c r="K398">
        <v>10035</v>
      </c>
      <c r="L398" t="s">
        <v>5355</v>
      </c>
      <c r="M398" t="s">
        <v>5355</v>
      </c>
      <c r="O398" t="s">
        <v>5393</v>
      </c>
      <c r="P398" t="s">
        <v>6525</v>
      </c>
      <c r="R398" t="s">
        <v>6539</v>
      </c>
      <c r="S398" t="s">
        <v>5357</v>
      </c>
      <c r="U398" t="s">
        <v>6557</v>
      </c>
      <c r="W398" t="s">
        <v>338</v>
      </c>
      <c r="X398">
        <v>1590.27</v>
      </c>
      <c r="Y398" t="s">
        <v>6608</v>
      </c>
      <c r="Z398" t="s">
        <v>6616</v>
      </c>
      <c r="AB398" t="s">
        <v>7037</v>
      </c>
      <c r="AD398" t="s">
        <v>9438</v>
      </c>
      <c r="AE398">
        <v>72</v>
      </c>
      <c r="AF398" t="s">
        <v>11008</v>
      </c>
      <c r="AG398" t="s">
        <v>11020</v>
      </c>
      <c r="AH398">
        <v>20</v>
      </c>
      <c r="AI398">
        <v>2</v>
      </c>
      <c r="AJ398">
        <v>0</v>
      </c>
      <c r="AK398">
        <v>43.74</v>
      </c>
      <c r="AN398" t="s">
        <v>11049</v>
      </c>
      <c r="AO398">
        <v>7200</v>
      </c>
      <c r="AU398">
        <v>35.9</v>
      </c>
      <c r="AV398" t="s">
        <v>11438</v>
      </c>
      <c r="AW398" t="s">
        <v>11497</v>
      </c>
    </row>
    <row r="399" spans="1:49">
      <c r="A399" s="1">
        <f>HYPERLINK("https://cms.ls-nyc.org/matter/dynamic-profile/view/1871363","18-1871363")</f>
        <v>0</v>
      </c>
      <c r="B399" t="s">
        <v>135</v>
      </c>
      <c r="C399" t="s">
        <v>234</v>
      </c>
      <c r="D399" t="s">
        <v>413</v>
      </c>
      <c r="E399" t="s">
        <v>742</v>
      </c>
      <c r="F399" t="s">
        <v>1148</v>
      </c>
      <c r="G399" t="s">
        <v>2410</v>
      </c>
      <c r="H399" t="s">
        <v>3739</v>
      </c>
      <c r="I399" t="s">
        <v>4791</v>
      </c>
      <c r="J399" t="s">
        <v>5320</v>
      </c>
      <c r="K399">
        <v>11212</v>
      </c>
      <c r="L399" t="s">
        <v>5355</v>
      </c>
      <c r="M399" t="s">
        <v>5355</v>
      </c>
      <c r="O399" t="s">
        <v>6499</v>
      </c>
      <c r="P399" t="s">
        <v>6525</v>
      </c>
      <c r="Q399" t="s">
        <v>6532</v>
      </c>
      <c r="R399" t="s">
        <v>6539</v>
      </c>
      <c r="S399" t="s">
        <v>5355</v>
      </c>
      <c r="U399" t="s">
        <v>6557</v>
      </c>
      <c r="W399" t="s">
        <v>349</v>
      </c>
      <c r="X399">
        <v>840</v>
      </c>
      <c r="Y399" t="s">
        <v>6605</v>
      </c>
      <c r="Z399" t="s">
        <v>6493</v>
      </c>
      <c r="AA399" t="s">
        <v>6642</v>
      </c>
      <c r="AB399" t="s">
        <v>7038</v>
      </c>
      <c r="AD399" t="s">
        <v>9439</v>
      </c>
      <c r="AE399">
        <v>32</v>
      </c>
      <c r="AF399" t="s">
        <v>11005</v>
      </c>
      <c r="AH399">
        <v>19</v>
      </c>
      <c r="AI399">
        <v>2</v>
      </c>
      <c r="AJ399">
        <v>0</v>
      </c>
      <c r="AK399">
        <v>44.62</v>
      </c>
      <c r="AN399" t="s">
        <v>11050</v>
      </c>
      <c r="AO399">
        <v>7344</v>
      </c>
      <c r="AP399" t="s">
        <v>11096</v>
      </c>
      <c r="AU399">
        <v>0.08</v>
      </c>
      <c r="AV399" t="s">
        <v>726</v>
      </c>
      <c r="AW399" t="s">
        <v>11517</v>
      </c>
    </row>
    <row r="400" spans="1:49">
      <c r="A400" s="1">
        <f>HYPERLINK("https://cms.ls-nyc.org/matter/dynamic-profile/view/1866109","18-1866109")</f>
        <v>0</v>
      </c>
      <c r="B400" t="s">
        <v>92</v>
      </c>
      <c r="C400" t="s">
        <v>235</v>
      </c>
      <c r="D400" t="s">
        <v>298</v>
      </c>
      <c r="F400" t="s">
        <v>1163</v>
      </c>
      <c r="G400" t="s">
        <v>2411</v>
      </c>
      <c r="H400" t="s">
        <v>3761</v>
      </c>
      <c r="I400" t="s">
        <v>4893</v>
      </c>
      <c r="J400" t="s">
        <v>5323</v>
      </c>
      <c r="K400">
        <v>10031</v>
      </c>
      <c r="L400" t="s">
        <v>5355</v>
      </c>
      <c r="M400" t="s">
        <v>5355</v>
      </c>
      <c r="O400" t="s">
        <v>6494</v>
      </c>
      <c r="P400" t="s">
        <v>6525</v>
      </c>
      <c r="R400" t="s">
        <v>6539</v>
      </c>
      <c r="S400" t="s">
        <v>5355</v>
      </c>
      <c r="U400" t="s">
        <v>6557</v>
      </c>
      <c r="V400" t="s">
        <v>6566</v>
      </c>
      <c r="W400" t="s">
        <v>298</v>
      </c>
      <c r="X400">
        <v>1712</v>
      </c>
      <c r="Y400" t="s">
        <v>6608</v>
      </c>
      <c r="Z400" t="s">
        <v>6622</v>
      </c>
      <c r="AB400" t="s">
        <v>7039</v>
      </c>
      <c r="AD400" t="s">
        <v>9440</v>
      </c>
      <c r="AE400">
        <v>44</v>
      </c>
      <c r="AF400" t="s">
        <v>11008</v>
      </c>
      <c r="AG400" t="s">
        <v>11020</v>
      </c>
      <c r="AH400">
        <v>7</v>
      </c>
      <c r="AI400">
        <v>1</v>
      </c>
      <c r="AJ400">
        <v>0</v>
      </c>
      <c r="AK400">
        <v>44.98</v>
      </c>
      <c r="AN400" t="s">
        <v>11049</v>
      </c>
      <c r="AO400">
        <v>5460</v>
      </c>
      <c r="AU400">
        <v>0</v>
      </c>
      <c r="AW400" t="s">
        <v>11497</v>
      </c>
    </row>
    <row r="401" spans="1:50">
      <c r="A401" s="1">
        <f>HYPERLINK("https://cms.ls-nyc.org/matter/dynamic-profile/view/1853610","17-1853610")</f>
        <v>0</v>
      </c>
      <c r="B401" t="s">
        <v>94</v>
      </c>
      <c r="C401" t="s">
        <v>234</v>
      </c>
      <c r="D401" t="s">
        <v>327</v>
      </c>
      <c r="E401" t="s">
        <v>751</v>
      </c>
      <c r="F401" t="s">
        <v>1164</v>
      </c>
      <c r="G401" t="s">
        <v>1578</v>
      </c>
      <c r="H401" t="s">
        <v>3767</v>
      </c>
      <c r="I401">
        <v>3</v>
      </c>
      <c r="J401" t="s">
        <v>5320</v>
      </c>
      <c r="K401">
        <v>11208</v>
      </c>
      <c r="L401" t="s">
        <v>5355</v>
      </c>
      <c r="M401" t="s">
        <v>5356</v>
      </c>
      <c r="N401" t="s">
        <v>5504</v>
      </c>
      <c r="O401" t="s">
        <v>6492</v>
      </c>
      <c r="P401" t="s">
        <v>6525</v>
      </c>
      <c r="Q401" t="s">
        <v>6532</v>
      </c>
      <c r="R401" t="s">
        <v>6539</v>
      </c>
      <c r="S401" t="s">
        <v>5357</v>
      </c>
      <c r="U401" t="s">
        <v>6557</v>
      </c>
      <c r="W401" t="s">
        <v>302</v>
      </c>
      <c r="X401">
        <v>1899</v>
      </c>
      <c r="Y401" t="s">
        <v>6605</v>
      </c>
      <c r="Z401" t="s">
        <v>6614</v>
      </c>
      <c r="AA401" t="s">
        <v>6632</v>
      </c>
      <c r="AB401" t="s">
        <v>7040</v>
      </c>
      <c r="AC401">
        <v>36351540</v>
      </c>
      <c r="AD401" t="s">
        <v>9441</v>
      </c>
      <c r="AE401">
        <v>3</v>
      </c>
      <c r="AF401" t="s">
        <v>11004</v>
      </c>
      <c r="AG401" t="s">
        <v>11020</v>
      </c>
      <c r="AH401">
        <v>7</v>
      </c>
      <c r="AI401">
        <v>2</v>
      </c>
      <c r="AJ401">
        <v>1</v>
      </c>
      <c r="AK401">
        <v>45.82</v>
      </c>
      <c r="AN401" t="s">
        <v>11050</v>
      </c>
      <c r="AO401">
        <v>9356.4</v>
      </c>
      <c r="AU401">
        <v>8.550000000000001</v>
      </c>
      <c r="AV401" t="s">
        <v>525</v>
      </c>
      <c r="AW401" t="s">
        <v>11512</v>
      </c>
    </row>
    <row r="402" spans="1:50">
      <c r="A402" s="1">
        <f>HYPERLINK("https://cms.ls-nyc.org/matter/dynamic-profile/view/1849813","17-1849813")</f>
        <v>0</v>
      </c>
      <c r="B402" t="s">
        <v>131</v>
      </c>
      <c r="C402" t="s">
        <v>234</v>
      </c>
      <c r="D402" t="s">
        <v>314</v>
      </c>
      <c r="E402" t="s">
        <v>679</v>
      </c>
      <c r="F402" t="s">
        <v>972</v>
      </c>
      <c r="G402" t="s">
        <v>2247</v>
      </c>
      <c r="H402" t="s">
        <v>3768</v>
      </c>
      <c r="I402">
        <v>3</v>
      </c>
      <c r="J402" t="s">
        <v>5323</v>
      </c>
      <c r="K402">
        <v>10034</v>
      </c>
      <c r="L402" t="s">
        <v>5355</v>
      </c>
      <c r="M402" t="s">
        <v>5356</v>
      </c>
      <c r="N402" t="s">
        <v>5505</v>
      </c>
      <c r="O402" t="s">
        <v>6492</v>
      </c>
      <c r="P402" t="s">
        <v>6525</v>
      </c>
      <c r="Q402" t="s">
        <v>6532</v>
      </c>
      <c r="R402" t="s">
        <v>6539</v>
      </c>
      <c r="S402" t="s">
        <v>5357</v>
      </c>
      <c r="U402" t="s">
        <v>6557</v>
      </c>
      <c r="W402" t="s">
        <v>314</v>
      </c>
      <c r="X402">
        <v>845.75</v>
      </c>
      <c r="Y402" t="s">
        <v>6608</v>
      </c>
      <c r="Z402" t="s">
        <v>6616</v>
      </c>
      <c r="AA402" t="s">
        <v>6636</v>
      </c>
      <c r="AB402" t="s">
        <v>7041</v>
      </c>
      <c r="AD402" t="s">
        <v>9442</v>
      </c>
      <c r="AE402">
        <v>29</v>
      </c>
      <c r="AF402" t="s">
        <v>11005</v>
      </c>
      <c r="AG402" t="s">
        <v>5406</v>
      </c>
      <c r="AH402">
        <v>37</v>
      </c>
      <c r="AI402">
        <v>2</v>
      </c>
      <c r="AJ402">
        <v>1</v>
      </c>
      <c r="AK402">
        <v>46.43</v>
      </c>
      <c r="AN402" t="s">
        <v>11049</v>
      </c>
      <c r="AO402">
        <v>9480</v>
      </c>
      <c r="AU402">
        <v>4</v>
      </c>
      <c r="AV402" t="s">
        <v>341</v>
      </c>
      <c r="AW402" t="s">
        <v>11495</v>
      </c>
    </row>
    <row r="403" spans="1:50">
      <c r="A403" s="1">
        <f>HYPERLINK("https://cms.ls-nyc.org/matter/dynamic-profile/view/1845260","17-1845260")</f>
        <v>0</v>
      </c>
      <c r="B403" t="s">
        <v>77</v>
      </c>
      <c r="C403" t="s">
        <v>234</v>
      </c>
      <c r="D403" t="s">
        <v>417</v>
      </c>
      <c r="E403" t="s">
        <v>715</v>
      </c>
      <c r="F403" t="s">
        <v>972</v>
      </c>
      <c r="G403" t="s">
        <v>2412</v>
      </c>
      <c r="H403" t="s">
        <v>3480</v>
      </c>
      <c r="I403" t="s">
        <v>4894</v>
      </c>
      <c r="J403" t="s">
        <v>5320</v>
      </c>
      <c r="K403">
        <v>11213</v>
      </c>
      <c r="L403" t="s">
        <v>5355</v>
      </c>
      <c r="M403" t="s">
        <v>5356</v>
      </c>
      <c r="O403" t="s">
        <v>5393</v>
      </c>
      <c r="P403" t="s">
        <v>6525</v>
      </c>
      <c r="Q403" t="s">
        <v>6531</v>
      </c>
      <c r="R403" t="s">
        <v>6539</v>
      </c>
      <c r="S403" t="s">
        <v>5355</v>
      </c>
      <c r="U403" t="s">
        <v>6557</v>
      </c>
      <c r="W403" t="s">
        <v>417</v>
      </c>
      <c r="X403">
        <v>1770.9</v>
      </c>
      <c r="Y403" t="s">
        <v>6605</v>
      </c>
      <c r="Z403" t="s">
        <v>6622</v>
      </c>
      <c r="AA403" t="s">
        <v>6631</v>
      </c>
      <c r="AB403" t="s">
        <v>7042</v>
      </c>
      <c r="AD403" t="s">
        <v>9443</v>
      </c>
      <c r="AE403">
        <v>107</v>
      </c>
      <c r="AF403" t="s">
        <v>11005</v>
      </c>
      <c r="AG403" t="s">
        <v>5406</v>
      </c>
      <c r="AH403">
        <v>10</v>
      </c>
      <c r="AI403">
        <v>3</v>
      </c>
      <c r="AJ403">
        <v>0</v>
      </c>
      <c r="AK403">
        <v>47.01</v>
      </c>
      <c r="AL403" t="s">
        <v>266</v>
      </c>
      <c r="AN403" t="s">
        <v>11049</v>
      </c>
      <c r="AO403">
        <v>9600</v>
      </c>
      <c r="AU403">
        <v>7.8</v>
      </c>
      <c r="AV403" t="s">
        <v>699</v>
      </c>
      <c r="AW403" t="s">
        <v>77</v>
      </c>
    </row>
    <row r="404" spans="1:50">
      <c r="A404" s="1">
        <f>HYPERLINK("https://cms.ls-nyc.org/matter/dynamic-profile/view/1851667","17-1851667")</f>
        <v>0</v>
      </c>
      <c r="B404" t="s">
        <v>131</v>
      </c>
      <c r="C404" t="s">
        <v>234</v>
      </c>
      <c r="D404" t="s">
        <v>381</v>
      </c>
      <c r="E404" t="s">
        <v>680</v>
      </c>
      <c r="F404" t="s">
        <v>1165</v>
      </c>
      <c r="G404" t="s">
        <v>1015</v>
      </c>
      <c r="H404" t="s">
        <v>3769</v>
      </c>
      <c r="I404" t="s">
        <v>4895</v>
      </c>
      <c r="J404" t="s">
        <v>5323</v>
      </c>
      <c r="K404">
        <v>10034</v>
      </c>
      <c r="L404" t="s">
        <v>5355</v>
      </c>
      <c r="M404" t="s">
        <v>5356</v>
      </c>
      <c r="O404" t="s">
        <v>6493</v>
      </c>
      <c r="P404" t="s">
        <v>6525</v>
      </c>
      <c r="Q404" t="s">
        <v>6533</v>
      </c>
      <c r="R404" t="s">
        <v>6539</v>
      </c>
      <c r="S404" t="s">
        <v>5357</v>
      </c>
      <c r="U404" t="s">
        <v>6557</v>
      </c>
      <c r="W404" t="s">
        <v>381</v>
      </c>
      <c r="X404">
        <v>715.64</v>
      </c>
      <c r="Y404" t="s">
        <v>6608</v>
      </c>
      <c r="Z404" t="s">
        <v>6616</v>
      </c>
      <c r="AA404" t="s">
        <v>6645</v>
      </c>
      <c r="AB404" t="s">
        <v>7043</v>
      </c>
      <c r="AD404" t="s">
        <v>9444</v>
      </c>
      <c r="AE404">
        <v>49</v>
      </c>
      <c r="AF404" t="s">
        <v>11005</v>
      </c>
      <c r="AG404" t="s">
        <v>5406</v>
      </c>
      <c r="AH404">
        <v>20</v>
      </c>
      <c r="AI404">
        <v>2</v>
      </c>
      <c r="AJ404">
        <v>0</v>
      </c>
      <c r="AK404">
        <v>49.26</v>
      </c>
      <c r="AN404" t="s">
        <v>11049</v>
      </c>
      <c r="AO404">
        <v>8000</v>
      </c>
      <c r="AU404">
        <v>1.6</v>
      </c>
      <c r="AV404" t="s">
        <v>272</v>
      </c>
      <c r="AW404" t="s">
        <v>11495</v>
      </c>
    </row>
    <row r="405" spans="1:50">
      <c r="A405" s="1">
        <f>HYPERLINK("https://cms.ls-nyc.org/matter/dynamic-profile/view/1866050","18-1866050")</f>
        <v>0</v>
      </c>
      <c r="B405" t="s">
        <v>58</v>
      </c>
      <c r="C405" t="s">
        <v>234</v>
      </c>
      <c r="D405" t="s">
        <v>312</v>
      </c>
      <c r="E405" t="s">
        <v>665</v>
      </c>
      <c r="F405" t="s">
        <v>878</v>
      </c>
      <c r="G405" t="s">
        <v>2413</v>
      </c>
      <c r="H405" t="s">
        <v>3754</v>
      </c>
      <c r="I405" t="s">
        <v>4744</v>
      </c>
      <c r="J405" t="s">
        <v>5321</v>
      </c>
      <c r="K405">
        <v>10463</v>
      </c>
      <c r="L405" t="s">
        <v>5355</v>
      </c>
      <c r="M405" t="s">
        <v>5356</v>
      </c>
      <c r="P405" t="s">
        <v>6525</v>
      </c>
      <c r="Q405" t="s">
        <v>6532</v>
      </c>
      <c r="R405" t="s">
        <v>6539</v>
      </c>
      <c r="S405" t="s">
        <v>5355</v>
      </c>
      <c r="U405" t="s">
        <v>6557</v>
      </c>
      <c r="W405" t="s">
        <v>516</v>
      </c>
      <c r="X405">
        <v>853</v>
      </c>
      <c r="Y405" t="s">
        <v>6606</v>
      </c>
      <c r="Z405" t="s">
        <v>6614</v>
      </c>
      <c r="AA405" t="s">
        <v>6634</v>
      </c>
      <c r="AB405" t="s">
        <v>7044</v>
      </c>
      <c r="AD405" t="s">
        <v>9445</v>
      </c>
      <c r="AE405">
        <v>67</v>
      </c>
      <c r="AF405" t="s">
        <v>11005</v>
      </c>
      <c r="AH405">
        <v>24</v>
      </c>
      <c r="AI405">
        <v>1</v>
      </c>
      <c r="AJ405">
        <v>0</v>
      </c>
      <c r="AK405">
        <v>49.42</v>
      </c>
      <c r="AN405" t="s">
        <v>11050</v>
      </c>
      <c r="AO405">
        <v>6000</v>
      </c>
      <c r="AU405">
        <v>0.1</v>
      </c>
      <c r="AV405" t="s">
        <v>665</v>
      </c>
      <c r="AW405" t="s">
        <v>11492</v>
      </c>
    </row>
    <row r="406" spans="1:50">
      <c r="A406" s="1">
        <f>HYPERLINK("https://cms.ls-nyc.org/matter/dynamic-profile/view/1867112","18-1867112")</f>
        <v>0</v>
      </c>
      <c r="B406" t="s">
        <v>66</v>
      </c>
      <c r="C406" t="s">
        <v>234</v>
      </c>
      <c r="D406" t="s">
        <v>391</v>
      </c>
      <c r="E406" t="s">
        <v>686</v>
      </c>
      <c r="F406" t="s">
        <v>1166</v>
      </c>
      <c r="G406" t="s">
        <v>2414</v>
      </c>
      <c r="H406" t="s">
        <v>3770</v>
      </c>
      <c r="I406">
        <v>52</v>
      </c>
      <c r="J406" t="s">
        <v>5323</v>
      </c>
      <c r="K406">
        <v>10033</v>
      </c>
      <c r="L406" t="s">
        <v>5355</v>
      </c>
      <c r="M406" t="s">
        <v>5356</v>
      </c>
      <c r="O406" t="s">
        <v>6492</v>
      </c>
      <c r="P406" t="s">
        <v>6525</v>
      </c>
      <c r="Q406" t="s">
        <v>6532</v>
      </c>
      <c r="R406" t="s">
        <v>6539</v>
      </c>
      <c r="S406" t="s">
        <v>5357</v>
      </c>
      <c r="U406" t="s">
        <v>6557</v>
      </c>
      <c r="W406" t="s">
        <v>391</v>
      </c>
      <c r="X406">
        <v>663.4299999999999</v>
      </c>
      <c r="Y406" t="s">
        <v>6608</v>
      </c>
      <c r="Z406" t="s">
        <v>6616</v>
      </c>
      <c r="AA406" t="s">
        <v>6631</v>
      </c>
      <c r="AB406" t="s">
        <v>7045</v>
      </c>
      <c r="AD406" t="s">
        <v>9446</v>
      </c>
      <c r="AE406">
        <v>30</v>
      </c>
      <c r="AF406" t="s">
        <v>11005</v>
      </c>
      <c r="AG406" t="s">
        <v>5406</v>
      </c>
      <c r="AH406">
        <v>30</v>
      </c>
      <c r="AI406">
        <v>1</v>
      </c>
      <c r="AJ406">
        <v>2</v>
      </c>
      <c r="AK406">
        <v>49.49</v>
      </c>
      <c r="AN406" t="s">
        <v>11049</v>
      </c>
      <c r="AO406">
        <v>10284</v>
      </c>
      <c r="AU406">
        <v>1.1</v>
      </c>
      <c r="AV406" t="s">
        <v>686</v>
      </c>
      <c r="AW406" t="s">
        <v>11495</v>
      </c>
    </row>
    <row r="407" spans="1:50">
      <c r="A407" s="1">
        <f>HYPERLINK("https://cms.ls-nyc.org/matter/dynamic-profile/view/1850116","17-1850116")</f>
        <v>0</v>
      </c>
      <c r="B407" t="s">
        <v>76</v>
      </c>
      <c r="C407" t="s">
        <v>234</v>
      </c>
      <c r="D407" t="s">
        <v>418</v>
      </c>
      <c r="E407" t="s">
        <v>733</v>
      </c>
      <c r="F407" t="s">
        <v>972</v>
      </c>
      <c r="G407" t="s">
        <v>2415</v>
      </c>
      <c r="H407" t="s">
        <v>3771</v>
      </c>
      <c r="I407" t="s">
        <v>4777</v>
      </c>
      <c r="J407" t="s">
        <v>5323</v>
      </c>
      <c r="K407">
        <v>10029</v>
      </c>
      <c r="L407" t="s">
        <v>5355</v>
      </c>
      <c r="M407" t="s">
        <v>5355</v>
      </c>
      <c r="O407" t="s">
        <v>5393</v>
      </c>
      <c r="P407" t="s">
        <v>6525</v>
      </c>
      <c r="Q407" t="s">
        <v>6531</v>
      </c>
      <c r="R407" t="s">
        <v>6539</v>
      </c>
      <c r="S407" t="s">
        <v>5357</v>
      </c>
      <c r="U407" t="s">
        <v>6557</v>
      </c>
      <c r="V407" t="s">
        <v>6566</v>
      </c>
      <c r="W407" t="s">
        <v>560</v>
      </c>
      <c r="X407">
        <v>567</v>
      </c>
      <c r="Y407" t="s">
        <v>6608</v>
      </c>
      <c r="Z407" t="s">
        <v>6493</v>
      </c>
      <c r="AA407" t="s">
        <v>6631</v>
      </c>
      <c r="AB407" t="s">
        <v>7046</v>
      </c>
      <c r="AE407">
        <v>11</v>
      </c>
      <c r="AF407" t="s">
        <v>11005</v>
      </c>
      <c r="AG407" t="s">
        <v>11024</v>
      </c>
      <c r="AH407">
        <v>18</v>
      </c>
      <c r="AI407">
        <v>1</v>
      </c>
      <c r="AJ407">
        <v>0</v>
      </c>
      <c r="AK407">
        <v>49.75</v>
      </c>
      <c r="AN407" t="s">
        <v>11050</v>
      </c>
      <c r="AO407">
        <v>6000</v>
      </c>
      <c r="AP407" t="s">
        <v>11097</v>
      </c>
      <c r="AU407">
        <v>0.8</v>
      </c>
      <c r="AV407" t="s">
        <v>481</v>
      </c>
      <c r="AW407" t="s">
        <v>11507</v>
      </c>
    </row>
    <row r="408" spans="1:50">
      <c r="A408" s="1">
        <f>HYPERLINK("https://cms.ls-nyc.org/matter/dynamic-profile/view/1840635","17-1840635")</f>
        <v>0</v>
      </c>
      <c r="B408" t="s">
        <v>144</v>
      </c>
      <c r="C408" t="s">
        <v>235</v>
      </c>
      <c r="D408" t="s">
        <v>348</v>
      </c>
      <c r="F408" t="s">
        <v>1167</v>
      </c>
      <c r="G408" t="s">
        <v>2215</v>
      </c>
      <c r="H408" t="s">
        <v>3772</v>
      </c>
      <c r="I408" t="s">
        <v>4749</v>
      </c>
      <c r="J408" t="s">
        <v>5321</v>
      </c>
      <c r="K408">
        <v>10463</v>
      </c>
      <c r="L408" t="s">
        <v>5355</v>
      </c>
      <c r="M408" t="s">
        <v>5356</v>
      </c>
      <c r="N408" t="s">
        <v>5392</v>
      </c>
      <c r="O408" t="s">
        <v>6498</v>
      </c>
      <c r="P408" t="s">
        <v>6525</v>
      </c>
      <c r="R408" t="s">
        <v>6539</v>
      </c>
      <c r="U408" t="s">
        <v>6558</v>
      </c>
      <c r="W408" t="s">
        <v>516</v>
      </c>
      <c r="X408">
        <v>0</v>
      </c>
      <c r="Y408" t="s">
        <v>6606</v>
      </c>
      <c r="AB408" t="s">
        <v>7047</v>
      </c>
      <c r="AD408" t="s">
        <v>9447</v>
      </c>
      <c r="AE408">
        <v>0</v>
      </c>
      <c r="AH408">
        <v>0</v>
      </c>
      <c r="AI408">
        <v>2</v>
      </c>
      <c r="AJ408">
        <v>2</v>
      </c>
      <c r="AK408">
        <v>49.85</v>
      </c>
      <c r="AN408" t="s">
        <v>11049</v>
      </c>
      <c r="AO408">
        <v>12264</v>
      </c>
      <c r="AP408" t="s">
        <v>11098</v>
      </c>
      <c r="AU408">
        <v>7.2</v>
      </c>
      <c r="AV408" t="s">
        <v>727</v>
      </c>
      <c r="AW408" t="s">
        <v>11523</v>
      </c>
      <c r="AX408" t="s">
        <v>11564</v>
      </c>
    </row>
    <row r="409" spans="1:50">
      <c r="A409" s="1">
        <f>HYPERLINK("https://cms.ls-nyc.org/matter/dynamic-profile/view/1855954","18-1855954")</f>
        <v>0</v>
      </c>
      <c r="B409" t="s">
        <v>77</v>
      </c>
      <c r="C409" t="s">
        <v>234</v>
      </c>
      <c r="D409" t="s">
        <v>380</v>
      </c>
      <c r="E409" t="s">
        <v>715</v>
      </c>
      <c r="F409" t="s">
        <v>914</v>
      </c>
      <c r="G409" t="s">
        <v>2412</v>
      </c>
      <c r="H409" t="s">
        <v>3773</v>
      </c>
      <c r="I409" t="s">
        <v>4796</v>
      </c>
      <c r="J409" t="s">
        <v>5320</v>
      </c>
      <c r="K409">
        <v>11213</v>
      </c>
      <c r="L409" t="s">
        <v>5355</v>
      </c>
      <c r="M409" t="s">
        <v>5356</v>
      </c>
      <c r="O409" t="s">
        <v>5393</v>
      </c>
      <c r="P409" t="s">
        <v>6525</v>
      </c>
      <c r="Q409" t="s">
        <v>6531</v>
      </c>
      <c r="R409" t="s">
        <v>6539</v>
      </c>
      <c r="S409" t="s">
        <v>5355</v>
      </c>
      <c r="U409" t="s">
        <v>6557</v>
      </c>
      <c r="W409" t="s">
        <v>302</v>
      </c>
      <c r="X409">
        <v>1092.72</v>
      </c>
      <c r="Y409" t="s">
        <v>6605</v>
      </c>
      <c r="Z409" t="s">
        <v>6622</v>
      </c>
      <c r="AA409" t="s">
        <v>6631</v>
      </c>
      <c r="AB409" t="s">
        <v>7048</v>
      </c>
      <c r="AC409" t="s">
        <v>8752</v>
      </c>
      <c r="AD409" t="s">
        <v>9448</v>
      </c>
      <c r="AE409">
        <v>107</v>
      </c>
      <c r="AF409" t="s">
        <v>11005</v>
      </c>
      <c r="AG409" t="s">
        <v>5406</v>
      </c>
      <c r="AH409">
        <v>21</v>
      </c>
      <c r="AI409">
        <v>4</v>
      </c>
      <c r="AJ409">
        <v>1</v>
      </c>
      <c r="AK409">
        <v>50.59</v>
      </c>
      <c r="AL409" t="s">
        <v>266</v>
      </c>
      <c r="AN409" t="s">
        <v>11049</v>
      </c>
      <c r="AO409">
        <v>14560</v>
      </c>
      <c r="AU409">
        <v>0.65</v>
      </c>
      <c r="AV409" t="s">
        <v>715</v>
      </c>
      <c r="AW409" t="s">
        <v>77</v>
      </c>
    </row>
    <row r="410" spans="1:50">
      <c r="A410" s="1">
        <f>HYPERLINK("https://cms.ls-nyc.org/matter/dynamic-profile/view/1845037","17-1845037")</f>
        <v>0</v>
      </c>
      <c r="B410" t="s">
        <v>77</v>
      </c>
      <c r="C410" t="s">
        <v>234</v>
      </c>
      <c r="D410" t="s">
        <v>419</v>
      </c>
      <c r="E410" t="s">
        <v>715</v>
      </c>
      <c r="F410" t="s">
        <v>914</v>
      </c>
      <c r="G410" t="s">
        <v>2412</v>
      </c>
      <c r="H410" t="s">
        <v>3773</v>
      </c>
      <c r="I410" t="s">
        <v>4796</v>
      </c>
      <c r="J410" t="s">
        <v>5320</v>
      </c>
      <c r="K410">
        <v>11213</v>
      </c>
      <c r="L410" t="s">
        <v>5355</v>
      </c>
      <c r="M410" t="s">
        <v>5356</v>
      </c>
      <c r="O410" t="s">
        <v>6500</v>
      </c>
      <c r="P410" t="s">
        <v>6525</v>
      </c>
      <c r="Q410" t="s">
        <v>6531</v>
      </c>
      <c r="R410" t="s">
        <v>6539</v>
      </c>
      <c r="S410" t="s">
        <v>5355</v>
      </c>
      <c r="U410" t="s">
        <v>6557</v>
      </c>
      <c r="W410" t="s">
        <v>478</v>
      </c>
      <c r="X410">
        <v>1092.72</v>
      </c>
      <c r="Y410" t="s">
        <v>6605</v>
      </c>
      <c r="AA410" t="s">
        <v>6631</v>
      </c>
      <c r="AB410" t="s">
        <v>7048</v>
      </c>
      <c r="AC410" t="s">
        <v>8752</v>
      </c>
      <c r="AD410" t="s">
        <v>9448</v>
      </c>
      <c r="AE410">
        <v>107</v>
      </c>
      <c r="AF410" t="s">
        <v>11005</v>
      </c>
      <c r="AH410">
        <v>21</v>
      </c>
      <c r="AI410">
        <v>4</v>
      </c>
      <c r="AJ410">
        <v>1</v>
      </c>
      <c r="AK410">
        <v>50.59</v>
      </c>
      <c r="AL410" t="s">
        <v>266</v>
      </c>
      <c r="AN410" t="s">
        <v>11049</v>
      </c>
      <c r="AO410">
        <v>14560</v>
      </c>
      <c r="AU410">
        <v>1.1</v>
      </c>
      <c r="AV410" t="s">
        <v>715</v>
      </c>
      <c r="AW410" t="s">
        <v>11489</v>
      </c>
    </row>
    <row r="411" spans="1:50">
      <c r="A411" s="1">
        <f>HYPERLINK("https://cms.ls-nyc.org/matter/dynamic-profile/view/1860642","18-1860642")</f>
        <v>0</v>
      </c>
      <c r="B411" t="s">
        <v>92</v>
      </c>
      <c r="C411" t="s">
        <v>235</v>
      </c>
      <c r="D411" t="s">
        <v>409</v>
      </c>
      <c r="F411" t="s">
        <v>1039</v>
      </c>
      <c r="G411" t="s">
        <v>2416</v>
      </c>
      <c r="H411" t="s">
        <v>3761</v>
      </c>
      <c r="I411" t="s">
        <v>4854</v>
      </c>
      <c r="J411" t="s">
        <v>5323</v>
      </c>
      <c r="K411">
        <v>10031</v>
      </c>
      <c r="L411" t="s">
        <v>5355</v>
      </c>
      <c r="M411" t="s">
        <v>5356</v>
      </c>
      <c r="O411" t="s">
        <v>6494</v>
      </c>
      <c r="P411" t="s">
        <v>6525</v>
      </c>
      <c r="R411" t="s">
        <v>6539</v>
      </c>
      <c r="S411" t="s">
        <v>5355</v>
      </c>
      <c r="U411" t="s">
        <v>6557</v>
      </c>
      <c r="V411" t="s">
        <v>6566</v>
      </c>
      <c r="W411" t="s">
        <v>260</v>
      </c>
      <c r="X411">
        <v>2697</v>
      </c>
      <c r="Y411" t="s">
        <v>6608</v>
      </c>
      <c r="Z411" t="s">
        <v>6622</v>
      </c>
      <c r="AB411" t="s">
        <v>7049</v>
      </c>
      <c r="AD411" t="s">
        <v>9449</v>
      </c>
      <c r="AE411">
        <v>44</v>
      </c>
      <c r="AF411" t="s">
        <v>11008</v>
      </c>
      <c r="AG411" t="s">
        <v>11020</v>
      </c>
      <c r="AH411">
        <v>13</v>
      </c>
      <c r="AI411">
        <v>1</v>
      </c>
      <c r="AJ411">
        <v>1</v>
      </c>
      <c r="AK411">
        <v>52.13</v>
      </c>
      <c r="AN411" t="s">
        <v>11050</v>
      </c>
      <c r="AO411">
        <v>8580</v>
      </c>
      <c r="AU411">
        <v>0.25</v>
      </c>
      <c r="AV411" t="s">
        <v>693</v>
      </c>
      <c r="AW411" t="s">
        <v>11497</v>
      </c>
    </row>
    <row r="412" spans="1:50">
      <c r="A412" s="1">
        <f>HYPERLINK("https://cms.ls-nyc.org/matter/dynamic-profile/view/1870894","18-1870894")</f>
        <v>0</v>
      </c>
      <c r="B412" t="s">
        <v>131</v>
      </c>
      <c r="C412" t="s">
        <v>234</v>
      </c>
      <c r="D412" t="s">
        <v>420</v>
      </c>
      <c r="E412" t="s">
        <v>420</v>
      </c>
      <c r="F412" t="s">
        <v>972</v>
      </c>
      <c r="G412" t="s">
        <v>2417</v>
      </c>
      <c r="H412" t="s">
        <v>3774</v>
      </c>
      <c r="I412" t="s">
        <v>4896</v>
      </c>
      <c r="J412" t="s">
        <v>5323</v>
      </c>
      <c r="K412">
        <v>10040</v>
      </c>
      <c r="L412" t="s">
        <v>5355</v>
      </c>
      <c r="M412" t="s">
        <v>5356</v>
      </c>
      <c r="N412" t="s">
        <v>5506</v>
      </c>
      <c r="O412" t="s">
        <v>6491</v>
      </c>
      <c r="P412" t="s">
        <v>6525</v>
      </c>
      <c r="Q412" t="s">
        <v>6532</v>
      </c>
      <c r="R412" t="s">
        <v>6539</v>
      </c>
      <c r="S412" t="s">
        <v>5357</v>
      </c>
      <c r="U412" t="s">
        <v>6557</v>
      </c>
      <c r="W412" t="s">
        <v>245</v>
      </c>
      <c r="X412">
        <v>833.99</v>
      </c>
      <c r="Y412" t="s">
        <v>6608</v>
      </c>
      <c r="AA412" t="s">
        <v>6631</v>
      </c>
      <c r="AB412" t="s">
        <v>7050</v>
      </c>
      <c r="AD412" t="s">
        <v>9450</v>
      </c>
      <c r="AE412">
        <v>0</v>
      </c>
      <c r="AF412" t="s">
        <v>11005</v>
      </c>
      <c r="AH412">
        <v>34</v>
      </c>
      <c r="AI412">
        <v>1</v>
      </c>
      <c r="AJ412">
        <v>0</v>
      </c>
      <c r="AK412">
        <v>53.54</v>
      </c>
      <c r="AN412" t="s">
        <v>11049</v>
      </c>
      <c r="AO412">
        <v>6500</v>
      </c>
      <c r="AU412">
        <v>9.35</v>
      </c>
      <c r="AV412" t="s">
        <v>669</v>
      </c>
      <c r="AW412" t="s">
        <v>131</v>
      </c>
    </row>
    <row r="413" spans="1:50">
      <c r="A413" s="1">
        <f>HYPERLINK("https://cms.ls-nyc.org/matter/dynamic-profile/view/1851832","17-1851832")</f>
        <v>0</v>
      </c>
      <c r="B413" t="s">
        <v>135</v>
      </c>
      <c r="C413" t="s">
        <v>235</v>
      </c>
      <c r="D413" t="s">
        <v>300</v>
      </c>
      <c r="F413" t="s">
        <v>1168</v>
      </c>
      <c r="G413" t="s">
        <v>2389</v>
      </c>
      <c r="H413" t="s">
        <v>3775</v>
      </c>
      <c r="I413" t="s">
        <v>4796</v>
      </c>
      <c r="J413" t="s">
        <v>5320</v>
      </c>
      <c r="K413">
        <v>11206</v>
      </c>
      <c r="L413" t="s">
        <v>5355</v>
      </c>
      <c r="M413" t="s">
        <v>5356</v>
      </c>
      <c r="O413" t="s">
        <v>6500</v>
      </c>
      <c r="P413" t="s">
        <v>6525</v>
      </c>
      <c r="R413" t="s">
        <v>6539</v>
      </c>
      <c r="S413" t="s">
        <v>5355</v>
      </c>
      <c r="U413" t="s">
        <v>6557</v>
      </c>
      <c r="W413" t="s">
        <v>575</v>
      </c>
      <c r="X413">
        <v>1119</v>
      </c>
      <c r="Y413" t="s">
        <v>6605</v>
      </c>
      <c r="AB413" t="s">
        <v>7051</v>
      </c>
      <c r="AD413" t="s">
        <v>9451</v>
      </c>
      <c r="AE413">
        <v>25</v>
      </c>
      <c r="AF413" t="s">
        <v>11005</v>
      </c>
      <c r="AG413" t="s">
        <v>11021</v>
      </c>
      <c r="AH413">
        <v>-1</v>
      </c>
      <c r="AI413">
        <v>2</v>
      </c>
      <c r="AJ413">
        <v>0</v>
      </c>
      <c r="AK413">
        <v>54.16</v>
      </c>
      <c r="AN413" t="s">
        <v>11050</v>
      </c>
      <c r="AO413">
        <v>8796</v>
      </c>
      <c r="AU413">
        <v>0</v>
      </c>
      <c r="AW413" t="s">
        <v>11489</v>
      </c>
    </row>
    <row r="414" spans="1:50">
      <c r="A414" s="1">
        <f>HYPERLINK("https://cms.ls-nyc.org/matter/dynamic-profile/view/1843079","17-1843079")</f>
        <v>0</v>
      </c>
      <c r="B414" t="s">
        <v>132</v>
      </c>
      <c r="C414" t="s">
        <v>235</v>
      </c>
      <c r="D414" t="s">
        <v>421</v>
      </c>
      <c r="F414" t="s">
        <v>986</v>
      </c>
      <c r="G414" t="s">
        <v>2418</v>
      </c>
      <c r="H414" t="s">
        <v>3705</v>
      </c>
      <c r="I414" t="s">
        <v>4787</v>
      </c>
      <c r="J414" t="s">
        <v>5323</v>
      </c>
      <c r="K414">
        <v>10029</v>
      </c>
      <c r="L414" t="s">
        <v>5355</v>
      </c>
      <c r="M414" t="s">
        <v>5356</v>
      </c>
      <c r="O414" t="s">
        <v>5393</v>
      </c>
      <c r="P414" t="s">
        <v>6525</v>
      </c>
      <c r="R414" t="s">
        <v>6539</v>
      </c>
      <c r="S414" t="s">
        <v>5355</v>
      </c>
      <c r="U414" t="s">
        <v>6557</v>
      </c>
      <c r="V414" t="s">
        <v>6566</v>
      </c>
      <c r="W414" t="s">
        <v>421</v>
      </c>
      <c r="X414">
        <v>835.3200000000001</v>
      </c>
      <c r="Y414" t="s">
        <v>6608</v>
      </c>
      <c r="Z414" t="s">
        <v>6622</v>
      </c>
      <c r="AB414" t="s">
        <v>7052</v>
      </c>
      <c r="AD414" t="s">
        <v>9452</v>
      </c>
      <c r="AE414">
        <v>13</v>
      </c>
      <c r="AF414" t="s">
        <v>11005</v>
      </c>
      <c r="AG414" t="s">
        <v>5406</v>
      </c>
      <c r="AH414">
        <v>35</v>
      </c>
      <c r="AI414">
        <v>2</v>
      </c>
      <c r="AJ414">
        <v>2</v>
      </c>
      <c r="AK414">
        <v>54.39</v>
      </c>
      <c r="AN414" t="s">
        <v>11049</v>
      </c>
      <c r="AO414">
        <v>13380</v>
      </c>
      <c r="AU414">
        <v>2.45</v>
      </c>
      <c r="AV414" t="s">
        <v>622</v>
      </c>
      <c r="AW414" t="s">
        <v>11497</v>
      </c>
      <c r="AX414" t="s">
        <v>11564</v>
      </c>
    </row>
    <row r="415" spans="1:50">
      <c r="A415" s="1">
        <f>HYPERLINK("https://cms.ls-nyc.org/matter/dynamic-profile/view/1868921","18-1868921")</f>
        <v>0</v>
      </c>
      <c r="B415" t="s">
        <v>145</v>
      </c>
      <c r="C415" t="s">
        <v>234</v>
      </c>
      <c r="D415" t="s">
        <v>315</v>
      </c>
      <c r="E415" t="s">
        <v>732</v>
      </c>
      <c r="F415" t="s">
        <v>1169</v>
      </c>
      <c r="G415" t="s">
        <v>2419</v>
      </c>
      <c r="H415" t="s">
        <v>3776</v>
      </c>
      <c r="I415" t="s">
        <v>4752</v>
      </c>
      <c r="J415" t="s">
        <v>5321</v>
      </c>
      <c r="K415">
        <v>10456</v>
      </c>
      <c r="L415" t="s">
        <v>5355</v>
      </c>
      <c r="M415" t="s">
        <v>5356</v>
      </c>
      <c r="O415" t="s">
        <v>6498</v>
      </c>
      <c r="P415" t="s">
        <v>6525</v>
      </c>
      <c r="Q415" t="s">
        <v>6536</v>
      </c>
      <c r="R415" t="s">
        <v>6539</v>
      </c>
      <c r="U415" t="s">
        <v>6559</v>
      </c>
      <c r="W415" t="s">
        <v>516</v>
      </c>
      <c r="X415">
        <v>0</v>
      </c>
      <c r="Y415" t="s">
        <v>6606</v>
      </c>
      <c r="Z415" t="s">
        <v>6614</v>
      </c>
      <c r="AA415" t="s">
        <v>6642</v>
      </c>
      <c r="AB415" t="s">
        <v>7053</v>
      </c>
      <c r="AC415" t="s">
        <v>8753</v>
      </c>
      <c r="AD415" t="s">
        <v>9453</v>
      </c>
      <c r="AE415">
        <v>0</v>
      </c>
      <c r="AF415" t="s">
        <v>11005</v>
      </c>
      <c r="AH415">
        <v>19</v>
      </c>
      <c r="AI415">
        <v>1</v>
      </c>
      <c r="AJ415">
        <v>1</v>
      </c>
      <c r="AK415">
        <v>54.68</v>
      </c>
      <c r="AN415" t="s">
        <v>11050</v>
      </c>
      <c r="AO415">
        <v>9000</v>
      </c>
      <c r="AP415" t="s">
        <v>11099</v>
      </c>
      <c r="AU415">
        <v>5.6</v>
      </c>
      <c r="AV415" t="s">
        <v>449</v>
      </c>
      <c r="AW415" t="s">
        <v>11523</v>
      </c>
    </row>
    <row r="416" spans="1:50">
      <c r="A416" s="1">
        <f>HYPERLINK("https://cms.ls-nyc.org/matter/dynamic-profile/view/1851060","17-1851060")</f>
        <v>0</v>
      </c>
      <c r="B416" t="s">
        <v>85</v>
      </c>
      <c r="C416" t="s">
        <v>234</v>
      </c>
      <c r="D416" t="s">
        <v>367</v>
      </c>
      <c r="E416" t="s">
        <v>752</v>
      </c>
      <c r="F416" t="s">
        <v>1170</v>
      </c>
      <c r="G416" t="s">
        <v>2420</v>
      </c>
      <c r="H416" t="s">
        <v>3777</v>
      </c>
      <c r="I416">
        <v>620</v>
      </c>
      <c r="J416" t="s">
        <v>5324</v>
      </c>
      <c r="K416">
        <v>11355</v>
      </c>
      <c r="L416" t="s">
        <v>5355</v>
      </c>
      <c r="M416" t="s">
        <v>5355</v>
      </c>
      <c r="N416" t="s">
        <v>5392</v>
      </c>
      <c r="O416" t="s">
        <v>6496</v>
      </c>
      <c r="P416" t="s">
        <v>6525</v>
      </c>
      <c r="Q416" t="s">
        <v>6532</v>
      </c>
      <c r="R416" t="s">
        <v>6539</v>
      </c>
      <c r="S416" t="s">
        <v>5357</v>
      </c>
      <c r="U416" t="s">
        <v>6559</v>
      </c>
      <c r="W416" t="s">
        <v>367</v>
      </c>
      <c r="X416">
        <v>945.9</v>
      </c>
      <c r="Y416" t="s">
        <v>6604</v>
      </c>
      <c r="Z416" t="s">
        <v>6614</v>
      </c>
      <c r="AA416" t="s">
        <v>6645</v>
      </c>
      <c r="AB416" t="s">
        <v>7054</v>
      </c>
      <c r="AC416" t="s">
        <v>8754</v>
      </c>
      <c r="AD416" t="s">
        <v>9166</v>
      </c>
      <c r="AE416">
        <v>50</v>
      </c>
      <c r="AF416" t="s">
        <v>11005</v>
      </c>
      <c r="AG416" t="s">
        <v>11023</v>
      </c>
      <c r="AH416">
        <v>22</v>
      </c>
      <c r="AI416">
        <v>3</v>
      </c>
      <c r="AJ416">
        <v>2</v>
      </c>
      <c r="AK416">
        <v>55.59</v>
      </c>
      <c r="AL416" t="s">
        <v>266</v>
      </c>
      <c r="AN416" t="s">
        <v>11049</v>
      </c>
      <c r="AO416">
        <v>15999</v>
      </c>
      <c r="AU416">
        <v>2.5</v>
      </c>
      <c r="AV416" t="s">
        <v>287</v>
      </c>
      <c r="AW416" t="s">
        <v>11506</v>
      </c>
    </row>
    <row r="417" spans="1:49">
      <c r="A417" s="1">
        <f>HYPERLINK("https://cms.ls-nyc.org/matter/dynamic-profile/view/1852937","17-1852937")</f>
        <v>0</v>
      </c>
      <c r="B417" t="s">
        <v>77</v>
      </c>
      <c r="C417" t="s">
        <v>234</v>
      </c>
      <c r="D417" t="s">
        <v>353</v>
      </c>
      <c r="E417" t="s">
        <v>704</v>
      </c>
      <c r="F417" t="s">
        <v>1171</v>
      </c>
      <c r="G417" t="s">
        <v>2355</v>
      </c>
      <c r="H417" t="s">
        <v>3773</v>
      </c>
      <c r="I417" t="s">
        <v>4744</v>
      </c>
      <c r="J417" t="s">
        <v>5320</v>
      </c>
      <c r="K417">
        <v>11213</v>
      </c>
      <c r="L417" t="s">
        <v>5355</v>
      </c>
      <c r="M417" t="s">
        <v>5356</v>
      </c>
      <c r="O417" t="s">
        <v>6500</v>
      </c>
      <c r="P417" t="s">
        <v>6525</v>
      </c>
      <c r="Q417" t="s">
        <v>6532</v>
      </c>
      <c r="R417" t="s">
        <v>6539</v>
      </c>
      <c r="S417" t="s">
        <v>5355</v>
      </c>
      <c r="U417" t="s">
        <v>6557</v>
      </c>
      <c r="W417" t="s">
        <v>481</v>
      </c>
      <c r="X417">
        <v>907.29</v>
      </c>
      <c r="Y417" t="s">
        <v>6605</v>
      </c>
      <c r="Z417" t="s">
        <v>6622</v>
      </c>
      <c r="AA417" t="s">
        <v>6634</v>
      </c>
      <c r="AB417" t="s">
        <v>7055</v>
      </c>
      <c r="AD417" t="s">
        <v>9454</v>
      </c>
      <c r="AE417">
        <v>107</v>
      </c>
      <c r="AF417" t="s">
        <v>11005</v>
      </c>
      <c r="AG417" t="s">
        <v>11020</v>
      </c>
      <c r="AH417">
        <v>36</v>
      </c>
      <c r="AI417">
        <v>2</v>
      </c>
      <c r="AJ417">
        <v>0</v>
      </c>
      <c r="AK417">
        <v>56.53</v>
      </c>
      <c r="AL417" t="s">
        <v>266</v>
      </c>
      <c r="AN417" t="s">
        <v>11049</v>
      </c>
      <c r="AO417">
        <v>9180</v>
      </c>
      <c r="AU417">
        <v>1.5</v>
      </c>
      <c r="AV417" t="s">
        <v>704</v>
      </c>
      <c r="AW417" t="s">
        <v>11489</v>
      </c>
    </row>
    <row r="418" spans="1:49">
      <c r="A418" s="1">
        <f>HYPERLINK("https://cms.ls-nyc.org/matter/dynamic-profile/view/1870456","18-1870456")</f>
        <v>0</v>
      </c>
      <c r="B418" t="s">
        <v>65</v>
      </c>
      <c r="C418" t="s">
        <v>234</v>
      </c>
      <c r="D418" t="s">
        <v>255</v>
      </c>
      <c r="E418" t="s">
        <v>413</v>
      </c>
      <c r="F418" t="s">
        <v>922</v>
      </c>
      <c r="G418" t="s">
        <v>1598</v>
      </c>
      <c r="H418" t="s">
        <v>3448</v>
      </c>
      <c r="I418" t="s">
        <v>4777</v>
      </c>
      <c r="J418" t="s">
        <v>5323</v>
      </c>
      <c r="K418">
        <v>10032</v>
      </c>
      <c r="L418" t="s">
        <v>5355</v>
      </c>
      <c r="M418" t="s">
        <v>5356</v>
      </c>
      <c r="O418" t="s">
        <v>6499</v>
      </c>
      <c r="P418" t="s">
        <v>6525</v>
      </c>
      <c r="Q418" t="s">
        <v>6531</v>
      </c>
      <c r="R418" t="s">
        <v>6539</v>
      </c>
      <c r="S418" t="s">
        <v>5355</v>
      </c>
      <c r="U418" t="s">
        <v>6557</v>
      </c>
      <c r="W418" t="s">
        <v>490</v>
      </c>
      <c r="X418">
        <v>0</v>
      </c>
      <c r="Y418" t="s">
        <v>6608</v>
      </c>
      <c r="Z418" t="s">
        <v>6616</v>
      </c>
      <c r="AA418" t="s">
        <v>6642</v>
      </c>
      <c r="AB418" t="s">
        <v>6744</v>
      </c>
      <c r="AE418">
        <v>49</v>
      </c>
      <c r="AF418" t="s">
        <v>11005</v>
      </c>
      <c r="AG418" t="s">
        <v>5406</v>
      </c>
      <c r="AH418">
        <v>20</v>
      </c>
      <c r="AI418">
        <v>1</v>
      </c>
      <c r="AJ418">
        <v>1</v>
      </c>
      <c r="AK418">
        <v>56.57</v>
      </c>
      <c r="AN418" t="s">
        <v>11049</v>
      </c>
      <c r="AO418">
        <v>9312</v>
      </c>
      <c r="AU418">
        <v>0</v>
      </c>
      <c r="AV418" t="s">
        <v>338</v>
      </c>
      <c r="AW418" t="s">
        <v>11495</v>
      </c>
    </row>
    <row r="419" spans="1:49">
      <c r="A419" s="1">
        <f>HYPERLINK("https://cms.ls-nyc.org/matter/dynamic-profile/view/1869939","18-1869939")</f>
        <v>0</v>
      </c>
      <c r="B419" t="s">
        <v>106</v>
      </c>
      <c r="C419" t="s">
        <v>234</v>
      </c>
      <c r="D419" t="s">
        <v>349</v>
      </c>
      <c r="E419" t="s">
        <v>753</v>
      </c>
      <c r="F419" t="s">
        <v>1172</v>
      </c>
      <c r="G419" t="s">
        <v>2421</v>
      </c>
      <c r="H419" t="s">
        <v>3778</v>
      </c>
      <c r="I419" t="s">
        <v>4817</v>
      </c>
      <c r="J419" t="s">
        <v>5321</v>
      </c>
      <c r="K419">
        <v>10459</v>
      </c>
      <c r="L419" t="s">
        <v>5355</v>
      </c>
      <c r="M419" t="s">
        <v>5355</v>
      </c>
      <c r="N419" t="s">
        <v>5507</v>
      </c>
      <c r="O419" t="s">
        <v>6492</v>
      </c>
      <c r="P419" t="s">
        <v>6525</v>
      </c>
      <c r="Q419" t="s">
        <v>6532</v>
      </c>
      <c r="R419" t="s">
        <v>6539</v>
      </c>
      <c r="S419" t="s">
        <v>5357</v>
      </c>
      <c r="T419" t="s">
        <v>6539</v>
      </c>
      <c r="U419" t="s">
        <v>6557</v>
      </c>
      <c r="V419" t="s">
        <v>6570</v>
      </c>
      <c r="W419" t="s">
        <v>349</v>
      </c>
      <c r="X419">
        <v>3780.16</v>
      </c>
      <c r="Y419" t="s">
        <v>6606</v>
      </c>
      <c r="Z419" t="s">
        <v>6613</v>
      </c>
      <c r="AA419" t="s">
        <v>6631</v>
      </c>
      <c r="AB419" t="s">
        <v>7056</v>
      </c>
      <c r="AC419" t="s">
        <v>8755</v>
      </c>
      <c r="AD419" t="s">
        <v>9455</v>
      </c>
      <c r="AE419">
        <v>12</v>
      </c>
      <c r="AF419" t="s">
        <v>11005</v>
      </c>
      <c r="AG419" t="s">
        <v>11023</v>
      </c>
      <c r="AH419">
        <v>0</v>
      </c>
      <c r="AI419">
        <v>2</v>
      </c>
      <c r="AJ419">
        <v>2</v>
      </c>
      <c r="AK419">
        <v>57.85</v>
      </c>
      <c r="AN419" t="s">
        <v>11050</v>
      </c>
      <c r="AO419">
        <v>14520</v>
      </c>
      <c r="AU419">
        <v>12.25</v>
      </c>
      <c r="AV419" t="s">
        <v>401</v>
      </c>
      <c r="AW419" t="s">
        <v>11499</v>
      </c>
    </row>
    <row r="420" spans="1:49">
      <c r="A420" s="1">
        <f>HYPERLINK("https://cms.ls-nyc.org/matter/dynamic-profile/view/1854287","17-1854287")</f>
        <v>0</v>
      </c>
      <c r="B420" t="s">
        <v>67</v>
      </c>
      <c r="C420" t="s">
        <v>234</v>
      </c>
      <c r="D420" t="s">
        <v>422</v>
      </c>
      <c r="E420" t="s">
        <v>743</v>
      </c>
      <c r="F420" t="s">
        <v>1173</v>
      </c>
      <c r="G420" t="s">
        <v>2106</v>
      </c>
      <c r="H420" t="s">
        <v>3779</v>
      </c>
      <c r="I420" t="s">
        <v>4791</v>
      </c>
      <c r="J420" t="s">
        <v>5323</v>
      </c>
      <c r="K420">
        <v>10035</v>
      </c>
      <c r="L420" t="s">
        <v>5355</v>
      </c>
      <c r="M420" t="s">
        <v>5355</v>
      </c>
      <c r="O420" t="s">
        <v>5393</v>
      </c>
      <c r="P420" t="s">
        <v>6525</v>
      </c>
      <c r="Q420" t="s">
        <v>6532</v>
      </c>
      <c r="R420" t="s">
        <v>6539</v>
      </c>
      <c r="S420" t="s">
        <v>5357</v>
      </c>
      <c r="U420" t="s">
        <v>6557</v>
      </c>
      <c r="V420" t="s">
        <v>6566</v>
      </c>
      <c r="W420" t="s">
        <v>422</v>
      </c>
      <c r="X420">
        <v>395</v>
      </c>
      <c r="Y420" t="s">
        <v>6608</v>
      </c>
      <c r="Z420" t="s">
        <v>6614</v>
      </c>
      <c r="AA420" t="s">
        <v>6637</v>
      </c>
      <c r="AB420" t="s">
        <v>7057</v>
      </c>
      <c r="AD420" t="s">
        <v>9456</v>
      </c>
      <c r="AE420">
        <v>6</v>
      </c>
      <c r="AF420" t="s">
        <v>11005</v>
      </c>
      <c r="AG420" t="s">
        <v>5406</v>
      </c>
      <c r="AH420">
        <v>11</v>
      </c>
      <c r="AI420">
        <v>1</v>
      </c>
      <c r="AJ420">
        <v>2</v>
      </c>
      <c r="AK420">
        <v>58</v>
      </c>
      <c r="AN420" t="s">
        <v>11050</v>
      </c>
      <c r="AO420">
        <v>11844</v>
      </c>
      <c r="AU420">
        <v>1</v>
      </c>
      <c r="AV420" t="s">
        <v>677</v>
      </c>
      <c r="AW420" t="s">
        <v>11497</v>
      </c>
    </row>
    <row r="421" spans="1:49">
      <c r="A421" s="1">
        <f>HYPERLINK("https://cms.ls-nyc.org/matter/dynamic-profile/view/1863781","18-1863781")</f>
        <v>0</v>
      </c>
      <c r="B421" t="s">
        <v>65</v>
      </c>
      <c r="C421" t="s">
        <v>234</v>
      </c>
      <c r="D421" t="s">
        <v>288</v>
      </c>
      <c r="E421" t="s">
        <v>692</v>
      </c>
      <c r="F421" t="s">
        <v>870</v>
      </c>
      <c r="G421" t="s">
        <v>2422</v>
      </c>
      <c r="H421" t="s">
        <v>3780</v>
      </c>
      <c r="I421" t="s">
        <v>4738</v>
      </c>
      <c r="J421" t="s">
        <v>5323</v>
      </c>
      <c r="K421">
        <v>10033</v>
      </c>
      <c r="L421" t="s">
        <v>5355</v>
      </c>
      <c r="M421" t="s">
        <v>5355</v>
      </c>
      <c r="O421" t="s">
        <v>6499</v>
      </c>
      <c r="P421" t="s">
        <v>6525</v>
      </c>
      <c r="Q421" t="s">
        <v>6532</v>
      </c>
      <c r="R421" t="s">
        <v>6539</v>
      </c>
      <c r="S421" t="s">
        <v>5355</v>
      </c>
      <c r="U421" t="s">
        <v>6557</v>
      </c>
      <c r="W421" t="s">
        <v>288</v>
      </c>
      <c r="X421">
        <v>204</v>
      </c>
      <c r="Y421" t="s">
        <v>6608</v>
      </c>
      <c r="Z421" t="s">
        <v>6614</v>
      </c>
      <c r="AA421" t="s">
        <v>6631</v>
      </c>
      <c r="AB421" t="s">
        <v>7058</v>
      </c>
      <c r="AD421" t="s">
        <v>9457</v>
      </c>
      <c r="AE421">
        <v>20</v>
      </c>
      <c r="AF421" t="s">
        <v>11005</v>
      </c>
      <c r="AG421" t="s">
        <v>11020</v>
      </c>
      <c r="AH421">
        <v>25</v>
      </c>
      <c r="AI421">
        <v>4</v>
      </c>
      <c r="AJ421">
        <v>0</v>
      </c>
      <c r="AK421">
        <v>59.36</v>
      </c>
      <c r="AL421" t="s">
        <v>450</v>
      </c>
      <c r="AN421" t="s">
        <v>11049</v>
      </c>
      <c r="AO421">
        <v>14900</v>
      </c>
      <c r="AU421">
        <v>0.1</v>
      </c>
      <c r="AV421" t="s">
        <v>692</v>
      </c>
      <c r="AW421" t="s">
        <v>11495</v>
      </c>
    </row>
    <row r="422" spans="1:49">
      <c r="A422" s="1">
        <f>HYPERLINK("https://cms.ls-nyc.org/matter/dynamic-profile/view/0822772","16-0822772")</f>
        <v>0</v>
      </c>
      <c r="B422" t="s">
        <v>136</v>
      </c>
      <c r="C422" t="s">
        <v>234</v>
      </c>
      <c r="D422" t="s">
        <v>423</v>
      </c>
      <c r="E422" t="s">
        <v>665</v>
      </c>
      <c r="F422" t="s">
        <v>1174</v>
      </c>
      <c r="G422" t="s">
        <v>2423</v>
      </c>
      <c r="H422" t="s">
        <v>3781</v>
      </c>
      <c r="I422" t="s">
        <v>4778</v>
      </c>
      <c r="J422" t="s">
        <v>5320</v>
      </c>
      <c r="K422">
        <v>11212</v>
      </c>
      <c r="L422" t="s">
        <v>5355</v>
      </c>
      <c r="M422" t="s">
        <v>5355</v>
      </c>
      <c r="O422" t="s">
        <v>6500</v>
      </c>
      <c r="P422" t="s">
        <v>6525</v>
      </c>
      <c r="Q422" t="s">
        <v>6532</v>
      </c>
      <c r="R422" t="s">
        <v>6539</v>
      </c>
      <c r="S422" t="s">
        <v>5355</v>
      </c>
      <c r="U422" t="s">
        <v>6557</v>
      </c>
      <c r="W422" t="s">
        <v>436</v>
      </c>
      <c r="X422">
        <v>1500</v>
      </c>
      <c r="Y422" t="s">
        <v>6605</v>
      </c>
      <c r="Z422" t="s">
        <v>6622</v>
      </c>
      <c r="AA422" t="s">
        <v>6636</v>
      </c>
      <c r="AB422" t="s">
        <v>7059</v>
      </c>
      <c r="AD422" t="s">
        <v>9458</v>
      </c>
      <c r="AE422">
        <v>4</v>
      </c>
      <c r="AF422" t="s">
        <v>11004</v>
      </c>
      <c r="AG422" t="s">
        <v>11020</v>
      </c>
      <c r="AH422">
        <v>1</v>
      </c>
      <c r="AI422">
        <v>2</v>
      </c>
      <c r="AJ422">
        <v>0</v>
      </c>
      <c r="AK422">
        <v>59.93</v>
      </c>
      <c r="AN422" t="s">
        <v>11050</v>
      </c>
      <c r="AO422">
        <v>9600</v>
      </c>
      <c r="AU422">
        <v>2.95</v>
      </c>
      <c r="AV422" t="s">
        <v>436</v>
      </c>
      <c r="AW422" t="s">
        <v>11529</v>
      </c>
    </row>
    <row r="423" spans="1:49">
      <c r="A423" s="1">
        <f>HYPERLINK("https://cms.ls-nyc.org/matter/dynamic-profile/view/1855939","18-1855939")</f>
        <v>0</v>
      </c>
      <c r="B423" t="s">
        <v>77</v>
      </c>
      <c r="C423" t="s">
        <v>234</v>
      </c>
      <c r="D423" t="s">
        <v>380</v>
      </c>
      <c r="E423" t="s">
        <v>704</v>
      </c>
      <c r="F423" t="s">
        <v>914</v>
      </c>
      <c r="G423" t="s">
        <v>2355</v>
      </c>
      <c r="H423" t="s">
        <v>3480</v>
      </c>
      <c r="I423" t="s">
        <v>4837</v>
      </c>
      <c r="J423" t="s">
        <v>5320</v>
      </c>
      <c r="K423">
        <v>11213</v>
      </c>
      <c r="L423" t="s">
        <v>5355</v>
      </c>
      <c r="M423" t="s">
        <v>5356</v>
      </c>
      <c r="O423" t="s">
        <v>5393</v>
      </c>
      <c r="P423" t="s">
        <v>6525</v>
      </c>
      <c r="Q423" t="s">
        <v>6532</v>
      </c>
      <c r="R423" t="s">
        <v>6539</v>
      </c>
      <c r="S423" t="s">
        <v>5355</v>
      </c>
      <c r="U423" t="s">
        <v>6557</v>
      </c>
      <c r="W423" t="s">
        <v>464</v>
      </c>
      <c r="X423">
        <v>1255</v>
      </c>
      <c r="Y423" t="s">
        <v>6605</v>
      </c>
      <c r="Z423" t="s">
        <v>6622</v>
      </c>
      <c r="AA423" t="s">
        <v>6634</v>
      </c>
      <c r="AB423" t="s">
        <v>7060</v>
      </c>
      <c r="AC423" t="s">
        <v>8756</v>
      </c>
      <c r="AD423" t="s">
        <v>9459</v>
      </c>
      <c r="AE423">
        <v>107</v>
      </c>
      <c r="AF423" t="s">
        <v>11005</v>
      </c>
      <c r="AG423" t="s">
        <v>5406</v>
      </c>
      <c r="AH423">
        <v>25</v>
      </c>
      <c r="AI423">
        <v>3</v>
      </c>
      <c r="AJ423">
        <v>2</v>
      </c>
      <c r="AK423">
        <v>60.46</v>
      </c>
      <c r="AL423" t="s">
        <v>266</v>
      </c>
      <c r="AN423" t="s">
        <v>11049</v>
      </c>
      <c r="AO423">
        <v>25200</v>
      </c>
      <c r="AU423">
        <v>0.55</v>
      </c>
      <c r="AV423" t="s">
        <v>704</v>
      </c>
      <c r="AW423" t="s">
        <v>77</v>
      </c>
    </row>
    <row r="424" spans="1:49">
      <c r="A424" s="1">
        <f>HYPERLINK("https://cms.ls-nyc.org/matter/dynamic-profile/view/1858938","18-1858938")</f>
        <v>0</v>
      </c>
      <c r="B424" t="s">
        <v>94</v>
      </c>
      <c r="C424" t="s">
        <v>234</v>
      </c>
      <c r="D424" t="s">
        <v>424</v>
      </c>
      <c r="E424" t="s">
        <v>652</v>
      </c>
      <c r="F424" t="s">
        <v>1175</v>
      </c>
      <c r="G424" t="s">
        <v>2424</v>
      </c>
      <c r="H424" t="s">
        <v>3782</v>
      </c>
      <c r="I424" t="s">
        <v>4756</v>
      </c>
      <c r="J424" t="s">
        <v>5320</v>
      </c>
      <c r="K424">
        <v>11229</v>
      </c>
      <c r="L424" t="s">
        <v>5355</v>
      </c>
      <c r="M424" t="s">
        <v>5356</v>
      </c>
      <c r="N424" t="s">
        <v>5508</v>
      </c>
      <c r="O424" t="s">
        <v>6491</v>
      </c>
      <c r="P424" t="s">
        <v>6525</v>
      </c>
      <c r="Q424" t="s">
        <v>6532</v>
      </c>
      <c r="R424" t="s">
        <v>6539</v>
      </c>
      <c r="S424" t="s">
        <v>5357</v>
      </c>
      <c r="U424" t="s">
        <v>6557</v>
      </c>
      <c r="W424" t="s">
        <v>262</v>
      </c>
      <c r="X424">
        <v>1148</v>
      </c>
      <c r="Y424" t="s">
        <v>6605</v>
      </c>
      <c r="Z424" t="s">
        <v>6614</v>
      </c>
      <c r="AA424" t="s">
        <v>6642</v>
      </c>
      <c r="AB424" t="s">
        <v>7061</v>
      </c>
      <c r="AD424" t="s">
        <v>9460</v>
      </c>
      <c r="AE424">
        <v>35</v>
      </c>
      <c r="AF424" t="s">
        <v>11005</v>
      </c>
      <c r="AG424" t="s">
        <v>11020</v>
      </c>
      <c r="AH424">
        <v>0</v>
      </c>
      <c r="AI424">
        <v>2</v>
      </c>
      <c r="AJ424">
        <v>0</v>
      </c>
      <c r="AK424">
        <v>60.59</v>
      </c>
      <c r="AL424" t="s">
        <v>411</v>
      </c>
      <c r="AN424" t="s">
        <v>11056</v>
      </c>
      <c r="AO424">
        <v>9840</v>
      </c>
      <c r="AU424">
        <v>4.4</v>
      </c>
      <c r="AV424" t="s">
        <v>496</v>
      </c>
      <c r="AW424" t="s">
        <v>94</v>
      </c>
    </row>
    <row r="425" spans="1:49">
      <c r="A425" s="1">
        <f>HYPERLINK("https://cms.ls-nyc.org/matter/dynamic-profile/view/1864009","18-1864009")</f>
        <v>0</v>
      </c>
      <c r="B425" t="s">
        <v>135</v>
      </c>
      <c r="C425" t="s">
        <v>235</v>
      </c>
      <c r="D425" t="s">
        <v>425</v>
      </c>
      <c r="F425" t="s">
        <v>1176</v>
      </c>
      <c r="G425" t="s">
        <v>2425</v>
      </c>
      <c r="H425" t="s">
        <v>3735</v>
      </c>
      <c r="I425" t="s">
        <v>4897</v>
      </c>
      <c r="J425" t="s">
        <v>5320</v>
      </c>
      <c r="K425">
        <v>11225</v>
      </c>
      <c r="L425" t="s">
        <v>5355</v>
      </c>
      <c r="M425" t="s">
        <v>5356</v>
      </c>
      <c r="O425" t="s">
        <v>6500</v>
      </c>
      <c r="P425" t="s">
        <v>6525</v>
      </c>
      <c r="R425" t="s">
        <v>6539</v>
      </c>
      <c r="S425" t="s">
        <v>5355</v>
      </c>
      <c r="U425" t="s">
        <v>6557</v>
      </c>
      <c r="W425" t="s">
        <v>523</v>
      </c>
      <c r="X425">
        <v>745.62</v>
      </c>
      <c r="Y425" t="s">
        <v>6605</v>
      </c>
      <c r="Z425" t="s">
        <v>6622</v>
      </c>
      <c r="AB425" t="s">
        <v>7062</v>
      </c>
      <c r="AD425" t="s">
        <v>9461</v>
      </c>
      <c r="AE425">
        <v>89</v>
      </c>
      <c r="AF425" t="s">
        <v>11005</v>
      </c>
      <c r="AG425" t="s">
        <v>5406</v>
      </c>
      <c r="AH425">
        <v>40</v>
      </c>
      <c r="AI425">
        <v>4</v>
      </c>
      <c r="AJ425">
        <v>0</v>
      </c>
      <c r="AK425">
        <v>62.15</v>
      </c>
      <c r="AN425" t="s">
        <v>11050</v>
      </c>
      <c r="AO425">
        <v>15600</v>
      </c>
      <c r="AU425">
        <v>0</v>
      </c>
      <c r="AW425" t="s">
        <v>11512</v>
      </c>
    </row>
    <row r="426" spans="1:49">
      <c r="A426" s="1">
        <f>HYPERLINK("https://cms.ls-nyc.org/matter/dynamic-profile/view/1866227","18-1866227")</f>
        <v>0</v>
      </c>
      <c r="B426" t="s">
        <v>146</v>
      </c>
      <c r="C426" t="s">
        <v>234</v>
      </c>
      <c r="D426" t="s">
        <v>274</v>
      </c>
      <c r="E426" t="s">
        <v>754</v>
      </c>
      <c r="F426" t="s">
        <v>1177</v>
      </c>
      <c r="G426" t="s">
        <v>2426</v>
      </c>
      <c r="H426" t="s">
        <v>3783</v>
      </c>
      <c r="I426" t="s">
        <v>4796</v>
      </c>
      <c r="J426" t="s">
        <v>5321</v>
      </c>
      <c r="K426">
        <v>10458</v>
      </c>
      <c r="L426" t="s">
        <v>5355</v>
      </c>
      <c r="M426" t="s">
        <v>5356</v>
      </c>
      <c r="O426" t="s">
        <v>6498</v>
      </c>
      <c r="P426" t="s">
        <v>6525</v>
      </c>
      <c r="Q426" t="s">
        <v>6532</v>
      </c>
      <c r="R426" t="s">
        <v>6539</v>
      </c>
      <c r="S426" t="s">
        <v>5357</v>
      </c>
      <c r="U426" t="s">
        <v>6559</v>
      </c>
      <c r="W426" t="s">
        <v>516</v>
      </c>
      <c r="X426">
        <v>1583.5</v>
      </c>
      <c r="Y426" t="s">
        <v>6606</v>
      </c>
      <c r="Z426" t="s">
        <v>6614</v>
      </c>
      <c r="AA426" t="s">
        <v>6631</v>
      </c>
      <c r="AB426" t="s">
        <v>7063</v>
      </c>
      <c r="AC426" t="s">
        <v>8757</v>
      </c>
      <c r="AD426" t="s">
        <v>9462</v>
      </c>
      <c r="AE426">
        <v>33</v>
      </c>
      <c r="AF426" t="s">
        <v>11005</v>
      </c>
      <c r="AG426" t="s">
        <v>11024</v>
      </c>
      <c r="AH426">
        <v>30</v>
      </c>
      <c r="AI426">
        <v>2</v>
      </c>
      <c r="AJ426">
        <v>1</v>
      </c>
      <c r="AK426">
        <v>62.54</v>
      </c>
      <c r="AN426" t="s">
        <v>11050</v>
      </c>
      <c r="AO426">
        <v>12996</v>
      </c>
      <c r="AP426" t="s">
        <v>11100</v>
      </c>
      <c r="AU426">
        <v>0.8</v>
      </c>
      <c r="AV426" t="s">
        <v>452</v>
      </c>
      <c r="AW426" t="s">
        <v>11492</v>
      </c>
    </row>
    <row r="427" spans="1:49">
      <c r="A427" s="1">
        <f>HYPERLINK("https://cms.ls-nyc.org/matter/dynamic-profile/view/1867680","18-1867680")</f>
        <v>0</v>
      </c>
      <c r="B427" t="s">
        <v>114</v>
      </c>
      <c r="C427" t="s">
        <v>234</v>
      </c>
      <c r="D427" t="s">
        <v>299</v>
      </c>
      <c r="E427" t="s">
        <v>746</v>
      </c>
      <c r="F427" t="s">
        <v>1178</v>
      </c>
      <c r="G427" t="s">
        <v>2427</v>
      </c>
      <c r="H427" t="s">
        <v>3784</v>
      </c>
      <c r="I427">
        <v>102</v>
      </c>
      <c r="J427" t="s">
        <v>5320</v>
      </c>
      <c r="K427">
        <v>11226</v>
      </c>
      <c r="L427" t="s">
        <v>5355</v>
      </c>
      <c r="M427" t="s">
        <v>5356</v>
      </c>
      <c r="N427" t="s">
        <v>5509</v>
      </c>
      <c r="O427" t="s">
        <v>6492</v>
      </c>
      <c r="P427" t="s">
        <v>6525</v>
      </c>
      <c r="Q427" t="s">
        <v>6532</v>
      </c>
      <c r="R427" t="s">
        <v>6540</v>
      </c>
      <c r="S427" t="s">
        <v>5357</v>
      </c>
      <c r="U427" t="s">
        <v>6557</v>
      </c>
      <c r="W427" t="s">
        <v>299</v>
      </c>
      <c r="X427">
        <v>1105.88</v>
      </c>
      <c r="Y427" t="s">
        <v>6605</v>
      </c>
      <c r="Z427" t="s">
        <v>6614</v>
      </c>
      <c r="AA427" t="s">
        <v>6632</v>
      </c>
      <c r="AB427" t="s">
        <v>7064</v>
      </c>
      <c r="AC427" t="s">
        <v>8737</v>
      </c>
      <c r="AD427" t="s">
        <v>9463</v>
      </c>
      <c r="AE427">
        <v>52</v>
      </c>
      <c r="AF427" t="s">
        <v>11005</v>
      </c>
      <c r="AG427" t="s">
        <v>5406</v>
      </c>
      <c r="AH427">
        <v>6</v>
      </c>
      <c r="AI427">
        <v>1</v>
      </c>
      <c r="AJ427">
        <v>2</v>
      </c>
      <c r="AK427">
        <v>62.56</v>
      </c>
      <c r="AL427" t="s">
        <v>11028</v>
      </c>
      <c r="AN427" t="s">
        <v>11050</v>
      </c>
      <c r="AO427">
        <v>13000</v>
      </c>
      <c r="AU427">
        <v>5.3</v>
      </c>
      <c r="AV427" t="s">
        <v>800</v>
      </c>
      <c r="AW427" t="s">
        <v>11488</v>
      </c>
    </row>
    <row r="428" spans="1:49">
      <c r="A428" s="1">
        <f>HYPERLINK("https://cms.ls-nyc.org/matter/dynamic-profile/view/1849214","17-1849214")</f>
        <v>0</v>
      </c>
      <c r="B428" t="s">
        <v>135</v>
      </c>
      <c r="C428" t="s">
        <v>234</v>
      </c>
      <c r="D428" t="s">
        <v>392</v>
      </c>
      <c r="E428" t="s">
        <v>665</v>
      </c>
      <c r="F428" t="s">
        <v>1179</v>
      </c>
      <c r="G428" t="s">
        <v>1742</v>
      </c>
      <c r="H428" t="s">
        <v>3762</v>
      </c>
      <c r="I428" t="s">
        <v>4746</v>
      </c>
      <c r="J428" t="s">
        <v>5320</v>
      </c>
      <c r="K428">
        <v>11206</v>
      </c>
      <c r="L428" t="s">
        <v>5355</v>
      </c>
      <c r="M428" t="s">
        <v>5355</v>
      </c>
      <c r="O428" t="s">
        <v>6500</v>
      </c>
      <c r="P428" t="s">
        <v>6525</v>
      </c>
      <c r="Q428" t="s">
        <v>6533</v>
      </c>
      <c r="R428" t="s">
        <v>6539</v>
      </c>
      <c r="S428" t="s">
        <v>5355</v>
      </c>
      <c r="U428" t="s">
        <v>6557</v>
      </c>
      <c r="W428" t="s">
        <v>575</v>
      </c>
      <c r="X428">
        <v>1283</v>
      </c>
      <c r="Y428" t="s">
        <v>6605</v>
      </c>
      <c r="AA428" t="s">
        <v>6634</v>
      </c>
      <c r="AB428" t="s">
        <v>7065</v>
      </c>
      <c r="AD428" t="s">
        <v>9464</v>
      </c>
      <c r="AE428">
        <v>29</v>
      </c>
      <c r="AF428" t="s">
        <v>11005</v>
      </c>
      <c r="AG428" t="s">
        <v>11019</v>
      </c>
      <c r="AH428">
        <v>2</v>
      </c>
      <c r="AI428">
        <v>2</v>
      </c>
      <c r="AJ428">
        <v>0</v>
      </c>
      <c r="AK428">
        <v>62.96</v>
      </c>
      <c r="AN428" t="s">
        <v>11050</v>
      </c>
      <c r="AO428">
        <v>10224</v>
      </c>
      <c r="AP428" t="s">
        <v>11101</v>
      </c>
      <c r="AU428">
        <v>0.25</v>
      </c>
      <c r="AV428" t="s">
        <v>439</v>
      </c>
      <c r="AW428" t="s">
        <v>11489</v>
      </c>
    </row>
    <row r="429" spans="1:49">
      <c r="A429" s="1">
        <f>HYPERLINK("https://cms.ls-nyc.org/matter/dynamic-profile/view/1847796","17-1847796")</f>
        <v>0</v>
      </c>
      <c r="B429" t="s">
        <v>135</v>
      </c>
      <c r="C429" t="s">
        <v>234</v>
      </c>
      <c r="D429" t="s">
        <v>237</v>
      </c>
      <c r="E429" t="s">
        <v>665</v>
      </c>
      <c r="F429" t="s">
        <v>1180</v>
      </c>
      <c r="G429" t="s">
        <v>2428</v>
      </c>
      <c r="H429" t="s">
        <v>3785</v>
      </c>
      <c r="I429" t="s">
        <v>4898</v>
      </c>
      <c r="J429" t="s">
        <v>5320</v>
      </c>
      <c r="K429">
        <v>11214</v>
      </c>
      <c r="L429" t="s">
        <v>5355</v>
      </c>
      <c r="M429" t="s">
        <v>5356</v>
      </c>
      <c r="O429" t="s">
        <v>6500</v>
      </c>
      <c r="P429" t="s">
        <v>6525</v>
      </c>
      <c r="Q429" t="s">
        <v>6532</v>
      </c>
      <c r="R429" t="s">
        <v>6539</v>
      </c>
      <c r="S429" t="s">
        <v>5355</v>
      </c>
      <c r="U429" t="s">
        <v>6557</v>
      </c>
      <c r="W429" t="s">
        <v>6582</v>
      </c>
      <c r="X429">
        <v>1250</v>
      </c>
      <c r="Y429" t="s">
        <v>6605</v>
      </c>
      <c r="Z429" t="s">
        <v>6625</v>
      </c>
      <c r="AA429" t="s">
        <v>6634</v>
      </c>
      <c r="AB429" t="s">
        <v>7066</v>
      </c>
      <c r="AD429" t="s">
        <v>9465</v>
      </c>
      <c r="AE429">
        <v>15</v>
      </c>
      <c r="AF429" t="s">
        <v>11005</v>
      </c>
      <c r="AG429" t="s">
        <v>5406</v>
      </c>
      <c r="AH429">
        <v>31</v>
      </c>
      <c r="AI429">
        <v>1</v>
      </c>
      <c r="AJ429">
        <v>0</v>
      </c>
      <c r="AK429">
        <v>63.73</v>
      </c>
      <c r="AL429" t="s">
        <v>465</v>
      </c>
      <c r="AN429" t="s">
        <v>11050</v>
      </c>
      <c r="AO429">
        <v>7686</v>
      </c>
      <c r="AU429">
        <v>0.5</v>
      </c>
      <c r="AV429" t="s">
        <v>346</v>
      </c>
      <c r="AW429" t="s">
        <v>11512</v>
      </c>
    </row>
    <row r="430" spans="1:49">
      <c r="A430" s="1">
        <f>HYPERLINK("https://cms.ls-nyc.org/matter/dynamic-profile/view/1866235","18-1866235")</f>
        <v>0</v>
      </c>
      <c r="B430" t="s">
        <v>146</v>
      </c>
      <c r="C430" t="s">
        <v>234</v>
      </c>
      <c r="D430" t="s">
        <v>274</v>
      </c>
      <c r="E430" t="s">
        <v>685</v>
      </c>
      <c r="F430" t="s">
        <v>1181</v>
      </c>
      <c r="G430" t="s">
        <v>2429</v>
      </c>
      <c r="H430" t="s">
        <v>3786</v>
      </c>
      <c r="I430" t="s">
        <v>4899</v>
      </c>
      <c r="J430" t="s">
        <v>5321</v>
      </c>
      <c r="K430">
        <v>10473</v>
      </c>
      <c r="L430" t="s">
        <v>5355</v>
      </c>
      <c r="M430" t="s">
        <v>5356</v>
      </c>
      <c r="N430" t="s">
        <v>5510</v>
      </c>
      <c r="O430" t="s">
        <v>6493</v>
      </c>
      <c r="P430" t="s">
        <v>6525</v>
      </c>
      <c r="Q430" t="s">
        <v>6532</v>
      </c>
      <c r="R430" t="s">
        <v>6539</v>
      </c>
      <c r="S430" t="s">
        <v>5357</v>
      </c>
      <c r="U430" t="s">
        <v>6560</v>
      </c>
      <c r="W430" t="s">
        <v>355</v>
      </c>
      <c r="X430">
        <v>1086.08</v>
      </c>
      <c r="Y430" t="s">
        <v>6606</v>
      </c>
      <c r="Z430" t="s">
        <v>6614</v>
      </c>
      <c r="AA430" t="s">
        <v>6642</v>
      </c>
      <c r="AB430" t="s">
        <v>7067</v>
      </c>
      <c r="AC430" t="s">
        <v>8758</v>
      </c>
      <c r="AD430" t="s">
        <v>9466</v>
      </c>
      <c r="AE430">
        <v>0</v>
      </c>
      <c r="AF430" t="s">
        <v>11005</v>
      </c>
      <c r="AG430" t="s">
        <v>11020</v>
      </c>
      <c r="AH430">
        <v>21</v>
      </c>
      <c r="AI430">
        <v>1</v>
      </c>
      <c r="AJ430">
        <v>1</v>
      </c>
      <c r="AK430">
        <v>64.67</v>
      </c>
      <c r="AN430" t="s">
        <v>11050</v>
      </c>
      <c r="AO430">
        <v>14868.8</v>
      </c>
      <c r="AU430">
        <v>0.5</v>
      </c>
      <c r="AV430" t="s">
        <v>317</v>
      </c>
      <c r="AW430" t="s">
        <v>11492</v>
      </c>
    </row>
    <row r="431" spans="1:49">
      <c r="A431" s="1">
        <f>HYPERLINK("https://cms.ls-nyc.org/matter/dynamic-profile/view/1847851","17-1847851")</f>
        <v>0</v>
      </c>
      <c r="B431" t="s">
        <v>83</v>
      </c>
      <c r="C431" t="s">
        <v>234</v>
      </c>
      <c r="D431" t="s">
        <v>426</v>
      </c>
      <c r="E431" t="s">
        <v>716</v>
      </c>
      <c r="F431" t="s">
        <v>1182</v>
      </c>
      <c r="G431" t="s">
        <v>2430</v>
      </c>
      <c r="H431" t="s">
        <v>3787</v>
      </c>
      <c r="I431" t="s">
        <v>4900</v>
      </c>
      <c r="J431" t="s">
        <v>5323</v>
      </c>
      <c r="K431">
        <v>10029</v>
      </c>
      <c r="L431" t="s">
        <v>5355</v>
      </c>
      <c r="M431" t="s">
        <v>5355</v>
      </c>
      <c r="O431" t="s">
        <v>5393</v>
      </c>
      <c r="P431" t="s">
        <v>6525</v>
      </c>
      <c r="Q431" t="s">
        <v>6532</v>
      </c>
      <c r="R431" t="s">
        <v>6539</v>
      </c>
      <c r="S431" t="s">
        <v>5357</v>
      </c>
      <c r="U431" t="s">
        <v>6557</v>
      </c>
      <c r="V431" t="s">
        <v>6566</v>
      </c>
      <c r="W431" t="s">
        <v>426</v>
      </c>
      <c r="X431">
        <v>836.39</v>
      </c>
      <c r="Y431" t="s">
        <v>6608</v>
      </c>
      <c r="Z431" t="s">
        <v>6614</v>
      </c>
      <c r="AA431" t="s">
        <v>6631</v>
      </c>
      <c r="AB431" t="s">
        <v>7068</v>
      </c>
      <c r="AD431" t="s">
        <v>9467</v>
      </c>
      <c r="AE431">
        <v>10</v>
      </c>
      <c r="AF431" t="s">
        <v>11005</v>
      </c>
      <c r="AG431" t="s">
        <v>5406</v>
      </c>
      <c r="AH431">
        <v>4</v>
      </c>
      <c r="AI431">
        <v>1</v>
      </c>
      <c r="AJ431">
        <v>0</v>
      </c>
      <c r="AK431">
        <v>64.68000000000001</v>
      </c>
      <c r="AN431" t="s">
        <v>11051</v>
      </c>
      <c r="AO431">
        <v>7800</v>
      </c>
      <c r="AU431">
        <v>10.7</v>
      </c>
      <c r="AV431" t="s">
        <v>649</v>
      </c>
      <c r="AW431" t="s">
        <v>11497</v>
      </c>
    </row>
    <row r="432" spans="1:49">
      <c r="A432" s="1">
        <f>HYPERLINK("https://cms.ls-nyc.org/matter/dynamic-profile/view/1860610","18-1860610")</f>
        <v>0</v>
      </c>
      <c r="B432" t="s">
        <v>92</v>
      </c>
      <c r="C432" t="s">
        <v>235</v>
      </c>
      <c r="D432" t="s">
        <v>409</v>
      </c>
      <c r="F432" t="s">
        <v>1183</v>
      </c>
      <c r="G432" t="s">
        <v>2431</v>
      </c>
      <c r="H432" t="s">
        <v>3761</v>
      </c>
      <c r="I432" t="s">
        <v>4750</v>
      </c>
      <c r="J432" t="s">
        <v>5323</v>
      </c>
      <c r="K432">
        <v>10031</v>
      </c>
      <c r="L432" t="s">
        <v>5355</v>
      </c>
      <c r="M432" t="s">
        <v>5356</v>
      </c>
      <c r="O432" t="s">
        <v>6494</v>
      </c>
      <c r="P432" t="s">
        <v>6525</v>
      </c>
      <c r="R432" t="s">
        <v>6539</v>
      </c>
      <c r="S432" t="s">
        <v>5355</v>
      </c>
      <c r="U432" t="s">
        <v>6557</v>
      </c>
      <c r="V432" t="s">
        <v>6566</v>
      </c>
      <c r="W432" t="s">
        <v>316</v>
      </c>
      <c r="X432">
        <v>2126</v>
      </c>
      <c r="Y432" t="s">
        <v>6608</v>
      </c>
      <c r="Z432" t="s">
        <v>6622</v>
      </c>
      <c r="AB432" t="s">
        <v>7069</v>
      </c>
      <c r="AD432" t="s">
        <v>9468</v>
      </c>
      <c r="AE432">
        <v>44</v>
      </c>
      <c r="AF432" t="s">
        <v>11008</v>
      </c>
      <c r="AG432" t="s">
        <v>11020</v>
      </c>
      <c r="AH432">
        <v>23</v>
      </c>
      <c r="AI432">
        <v>2</v>
      </c>
      <c r="AJ432">
        <v>0</v>
      </c>
      <c r="AK432">
        <v>65.39</v>
      </c>
      <c r="AN432" t="s">
        <v>11049</v>
      </c>
      <c r="AO432">
        <v>10764</v>
      </c>
      <c r="AU432">
        <v>113.85</v>
      </c>
      <c r="AV432" t="s">
        <v>829</v>
      </c>
      <c r="AW432" t="s">
        <v>11497</v>
      </c>
    </row>
    <row r="433" spans="1:50">
      <c r="A433" s="1">
        <f>HYPERLINK("https://cms.ls-nyc.org/matter/dynamic-profile/view/1863708","18-1863708")</f>
        <v>0</v>
      </c>
      <c r="B433" t="s">
        <v>92</v>
      </c>
      <c r="C433" t="s">
        <v>235</v>
      </c>
      <c r="D433" t="s">
        <v>263</v>
      </c>
      <c r="F433" t="s">
        <v>1184</v>
      </c>
      <c r="G433" t="s">
        <v>2188</v>
      </c>
      <c r="H433" t="s">
        <v>3579</v>
      </c>
      <c r="I433">
        <v>504</v>
      </c>
      <c r="J433" t="s">
        <v>5323</v>
      </c>
      <c r="K433">
        <v>10029</v>
      </c>
      <c r="L433" t="s">
        <v>5355</v>
      </c>
      <c r="M433" t="s">
        <v>5355</v>
      </c>
      <c r="O433" t="s">
        <v>6494</v>
      </c>
      <c r="P433" t="s">
        <v>6525</v>
      </c>
      <c r="R433" t="s">
        <v>6539</v>
      </c>
      <c r="S433" t="s">
        <v>5357</v>
      </c>
      <c r="U433" t="s">
        <v>6557</v>
      </c>
      <c r="V433" t="s">
        <v>6566</v>
      </c>
      <c r="W433" t="s">
        <v>263</v>
      </c>
      <c r="X433">
        <v>0</v>
      </c>
      <c r="Y433" t="s">
        <v>6608</v>
      </c>
      <c r="Z433" t="s">
        <v>6622</v>
      </c>
      <c r="AB433" t="s">
        <v>7070</v>
      </c>
      <c r="AE433">
        <v>108</v>
      </c>
      <c r="AF433" t="s">
        <v>11008</v>
      </c>
      <c r="AG433" t="s">
        <v>11020</v>
      </c>
      <c r="AH433">
        <v>26</v>
      </c>
      <c r="AI433">
        <v>2</v>
      </c>
      <c r="AJ433">
        <v>0</v>
      </c>
      <c r="AK433">
        <v>65.39</v>
      </c>
      <c r="AN433" t="s">
        <v>11049</v>
      </c>
      <c r="AO433">
        <v>10764</v>
      </c>
      <c r="AU433">
        <v>0</v>
      </c>
      <c r="AW433" t="s">
        <v>11497</v>
      </c>
    </row>
    <row r="434" spans="1:50">
      <c r="A434" s="1">
        <f>HYPERLINK("https://cms.ls-nyc.org/matter/dynamic-profile/view/1852362","17-1852362")</f>
        <v>0</v>
      </c>
      <c r="B434" t="s">
        <v>135</v>
      </c>
      <c r="C434" t="s">
        <v>234</v>
      </c>
      <c r="D434" t="s">
        <v>294</v>
      </c>
      <c r="E434" t="s">
        <v>665</v>
      </c>
      <c r="F434" t="s">
        <v>1185</v>
      </c>
      <c r="G434" t="s">
        <v>2432</v>
      </c>
      <c r="H434" t="s">
        <v>3775</v>
      </c>
      <c r="I434" t="s">
        <v>4901</v>
      </c>
      <c r="J434" t="s">
        <v>5320</v>
      </c>
      <c r="K434">
        <v>11206</v>
      </c>
      <c r="L434" t="s">
        <v>5355</v>
      </c>
      <c r="M434" t="s">
        <v>5355</v>
      </c>
      <c r="O434" t="s">
        <v>5393</v>
      </c>
      <c r="P434" t="s">
        <v>6525</v>
      </c>
      <c r="Q434" t="s">
        <v>6533</v>
      </c>
      <c r="R434" t="s">
        <v>6539</v>
      </c>
      <c r="S434" t="s">
        <v>5355</v>
      </c>
      <c r="U434" t="s">
        <v>6557</v>
      </c>
      <c r="W434" t="s">
        <v>465</v>
      </c>
      <c r="X434">
        <v>1057.68</v>
      </c>
      <c r="Y434" t="s">
        <v>6605</v>
      </c>
      <c r="Z434" t="s">
        <v>6493</v>
      </c>
      <c r="AA434" t="s">
        <v>6634</v>
      </c>
      <c r="AB434" t="s">
        <v>7071</v>
      </c>
      <c r="AD434" t="s">
        <v>9469</v>
      </c>
      <c r="AE434">
        <v>25</v>
      </c>
      <c r="AF434" t="s">
        <v>11005</v>
      </c>
      <c r="AG434" t="s">
        <v>11020</v>
      </c>
      <c r="AH434">
        <v>9</v>
      </c>
      <c r="AI434">
        <v>2</v>
      </c>
      <c r="AJ434">
        <v>0</v>
      </c>
      <c r="AK434">
        <v>65.54000000000001</v>
      </c>
      <c r="AN434" t="s">
        <v>11050</v>
      </c>
      <c r="AO434">
        <v>10644</v>
      </c>
      <c r="AP434" t="s">
        <v>11094</v>
      </c>
      <c r="AU434">
        <v>0.25</v>
      </c>
      <c r="AV434" t="s">
        <v>439</v>
      </c>
      <c r="AW434" t="s">
        <v>135</v>
      </c>
    </row>
    <row r="435" spans="1:50">
      <c r="A435" s="1">
        <f>HYPERLINK("https://cms.ls-nyc.org/matter/dynamic-profile/view/1872527","18-1872527")</f>
        <v>0</v>
      </c>
      <c r="B435" t="s">
        <v>135</v>
      </c>
      <c r="C435" t="s">
        <v>235</v>
      </c>
      <c r="D435" t="s">
        <v>427</v>
      </c>
      <c r="F435" t="s">
        <v>1186</v>
      </c>
      <c r="G435" t="s">
        <v>2433</v>
      </c>
      <c r="H435" t="s">
        <v>3735</v>
      </c>
      <c r="I435" t="s">
        <v>4902</v>
      </c>
      <c r="J435" t="s">
        <v>5320</v>
      </c>
      <c r="K435">
        <v>11225</v>
      </c>
      <c r="L435" t="s">
        <v>5355</v>
      </c>
      <c r="M435" t="s">
        <v>5356</v>
      </c>
      <c r="O435" t="s">
        <v>6500</v>
      </c>
      <c r="P435" t="s">
        <v>6525</v>
      </c>
      <c r="R435" t="s">
        <v>6539</v>
      </c>
      <c r="S435" t="s">
        <v>5355</v>
      </c>
      <c r="U435" t="s">
        <v>6557</v>
      </c>
      <c r="W435" t="s">
        <v>523</v>
      </c>
      <c r="X435">
        <v>432.05</v>
      </c>
      <c r="Y435" t="s">
        <v>6605</v>
      </c>
      <c r="Z435" t="s">
        <v>6622</v>
      </c>
      <c r="AB435" t="s">
        <v>7072</v>
      </c>
      <c r="AC435" t="s">
        <v>8737</v>
      </c>
      <c r="AD435" t="s">
        <v>9470</v>
      </c>
      <c r="AE435">
        <v>89</v>
      </c>
      <c r="AF435" t="s">
        <v>11005</v>
      </c>
      <c r="AG435" t="s">
        <v>11024</v>
      </c>
      <c r="AH435">
        <v>34</v>
      </c>
      <c r="AI435">
        <v>2</v>
      </c>
      <c r="AJ435">
        <v>0</v>
      </c>
      <c r="AK435">
        <v>65.83</v>
      </c>
      <c r="AN435" t="s">
        <v>11050</v>
      </c>
      <c r="AO435">
        <v>10836</v>
      </c>
      <c r="AU435">
        <v>0</v>
      </c>
      <c r="AW435" t="s">
        <v>11512</v>
      </c>
    </row>
    <row r="436" spans="1:50">
      <c r="A436" s="1">
        <f>HYPERLINK("https://cms.ls-nyc.org/matter/dynamic-profile/view/1855933","18-1855933")</f>
        <v>0</v>
      </c>
      <c r="B436" t="s">
        <v>77</v>
      </c>
      <c r="C436" t="s">
        <v>234</v>
      </c>
      <c r="D436" t="s">
        <v>380</v>
      </c>
      <c r="E436" t="s">
        <v>715</v>
      </c>
      <c r="F436" t="s">
        <v>1187</v>
      </c>
      <c r="G436" t="s">
        <v>2412</v>
      </c>
      <c r="H436" t="s">
        <v>3773</v>
      </c>
      <c r="I436" t="s">
        <v>4818</v>
      </c>
      <c r="J436" t="s">
        <v>5320</v>
      </c>
      <c r="K436">
        <v>11213</v>
      </c>
      <c r="L436" t="s">
        <v>5355</v>
      </c>
      <c r="M436" t="s">
        <v>5356</v>
      </c>
      <c r="O436" t="s">
        <v>5393</v>
      </c>
      <c r="P436" t="s">
        <v>6525</v>
      </c>
      <c r="Q436" t="s">
        <v>6531</v>
      </c>
      <c r="R436" t="s">
        <v>6539</v>
      </c>
      <c r="S436" t="s">
        <v>5355</v>
      </c>
      <c r="U436" t="s">
        <v>6557</v>
      </c>
      <c r="W436" t="s">
        <v>464</v>
      </c>
      <c r="X436">
        <v>750</v>
      </c>
      <c r="Y436" t="s">
        <v>6605</v>
      </c>
      <c r="Z436" t="s">
        <v>6622</v>
      </c>
      <c r="AA436" t="s">
        <v>6631</v>
      </c>
      <c r="AB436" t="s">
        <v>7073</v>
      </c>
      <c r="AD436" t="s">
        <v>9471</v>
      </c>
      <c r="AE436">
        <v>107</v>
      </c>
      <c r="AF436" t="s">
        <v>11005</v>
      </c>
      <c r="AG436" t="s">
        <v>5406</v>
      </c>
      <c r="AH436">
        <v>10</v>
      </c>
      <c r="AI436">
        <v>5</v>
      </c>
      <c r="AJ436">
        <v>1</v>
      </c>
      <c r="AK436">
        <v>66.26000000000001</v>
      </c>
      <c r="AL436" t="s">
        <v>266</v>
      </c>
      <c r="AM436" t="s">
        <v>11045</v>
      </c>
      <c r="AN436" t="s">
        <v>11049</v>
      </c>
      <c r="AO436">
        <v>21840</v>
      </c>
      <c r="AU436">
        <v>0.6</v>
      </c>
      <c r="AV436" t="s">
        <v>715</v>
      </c>
      <c r="AW436" t="s">
        <v>77</v>
      </c>
    </row>
    <row r="437" spans="1:50">
      <c r="A437" s="1">
        <f>HYPERLINK("https://cms.ls-nyc.org/matter/dynamic-profile/view/1845036","17-1845036")</f>
        <v>0</v>
      </c>
      <c r="B437" t="s">
        <v>77</v>
      </c>
      <c r="C437" t="s">
        <v>234</v>
      </c>
      <c r="D437" t="s">
        <v>419</v>
      </c>
      <c r="E437" t="s">
        <v>715</v>
      </c>
      <c r="F437" t="s">
        <v>1187</v>
      </c>
      <c r="G437" t="s">
        <v>2412</v>
      </c>
      <c r="H437" t="s">
        <v>3773</v>
      </c>
      <c r="I437" t="s">
        <v>4818</v>
      </c>
      <c r="J437" t="s">
        <v>5320</v>
      </c>
      <c r="K437">
        <v>11213</v>
      </c>
      <c r="L437" t="s">
        <v>5355</v>
      </c>
      <c r="M437" t="s">
        <v>5356</v>
      </c>
      <c r="O437" t="s">
        <v>6500</v>
      </c>
      <c r="P437" t="s">
        <v>6525</v>
      </c>
      <c r="Q437" t="s">
        <v>6531</v>
      </c>
      <c r="R437" t="s">
        <v>6539</v>
      </c>
      <c r="S437" t="s">
        <v>5355</v>
      </c>
      <c r="U437" t="s">
        <v>6557</v>
      </c>
      <c r="W437" t="s">
        <v>461</v>
      </c>
      <c r="X437">
        <v>750</v>
      </c>
      <c r="Y437" t="s">
        <v>6605</v>
      </c>
      <c r="AA437" t="s">
        <v>6631</v>
      </c>
      <c r="AB437" t="s">
        <v>7073</v>
      </c>
      <c r="AD437" t="s">
        <v>9471</v>
      </c>
      <c r="AE437">
        <v>107</v>
      </c>
      <c r="AF437" t="s">
        <v>11005</v>
      </c>
      <c r="AH437">
        <v>10</v>
      </c>
      <c r="AI437">
        <v>5</v>
      </c>
      <c r="AJ437">
        <v>1</v>
      </c>
      <c r="AK437">
        <v>66.26000000000001</v>
      </c>
      <c r="AL437" t="s">
        <v>266</v>
      </c>
      <c r="AN437" t="s">
        <v>11049</v>
      </c>
      <c r="AO437">
        <v>21840</v>
      </c>
      <c r="AP437" t="s">
        <v>11102</v>
      </c>
      <c r="AU437">
        <v>6.95</v>
      </c>
      <c r="AV437" t="s">
        <v>715</v>
      </c>
      <c r="AW437" t="s">
        <v>11489</v>
      </c>
    </row>
    <row r="438" spans="1:50">
      <c r="A438" s="1">
        <f>HYPERLINK("https://cms.ls-nyc.org/matter/dynamic-profile/view/1848080","17-1848080")</f>
        <v>0</v>
      </c>
      <c r="B438" t="s">
        <v>147</v>
      </c>
      <c r="C438" t="s">
        <v>234</v>
      </c>
      <c r="D438" t="s">
        <v>411</v>
      </c>
      <c r="E438" t="s">
        <v>750</v>
      </c>
      <c r="F438" t="s">
        <v>865</v>
      </c>
      <c r="G438" t="s">
        <v>2355</v>
      </c>
      <c r="H438" t="s">
        <v>3788</v>
      </c>
      <c r="I438" t="s">
        <v>4816</v>
      </c>
      <c r="J438" t="s">
        <v>5321</v>
      </c>
      <c r="K438">
        <v>10453</v>
      </c>
      <c r="L438" t="s">
        <v>5355</v>
      </c>
      <c r="M438" t="s">
        <v>5356</v>
      </c>
      <c r="N438" t="s">
        <v>5511</v>
      </c>
      <c r="O438" t="s">
        <v>6492</v>
      </c>
      <c r="P438" t="s">
        <v>6525</v>
      </c>
      <c r="Q438" t="s">
        <v>6532</v>
      </c>
      <c r="R438" t="s">
        <v>6539</v>
      </c>
      <c r="S438" t="s">
        <v>5357</v>
      </c>
      <c r="U438" t="s">
        <v>6557</v>
      </c>
      <c r="W438" t="s">
        <v>302</v>
      </c>
      <c r="X438">
        <v>1350</v>
      </c>
      <c r="Y438" t="s">
        <v>6606</v>
      </c>
      <c r="Z438" t="s">
        <v>6611</v>
      </c>
      <c r="AA438" t="s">
        <v>6631</v>
      </c>
      <c r="AB438" t="s">
        <v>7074</v>
      </c>
      <c r="AC438" t="s">
        <v>8759</v>
      </c>
      <c r="AD438" t="s">
        <v>9472</v>
      </c>
      <c r="AE438">
        <v>61</v>
      </c>
      <c r="AF438" t="s">
        <v>8722</v>
      </c>
      <c r="AG438" t="s">
        <v>5406</v>
      </c>
      <c r="AH438">
        <v>4</v>
      </c>
      <c r="AI438">
        <v>1</v>
      </c>
      <c r="AJ438">
        <v>0</v>
      </c>
      <c r="AK438">
        <v>66.40000000000001</v>
      </c>
      <c r="AN438" t="s">
        <v>11049</v>
      </c>
      <c r="AO438">
        <v>8007.38</v>
      </c>
      <c r="AP438" t="s">
        <v>11075</v>
      </c>
      <c r="AU438">
        <v>11.4</v>
      </c>
      <c r="AV438" t="s">
        <v>289</v>
      </c>
      <c r="AW438" t="s">
        <v>11492</v>
      </c>
    </row>
    <row r="439" spans="1:50">
      <c r="A439" s="1">
        <f>HYPERLINK("https://cms.ls-nyc.org/matter/dynamic-profile/view/1847595","17-1847595")</f>
        <v>0</v>
      </c>
      <c r="B439" t="s">
        <v>105</v>
      </c>
      <c r="C439" t="s">
        <v>234</v>
      </c>
      <c r="D439" t="s">
        <v>346</v>
      </c>
      <c r="E439" t="s">
        <v>705</v>
      </c>
      <c r="F439" t="s">
        <v>1188</v>
      </c>
      <c r="G439" t="s">
        <v>2434</v>
      </c>
      <c r="H439" t="s">
        <v>3789</v>
      </c>
      <c r="I439">
        <v>44</v>
      </c>
      <c r="J439" t="s">
        <v>5323</v>
      </c>
      <c r="K439">
        <v>10031</v>
      </c>
      <c r="L439" t="s">
        <v>5355</v>
      </c>
      <c r="M439" t="s">
        <v>5356</v>
      </c>
      <c r="O439" t="s">
        <v>6498</v>
      </c>
      <c r="P439" t="s">
        <v>6525</v>
      </c>
      <c r="Q439" t="s">
        <v>6532</v>
      </c>
      <c r="R439" t="s">
        <v>6539</v>
      </c>
      <c r="S439" t="s">
        <v>5355</v>
      </c>
      <c r="U439" t="s">
        <v>6559</v>
      </c>
      <c r="W439" t="s">
        <v>334</v>
      </c>
      <c r="X439">
        <v>0</v>
      </c>
      <c r="Y439" t="s">
        <v>6608</v>
      </c>
      <c r="AA439" t="s">
        <v>6642</v>
      </c>
      <c r="AB439" t="s">
        <v>7075</v>
      </c>
      <c r="AD439" t="s">
        <v>9473</v>
      </c>
      <c r="AE439">
        <v>0</v>
      </c>
      <c r="AF439" t="s">
        <v>11005</v>
      </c>
      <c r="AH439">
        <v>0</v>
      </c>
      <c r="AI439">
        <v>2</v>
      </c>
      <c r="AJ439">
        <v>0</v>
      </c>
      <c r="AK439">
        <v>66.5</v>
      </c>
      <c r="AN439" t="s">
        <v>11049</v>
      </c>
      <c r="AO439">
        <v>10800</v>
      </c>
      <c r="AU439">
        <v>1.2</v>
      </c>
      <c r="AV439" t="s">
        <v>705</v>
      </c>
      <c r="AW439" t="s">
        <v>11521</v>
      </c>
    </row>
    <row r="440" spans="1:50">
      <c r="A440" s="1">
        <f>HYPERLINK("https://cms.ls-nyc.org/matter/dynamic-profile/view/1860272","18-1860272")</f>
        <v>0</v>
      </c>
      <c r="B440" t="s">
        <v>65</v>
      </c>
      <c r="C440" t="s">
        <v>235</v>
      </c>
      <c r="D440" t="s">
        <v>428</v>
      </c>
      <c r="F440" t="s">
        <v>1189</v>
      </c>
      <c r="G440" t="s">
        <v>2168</v>
      </c>
      <c r="H440" t="s">
        <v>3790</v>
      </c>
      <c r="I440" t="s">
        <v>4891</v>
      </c>
      <c r="J440" t="s">
        <v>5323</v>
      </c>
      <c r="K440">
        <v>10034</v>
      </c>
      <c r="L440" t="s">
        <v>5355</v>
      </c>
      <c r="M440" t="s">
        <v>5356</v>
      </c>
      <c r="O440" t="s">
        <v>5393</v>
      </c>
      <c r="P440" t="s">
        <v>6525</v>
      </c>
      <c r="R440" t="s">
        <v>6539</v>
      </c>
      <c r="S440" t="s">
        <v>5357</v>
      </c>
      <c r="U440" t="s">
        <v>6557</v>
      </c>
      <c r="W440" t="s">
        <v>428</v>
      </c>
      <c r="X440">
        <v>986</v>
      </c>
      <c r="Y440" t="s">
        <v>6608</v>
      </c>
      <c r="Z440" t="s">
        <v>6614</v>
      </c>
      <c r="AB440" t="s">
        <v>7076</v>
      </c>
      <c r="AD440" t="s">
        <v>9474</v>
      </c>
      <c r="AE440">
        <v>44</v>
      </c>
      <c r="AF440" t="s">
        <v>11005</v>
      </c>
      <c r="AG440" t="s">
        <v>11024</v>
      </c>
      <c r="AH440">
        <v>22</v>
      </c>
      <c r="AI440">
        <v>4</v>
      </c>
      <c r="AJ440">
        <v>2</v>
      </c>
      <c r="AK440">
        <v>67.75</v>
      </c>
      <c r="AN440" t="s">
        <v>11049</v>
      </c>
      <c r="AO440">
        <v>37044</v>
      </c>
      <c r="AU440">
        <v>1.1</v>
      </c>
      <c r="AV440" t="s">
        <v>756</v>
      </c>
      <c r="AW440" t="s">
        <v>11495</v>
      </c>
    </row>
    <row r="441" spans="1:50">
      <c r="A441" s="1">
        <f>HYPERLINK("https://cms.ls-nyc.org/matter/dynamic-profile/view/1869237","18-1869237")</f>
        <v>0</v>
      </c>
      <c r="B441" t="s">
        <v>102</v>
      </c>
      <c r="C441" t="s">
        <v>234</v>
      </c>
      <c r="D441" t="s">
        <v>252</v>
      </c>
      <c r="E441" t="s">
        <v>699</v>
      </c>
      <c r="F441" t="s">
        <v>1190</v>
      </c>
      <c r="G441" t="s">
        <v>2435</v>
      </c>
      <c r="H441" t="s">
        <v>3791</v>
      </c>
      <c r="I441">
        <v>3</v>
      </c>
      <c r="J441" t="s">
        <v>5321</v>
      </c>
      <c r="K441">
        <v>10459</v>
      </c>
      <c r="L441" t="s">
        <v>5355</v>
      </c>
      <c r="M441" t="s">
        <v>5356</v>
      </c>
      <c r="O441" t="s">
        <v>5393</v>
      </c>
      <c r="P441" t="s">
        <v>6525</v>
      </c>
      <c r="Q441" t="s">
        <v>6532</v>
      </c>
      <c r="R441" t="s">
        <v>6539</v>
      </c>
      <c r="U441" t="s">
        <v>6557</v>
      </c>
      <c r="W441" t="s">
        <v>375</v>
      </c>
      <c r="X441">
        <v>1400</v>
      </c>
      <c r="Y441" t="s">
        <v>6606</v>
      </c>
      <c r="Z441" t="s">
        <v>6615</v>
      </c>
      <c r="AA441" t="s">
        <v>6636</v>
      </c>
      <c r="AB441" t="s">
        <v>7077</v>
      </c>
      <c r="AC441" t="s">
        <v>8760</v>
      </c>
      <c r="AE441">
        <v>0</v>
      </c>
      <c r="AF441" t="s">
        <v>11004</v>
      </c>
      <c r="AG441" t="s">
        <v>11026</v>
      </c>
      <c r="AH441">
        <v>7</v>
      </c>
      <c r="AI441">
        <v>1</v>
      </c>
      <c r="AJ441">
        <v>0</v>
      </c>
      <c r="AK441">
        <v>69.19</v>
      </c>
      <c r="AN441" t="s">
        <v>11050</v>
      </c>
      <c r="AO441">
        <v>8400</v>
      </c>
      <c r="AU441">
        <v>5.65</v>
      </c>
      <c r="AV441" t="s">
        <v>600</v>
      </c>
      <c r="AW441" t="s">
        <v>11505</v>
      </c>
    </row>
    <row r="442" spans="1:50">
      <c r="A442" s="1">
        <f>HYPERLINK("https://cms.ls-nyc.org/matter/dynamic-profile/view/1861627","18-1861627")</f>
        <v>0</v>
      </c>
      <c r="B442" t="s">
        <v>76</v>
      </c>
      <c r="C442" t="s">
        <v>234</v>
      </c>
      <c r="D442" t="s">
        <v>362</v>
      </c>
      <c r="E442" t="s">
        <v>665</v>
      </c>
      <c r="F442" t="s">
        <v>1191</v>
      </c>
      <c r="G442" t="s">
        <v>2436</v>
      </c>
      <c r="H442" t="s">
        <v>3792</v>
      </c>
      <c r="I442" t="s">
        <v>4749</v>
      </c>
      <c r="J442" t="s">
        <v>5323</v>
      </c>
      <c r="K442">
        <v>10029</v>
      </c>
      <c r="L442" t="s">
        <v>5355</v>
      </c>
      <c r="M442" t="s">
        <v>5355</v>
      </c>
      <c r="O442" t="s">
        <v>6499</v>
      </c>
      <c r="P442" t="s">
        <v>6525</v>
      </c>
      <c r="Q442" t="s">
        <v>6532</v>
      </c>
      <c r="R442" t="s">
        <v>6539</v>
      </c>
      <c r="S442" t="s">
        <v>5357</v>
      </c>
      <c r="U442" t="s">
        <v>6557</v>
      </c>
      <c r="V442" t="s">
        <v>6566</v>
      </c>
      <c r="W442" t="s">
        <v>362</v>
      </c>
      <c r="X442">
        <v>218.13</v>
      </c>
      <c r="Y442" t="s">
        <v>6608</v>
      </c>
      <c r="Z442" t="s">
        <v>6614</v>
      </c>
      <c r="AA442" t="s">
        <v>6636</v>
      </c>
      <c r="AB442" t="s">
        <v>7078</v>
      </c>
      <c r="AD442" t="s">
        <v>9475</v>
      </c>
      <c r="AE442">
        <v>17</v>
      </c>
      <c r="AF442" t="s">
        <v>11006</v>
      </c>
      <c r="AG442" t="s">
        <v>5406</v>
      </c>
      <c r="AH442">
        <v>7</v>
      </c>
      <c r="AI442">
        <v>2</v>
      </c>
      <c r="AJ442">
        <v>0</v>
      </c>
      <c r="AK442">
        <v>69.26000000000001</v>
      </c>
      <c r="AN442" t="s">
        <v>11050</v>
      </c>
      <c r="AO442">
        <v>11400</v>
      </c>
      <c r="AU442">
        <v>153.8</v>
      </c>
      <c r="AV442" t="s">
        <v>605</v>
      </c>
      <c r="AW442" t="s">
        <v>11497</v>
      </c>
    </row>
    <row r="443" spans="1:50">
      <c r="A443" s="1">
        <f>HYPERLINK("https://cms.ls-nyc.org/matter/dynamic-profile/view/1860430","18-1860430")</f>
        <v>0</v>
      </c>
      <c r="B443" t="s">
        <v>92</v>
      </c>
      <c r="C443" t="s">
        <v>235</v>
      </c>
      <c r="D443" t="s">
        <v>319</v>
      </c>
      <c r="F443" t="s">
        <v>1192</v>
      </c>
      <c r="G443" t="s">
        <v>2101</v>
      </c>
      <c r="H443" t="s">
        <v>3761</v>
      </c>
      <c r="I443" t="s">
        <v>4749</v>
      </c>
      <c r="J443" t="s">
        <v>5323</v>
      </c>
      <c r="K443">
        <v>10031</v>
      </c>
      <c r="L443" t="s">
        <v>5355</v>
      </c>
      <c r="M443" t="s">
        <v>5355</v>
      </c>
      <c r="O443" t="s">
        <v>6494</v>
      </c>
      <c r="P443" t="s">
        <v>6525</v>
      </c>
      <c r="R443" t="s">
        <v>6539</v>
      </c>
      <c r="S443" t="s">
        <v>5355</v>
      </c>
      <c r="U443" t="s">
        <v>6557</v>
      </c>
      <c r="V443" t="s">
        <v>6566</v>
      </c>
      <c r="W443" t="s">
        <v>316</v>
      </c>
      <c r="X443">
        <v>2697</v>
      </c>
      <c r="Y443" t="s">
        <v>6608</v>
      </c>
      <c r="Z443" t="s">
        <v>6622</v>
      </c>
      <c r="AB443" t="s">
        <v>7079</v>
      </c>
      <c r="AD443" t="s">
        <v>9476</v>
      </c>
      <c r="AE443">
        <v>44</v>
      </c>
      <c r="AF443" t="s">
        <v>11008</v>
      </c>
      <c r="AG443" t="s">
        <v>11020</v>
      </c>
      <c r="AH443">
        <v>15</v>
      </c>
      <c r="AI443">
        <v>2</v>
      </c>
      <c r="AJ443">
        <v>1</v>
      </c>
      <c r="AK443">
        <v>69.54000000000001</v>
      </c>
      <c r="AN443" t="s">
        <v>11049</v>
      </c>
      <c r="AO443">
        <v>14200</v>
      </c>
      <c r="AU443">
        <v>0.75</v>
      </c>
      <c r="AV443" t="s">
        <v>803</v>
      </c>
      <c r="AW443" t="s">
        <v>11497</v>
      </c>
      <c r="AX443" t="s">
        <v>11564</v>
      </c>
    </row>
    <row r="444" spans="1:50">
      <c r="A444" s="1">
        <f>HYPERLINK("https://cms.ls-nyc.org/matter/dynamic-profile/view/1857480","18-1857480")</f>
        <v>0</v>
      </c>
      <c r="B444" t="s">
        <v>84</v>
      </c>
      <c r="C444" t="s">
        <v>234</v>
      </c>
      <c r="D444" t="s">
        <v>397</v>
      </c>
      <c r="E444" t="s">
        <v>755</v>
      </c>
      <c r="F444" t="s">
        <v>1094</v>
      </c>
      <c r="G444" t="s">
        <v>2437</v>
      </c>
      <c r="H444" t="s">
        <v>3793</v>
      </c>
      <c r="I444" t="s">
        <v>4748</v>
      </c>
      <c r="J444" t="s">
        <v>5320</v>
      </c>
      <c r="K444">
        <v>11208</v>
      </c>
      <c r="L444" t="s">
        <v>5355</v>
      </c>
      <c r="M444" t="s">
        <v>5356</v>
      </c>
      <c r="N444" t="s">
        <v>5512</v>
      </c>
      <c r="O444" t="s">
        <v>6494</v>
      </c>
      <c r="P444" t="s">
        <v>6525</v>
      </c>
      <c r="Q444" t="s">
        <v>6533</v>
      </c>
      <c r="R444" t="s">
        <v>6539</v>
      </c>
      <c r="S444" t="s">
        <v>5357</v>
      </c>
      <c r="U444" t="s">
        <v>6557</v>
      </c>
      <c r="W444" t="s">
        <v>397</v>
      </c>
      <c r="X444">
        <v>2000</v>
      </c>
      <c r="Y444" t="s">
        <v>6605</v>
      </c>
      <c r="Z444" t="s">
        <v>6611</v>
      </c>
      <c r="AA444" t="s">
        <v>6640</v>
      </c>
      <c r="AB444" t="s">
        <v>7080</v>
      </c>
      <c r="AD444" t="s">
        <v>9477</v>
      </c>
      <c r="AE444">
        <v>3</v>
      </c>
      <c r="AF444" t="s">
        <v>11004</v>
      </c>
      <c r="AH444">
        <v>5</v>
      </c>
      <c r="AI444">
        <v>2</v>
      </c>
      <c r="AJ444">
        <v>1</v>
      </c>
      <c r="AK444">
        <v>70.52</v>
      </c>
      <c r="AN444" t="s">
        <v>11050</v>
      </c>
      <c r="AO444">
        <v>14400</v>
      </c>
      <c r="AU444">
        <v>30</v>
      </c>
      <c r="AV444" t="s">
        <v>788</v>
      </c>
      <c r="AW444" t="s">
        <v>11487</v>
      </c>
    </row>
    <row r="445" spans="1:50">
      <c r="A445" s="1">
        <f>HYPERLINK("https://cms.ls-nyc.org/matter/dynamic-profile/view/1866196","18-1866196")</f>
        <v>0</v>
      </c>
      <c r="B445" t="s">
        <v>146</v>
      </c>
      <c r="C445" t="s">
        <v>234</v>
      </c>
      <c r="D445" t="s">
        <v>274</v>
      </c>
      <c r="E445" t="s">
        <v>754</v>
      </c>
      <c r="F445" t="s">
        <v>874</v>
      </c>
      <c r="G445" t="s">
        <v>2438</v>
      </c>
      <c r="H445" t="s">
        <v>3794</v>
      </c>
      <c r="I445" t="s">
        <v>4787</v>
      </c>
      <c r="J445" t="s">
        <v>5321</v>
      </c>
      <c r="K445">
        <v>10457</v>
      </c>
      <c r="L445" t="s">
        <v>5355</v>
      </c>
      <c r="M445" t="s">
        <v>5356</v>
      </c>
      <c r="O445" t="s">
        <v>6498</v>
      </c>
      <c r="P445" t="s">
        <v>6525</v>
      </c>
      <c r="Q445" t="s">
        <v>6532</v>
      </c>
      <c r="R445" t="s">
        <v>6539</v>
      </c>
      <c r="S445" t="s">
        <v>5357</v>
      </c>
      <c r="U445" t="s">
        <v>6559</v>
      </c>
      <c r="W445" t="s">
        <v>516</v>
      </c>
      <c r="X445">
        <v>967.5</v>
      </c>
      <c r="Y445" t="s">
        <v>6606</v>
      </c>
      <c r="Z445" t="s">
        <v>6614</v>
      </c>
      <c r="AA445" t="s">
        <v>6631</v>
      </c>
      <c r="AB445" t="s">
        <v>7081</v>
      </c>
      <c r="AC445" t="s">
        <v>8761</v>
      </c>
      <c r="AD445" t="s">
        <v>9478</v>
      </c>
      <c r="AE445">
        <v>25</v>
      </c>
      <c r="AF445" t="s">
        <v>11005</v>
      </c>
      <c r="AG445" t="s">
        <v>5406</v>
      </c>
      <c r="AH445">
        <v>25</v>
      </c>
      <c r="AI445">
        <v>1</v>
      </c>
      <c r="AJ445">
        <v>0</v>
      </c>
      <c r="AK445">
        <v>72.65000000000001</v>
      </c>
      <c r="AO445">
        <v>8820</v>
      </c>
      <c r="AU445">
        <v>0.7</v>
      </c>
      <c r="AV445" t="s">
        <v>244</v>
      </c>
      <c r="AW445" t="s">
        <v>11492</v>
      </c>
    </row>
    <row r="446" spans="1:50">
      <c r="A446" s="1">
        <f>HYPERLINK("https://cms.ls-nyc.org/matter/dynamic-profile/view/1855959","18-1855959")</f>
        <v>0</v>
      </c>
      <c r="B446" t="s">
        <v>77</v>
      </c>
      <c r="C446" t="s">
        <v>234</v>
      </c>
      <c r="D446" t="s">
        <v>380</v>
      </c>
      <c r="E446" t="s">
        <v>704</v>
      </c>
      <c r="F446" t="s">
        <v>1157</v>
      </c>
      <c r="G446" t="s">
        <v>2439</v>
      </c>
      <c r="H446" t="s">
        <v>3480</v>
      </c>
      <c r="I446" t="s">
        <v>4861</v>
      </c>
      <c r="J446" t="s">
        <v>5320</v>
      </c>
      <c r="K446">
        <v>11213</v>
      </c>
      <c r="L446" t="s">
        <v>5355</v>
      </c>
      <c r="M446" t="s">
        <v>5356</v>
      </c>
      <c r="O446" t="s">
        <v>5393</v>
      </c>
      <c r="P446" t="s">
        <v>6525</v>
      </c>
      <c r="Q446" t="s">
        <v>6532</v>
      </c>
      <c r="R446" t="s">
        <v>6539</v>
      </c>
      <c r="S446" t="s">
        <v>5355</v>
      </c>
      <c r="U446" t="s">
        <v>6557</v>
      </c>
      <c r="W446" t="s">
        <v>302</v>
      </c>
      <c r="X446">
        <v>1500</v>
      </c>
      <c r="Y446" t="s">
        <v>6605</v>
      </c>
      <c r="Z446" t="s">
        <v>6622</v>
      </c>
      <c r="AA446" t="s">
        <v>6634</v>
      </c>
      <c r="AB446" t="s">
        <v>7082</v>
      </c>
      <c r="AD446" t="s">
        <v>9479</v>
      </c>
      <c r="AE446">
        <v>107</v>
      </c>
      <c r="AF446" t="s">
        <v>11005</v>
      </c>
      <c r="AG446" t="s">
        <v>6493</v>
      </c>
      <c r="AH446">
        <v>3</v>
      </c>
      <c r="AI446">
        <v>1</v>
      </c>
      <c r="AJ446">
        <v>0</v>
      </c>
      <c r="AK446">
        <v>72.94</v>
      </c>
      <c r="AL446" t="s">
        <v>266</v>
      </c>
      <c r="AN446" t="s">
        <v>11050</v>
      </c>
      <c r="AO446">
        <v>8796</v>
      </c>
      <c r="AU446">
        <v>0.26</v>
      </c>
      <c r="AV446" t="s">
        <v>704</v>
      </c>
      <c r="AW446" t="s">
        <v>77</v>
      </c>
    </row>
    <row r="447" spans="1:50">
      <c r="A447" s="1">
        <f>HYPERLINK("https://cms.ls-nyc.org/matter/dynamic-profile/view/1844823","17-1844823")</f>
        <v>0</v>
      </c>
      <c r="B447" t="s">
        <v>77</v>
      </c>
      <c r="C447" t="s">
        <v>234</v>
      </c>
      <c r="D447" t="s">
        <v>406</v>
      </c>
      <c r="E447" t="s">
        <v>704</v>
      </c>
      <c r="F447" t="s">
        <v>1157</v>
      </c>
      <c r="G447" t="s">
        <v>2439</v>
      </c>
      <c r="H447" t="s">
        <v>3480</v>
      </c>
      <c r="I447" t="s">
        <v>4861</v>
      </c>
      <c r="J447" t="s">
        <v>5320</v>
      </c>
      <c r="K447">
        <v>11213</v>
      </c>
      <c r="L447" t="s">
        <v>5355</v>
      </c>
      <c r="M447" t="s">
        <v>5356</v>
      </c>
      <c r="O447" t="s">
        <v>6500</v>
      </c>
      <c r="P447" t="s">
        <v>6525</v>
      </c>
      <c r="Q447" t="s">
        <v>6532</v>
      </c>
      <c r="R447" t="s">
        <v>6539</v>
      </c>
      <c r="S447" t="s">
        <v>5355</v>
      </c>
      <c r="U447" t="s">
        <v>6557</v>
      </c>
      <c r="W447" t="s">
        <v>461</v>
      </c>
      <c r="X447">
        <v>1500</v>
      </c>
      <c r="Y447" t="s">
        <v>6605</v>
      </c>
      <c r="Z447" t="s">
        <v>6622</v>
      </c>
      <c r="AA447" t="s">
        <v>6634</v>
      </c>
      <c r="AB447" t="s">
        <v>7082</v>
      </c>
      <c r="AC447" t="s">
        <v>8722</v>
      </c>
      <c r="AD447" t="s">
        <v>9479</v>
      </c>
      <c r="AE447">
        <v>107</v>
      </c>
      <c r="AF447" t="s">
        <v>11005</v>
      </c>
      <c r="AG447" t="s">
        <v>6493</v>
      </c>
      <c r="AH447">
        <v>3</v>
      </c>
      <c r="AI447">
        <v>1</v>
      </c>
      <c r="AJ447">
        <v>0</v>
      </c>
      <c r="AK447">
        <v>72.94</v>
      </c>
      <c r="AL447" t="s">
        <v>266</v>
      </c>
      <c r="AN447" t="s">
        <v>11050</v>
      </c>
      <c r="AO447">
        <v>8796</v>
      </c>
      <c r="AU447">
        <v>1.19</v>
      </c>
      <c r="AV447" t="s">
        <v>704</v>
      </c>
      <c r="AW447" t="s">
        <v>11512</v>
      </c>
    </row>
    <row r="448" spans="1:50">
      <c r="A448" s="1">
        <f>HYPERLINK("https://cms.ls-nyc.org/matter/dynamic-profile/view/1840271","17-1840271")</f>
        <v>0</v>
      </c>
      <c r="B448" t="s">
        <v>97</v>
      </c>
      <c r="C448" t="s">
        <v>235</v>
      </c>
      <c r="D448" t="s">
        <v>405</v>
      </c>
      <c r="F448" t="s">
        <v>914</v>
      </c>
      <c r="G448" t="s">
        <v>2326</v>
      </c>
      <c r="H448" t="s">
        <v>3795</v>
      </c>
      <c r="I448">
        <v>22</v>
      </c>
      <c r="J448" t="s">
        <v>5323</v>
      </c>
      <c r="K448">
        <v>10034</v>
      </c>
      <c r="L448" t="s">
        <v>5355</v>
      </c>
      <c r="M448" t="s">
        <v>5356</v>
      </c>
      <c r="O448" t="s">
        <v>6494</v>
      </c>
      <c r="P448" t="s">
        <v>6525</v>
      </c>
      <c r="R448" t="s">
        <v>6539</v>
      </c>
      <c r="S448" t="s">
        <v>5357</v>
      </c>
      <c r="U448" t="s">
        <v>6557</v>
      </c>
      <c r="W448" t="s">
        <v>404</v>
      </c>
      <c r="X448">
        <v>828.99</v>
      </c>
      <c r="Y448" t="s">
        <v>6608</v>
      </c>
      <c r="Z448" t="s">
        <v>6616</v>
      </c>
      <c r="AB448" t="s">
        <v>7083</v>
      </c>
      <c r="AD448" t="s">
        <v>9480</v>
      </c>
      <c r="AE448">
        <v>25</v>
      </c>
      <c r="AF448" t="s">
        <v>11005</v>
      </c>
      <c r="AG448" t="s">
        <v>11024</v>
      </c>
      <c r="AH448">
        <v>35</v>
      </c>
      <c r="AI448">
        <v>1</v>
      </c>
      <c r="AJ448">
        <v>0</v>
      </c>
      <c r="AK448">
        <v>73.03</v>
      </c>
      <c r="AN448" t="s">
        <v>11050</v>
      </c>
      <c r="AO448">
        <v>8808</v>
      </c>
      <c r="AU448">
        <v>1.5</v>
      </c>
      <c r="AV448" t="s">
        <v>394</v>
      </c>
      <c r="AW448" t="s">
        <v>11495</v>
      </c>
    </row>
    <row r="449" spans="1:49">
      <c r="A449" s="1">
        <f>HYPERLINK("https://cms.ls-nyc.org/matter/dynamic-profile/view/1855751","18-1855751")</f>
        <v>0</v>
      </c>
      <c r="B449" t="s">
        <v>77</v>
      </c>
      <c r="C449" t="s">
        <v>234</v>
      </c>
      <c r="D449" t="s">
        <v>329</v>
      </c>
      <c r="E449" t="s">
        <v>704</v>
      </c>
      <c r="F449" t="s">
        <v>892</v>
      </c>
      <c r="G449" t="s">
        <v>2440</v>
      </c>
      <c r="H449" t="s">
        <v>3480</v>
      </c>
      <c r="I449" t="s">
        <v>4740</v>
      </c>
      <c r="J449" t="s">
        <v>5320</v>
      </c>
      <c r="K449">
        <v>11213</v>
      </c>
      <c r="L449" t="s">
        <v>5355</v>
      </c>
      <c r="M449" t="s">
        <v>5356</v>
      </c>
      <c r="O449" t="s">
        <v>5393</v>
      </c>
      <c r="P449" t="s">
        <v>6525</v>
      </c>
      <c r="Q449" t="s">
        <v>6532</v>
      </c>
      <c r="R449" t="s">
        <v>6539</v>
      </c>
      <c r="S449" t="s">
        <v>5355</v>
      </c>
      <c r="U449" t="s">
        <v>6557</v>
      </c>
      <c r="W449" t="s">
        <v>464</v>
      </c>
      <c r="X449">
        <v>793</v>
      </c>
      <c r="Y449" t="s">
        <v>6605</v>
      </c>
      <c r="Z449" t="s">
        <v>6622</v>
      </c>
      <c r="AA449" t="s">
        <v>6634</v>
      </c>
      <c r="AB449" t="s">
        <v>7084</v>
      </c>
      <c r="AD449" t="s">
        <v>9481</v>
      </c>
      <c r="AE449">
        <v>107</v>
      </c>
      <c r="AF449" t="s">
        <v>11005</v>
      </c>
      <c r="AG449" t="s">
        <v>11020</v>
      </c>
      <c r="AH449">
        <v>32</v>
      </c>
      <c r="AI449">
        <v>1</v>
      </c>
      <c r="AJ449">
        <v>0</v>
      </c>
      <c r="AK449">
        <v>73.13</v>
      </c>
      <c r="AL449" t="s">
        <v>266</v>
      </c>
      <c r="AN449" t="s">
        <v>11050</v>
      </c>
      <c r="AO449">
        <v>8820</v>
      </c>
      <c r="AU449">
        <v>0.35</v>
      </c>
      <c r="AV449" t="s">
        <v>704</v>
      </c>
      <c r="AW449" t="s">
        <v>77</v>
      </c>
    </row>
    <row r="450" spans="1:49">
      <c r="A450" s="1">
        <f>HYPERLINK("https://cms.ls-nyc.org/matter/dynamic-profile/view/1855867","18-1855867")</f>
        <v>0</v>
      </c>
      <c r="B450" t="s">
        <v>77</v>
      </c>
      <c r="C450" t="s">
        <v>234</v>
      </c>
      <c r="D450" t="s">
        <v>380</v>
      </c>
      <c r="E450" t="s">
        <v>704</v>
      </c>
      <c r="F450" t="s">
        <v>1193</v>
      </c>
      <c r="G450" t="s">
        <v>2270</v>
      </c>
      <c r="H450" t="s">
        <v>3480</v>
      </c>
      <c r="I450" t="s">
        <v>4903</v>
      </c>
      <c r="J450" t="s">
        <v>5320</v>
      </c>
      <c r="K450">
        <v>11213</v>
      </c>
      <c r="L450" t="s">
        <v>5355</v>
      </c>
      <c r="M450" t="s">
        <v>5356</v>
      </c>
      <c r="O450" t="s">
        <v>5393</v>
      </c>
      <c r="P450" t="s">
        <v>6525</v>
      </c>
      <c r="Q450" t="s">
        <v>6532</v>
      </c>
      <c r="R450" t="s">
        <v>6539</v>
      </c>
      <c r="S450" t="s">
        <v>5355</v>
      </c>
      <c r="U450" t="s">
        <v>6557</v>
      </c>
      <c r="W450" t="s">
        <v>302</v>
      </c>
      <c r="X450">
        <v>0</v>
      </c>
      <c r="Y450" t="s">
        <v>6605</v>
      </c>
      <c r="Z450" t="s">
        <v>6622</v>
      </c>
      <c r="AA450" t="s">
        <v>6634</v>
      </c>
      <c r="AB450" t="s">
        <v>7085</v>
      </c>
      <c r="AD450" t="s">
        <v>9482</v>
      </c>
      <c r="AE450">
        <v>107</v>
      </c>
      <c r="AF450" t="s">
        <v>11005</v>
      </c>
      <c r="AG450" t="s">
        <v>11026</v>
      </c>
      <c r="AH450">
        <v>4</v>
      </c>
      <c r="AI450">
        <v>1</v>
      </c>
      <c r="AJ450">
        <v>0</v>
      </c>
      <c r="AK450">
        <v>73.13</v>
      </c>
      <c r="AL450" t="s">
        <v>266</v>
      </c>
      <c r="AN450" t="s">
        <v>11050</v>
      </c>
      <c r="AO450">
        <v>8820</v>
      </c>
      <c r="AU450">
        <v>0.51</v>
      </c>
      <c r="AV450" t="s">
        <v>704</v>
      </c>
      <c r="AW450" t="s">
        <v>77</v>
      </c>
    </row>
    <row r="451" spans="1:49">
      <c r="A451" s="1">
        <f>HYPERLINK("https://cms.ls-nyc.org/matter/dynamic-profile/view/1843237","17-1843237")</f>
        <v>0</v>
      </c>
      <c r="B451" t="s">
        <v>142</v>
      </c>
      <c r="C451" t="s">
        <v>235</v>
      </c>
      <c r="D451" t="s">
        <v>429</v>
      </c>
      <c r="F451" t="s">
        <v>892</v>
      </c>
      <c r="G451" t="s">
        <v>2440</v>
      </c>
      <c r="H451" t="s">
        <v>3480</v>
      </c>
      <c r="I451" t="s">
        <v>4740</v>
      </c>
      <c r="J451" t="s">
        <v>5320</v>
      </c>
      <c r="K451">
        <v>11213</v>
      </c>
      <c r="L451" t="s">
        <v>5355</v>
      </c>
      <c r="M451" t="s">
        <v>5356</v>
      </c>
      <c r="O451" t="s">
        <v>6500</v>
      </c>
      <c r="P451" t="s">
        <v>6525</v>
      </c>
      <c r="R451" t="s">
        <v>6539</v>
      </c>
      <c r="S451" t="s">
        <v>5355</v>
      </c>
      <c r="U451" t="s">
        <v>6557</v>
      </c>
      <c r="W451" t="s">
        <v>429</v>
      </c>
      <c r="X451">
        <v>793</v>
      </c>
      <c r="Y451" t="s">
        <v>6605</v>
      </c>
      <c r="Z451" t="s">
        <v>6613</v>
      </c>
      <c r="AB451" t="s">
        <v>7084</v>
      </c>
      <c r="AC451" t="s">
        <v>8762</v>
      </c>
      <c r="AD451" t="s">
        <v>9481</v>
      </c>
      <c r="AE451">
        <v>107</v>
      </c>
      <c r="AF451" t="s">
        <v>11005</v>
      </c>
      <c r="AG451" t="s">
        <v>11020</v>
      </c>
      <c r="AH451">
        <v>32</v>
      </c>
      <c r="AI451">
        <v>1</v>
      </c>
      <c r="AJ451">
        <v>0</v>
      </c>
      <c r="AK451">
        <v>73.13</v>
      </c>
      <c r="AL451" t="s">
        <v>266</v>
      </c>
      <c r="AN451" t="s">
        <v>11050</v>
      </c>
      <c r="AO451">
        <v>8820</v>
      </c>
      <c r="AU451">
        <v>139.2</v>
      </c>
      <c r="AV451" t="s">
        <v>568</v>
      </c>
      <c r="AW451" t="s">
        <v>77</v>
      </c>
    </row>
    <row r="452" spans="1:49">
      <c r="A452" s="1">
        <f>HYPERLINK("https://cms.ls-nyc.org/matter/dynamic-profile/view/1844827","17-1844827")</f>
        <v>0</v>
      </c>
      <c r="B452" t="s">
        <v>77</v>
      </c>
      <c r="C452" t="s">
        <v>234</v>
      </c>
      <c r="D452" t="s">
        <v>406</v>
      </c>
      <c r="E452" t="s">
        <v>704</v>
      </c>
      <c r="F452" t="s">
        <v>1193</v>
      </c>
      <c r="G452" t="s">
        <v>2270</v>
      </c>
      <c r="H452" t="s">
        <v>3480</v>
      </c>
      <c r="I452" t="s">
        <v>4903</v>
      </c>
      <c r="J452" t="s">
        <v>5320</v>
      </c>
      <c r="K452">
        <v>11213</v>
      </c>
      <c r="L452" t="s">
        <v>5355</v>
      </c>
      <c r="M452" t="s">
        <v>5356</v>
      </c>
      <c r="N452" t="s">
        <v>5393</v>
      </c>
      <c r="O452" t="s">
        <v>6500</v>
      </c>
      <c r="P452" t="s">
        <v>6525</v>
      </c>
      <c r="Q452" t="s">
        <v>6532</v>
      </c>
      <c r="R452" t="s">
        <v>6539</v>
      </c>
      <c r="S452" t="s">
        <v>5355</v>
      </c>
      <c r="U452" t="s">
        <v>6557</v>
      </c>
      <c r="W452" t="s">
        <v>574</v>
      </c>
      <c r="X452">
        <v>0</v>
      </c>
      <c r="Y452" t="s">
        <v>6605</v>
      </c>
      <c r="Z452" t="s">
        <v>6622</v>
      </c>
      <c r="AA452" t="s">
        <v>6634</v>
      </c>
      <c r="AB452" t="s">
        <v>7085</v>
      </c>
      <c r="AC452" t="s">
        <v>8722</v>
      </c>
      <c r="AD452" t="s">
        <v>9482</v>
      </c>
      <c r="AE452">
        <v>107</v>
      </c>
      <c r="AF452" t="s">
        <v>11005</v>
      </c>
      <c r="AG452" t="s">
        <v>11026</v>
      </c>
      <c r="AH452">
        <v>4</v>
      </c>
      <c r="AI452">
        <v>1</v>
      </c>
      <c r="AJ452">
        <v>0</v>
      </c>
      <c r="AK452">
        <v>73.13</v>
      </c>
      <c r="AL452" t="s">
        <v>266</v>
      </c>
      <c r="AN452" t="s">
        <v>11050</v>
      </c>
      <c r="AO452">
        <v>8820</v>
      </c>
      <c r="AU452">
        <v>0.61</v>
      </c>
      <c r="AV452" t="s">
        <v>704</v>
      </c>
      <c r="AW452" t="s">
        <v>11512</v>
      </c>
    </row>
    <row r="453" spans="1:49">
      <c r="A453" s="1">
        <f>HYPERLINK("https://cms.ls-nyc.org/matter/dynamic-profile/view/1868852","18-1868852")</f>
        <v>0</v>
      </c>
      <c r="B453" t="s">
        <v>128</v>
      </c>
      <c r="C453" t="s">
        <v>235</v>
      </c>
      <c r="D453" t="s">
        <v>315</v>
      </c>
      <c r="F453" t="s">
        <v>1194</v>
      </c>
      <c r="G453" t="s">
        <v>2441</v>
      </c>
      <c r="H453" t="s">
        <v>3796</v>
      </c>
      <c r="I453" t="s">
        <v>4734</v>
      </c>
      <c r="J453" t="s">
        <v>5320</v>
      </c>
      <c r="K453">
        <v>11233</v>
      </c>
      <c r="L453" t="s">
        <v>5357</v>
      </c>
      <c r="M453" t="s">
        <v>5356</v>
      </c>
      <c r="P453" t="s">
        <v>6525</v>
      </c>
      <c r="R453" t="s">
        <v>6539</v>
      </c>
      <c r="S453" t="s">
        <v>5355</v>
      </c>
      <c r="U453" t="s">
        <v>6557</v>
      </c>
      <c r="W453" t="s">
        <v>315</v>
      </c>
      <c r="X453">
        <v>900</v>
      </c>
      <c r="Y453" t="s">
        <v>6605</v>
      </c>
      <c r="Z453" t="s">
        <v>6614</v>
      </c>
      <c r="AB453" t="s">
        <v>7086</v>
      </c>
      <c r="AD453" t="s">
        <v>9483</v>
      </c>
      <c r="AE453">
        <v>6</v>
      </c>
      <c r="AF453" t="s">
        <v>11005</v>
      </c>
      <c r="AG453" t="s">
        <v>11023</v>
      </c>
      <c r="AH453">
        <v>15</v>
      </c>
      <c r="AI453">
        <v>2</v>
      </c>
      <c r="AJ453">
        <v>0</v>
      </c>
      <c r="AK453">
        <v>73.95</v>
      </c>
      <c r="AM453" t="s">
        <v>11045</v>
      </c>
      <c r="AN453" t="s">
        <v>11050</v>
      </c>
      <c r="AO453">
        <v>12172</v>
      </c>
      <c r="AU453">
        <v>26.5</v>
      </c>
      <c r="AV453" t="s">
        <v>760</v>
      </c>
      <c r="AW453" t="s">
        <v>77</v>
      </c>
    </row>
    <row r="454" spans="1:49">
      <c r="A454" s="1">
        <f>HYPERLINK("https://cms.ls-nyc.org/matter/dynamic-profile/view/0814461","16-0814461")</f>
        <v>0</v>
      </c>
      <c r="B454" t="s">
        <v>136</v>
      </c>
      <c r="C454" t="s">
        <v>235</v>
      </c>
      <c r="D454" t="s">
        <v>430</v>
      </c>
      <c r="F454" t="s">
        <v>990</v>
      </c>
      <c r="G454" t="s">
        <v>2442</v>
      </c>
      <c r="H454" t="s">
        <v>3797</v>
      </c>
      <c r="I454" t="s">
        <v>4753</v>
      </c>
      <c r="J454" t="s">
        <v>5320</v>
      </c>
      <c r="K454">
        <v>11233</v>
      </c>
      <c r="L454" t="s">
        <v>5355</v>
      </c>
      <c r="M454" t="s">
        <v>5356</v>
      </c>
      <c r="N454" t="s">
        <v>5406</v>
      </c>
      <c r="O454" t="s">
        <v>5393</v>
      </c>
      <c r="P454" t="s">
        <v>6525</v>
      </c>
      <c r="R454" t="s">
        <v>6539</v>
      </c>
      <c r="S454" t="s">
        <v>5355</v>
      </c>
      <c r="U454" t="s">
        <v>6557</v>
      </c>
      <c r="W454" t="s">
        <v>6583</v>
      </c>
      <c r="X454">
        <v>1375</v>
      </c>
      <c r="Y454" t="s">
        <v>6605</v>
      </c>
      <c r="Z454" t="s">
        <v>6612</v>
      </c>
      <c r="AB454" t="s">
        <v>7087</v>
      </c>
      <c r="AD454" t="s">
        <v>9484</v>
      </c>
      <c r="AE454">
        <v>16</v>
      </c>
      <c r="AF454" t="s">
        <v>11004</v>
      </c>
      <c r="AG454" t="s">
        <v>11020</v>
      </c>
      <c r="AH454">
        <v>12</v>
      </c>
      <c r="AI454">
        <v>1</v>
      </c>
      <c r="AJ454">
        <v>0</v>
      </c>
      <c r="AK454">
        <v>74.04000000000001</v>
      </c>
      <c r="AN454" t="s">
        <v>11050</v>
      </c>
      <c r="AO454">
        <v>8796</v>
      </c>
      <c r="AU454">
        <v>4.35</v>
      </c>
      <c r="AV454" t="s">
        <v>11439</v>
      </c>
      <c r="AW454" t="s">
        <v>11529</v>
      </c>
    </row>
    <row r="455" spans="1:49">
      <c r="A455" s="1">
        <f>HYPERLINK("https://cms.ls-nyc.org/matter/dynamic-profile/view/1868231","18-1868231")</f>
        <v>0</v>
      </c>
      <c r="B455" t="s">
        <v>135</v>
      </c>
      <c r="C455" t="s">
        <v>235</v>
      </c>
      <c r="D455" t="s">
        <v>280</v>
      </c>
      <c r="F455" t="s">
        <v>1195</v>
      </c>
      <c r="G455" t="s">
        <v>2276</v>
      </c>
      <c r="H455" t="s">
        <v>3798</v>
      </c>
      <c r="I455" t="s">
        <v>4904</v>
      </c>
      <c r="J455" t="s">
        <v>5320</v>
      </c>
      <c r="K455">
        <v>11211</v>
      </c>
      <c r="L455" t="s">
        <v>5355</v>
      </c>
      <c r="M455" t="s">
        <v>5356</v>
      </c>
      <c r="P455" t="s">
        <v>6525</v>
      </c>
      <c r="R455" t="s">
        <v>6539</v>
      </c>
      <c r="U455" t="s">
        <v>6557</v>
      </c>
      <c r="W455" t="s">
        <v>280</v>
      </c>
      <c r="X455">
        <v>630</v>
      </c>
      <c r="Y455" t="s">
        <v>6605</v>
      </c>
      <c r="Z455" t="s">
        <v>6615</v>
      </c>
      <c r="AB455" t="s">
        <v>7088</v>
      </c>
      <c r="AD455" t="s">
        <v>9485</v>
      </c>
      <c r="AE455">
        <v>20</v>
      </c>
      <c r="AF455" t="s">
        <v>11012</v>
      </c>
      <c r="AH455">
        <v>35</v>
      </c>
      <c r="AI455">
        <v>2</v>
      </c>
      <c r="AJ455">
        <v>0</v>
      </c>
      <c r="AK455">
        <v>74.12</v>
      </c>
      <c r="AN455" t="s">
        <v>11050</v>
      </c>
      <c r="AO455">
        <v>12200</v>
      </c>
      <c r="AU455">
        <v>13.41</v>
      </c>
      <c r="AV455" t="s">
        <v>475</v>
      </c>
      <c r="AW455" t="s">
        <v>11488</v>
      </c>
    </row>
    <row r="456" spans="1:49">
      <c r="A456" s="1">
        <f>HYPERLINK("https://cms.ls-nyc.org/matter/dynamic-profile/view/1870022","18-1870022")</f>
        <v>0</v>
      </c>
      <c r="B456" t="s">
        <v>69</v>
      </c>
      <c r="C456" t="s">
        <v>234</v>
      </c>
      <c r="D456" t="s">
        <v>307</v>
      </c>
      <c r="E456" t="s">
        <v>701</v>
      </c>
      <c r="F456" t="s">
        <v>1196</v>
      </c>
      <c r="G456" t="s">
        <v>2443</v>
      </c>
      <c r="H456" t="s">
        <v>3799</v>
      </c>
      <c r="I456" t="s">
        <v>4905</v>
      </c>
      <c r="J456" t="s">
        <v>5321</v>
      </c>
      <c r="K456">
        <v>10456</v>
      </c>
      <c r="L456" t="s">
        <v>5355</v>
      </c>
      <c r="M456" t="s">
        <v>5355</v>
      </c>
      <c r="O456" t="s">
        <v>6503</v>
      </c>
      <c r="P456" t="s">
        <v>6525</v>
      </c>
      <c r="Q456" t="s">
        <v>6532</v>
      </c>
      <c r="R456" t="s">
        <v>6539</v>
      </c>
      <c r="U456" t="s">
        <v>6557</v>
      </c>
      <c r="W456" t="s">
        <v>287</v>
      </c>
      <c r="X456">
        <v>1150</v>
      </c>
      <c r="Y456" t="s">
        <v>6606</v>
      </c>
      <c r="AA456" t="s">
        <v>6631</v>
      </c>
      <c r="AB456" t="s">
        <v>7089</v>
      </c>
      <c r="AD456" t="s">
        <v>9486</v>
      </c>
      <c r="AE456">
        <v>0</v>
      </c>
      <c r="AF456" t="s">
        <v>11007</v>
      </c>
      <c r="AG456" t="s">
        <v>11020</v>
      </c>
      <c r="AH456">
        <v>35</v>
      </c>
      <c r="AI456">
        <v>1</v>
      </c>
      <c r="AJ456">
        <v>0</v>
      </c>
      <c r="AK456">
        <v>74.14</v>
      </c>
      <c r="AN456" t="s">
        <v>11050</v>
      </c>
      <c r="AO456">
        <v>9000</v>
      </c>
      <c r="AU456">
        <v>0.2</v>
      </c>
      <c r="AV456" t="s">
        <v>701</v>
      </c>
      <c r="AW456" t="s">
        <v>69</v>
      </c>
    </row>
    <row r="457" spans="1:49">
      <c r="A457" s="1">
        <f>HYPERLINK("https://cms.ls-nyc.org/matter/dynamic-profile/view/1850115","17-1850115")</f>
        <v>0</v>
      </c>
      <c r="B457" t="s">
        <v>84</v>
      </c>
      <c r="C457" t="s">
        <v>235</v>
      </c>
      <c r="D457" t="s">
        <v>418</v>
      </c>
      <c r="F457" t="s">
        <v>1197</v>
      </c>
      <c r="G457" t="s">
        <v>2444</v>
      </c>
      <c r="H457" t="s">
        <v>3800</v>
      </c>
      <c r="I457" t="s">
        <v>4878</v>
      </c>
      <c r="J457" t="s">
        <v>5320</v>
      </c>
      <c r="K457">
        <v>11207</v>
      </c>
      <c r="L457" t="s">
        <v>5355</v>
      </c>
      <c r="M457" t="s">
        <v>5356</v>
      </c>
      <c r="P457" t="s">
        <v>6525</v>
      </c>
      <c r="R457" t="s">
        <v>6539</v>
      </c>
      <c r="U457" t="s">
        <v>6557</v>
      </c>
      <c r="W457" t="s">
        <v>333</v>
      </c>
      <c r="X457">
        <v>761.1</v>
      </c>
      <c r="Y457" t="s">
        <v>6605</v>
      </c>
      <c r="AB457" t="s">
        <v>7090</v>
      </c>
      <c r="AD457" t="s">
        <v>9487</v>
      </c>
      <c r="AE457">
        <v>5</v>
      </c>
      <c r="AH457">
        <v>9</v>
      </c>
      <c r="AI457">
        <v>1</v>
      </c>
      <c r="AJ457">
        <v>0</v>
      </c>
      <c r="AK457">
        <v>74.33</v>
      </c>
      <c r="AN457" t="s">
        <v>11050</v>
      </c>
      <c r="AO457">
        <v>8964</v>
      </c>
      <c r="AU457">
        <v>1.2</v>
      </c>
      <c r="AV457" t="s">
        <v>333</v>
      </c>
      <c r="AW457" t="s">
        <v>11520</v>
      </c>
    </row>
    <row r="458" spans="1:49">
      <c r="A458" s="1">
        <f>HYPERLINK("https://cms.ls-nyc.org/matter/dynamic-profile/view/1871205","18-1871205")</f>
        <v>0</v>
      </c>
      <c r="B458" t="s">
        <v>59</v>
      </c>
      <c r="C458" t="s">
        <v>234</v>
      </c>
      <c r="D458" t="s">
        <v>287</v>
      </c>
      <c r="E458" t="s">
        <v>671</v>
      </c>
      <c r="F458" t="s">
        <v>1177</v>
      </c>
      <c r="G458" t="s">
        <v>2445</v>
      </c>
      <c r="H458" t="s">
        <v>3801</v>
      </c>
      <c r="I458" t="s">
        <v>4783</v>
      </c>
      <c r="J458" t="s">
        <v>5321</v>
      </c>
      <c r="K458">
        <v>10452</v>
      </c>
      <c r="L458" t="s">
        <v>5355</v>
      </c>
      <c r="M458" t="s">
        <v>5356</v>
      </c>
      <c r="O458" t="s">
        <v>5393</v>
      </c>
      <c r="P458" t="s">
        <v>6525</v>
      </c>
      <c r="Q458" t="s">
        <v>6532</v>
      </c>
      <c r="R458" t="s">
        <v>6539</v>
      </c>
      <c r="S458" t="s">
        <v>5357</v>
      </c>
      <c r="U458" t="s">
        <v>6557</v>
      </c>
      <c r="W458" t="s">
        <v>287</v>
      </c>
      <c r="X458">
        <v>1267.77</v>
      </c>
      <c r="Y458" t="s">
        <v>6606</v>
      </c>
      <c r="Z458" t="s">
        <v>6612</v>
      </c>
      <c r="AA458" t="s">
        <v>6631</v>
      </c>
      <c r="AB458" t="s">
        <v>7091</v>
      </c>
      <c r="AD458" t="s">
        <v>9488</v>
      </c>
      <c r="AE458">
        <v>0</v>
      </c>
      <c r="AF458" t="s">
        <v>11005</v>
      </c>
      <c r="AG458" t="s">
        <v>11020</v>
      </c>
      <c r="AH458">
        <v>19</v>
      </c>
      <c r="AI458">
        <v>1</v>
      </c>
      <c r="AJ458">
        <v>0</v>
      </c>
      <c r="AK458">
        <v>74.73</v>
      </c>
      <c r="AN458" t="s">
        <v>11049</v>
      </c>
      <c r="AO458">
        <v>9072</v>
      </c>
      <c r="AU458">
        <v>2.9</v>
      </c>
      <c r="AV458" t="s">
        <v>671</v>
      </c>
      <c r="AW458" t="s">
        <v>59</v>
      </c>
    </row>
    <row r="459" spans="1:49">
      <c r="A459" s="1">
        <f>HYPERLINK("https://cms.ls-nyc.org/matter/dynamic-profile/view/1867130","18-1867130")</f>
        <v>0</v>
      </c>
      <c r="B459" t="s">
        <v>66</v>
      </c>
      <c r="C459" t="s">
        <v>234</v>
      </c>
      <c r="D459" t="s">
        <v>391</v>
      </c>
      <c r="E459" t="s">
        <v>686</v>
      </c>
      <c r="F459" t="s">
        <v>1198</v>
      </c>
      <c r="G459" t="s">
        <v>2168</v>
      </c>
      <c r="H459" t="s">
        <v>3802</v>
      </c>
      <c r="I459" t="s">
        <v>4757</v>
      </c>
      <c r="J459" t="s">
        <v>5323</v>
      </c>
      <c r="K459">
        <v>10032</v>
      </c>
      <c r="L459" t="s">
        <v>5355</v>
      </c>
      <c r="M459" t="s">
        <v>5356</v>
      </c>
      <c r="P459" t="s">
        <v>6525</v>
      </c>
      <c r="Q459" t="s">
        <v>6532</v>
      </c>
      <c r="R459" t="s">
        <v>6539</v>
      </c>
      <c r="S459" t="s">
        <v>5357</v>
      </c>
      <c r="U459" t="s">
        <v>6557</v>
      </c>
      <c r="W459" t="s">
        <v>391</v>
      </c>
      <c r="X459">
        <v>1731.09</v>
      </c>
      <c r="Y459" t="s">
        <v>6608</v>
      </c>
      <c r="Z459" t="s">
        <v>6616</v>
      </c>
      <c r="AA459" t="s">
        <v>6631</v>
      </c>
      <c r="AB459" t="s">
        <v>7092</v>
      </c>
      <c r="AD459" t="s">
        <v>9489</v>
      </c>
      <c r="AE459">
        <v>0</v>
      </c>
      <c r="AF459" t="s">
        <v>11005</v>
      </c>
      <c r="AG459" t="s">
        <v>11020</v>
      </c>
      <c r="AH459">
        <v>23</v>
      </c>
      <c r="AI459">
        <v>5</v>
      </c>
      <c r="AJ459">
        <v>2</v>
      </c>
      <c r="AK459">
        <v>75.14</v>
      </c>
      <c r="AN459" t="s">
        <v>11050</v>
      </c>
      <c r="AO459">
        <v>28600</v>
      </c>
      <c r="AU459">
        <v>4.5</v>
      </c>
      <c r="AV459" t="s">
        <v>686</v>
      </c>
      <c r="AW459" t="s">
        <v>11495</v>
      </c>
    </row>
    <row r="460" spans="1:49">
      <c r="A460" s="1">
        <f>HYPERLINK("https://cms.ls-nyc.org/matter/dynamic-profile/view/1835814","17-1835814")</f>
        <v>0</v>
      </c>
      <c r="B460" t="s">
        <v>113</v>
      </c>
      <c r="C460" t="s">
        <v>234</v>
      </c>
      <c r="D460" t="s">
        <v>431</v>
      </c>
      <c r="E460" t="s">
        <v>605</v>
      </c>
      <c r="F460" t="s">
        <v>963</v>
      </c>
      <c r="G460" t="s">
        <v>2214</v>
      </c>
      <c r="H460" t="s">
        <v>3550</v>
      </c>
      <c r="I460" t="s">
        <v>4740</v>
      </c>
      <c r="J460" t="s">
        <v>5323</v>
      </c>
      <c r="K460">
        <v>10035</v>
      </c>
      <c r="L460" t="s">
        <v>5355</v>
      </c>
      <c r="M460" t="s">
        <v>5355</v>
      </c>
      <c r="O460" t="s">
        <v>5393</v>
      </c>
      <c r="P460" t="s">
        <v>6525</v>
      </c>
      <c r="Q460" t="s">
        <v>6531</v>
      </c>
      <c r="R460" t="s">
        <v>6539</v>
      </c>
      <c r="S460" t="s">
        <v>5357</v>
      </c>
      <c r="U460" t="s">
        <v>6557</v>
      </c>
      <c r="V460" t="s">
        <v>6566</v>
      </c>
      <c r="W460" t="s">
        <v>404</v>
      </c>
      <c r="X460">
        <v>874.6</v>
      </c>
      <c r="Y460" t="s">
        <v>6608</v>
      </c>
      <c r="Z460" t="s">
        <v>6616</v>
      </c>
      <c r="AA460" t="s">
        <v>6636</v>
      </c>
      <c r="AB460" t="s">
        <v>6786</v>
      </c>
      <c r="AD460" t="s">
        <v>9215</v>
      </c>
      <c r="AE460">
        <v>9</v>
      </c>
      <c r="AF460" t="s">
        <v>11005</v>
      </c>
      <c r="AG460" t="s">
        <v>5406</v>
      </c>
      <c r="AH460">
        <v>5</v>
      </c>
      <c r="AI460">
        <v>1</v>
      </c>
      <c r="AJ460">
        <v>0</v>
      </c>
      <c r="AK460">
        <v>75.26000000000001</v>
      </c>
      <c r="AN460" t="s">
        <v>11050</v>
      </c>
      <c r="AO460">
        <v>9076.799999999999</v>
      </c>
      <c r="AU460">
        <v>7.25</v>
      </c>
      <c r="AV460" t="s">
        <v>796</v>
      </c>
      <c r="AW460" t="s">
        <v>11497</v>
      </c>
    </row>
    <row r="461" spans="1:49">
      <c r="A461" s="1">
        <f>HYPERLINK("https://cms.ls-nyc.org/matter/dynamic-profile/view/1849264","17-1849264")</f>
        <v>0</v>
      </c>
      <c r="B461" t="s">
        <v>77</v>
      </c>
      <c r="C461" t="s">
        <v>234</v>
      </c>
      <c r="D461" t="s">
        <v>392</v>
      </c>
      <c r="E461" t="s">
        <v>704</v>
      </c>
      <c r="F461" t="s">
        <v>990</v>
      </c>
      <c r="G461" t="s">
        <v>2106</v>
      </c>
      <c r="H461" t="s">
        <v>3480</v>
      </c>
      <c r="I461" t="s">
        <v>4854</v>
      </c>
      <c r="J461" t="s">
        <v>5320</v>
      </c>
      <c r="K461">
        <v>11213</v>
      </c>
      <c r="L461" t="s">
        <v>5355</v>
      </c>
      <c r="M461" t="s">
        <v>5356</v>
      </c>
      <c r="O461" t="s">
        <v>6500</v>
      </c>
      <c r="P461" t="s">
        <v>6525</v>
      </c>
      <c r="Q461" t="s">
        <v>6532</v>
      </c>
      <c r="R461" t="s">
        <v>6539</v>
      </c>
      <c r="S461" t="s">
        <v>5355</v>
      </c>
      <c r="U461" t="s">
        <v>6557</v>
      </c>
      <c r="W461" t="s">
        <v>340</v>
      </c>
      <c r="X461">
        <v>217.4</v>
      </c>
      <c r="Y461" t="s">
        <v>6605</v>
      </c>
      <c r="Z461" t="s">
        <v>6622</v>
      </c>
      <c r="AA461" t="s">
        <v>6634</v>
      </c>
      <c r="AB461" t="s">
        <v>7093</v>
      </c>
      <c r="AC461" t="s">
        <v>8763</v>
      </c>
      <c r="AD461" t="s">
        <v>9490</v>
      </c>
      <c r="AE461">
        <v>107</v>
      </c>
      <c r="AF461" t="s">
        <v>11005</v>
      </c>
      <c r="AG461" t="s">
        <v>6493</v>
      </c>
      <c r="AH461">
        <v>1</v>
      </c>
      <c r="AI461">
        <v>1</v>
      </c>
      <c r="AJ461">
        <v>0</v>
      </c>
      <c r="AK461">
        <v>75.52</v>
      </c>
      <c r="AL461" t="s">
        <v>266</v>
      </c>
      <c r="AN461" t="s">
        <v>11050</v>
      </c>
      <c r="AO461">
        <v>9108</v>
      </c>
      <c r="AU461">
        <v>1.35</v>
      </c>
      <c r="AV461" t="s">
        <v>704</v>
      </c>
      <c r="AW461" t="s">
        <v>11512</v>
      </c>
    </row>
    <row r="462" spans="1:49">
      <c r="A462" s="1">
        <f>HYPERLINK("https://cms.ls-nyc.org/matter/dynamic-profile/view/1868292","18-1868292")</f>
        <v>0</v>
      </c>
      <c r="B462" t="s">
        <v>104</v>
      </c>
      <c r="C462" t="s">
        <v>234</v>
      </c>
      <c r="D462" t="s">
        <v>365</v>
      </c>
      <c r="E462" t="s">
        <v>706</v>
      </c>
      <c r="F462" t="s">
        <v>1199</v>
      </c>
      <c r="G462" t="s">
        <v>2168</v>
      </c>
      <c r="H462" t="s">
        <v>3803</v>
      </c>
      <c r="I462">
        <v>4</v>
      </c>
      <c r="J462" t="s">
        <v>5321</v>
      </c>
      <c r="K462">
        <v>10453</v>
      </c>
      <c r="L462" t="s">
        <v>5355</v>
      </c>
      <c r="M462" t="s">
        <v>5356</v>
      </c>
      <c r="N462" t="s">
        <v>5513</v>
      </c>
      <c r="O462" t="s">
        <v>6492</v>
      </c>
      <c r="P462" t="s">
        <v>6525</v>
      </c>
      <c r="Q462" t="s">
        <v>6531</v>
      </c>
      <c r="R462" t="s">
        <v>6539</v>
      </c>
      <c r="S462" t="s">
        <v>5357</v>
      </c>
      <c r="U462" t="s">
        <v>6557</v>
      </c>
      <c r="W462" t="s">
        <v>516</v>
      </c>
      <c r="X462">
        <v>1351.5</v>
      </c>
      <c r="Y462" t="s">
        <v>6606</v>
      </c>
      <c r="Z462" t="s">
        <v>6613</v>
      </c>
      <c r="AA462" t="s">
        <v>6631</v>
      </c>
      <c r="AB462" t="s">
        <v>7094</v>
      </c>
      <c r="AD462" t="s">
        <v>9491</v>
      </c>
      <c r="AE462">
        <v>0</v>
      </c>
      <c r="AG462" t="s">
        <v>11023</v>
      </c>
      <c r="AH462">
        <v>3</v>
      </c>
      <c r="AI462">
        <v>2</v>
      </c>
      <c r="AJ462">
        <v>0</v>
      </c>
      <c r="AK462">
        <v>76.14</v>
      </c>
      <c r="AN462" t="s">
        <v>11049</v>
      </c>
      <c r="AO462">
        <v>21339.24</v>
      </c>
      <c r="AU462">
        <v>2.35</v>
      </c>
      <c r="AV462" t="s">
        <v>365</v>
      </c>
      <c r="AW462" t="s">
        <v>11505</v>
      </c>
    </row>
    <row r="463" spans="1:49">
      <c r="A463" s="1">
        <f>HYPERLINK("https://cms.ls-nyc.org/matter/dynamic-profile/view/1863618","18-1863618")</f>
        <v>0</v>
      </c>
      <c r="B463" t="s">
        <v>88</v>
      </c>
      <c r="C463" t="s">
        <v>234</v>
      </c>
      <c r="D463" t="s">
        <v>373</v>
      </c>
      <c r="E463" t="s">
        <v>468</v>
      </c>
      <c r="F463" t="s">
        <v>1200</v>
      </c>
      <c r="G463" t="s">
        <v>2446</v>
      </c>
      <c r="H463" t="s">
        <v>3804</v>
      </c>
      <c r="I463" t="s">
        <v>4840</v>
      </c>
      <c r="J463" t="s">
        <v>5320</v>
      </c>
      <c r="K463">
        <v>11233</v>
      </c>
      <c r="L463" t="s">
        <v>5355</v>
      </c>
      <c r="M463" t="s">
        <v>5356</v>
      </c>
      <c r="N463" t="s">
        <v>5514</v>
      </c>
      <c r="O463" t="s">
        <v>6492</v>
      </c>
      <c r="P463" t="s">
        <v>6525</v>
      </c>
      <c r="Q463" t="s">
        <v>6532</v>
      </c>
      <c r="R463" t="s">
        <v>6539</v>
      </c>
      <c r="U463" t="s">
        <v>6557</v>
      </c>
      <c r="W463" t="s">
        <v>358</v>
      </c>
      <c r="X463">
        <v>0</v>
      </c>
      <c r="Y463" t="s">
        <v>6605</v>
      </c>
      <c r="AA463" t="s">
        <v>6636</v>
      </c>
      <c r="AB463" t="s">
        <v>7095</v>
      </c>
      <c r="AD463" t="s">
        <v>9492</v>
      </c>
      <c r="AE463">
        <v>0</v>
      </c>
      <c r="AH463">
        <v>0</v>
      </c>
      <c r="AI463">
        <v>2</v>
      </c>
      <c r="AJ463">
        <v>0</v>
      </c>
      <c r="AK463">
        <v>76.55</v>
      </c>
      <c r="AN463" t="s">
        <v>11050</v>
      </c>
      <c r="AO463">
        <v>21600</v>
      </c>
      <c r="AU463">
        <v>1.3</v>
      </c>
      <c r="AV463" t="s">
        <v>325</v>
      </c>
      <c r="AW463" t="s">
        <v>88</v>
      </c>
    </row>
    <row r="464" spans="1:49">
      <c r="A464" s="1">
        <f>HYPERLINK("https://cms.ls-nyc.org/matter/dynamic-profile/view/0831804","17-0831804")</f>
        <v>0</v>
      </c>
      <c r="B464" t="s">
        <v>72</v>
      </c>
      <c r="C464" t="s">
        <v>234</v>
      </c>
      <c r="D464" t="s">
        <v>432</v>
      </c>
      <c r="E464" t="s">
        <v>427</v>
      </c>
      <c r="F464" t="s">
        <v>1201</v>
      </c>
      <c r="G464" t="s">
        <v>2447</v>
      </c>
      <c r="H464" t="s">
        <v>3805</v>
      </c>
      <c r="I464" t="s">
        <v>4906</v>
      </c>
      <c r="J464" t="s">
        <v>5320</v>
      </c>
      <c r="K464">
        <v>11213</v>
      </c>
      <c r="L464" t="s">
        <v>5355</v>
      </c>
      <c r="M464" t="s">
        <v>5356</v>
      </c>
      <c r="P464" t="s">
        <v>6525</v>
      </c>
      <c r="Q464" t="s">
        <v>6531</v>
      </c>
      <c r="R464" t="s">
        <v>6539</v>
      </c>
      <c r="U464" t="s">
        <v>6557</v>
      </c>
      <c r="W464" t="s">
        <v>236</v>
      </c>
      <c r="X464">
        <v>0</v>
      </c>
      <c r="Y464" t="s">
        <v>6605</v>
      </c>
      <c r="AA464" t="s">
        <v>6631</v>
      </c>
      <c r="AB464" t="s">
        <v>7096</v>
      </c>
      <c r="AD464" t="s">
        <v>9493</v>
      </c>
      <c r="AE464">
        <v>0</v>
      </c>
      <c r="AH464">
        <v>0</v>
      </c>
      <c r="AI464">
        <v>2</v>
      </c>
      <c r="AJ464">
        <v>0</v>
      </c>
      <c r="AK464">
        <v>76.84999999999999</v>
      </c>
      <c r="AN464" t="s">
        <v>11050</v>
      </c>
      <c r="AO464">
        <v>12480</v>
      </c>
      <c r="AU464">
        <v>18.5</v>
      </c>
      <c r="AV464" t="s">
        <v>11440</v>
      </c>
      <c r="AW464" t="s">
        <v>72</v>
      </c>
    </row>
    <row r="465" spans="1:49">
      <c r="A465" s="1">
        <f>HYPERLINK("https://cms.ls-nyc.org/matter/dynamic-profile/view/1858149","18-1858149")</f>
        <v>0</v>
      </c>
      <c r="B465" t="s">
        <v>80</v>
      </c>
      <c r="C465" t="s">
        <v>234</v>
      </c>
      <c r="D465" t="s">
        <v>433</v>
      </c>
      <c r="E465" t="s">
        <v>719</v>
      </c>
      <c r="F465" t="s">
        <v>1202</v>
      </c>
      <c r="G465" t="s">
        <v>2180</v>
      </c>
      <c r="H465" t="s">
        <v>3806</v>
      </c>
      <c r="I465" t="s">
        <v>4907</v>
      </c>
      <c r="J465" t="s">
        <v>5321</v>
      </c>
      <c r="K465">
        <v>10452</v>
      </c>
      <c r="L465" t="s">
        <v>5355</v>
      </c>
      <c r="M465" t="s">
        <v>5355</v>
      </c>
      <c r="N465" t="s">
        <v>5515</v>
      </c>
      <c r="O465" t="s">
        <v>6492</v>
      </c>
      <c r="P465" t="s">
        <v>6525</v>
      </c>
      <c r="Q465" t="s">
        <v>6532</v>
      </c>
      <c r="R465" t="s">
        <v>6539</v>
      </c>
      <c r="S465" t="s">
        <v>5357</v>
      </c>
      <c r="U465" t="s">
        <v>6560</v>
      </c>
      <c r="W465" t="s">
        <v>312</v>
      </c>
      <c r="X465">
        <v>1225</v>
      </c>
      <c r="Y465" t="s">
        <v>6606</v>
      </c>
      <c r="Z465" t="s">
        <v>6613</v>
      </c>
      <c r="AA465" t="s">
        <v>6636</v>
      </c>
      <c r="AB465" t="s">
        <v>7097</v>
      </c>
      <c r="AD465" t="s">
        <v>9494</v>
      </c>
      <c r="AE465">
        <v>42</v>
      </c>
      <c r="AF465" t="s">
        <v>8722</v>
      </c>
      <c r="AG465" t="s">
        <v>5406</v>
      </c>
      <c r="AH465">
        <v>5</v>
      </c>
      <c r="AI465">
        <v>1</v>
      </c>
      <c r="AJ465">
        <v>0</v>
      </c>
      <c r="AK465">
        <v>78.61</v>
      </c>
      <c r="AN465" t="s">
        <v>11049</v>
      </c>
      <c r="AO465">
        <v>9480</v>
      </c>
      <c r="AU465">
        <v>5.7</v>
      </c>
      <c r="AV465" t="s">
        <v>719</v>
      </c>
      <c r="AW465" t="s">
        <v>11519</v>
      </c>
    </row>
    <row r="466" spans="1:49">
      <c r="A466" s="1">
        <f>HYPERLINK("https://cms.ls-nyc.org/matter/dynamic-profile/view/1867018","18-1867018")</f>
        <v>0</v>
      </c>
      <c r="B466" t="s">
        <v>103</v>
      </c>
      <c r="C466" t="s">
        <v>234</v>
      </c>
      <c r="D466" t="s">
        <v>244</v>
      </c>
      <c r="E466" t="s">
        <v>674</v>
      </c>
      <c r="F466" t="s">
        <v>1203</v>
      </c>
      <c r="G466" t="s">
        <v>2040</v>
      </c>
      <c r="H466" t="s">
        <v>3749</v>
      </c>
      <c r="I466" t="s">
        <v>4854</v>
      </c>
      <c r="J466" t="s">
        <v>5321</v>
      </c>
      <c r="K466">
        <v>10453</v>
      </c>
      <c r="L466" t="s">
        <v>5355</v>
      </c>
      <c r="M466" t="s">
        <v>5356</v>
      </c>
      <c r="O466" t="s">
        <v>5393</v>
      </c>
      <c r="P466" t="s">
        <v>6525</v>
      </c>
      <c r="Q466" t="s">
        <v>6531</v>
      </c>
      <c r="R466" t="s">
        <v>6539</v>
      </c>
      <c r="S466" t="s">
        <v>5357</v>
      </c>
      <c r="U466" t="s">
        <v>6557</v>
      </c>
      <c r="W466" t="s">
        <v>345</v>
      </c>
      <c r="X466">
        <v>563</v>
      </c>
      <c r="Y466" t="s">
        <v>6606</v>
      </c>
      <c r="Z466" t="s">
        <v>6612</v>
      </c>
      <c r="AA466" t="s">
        <v>6631</v>
      </c>
      <c r="AB466" t="s">
        <v>7098</v>
      </c>
      <c r="AD466" t="s">
        <v>9495</v>
      </c>
      <c r="AE466">
        <v>0</v>
      </c>
      <c r="AF466" t="s">
        <v>11005</v>
      </c>
      <c r="AG466" t="s">
        <v>11020</v>
      </c>
      <c r="AH466">
        <v>20</v>
      </c>
      <c r="AI466">
        <v>4</v>
      </c>
      <c r="AJ466">
        <v>0</v>
      </c>
      <c r="AK466">
        <v>79.92</v>
      </c>
      <c r="AN466" t="s">
        <v>11050</v>
      </c>
      <c r="AO466">
        <v>20059</v>
      </c>
      <c r="AU466">
        <v>1</v>
      </c>
      <c r="AV466" t="s">
        <v>244</v>
      </c>
      <c r="AW466" t="s">
        <v>103</v>
      </c>
    </row>
    <row r="467" spans="1:49">
      <c r="A467" s="1">
        <f>HYPERLINK("https://cms.ls-nyc.org/matter/dynamic-profile/view/1863662","18-1863662")</f>
        <v>0</v>
      </c>
      <c r="B467" t="s">
        <v>124</v>
      </c>
      <c r="C467" t="s">
        <v>234</v>
      </c>
      <c r="D467" t="s">
        <v>263</v>
      </c>
      <c r="E467" t="s">
        <v>686</v>
      </c>
      <c r="F467" t="s">
        <v>1204</v>
      </c>
      <c r="G467" t="s">
        <v>2188</v>
      </c>
      <c r="H467" t="s">
        <v>3807</v>
      </c>
      <c r="I467">
        <v>21</v>
      </c>
      <c r="J467" t="s">
        <v>5323</v>
      </c>
      <c r="K467">
        <v>10034</v>
      </c>
      <c r="L467" t="s">
        <v>5355</v>
      </c>
      <c r="M467" t="s">
        <v>5355</v>
      </c>
      <c r="O467" t="s">
        <v>6492</v>
      </c>
      <c r="P467" t="s">
        <v>6525</v>
      </c>
      <c r="Q467" t="s">
        <v>6532</v>
      </c>
      <c r="R467" t="s">
        <v>6539</v>
      </c>
      <c r="S467" t="s">
        <v>5357</v>
      </c>
      <c r="U467" t="s">
        <v>6557</v>
      </c>
      <c r="W467" t="s">
        <v>502</v>
      </c>
      <c r="X467">
        <v>1200</v>
      </c>
      <c r="Y467" t="s">
        <v>6608</v>
      </c>
      <c r="Z467" t="s">
        <v>6621</v>
      </c>
      <c r="AA467" t="s">
        <v>6636</v>
      </c>
      <c r="AB467" t="s">
        <v>7099</v>
      </c>
      <c r="AD467" t="s">
        <v>9166</v>
      </c>
      <c r="AE467">
        <v>25</v>
      </c>
      <c r="AF467" t="s">
        <v>11006</v>
      </c>
      <c r="AG467" t="s">
        <v>5406</v>
      </c>
      <c r="AH467">
        <v>27</v>
      </c>
      <c r="AI467">
        <v>2</v>
      </c>
      <c r="AJ467">
        <v>0</v>
      </c>
      <c r="AK467">
        <v>80.19</v>
      </c>
      <c r="AN467" t="s">
        <v>11049</v>
      </c>
      <c r="AO467">
        <v>13200</v>
      </c>
      <c r="AU467">
        <v>8.9</v>
      </c>
      <c r="AV467" t="s">
        <v>686</v>
      </c>
      <c r="AW467" t="s">
        <v>11520</v>
      </c>
    </row>
    <row r="468" spans="1:49">
      <c r="A468" s="1">
        <f>HYPERLINK("https://cms.ls-nyc.org/matter/dynamic-profile/view/1901270","19-1901270")</f>
        <v>0</v>
      </c>
      <c r="B468" t="s">
        <v>131</v>
      </c>
      <c r="C468" t="s">
        <v>235</v>
      </c>
      <c r="D468" t="s">
        <v>434</v>
      </c>
      <c r="F468" t="s">
        <v>1205</v>
      </c>
      <c r="G468" t="s">
        <v>2448</v>
      </c>
      <c r="H468" t="s">
        <v>3769</v>
      </c>
      <c r="I468" t="s">
        <v>4868</v>
      </c>
      <c r="J468" t="s">
        <v>5323</v>
      </c>
      <c r="K468">
        <v>10034</v>
      </c>
      <c r="L468" t="s">
        <v>5356</v>
      </c>
      <c r="M468" t="s">
        <v>5356</v>
      </c>
      <c r="O468" t="s">
        <v>5393</v>
      </c>
      <c r="P468" t="s">
        <v>6525</v>
      </c>
      <c r="R468" t="s">
        <v>6539</v>
      </c>
      <c r="S468" t="s">
        <v>5357</v>
      </c>
      <c r="U468" t="s">
        <v>6557</v>
      </c>
      <c r="V468" t="s">
        <v>6566</v>
      </c>
      <c r="W468" t="s">
        <v>525</v>
      </c>
      <c r="X468">
        <v>632.42</v>
      </c>
      <c r="Y468" t="s">
        <v>6608</v>
      </c>
      <c r="Z468" t="s">
        <v>6616</v>
      </c>
      <c r="AB468" t="s">
        <v>7100</v>
      </c>
      <c r="AD468" t="s">
        <v>9496</v>
      </c>
      <c r="AE468">
        <v>49</v>
      </c>
      <c r="AF468" t="s">
        <v>11005</v>
      </c>
      <c r="AG468" t="s">
        <v>11020</v>
      </c>
      <c r="AH468">
        <v>35</v>
      </c>
      <c r="AI468">
        <v>1</v>
      </c>
      <c r="AJ468">
        <v>0</v>
      </c>
      <c r="AK468">
        <v>80.7</v>
      </c>
      <c r="AN468" t="s">
        <v>11049</v>
      </c>
      <c r="AO468">
        <v>10080</v>
      </c>
      <c r="AU468">
        <v>2.2</v>
      </c>
      <c r="AV468" t="s">
        <v>829</v>
      </c>
      <c r="AW468" t="s">
        <v>131</v>
      </c>
    </row>
    <row r="469" spans="1:49">
      <c r="A469" s="1">
        <f>HYPERLINK("https://cms.ls-nyc.org/matter/dynamic-profile/view/1866021","18-1866021")</f>
        <v>0</v>
      </c>
      <c r="B469" t="s">
        <v>58</v>
      </c>
      <c r="C469" t="s">
        <v>234</v>
      </c>
      <c r="D469" t="s">
        <v>312</v>
      </c>
      <c r="E469" t="s">
        <v>665</v>
      </c>
      <c r="F469" t="s">
        <v>1072</v>
      </c>
      <c r="G469" t="s">
        <v>2143</v>
      </c>
      <c r="H469" t="s">
        <v>3754</v>
      </c>
      <c r="I469" t="s">
        <v>4826</v>
      </c>
      <c r="J469" t="s">
        <v>5321</v>
      </c>
      <c r="K469">
        <v>10463</v>
      </c>
      <c r="L469" t="s">
        <v>5355</v>
      </c>
      <c r="M469" t="s">
        <v>5356</v>
      </c>
      <c r="P469" t="s">
        <v>6525</v>
      </c>
      <c r="Q469" t="s">
        <v>6532</v>
      </c>
      <c r="R469" t="s">
        <v>6539</v>
      </c>
      <c r="S469" t="s">
        <v>5355</v>
      </c>
      <c r="U469" t="s">
        <v>6557</v>
      </c>
      <c r="W469" t="s">
        <v>516</v>
      </c>
      <c r="X469">
        <v>0</v>
      </c>
      <c r="Y469" t="s">
        <v>6606</v>
      </c>
      <c r="Z469" t="s">
        <v>6614</v>
      </c>
      <c r="AA469" t="s">
        <v>6634</v>
      </c>
      <c r="AB469" t="s">
        <v>7101</v>
      </c>
      <c r="AC469" t="s">
        <v>8764</v>
      </c>
      <c r="AD469" t="s">
        <v>9497</v>
      </c>
      <c r="AE469">
        <v>0</v>
      </c>
      <c r="AF469" t="s">
        <v>11005</v>
      </c>
      <c r="AG469" t="s">
        <v>11026</v>
      </c>
      <c r="AH469">
        <v>5</v>
      </c>
      <c r="AI469">
        <v>1</v>
      </c>
      <c r="AJ469">
        <v>0</v>
      </c>
      <c r="AK469">
        <v>81.05</v>
      </c>
      <c r="AN469" t="s">
        <v>11049</v>
      </c>
      <c r="AO469">
        <v>9840</v>
      </c>
      <c r="AU469">
        <v>8.6</v>
      </c>
      <c r="AV469" t="s">
        <v>652</v>
      </c>
      <c r="AW469" t="s">
        <v>11492</v>
      </c>
    </row>
    <row r="470" spans="1:49">
      <c r="A470" s="1">
        <f>HYPERLINK("https://cms.ls-nyc.org/matter/dynamic-profile/view/1844849","17-1844849")</f>
        <v>0</v>
      </c>
      <c r="B470" t="s">
        <v>77</v>
      </c>
      <c r="C470" t="s">
        <v>234</v>
      </c>
      <c r="D470" t="s">
        <v>406</v>
      </c>
      <c r="E470" t="s">
        <v>704</v>
      </c>
      <c r="F470" t="s">
        <v>914</v>
      </c>
      <c r="G470" t="s">
        <v>2355</v>
      </c>
      <c r="H470" t="s">
        <v>3480</v>
      </c>
      <c r="I470" t="s">
        <v>4837</v>
      </c>
      <c r="J470" t="s">
        <v>5320</v>
      </c>
      <c r="K470">
        <v>11213</v>
      </c>
      <c r="L470" t="s">
        <v>5355</v>
      </c>
      <c r="M470" t="s">
        <v>5356</v>
      </c>
      <c r="O470" t="s">
        <v>6500</v>
      </c>
      <c r="P470" t="s">
        <v>6525</v>
      </c>
      <c r="Q470" t="s">
        <v>6532</v>
      </c>
      <c r="R470" t="s">
        <v>6539</v>
      </c>
      <c r="S470" t="s">
        <v>5355</v>
      </c>
      <c r="U470" t="s">
        <v>6557</v>
      </c>
      <c r="W470" t="s">
        <v>574</v>
      </c>
      <c r="X470">
        <v>1255</v>
      </c>
      <c r="Y470" t="s">
        <v>6605</v>
      </c>
      <c r="Z470" t="s">
        <v>6622</v>
      </c>
      <c r="AA470" t="s">
        <v>6634</v>
      </c>
      <c r="AB470" t="s">
        <v>7060</v>
      </c>
      <c r="AC470" t="s">
        <v>8756</v>
      </c>
      <c r="AD470" t="s">
        <v>9459</v>
      </c>
      <c r="AE470">
        <v>107</v>
      </c>
      <c r="AF470" t="s">
        <v>11005</v>
      </c>
      <c r="AG470" t="s">
        <v>5406</v>
      </c>
      <c r="AH470">
        <v>25</v>
      </c>
      <c r="AI470">
        <v>3</v>
      </c>
      <c r="AJ470">
        <v>2</v>
      </c>
      <c r="AK470">
        <v>81.31</v>
      </c>
      <c r="AL470" t="s">
        <v>266</v>
      </c>
      <c r="AN470" t="s">
        <v>11049</v>
      </c>
      <c r="AO470">
        <v>23400</v>
      </c>
      <c r="AU470">
        <v>0.95</v>
      </c>
      <c r="AV470" t="s">
        <v>704</v>
      </c>
      <c r="AW470" t="s">
        <v>11512</v>
      </c>
    </row>
    <row r="471" spans="1:49">
      <c r="A471" s="1">
        <f>HYPERLINK("https://cms.ls-nyc.org/matter/dynamic-profile/view/1867655","18-1867655")</f>
        <v>0</v>
      </c>
      <c r="B471" t="s">
        <v>95</v>
      </c>
      <c r="C471" t="s">
        <v>234</v>
      </c>
      <c r="D471" t="s">
        <v>299</v>
      </c>
      <c r="E471" t="s">
        <v>671</v>
      </c>
      <c r="F471" t="s">
        <v>1206</v>
      </c>
      <c r="G471" t="s">
        <v>2449</v>
      </c>
      <c r="H471" t="s">
        <v>3808</v>
      </c>
      <c r="I471" t="s">
        <v>4908</v>
      </c>
      <c r="J471" t="s">
        <v>5321</v>
      </c>
      <c r="K471">
        <v>10456</v>
      </c>
      <c r="L471" t="s">
        <v>5355</v>
      </c>
      <c r="M471" t="s">
        <v>5356</v>
      </c>
      <c r="O471" t="s">
        <v>6498</v>
      </c>
      <c r="P471" t="s">
        <v>6525</v>
      </c>
      <c r="Q471" t="s">
        <v>6532</v>
      </c>
      <c r="R471" t="s">
        <v>6539</v>
      </c>
      <c r="S471" t="s">
        <v>5357</v>
      </c>
      <c r="U471" t="s">
        <v>6557</v>
      </c>
      <c r="W471" t="s">
        <v>252</v>
      </c>
      <c r="X471">
        <v>1016.6</v>
      </c>
      <c r="Y471" t="s">
        <v>6606</v>
      </c>
      <c r="Z471" t="s">
        <v>6612</v>
      </c>
      <c r="AA471" t="s">
        <v>6632</v>
      </c>
      <c r="AB471" t="s">
        <v>7102</v>
      </c>
      <c r="AD471" t="s">
        <v>9498</v>
      </c>
      <c r="AE471">
        <v>0</v>
      </c>
      <c r="AF471" t="s">
        <v>11005</v>
      </c>
      <c r="AG471" t="s">
        <v>11024</v>
      </c>
      <c r="AH471">
        <v>37</v>
      </c>
      <c r="AI471">
        <v>5</v>
      </c>
      <c r="AJ471">
        <v>0</v>
      </c>
      <c r="AK471">
        <v>81.58</v>
      </c>
      <c r="AN471" t="s">
        <v>11050</v>
      </c>
      <c r="AO471">
        <v>24000</v>
      </c>
      <c r="AU471">
        <v>3.2</v>
      </c>
      <c r="AV471" t="s">
        <v>671</v>
      </c>
      <c r="AW471" t="s">
        <v>95</v>
      </c>
    </row>
    <row r="472" spans="1:49">
      <c r="A472" s="1">
        <f>HYPERLINK("https://cms.ls-nyc.org/matter/dynamic-profile/view/1855955","18-1855955")</f>
        <v>0</v>
      </c>
      <c r="B472" t="s">
        <v>77</v>
      </c>
      <c r="C472" t="s">
        <v>234</v>
      </c>
      <c r="D472" t="s">
        <v>380</v>
      </c>
      <c r="E472" t="s">
        <v>704</v>
      </c>
      <c r="F472" t="s">
        <v>1207</v>
      </c>
      <c r="G472" t="s">
        <v>1007</v>
      </c>
      <c r="H472" t="s">
        <v>3480</v>
      </c>
      <c r="I472" t="s">
        <v>4739</v>
      </c>
      <c r="J472" t="s">
        <v>5320</v>
      </c>
      <c r="K472">
        <v>11213</v>
      </c>
      <c r="L472" t="s">
        <v>5355</v>
      </c>
      <c r="M472" t="s">
        <v>5356</v>
      </c>
      <c r="O472" t="s">
        <v>5393</v>
      </c>
      <c r="P472" t="s">
        <v>6525</v>
      </c>
      <c r="Q472" t="s">
        <v>6532</v>
      </c>
      <c r="R472" t="s">
        <v>6539</v>
      </c>
      <c r="S472" t="s">
        <v>5355</v>
      </c>
      <c r="U472" t="s">
        <v>6557</v>
      </c>
      <c r="W472" t="s">
        <v>302</v>
      </c>
      <c r="X472">
        <v>1100</v>
      </c>
      <c r="Y472" t="s">
        <v>6605</v>
      </c>
      <c r="Z472" t="s">
        <v>6622</v>
      </c>
      <c r="AA472" t="s">
        <v>6634</v>
      </c>
      <c r="AB472" t="s">
        <v>7103</v>
      </c>
      <c r="AD472" t="s">
        <v>9499</v>
      </c>
      <c r="AE472">
        <v>107</v>
      </c>
      <c r="AF472" t="s">
        <v>11005</v>
      </c>
      <c r="AG472" t="s">
        <v>11026</v>
      </c>
      <c r="AH472">
        <v>9</v>
      </c>
      <c r="AI472">
        <v>1</v>
      </c>
      <c r="AJ472">
        <v>0</v>
      </c>
      <c r="AK472">
        <v>81.59</v>
      </c>
      <c r="AL472" t="s">
        <v>266</v>
      </c>
      <c r="AN472" t="s">
        <v>11050</v>
      </c>
      <c r="AO472">
        <v>9840</v>
      </c>
      <c r="AU472">
        <v>0.35</v>
      </c>
      <c r="AV472" t="s">
        <v>704</v>
      </c>
      <c r="AW472" t="s">
        <v>77</v>
      </c>
    </row>
    <row r="473" spans="1:49">
      <c r="A473" s="1">
        <f>HYPERLINK("https://cms.ls-nyc.org/matter/dynamic-profile/view/1844846","17-1844846")</f>
        <v>0</v>
      </c>
      <c r="B473" t="s">
        <v>77</v>
      </c>
      <c r="C473" t="s">
        <v>234</v>
      </c>
      <c r="D473" t="s">
        <v>406</v>
      </c>
      <c r="E473" t="s">
        <v>704</v>
      </c>
      <c r="F473" t="s">
        <v>1207</v>
      </c>
      <c r="G473" t="s">
        <v>1007</v>
      </c>
      <c r="H473" t="s">
        <v>3480</v>
      </c>
      <c r="I473" t="s">
        <v>4739</v>
      </c>
      <c r="J473" t="s">
        <v>5320</v>
      </c>
      <c r="K473">
        <v>11213</v>
      </c>
      <c r="L473" t="s">
        <v>5355</v>
      </c>
      <c r="M473" t="s">
        <v>5356</v>
      </c>
      <c r="O473" t="s">
        <v>6500</v>
      </c>
      <c r="P473" t="s">
        <v>6525</v>
      </c>
      <c r="Q473" t="s">
        <v>6532</v>
      </c>
      <c r="R473" t="s">
        <v>6539</v>
      </c>
      <c r="S473" t="s">
        <v>5355</v>
      </c>
      <c r="U473" t="s">
        <v>6557</v>
      </c>
      <c r="W473" t="s">
        <v>461</v>
      </c>
      <c r="X473">
        <v>1100</v>
      </c>
      <c r="Y473" t="s">
        <v>6605</v>
      </c>
      <c r="Z473" t="s">
        <v>6622</v>
      </c>
      <c r="AA473" t="s">
        <v>6634</v>
      </c>
      <c r="AB473" t="s">
        <v>7103</v>
      </c>
      <c r="AC473" t="s">
        <v>8722</v>
      </c>
      <c r="AD473" t="s">
        <v>9499</v>
      </c>
      <c r="AE473">
        <v>107</v>
      </c>
      <c r="AF473" t="s">
        <v>11005</v>
      </c>
      <c r="AG473" t="s">
        <v>11026</v>
      </c>
      <c r="AH473">
        <v>9</v>
      </c>
      <c r="AI473">
        <v>1</v>
      </c>
      <c r="AJ473">
        <v>0</v>
      </c>
      <c r="AK473">
        <v>81.59</v>
      </c>
      <c r="AL473" t="s">
        <v>266</v>
      </c>
      <c r="AN473" t="s">
        <v>11050</v>
      </c>
      <c r="AO473">
        <v>9840</v>
      </c>
      <c r="AU473">
        <v>1.1</v>
      </c>
      <c r="AV473" t="s">
        <v>704</v>
      </c>
      <c r="AW473" t="s">
        <v>11512</v>
      </c>
    </row>
    <row r="474" spans="1:49">
      <c r="A474" s="1">
        <f>HYPERLINK("https://cms.ls-nyc.org/matter/dynamic-profile/view/1859912","18-1859912")</f>
        <v>0</v>
      </c>
      <c r="B474" t="s">
        <v>84</v>
      </c>
      <c r="C474" t="s">
        <v>235</v>
      </c>
      <c r="D474" t="s">
        <v>291</v>
      </c>
      <c r="F474" t="s">
        <v>1164</v>
      </c>
      <c r="G474" t="s">
        <v>2450</v>
      </c>
      <c r="H474" t="s">
        <v>3809</v>
      </c>
      <c r="I474" t="s">
        <v>4758</v>
      </c>
      <c r="J474" t="s">
        <v>5320</v>
      </c>
      <c r="K474">
        <v>11237</v>
      </c>
      <c r="L474" t="s">
        <v>5357</v>
      </c>
      <c r="M474" t="s">
        <v>5356</v>
      </c>
      <c r="O474" t="s">
        <v>6494</v>
      </c>
      <c r="P474" t="s">
        <v>6525</v>
      </c>
      <c r="R474" t="s">
        <v>6539</v>
      </c>
      <c r="U474" t="s">
        <v>6557</v>
      </c>
      <c r="W474" t="s">
        <v>262</v>
      </c>
      <c r="X474">
        <v>0</v>
      </c>
      <c r="Y474" t="s">
        <v>6605</v>
      </c>
      <c r="AB474" t="s">
        <v>7104</v>
      </c>
      <c r="AE474">
        <v>0</v>
      </c>
      <c r="AH474">
        <v>0</v>
      </c>
      <c r="AI474">
        <v>1</v>
      </c>
      <c r="AJ474">
        <v>0</v>
      </c>
      <c r="AK474">
        <v>81.92</v>
      </c>
      <c r="AN474" t="s">
        <v>11050</v>
      </c>
      <c r="AO474">
        <v>9880</v>
      </c>
      <c r="AU474">
        <v>1.5</v>
      </c>
      <c r="AV474" t="s">
        <v>409</v>
      </c>
      <c r="AW474" t="s">
        <v>11515</v>
      </c>
    </row>
    <row r="475" spans="1:49">
      <c r="A475" s="1">
        <f>HYPERLINK("https://cms.ls-nyc.org/matter/dynamic-profile/view/1867384","18-1867384")</f>
        <v>0</v>
      </c>
      <c r="B475" t="s">
        <v>61</v>
      </c>
      <c r="C475" t="s">
        <v>234</v>
      </c>
      <c r="D475" t="s">
        <v>320</v>
      </c>
      <c r="E475" t="s">
        <v>673</v>
      </c>
      <c r="F475" t="s">
        <v>1208</v>
      </c>
      <c r="G475" t="s">
        <v>2451</v>
      </c>
      <c r="H475" t="s">
        <v>3729</v>
      </c>
      <c r="I475" t="s">
        <v>4757</v>
      </c>
      <c r="J475" t="s">
        <v>5321</v>
      </c>
      <c r="K475">
        <v>10451</v>
      </c>
      <c r="L475" t="s">
        <v>5355</v>
      </c>
      <c r="M475" t="s">
        <v>5356</v>
      </c>
      <c r="O475" t="s">
        <v>6496</v>
      </c>
      <c r="P475" t="s">
        <v>6525</v>
      </c>
      <c r="Q475" t="s">
        <v>6531</v>
      </c>
      <c r="R475" t="s">
        <v>6539</v>
      </c>
      <c r="U475" t="s">
        <v>6557</v>
      </c>
      <c r="W475" t="s">
        <v>516</v>
      </c>
      <c r="X475">
        <v>175.85</v>
      </c>
      <c r="Y475" t="s">
        <v>6606</v>
      </c>
      <c r="AA475" t="s">
        <v>6631</v>
      </c>
      <c r="AB475" t="s">
        <v>7105</v>
      </c>
      <c r="AD475" t="s">
        <v>9500</v>
      </c>
      <c r="AE475">
        <v>0</v>
      </c>
      <c r="AF475" t="s">
        <v>11005</v>
      </c>
      <c r="AG475" t="s">
        <v>11020</v>
      </c>
      <c r="AH475">
        <v>4</v>
      </c>
      <c r="AI475">
        <v>1</v>
      </c>
      <c r="AJ475">
        <v>0</v>
      </c>
      <c r="AK475">
        <v>82.04000000000001</v>
      </c>
      <c r="AN475" t="s">
        <v>11050</v>
      </c>
      <c r="AO475">
        <v>9960</v>
      </c>
      <c r="AU475">
        <v>0.1</v>
      </c>
      <c r="AV475" t="s">
        <v>673</v>
      </c>
      <c r="AW475" t="s">
        <v>11505</v>
      </c>
    </row>
    <row r="476" spans="1:49">
      <c r="A476" s="1">
        <f>HYPERLINK("https://cms.ls-nyc.org/matter/dynamic-profile/view/1867648","18-1867648")</f>
        <v>0</v>
      </c>
      <c r="B476" t="s">
        <v>58</v>
      </c>
      <c r="C476" t="s">
        <v>234</v>
      </c>
      <c r="D476" t="s">
        <v>299</v>
      </c>
      <c r="E476" t="s">
        <v>670</v>
      </c>
      <c r="F476" t="s">
        <v>972</v>
      </c>
      <c r="G476" t="s">
        <v>2452</v>
      </c>
      <c r="H476" t="s">
        <v>3810</v>
      </c>
      <c r="I476" t="s">
        <v>4909</v>
      </c>
      <c r="J476" t="s">
        <v>5321</v>
      </c>
      <c r="K476">
        <v>10452</v>
      </c>
      <c r="L476" t="s">
        <v>5355</v>
      </c>
      <c r="M476" t="s">
        <v>5356</v>
      </c>
      <c r="N476" t="s">
        <v>5438</v>
      </c>
      <c r="O476" t="s">
        <v>6493</v>
      </c>
      <c r="P476" t="s">
        <v>6525</v>
      </c>
      <c r="Q476" t="s">
        <v>6532</v>
      </c>
      <c r="R476" t="s">
        <v>6539</v>
      </c>
      <c r="U476" t="s">
        <v>6557</v>
      </c>
      <c r="W476" t="s">
        <v>516</v>
      </c>
      <c r="X476">
        <v>1335</v>
      </c>
      <c r="Y476" t="s">
        <v>6606</v>
      </c>
      <c r="AA476" t="s">
        <v>6636</v>
      </c>
      <c r="AB476" t="s">
        <v>7106</v>
      </c>
      <c r="AD476" t="s">
        <v>9501</v>
      </c>
      <c r="AE476">
        <v>0</v>
      </c>
      <c r="AF476" t="s">
        <v>11005</v>
      </c>
      <c r="AG476" t="s">
        <v>5406</v>
      </c>
      <c r="AH476">
        <v>22</v>
      </c>
      <c r="AI476">
        <v>3</v>
      </c>
      <c r="AJ476">
        <v>0</v>
      </c>
      <c r="AK476">
        <v>82.34999999999999</v>
      </c>
      <c r="AN476" t="s">
        <v>11050</v>
      </c>
      <c r="AO476">
        <v>17112</v>
      </c>
      <c r="AU476">
        <v>0.9</v>
      </c>
      <c r="AV476" t="s">
        <v>299</v>
      </c>
      <c r="AW476" t="s">
        <v>58</v>
      </c>
    </row>
    <row r="477" spans="1:49">
      <c r="A477" s="1">
        <f>HYPERLINK("https://cms.ls-nyc.org/matter/dynamic-profile/view/1861681","18-1861681")</f>
        <v>0</v>
      </c>
      <c r="B477" t="s">
        <v>61</v>
      </c>
      <c r="C477" t="s">
        <v>234</v>
      </c>
      <c r="D477" t="s">
        <v>362</v>
      </c>
      <c r="E477" t="s">
        <v>712</v>
      </c>
      <c r="F477" t="s">
        <v>1209</v>
      </c>
      <c r="G477" t="s">
        <v>2453</v>
      </c>
      <c r="H477" t="s">
        <v>3811</v>
      </c>
      <c r="I477" t="s">
        <v>4910</v>
      </c>
      <c r="J477" t="s">
        <v>5321</v>
      </c>
      <c r="K477">
        <v>10452</v>
      </c>
      <c r="L477" t="s">
        <v>5355</v>
      </c>
      <c r="M477" t="s">
        <v>5356</v>
      </c>
      <c r="N477" t="s">
        <v>5516</v>
      </c>
      <c r="O477" t="s">
        <v>6491</v>
      </c>
      <c r="P477" t="s">
        <v>6525</v>
      </c>
      <c r="Q477" t="s">
        <v>6532</v>
      </c>
      <c r="R477" t="s">
        <v>6539</v>
      </c>
      <c r="S477" t="s">
        <v>5357</v>
      </c>
      <c r="U477" t="s">
        <v>6557</v>
      </c>
      <c r="W477" t="s">
        <v>312</v>
      </c>
      <c r="X477">
        <v>620</v>
      </c>
      <c r="Y477" t="s">
        <v>6606</v>
      </c>
      <c r="Z477" t="s">
        <v>6619</v>
      </c>
      <c r="AA477" t="s">
        <v>6632</v>
      </c>
      <c r="AB477" t="s">
        <v>7107</v>
      </c>
      <c r="AC477" t="s">
        <v>8765</v>
      </c>
      <c r="AD477" t="s">
        <v>9502</v>
      </c>
      <c r="AE477">
        <v>0</v>
      </c>
      <c r="AF477" t="s">
        <v>11004</v>
      </c>
      <c r="AG477" t="s">
        <v>5406</v>
      </c>
      <c r="AH477">
        <v>10</v>
      </c>
      <c r="AI477">
        <v>1</v>
      </c>
      <c r="AJ477">
        <v>0</v>
      </c>
      <c r="AK477">
        <v>82.73</v>
      </c>
      <c r="AN477" t="s">
        <v>11050</v>
      </c>
      <c r="AO477">
        <v>10044</v>
      </c>
      <c r="AU477">
        <v>5.4</v>
      </c>
      <c r="AV477" t="s">
        <v>395</v>
      </c>
      <c r="AW477" t="s">
        <v>11518</v>
      </c>
    </row>
    <row r="478" spans="1:49">
      <c r="A478" s="1">
        <f>HYPERLINK("https://cms.ls-nyc.org/matter/dynamic-profile/view/1844627","17-1844627")</f>
        <v>0</v>
      </c>
      <c r="B478" t="s">
        <v>54</v>
      </c>
      <c r="C478" t="s">
        <v>234</v>
      </c>
      <c r="D478" t="s">
        <v>435</v>
      </c>
      <c r="E478" t="s">
        <v>420</v>
      </c>
      <c r="F478" t="s">
        <v>1210</v>
      </c>
      <c r="G478" t="s">
        <v>2454</v>
      </c>
      <c r="H478" t="s">
        <v>3812</v>
      </c>
      <c r="I478" t="s">
        <v>4911</v>
      </c>
      <c r="J478" t="s">
        <v>5320</v>
      </c>
      <c r="K478">
        <v>11237</v>
      </c>
      <c r="L478" t="s">
        <v>5355</v>
      </c>
      <c r="M478" t="s">
        <v>5356</v>
      </c>
      <c r="O478" t="s">
        <v>6496</v>
      </c>
      <c r="P478" t="s">
        <v>6525</v>
      </c>
      <c r="Q478" t="s">
        <v>6532</v>
      </c>
      <c r="R478" t="s">
        <v>6539</v>
      </c>
      <c r="S478" t="s">
        <v>5355</v>
      </c>
      <c r="U478" t="s">
        <v>6557</v>
      </c>
      <c r="W478" t="s">
        <v>435</v>
      </c>
      <c r="X478">
        <v>839.16</v>
      </c>
      <c r="Y478" t="s">
        <v>6605</v>
      </c>
      <c r="AA478" t="s">
        <v>6631</v>
      </c>
      <c r="AB478" t="s">
        <v>7108</v>
      </c>
      <c r="AE478">
        <v>6</v>
      </c>
      <c r="AF478" t="s">
        <v>11005</v>
      </c>
      <c r="AG478" t="s">
        <v>5406</v>
      </c>
      <c r="AH478">
        <v>17</v>
      </c>
      <c r="AI478">
        <v>2</v>
      </c>
      <c r="AJ478">
        <v>1</v>
      </c>
      <c r="AK478">
        <v>82.73999999999999</v>
      </c>
      <c r="AN478" t="s">
        <v>11050</v>
      </c>
      <c r="AO478">
        <v>16896</v>
      </c>
      <c r="AU478">
        <v>16.85</v>
      </c>
      <c r="AV478" t="s">
        <v>11441</v>
      </c>
      <c r="AW478" t="s">
        <v>228</v>
      </c>
    </row>
    <row r="479" spans="1:49">
      <c r="A479" s="1">
        <f>HYPERLINK("https://cms.ls-nyc.org/matter/dynamic-profile/view/1867074","18-1867074")</f>
        <v>0</v>
      </c>
      <c r="B479" t="s">
        <v>95</v>
      </c>
      <c r="C479" t="s">
        <v>234</v>
      </c>
      <c r="D479" t="s">
        <v>244</v>
      </c>
      <c r="E479" t="s">
        <v>671</v>
      </c>
      <c r="F479" t="s">
        <v>1211</v>
      </c>
      <c r="G479" t="s">
        <v>2243</v>
      </c>
      <c r="H479" t="s">
        <v>3813</v>
      </c>
      <c r="I479">
        <v>52</v>
      </c>
      <c r="J479" t="s">
        <v>5321</v>
      </c>
      <c r="K479">
        <v>10457</v>
      </c>
      <c r="L479" t="s">
        <v>5355</v>
      </c>
      <c r="M479" t="s">
        <v>5356</v>
      </c>
      <c r="O479" t="s">
        <v>5393</v>
      </c>
      <c r="P479" t="s">
        <v>6525</v>
      </c>
      <c r="Q479" t="s">
        <v>6532</v>
      </c>
      <c r="R479" t="s">
        <v>6539</v>
      </c>
      <c r="S479" t="s">
        <v>5357</v>
      </c>
      <c r="U479" t="s">
        <v>6559</v>
      </c>
      <c r="W479" t="s">
        <v>516</v>
      </c>
      <c r="X479">
        <v>777.8200000000001</v>
      </c>
      <c r="Y479" t="s">
        <v>6606</v>
      </c>
      <c r="Z479" t="s">
        <v>6612</v>
      </c>
      <c r="AA479" t="s">
        <v>6632</v>
      </c>
      <c r="AB479" t="s">
        <v>7109</v>
      </c>
      <c r="AD479" t="s">
        <v>9503</v>
      </c>
      <c r="AE479">
        <v>0</v>
      </c>
      <c r="AF479" t="s">
        <v>11005</v>
      </c>
      <c r="AG479" t="s">
        <v>5406</v>
      </c>
      <c r="AH479">
        <v>0</v>
      </c>
      <c r="AI479">
        <v>1</v>
      </c>
      <c r="AJ479">
        <v>0</v>
      </c>
      <c r="AK479">
        <v>83.18000000000001</v>
      </c>
      <c r="AN479" t="s">
        <v>11049</v>
      </c>
      <c r="AO479">
        <v>10098</v>
      </c>
      <c r="AU479">
        <v>2.3</v>
      </c>
      <c r="AV479" t="s">
        <v>671</v>
      </c>
      <c r="AW479" t="s">
        <v>95</v>
      </c>
    </row>
    <row r="480" spans="1:49">
      <c r="A480" s="1">
        <f>HYPERLINK("https://cms.ls-nyc.org/matter/dynamic-profile/view/1859108","18-1859108")</f>
        <v>0</v>
      </c>
      <c r="B480" t="s">
        <v>111</v>
      </c>
      <c r="C480" t="s">
        <v>234</v>
      </c>
      <c r="D480" t="s">
        <v>424</v>
      </c>
      <c r="E480" t="s">
        <v>517</v>
      </c>
      <c r="F480" t="s">
        <v>1212</v>
      </c>
      <c r="G480" t="s">
        <v>2455</v>
      </c>
      <c r="H480" t="s">
        <v>3814</v>
      </c>
      <c r="I480">
        <v>22</v>
      </c>
      <c r="J480" t="s">
        <v>5323</v>
      </c>
      <c r="K480">
        <v>10034</v>
      </c>
      <c r="L480" t="s">
        <v>5355</v>
      </c>
      <c r="M480" t="s">
        <v>5355</v>
      </c>
      <c r="O480" t="s">
        <v>5393</v>
      </c>
      <c r="P480" t="s">
        <v>6525</v>
      </c>
      <c r="Q480" t="s">
        <v>6532</v>
      </c>
      <c r="R480" t="s">
        <v>6539</v>
      </c>
      <c r="S480" t="s">
        <v>5357</v>
      </c>
      <c r="U480" t="s">
        <v>6557</v>
      </c>
      <c r="W480" t="s">
        <v>424</v>
      </c>
      <c r="X480">
        <v>860.67</v>
      </c>
      <c r="Y480" t="s">
        <v>6608</v>
      </c>
      <c r="Z480" t="s">
        <v>6616</v>
      </c>
      <c r="AA480" t="s">
        <v>6636</v>
      </c>
      <c r="AB480" t="s">
        <v>7110</v>
      </c>
      <c r="AD480" t="s">
        <v>9504</v>
      </c>
      <c r="AE480">
        <v>25</v>
      </c>
      <c r="AF480" t="s">
        <v>11005</v>
      </c>
      <c r="AG480" t="s">
        <v>11020</v>
      </c>
      <c r="AH480">
        <v>39</v>
      </c>
      <c r="AI480">
        <v>1</v>
      </c>
      <c r="AJ480">
        <v>0</v>
      </c>
      <c r="AK480">
        <v>83.58</v>
      </c>
      <c r="AN480" t="s">
        <v>11049</v>
      </c>
      <c r="AO480">
        <v>10080</v>
      </c>
      <c r="AU480">
        <v>5.75</v>
      </c>
      <c r="AV480" t="s">
        <v>517</v>
      </c>
      <c r="AW480" t="s">
        <v>11495</v>
      </c>
    </row>
    <row r="481" spans="1:49">
      <c r="A481" s="1">
        <f>HYPERLINK("https://cms.ls-nyc.org/matter/dynamic-profile/view/1849258","17-1849258")</f>
        <v>0</v>
      </c>
      <c r="B481" t="s">
        <v>77</v>
      </c>
      <c r="C481" t="s">
        <v>234</v>
      </c>
      <c r="D481" t="s">
        <v>392</v>
      </c>
      <c r="E481" t="s">
        <v>704</v>
      </c>
      <c r="F481" t="s">
        <v>1213</v>
      </c>
      <c r="G481" t="s">
        <v>2456</v>
      </c>
      <c r="H481" t="s">
        <v>3480</v>
      </c>
      <c r="I481" t="s">
        <v>4857</v>
      </c>
      <c r="J481" t="s">
        <v>5320</v>
      </c>
      <c r="K481">
        <v>11213</v>
      </c>
      <c r="L481" t="s">
        <v>5355</v>
      </c>
      <c r="M481" t="s">
        <v>5356</v>
      </c>
      <c r="O481" t="s">
        <v>6500</v>
      </c>
      <c r="P481" t="s">
        <v>6525</v>
      </c>
      <c r="Q481" t="s">
        <v>6531</v>
      </c>
      <c r="R481" t="s">
        <v>6539</v>
      </c>
      <c r="U481" t="s">
        <v>6557</v>
      </c>
      <c r="W481" t="s">
        <v>340</v>
      </c>
      <c r="X481">
        <v>426.7</v>
      </c>
      <c r="Y481" t="s">
        <v>6605</v>
      </c>
      <c r="Z481" t="s">
        <v>6622</v>
      </c>
      <c r="AA481" t="s">
        <v>6631</v>
      </c>
      <c r="AB481" t="s">
        <v>7111</v>
      </c>
      <c r="AE481">
        <v>107</v>
      </c>
      <c r="AF481" t="s">
        <v>11005</v>
      </c>
      <c r="AH481">
        <v>40</v>
      </c>
      <c r="AI481">
        <v>1</v>
      </c>
      <c r="AJ481">
        <v>0</v>
      </c>
      <c r="AK481">
        <v>83.78</v>
      </c>
      <c r="AL481" t="s">
        <v>266</v>
      </c>
      <c r="AN481" t="s">
        <v>11049</v>
      </c>
      <c r="AO481">
        <v>10104</v>
      </c>
      <c r="AU481">
        <v>2.1</v>
      </c>
      <c r="AV481" t="s">
        <v>704</v>
      </c>
      <c r="AW481" t="s">
        <v>11512</v>
      </c>
    </row>
    <row r="482" spans="1:49">
      <c r="A482" s="1">
        <f>HYPERLINK("https://cms.ls-nyc.org/matter/dynamic-profile/view/1865953","18-1865953")</f>
        <v>0</v>
      </c>
      <c r="B482" t="s">
        <v>97</v>
      </c>
      <c r="C482" t="s">
        <v>234</v>
      </c>
      <c r="D482" t="s">
        <v>312</v>
      </c>
      <c r="E482" t="s">
        <v>665</v>
      </c>
      <c r="F482" t="s">
        <v>1214</v>
      </c>
      <c r="G482" t="s">
        <v>1211</v>
      </c>
      <c r="H482" t="s">
        <v>3815</v>
      </c>
      <c r="I482" t="s">
        <v>4912</v>
      </c>
      <c r="J482" t="s">
        <v>5323</v>
      </c>
      <c r="K482">
        <v>10034</v>
      </c>
      <c r="L482" t="s">
        <v>5355</v>
      </c>
      <c r="M482" t="s">
        <v>5356</v>
      </c>
      <c r="N482" t="s">
        <v>5517</v>
      </c>
      <c r="O482" t="s">
        <v>6491</v>
      </c>
      <c r="P482" t="s">
        <v>6525</v>
      </c>
      <c r="Q482" t="s">
        <v>6532</v>
      </c>
      <c r="R482" t="s">
        <v>6539</v>
      </c>
      <c r="S482" t="s">
        <v>5357</v>
      </c>
      <c r="U482" t="s">
        <v>6557</v>
      </c>
      <c r="W482" t="s">
        <v>335</v>
      </c>
      <c r="X482">
        <v>400</v>
      </c>
      <c r="Y482" t="s">
        <v>6608</v>
      </c>
      <c r="Z482" t="s">
        <v>6616</v>
      </c>
      <c r="AA482" t="s">
        <v>6636</v>
      </c>
      <c r="AB482" t="s">
        <v>7112</v>
      </c>
      <c r="AD482" t="s">
        <v>9505</v>
      </c>
      <c r="AE482">
        <v>88</v>
      </c>
      <c r="AF482" t="s">
        <v>8722</v>
      </c>
      <c r="AG482" t="s">
        <v>5406</v>
      </c>
      <c r="AH482">
        <v>12</v>
      </c>
      <c r="AI482">
        <v>1</v>
      </c>
      <c r="AJ482">
        <v>0</v>
      </c>
      <c r="AK482">
        <v>84.02</v>
      </c>
      <c r="AN482" t="s">
        <v>11049</v>
      </c>
      <c r="AO482">
        <v>10200</v>
      </c>
      <c r="AU482">
        <v>7.6</v>
      </c>
      <c r="AV482" t="s">
        <v>733</v>
      </c>
      <c r="AW482" t="s">
        <v>11519</v>
      </c>
    </row>
    <row r="483" spans="1:49">
      <c r="A483" s="1">
        <f>HYPERLINK("https://cms.ls-nyc.org/matter/dynamic-profile/view/1861672","18-1861672")</f>
        <v>0</v>
      </c>
      <c r="B483" t="s">
        <v>97</v>
      </c>
      <c r="C483" t="s">
        <v>234</v>
      </c>
      <c r="D483" t="s">
        <v>362</v>
      </c>
      <c r="E483" t="s">
        <v>711</v>
      </c>
      <c r="F483" t="s">
        <v>1215</v>
      </c>
      <c r="G483" t="s">
        <v>2457</v>
      </c>
      <c r="H483" t="s">
        <v>3816</v>
      </c>
      <c r="I483" t="s">
        <v>4791</v>
      </c>
      <c r="J483" t="s">
        <v>5323</v>
      </c>
      <c r="K483">
        <v>10033</v>
      </c>
      <c r="L483" t="s">
        <v>5355</v>
      </c>
      <c r="M483" t="s">
        <v>5356</v>
      </c>
      <c r="N483" t="s">
        <v>5518</v>
      </c>
      <c r="O483" t="s">
        <v>6491</v>
      </c>
      <c r="P483" t="s">
        <v>6525</v>
      </c>
      <c r="Q483" t="s">
        <v>6533</v>
      </c>
      <c r="R483" t="s">
        <v>6539</v>
      </c>
      <c r="S483" t="s">
        <v>5357</v>
      </c>
      <c r="U483" t="s">
        <v>6557</v>
      </c>
      <c r="W483" t="s">
        <v>362</v>
      </c>
      <c r="X483">
        <v>848.29</v>
      </c>
      <c r="Y483" t="s">
        <v>6608</v>
      </c>
      <c r="Z483" t="s">
        <v>6616</v>
      </c>
      <c r="AA483" t="s">
        <v>6631</v>
      </c>
      <c r="AB483" t="s">
        <v>7113</v>
      </c>
      <c r="AC483" t="s">
        <v>8766</v>
      </c>
      <c r="AE483">
        <v>29</v>
      </c>
      <c r="AF483" t="s">
        <v>11005</v>
      </c>
      <c r="AG483" t="s">
        <v>5406</v>
      </c>
      <c r="AH483">
        <v>37</v>
      </c>
      <c r="AI483">
        <v>1</v>
      </c>
      <c r="AJ483">
        <v>0</v>
      </c>
      <c r="AK483">
        <v>84.02</v>
      </c>
      <c r="AN483" t="s">
        <v>11050</v>
      </c>
      <c r="AO483">
        <v>10200</v>
      </c>
      <c r="AU483">
        <v>11.2</v>
      </c>
      <c r="AV483" t="s">
        <v>711</v>
      </c>
      <c r="AW483" t="s">
        <v>11495</v>
      </c>
    </row>
    <row r="484" spans="1:49">
      <c r="A484" s="1">
        <f>HYPERLINK("https://cms.ls-nyc.org/matter/dynamic-profile/view/1858697","18-1858697")</f>
        <v>0</v>
      </c>
      <c r="B484" t="s">
        <v>59</v>
      </c>
      <c r="C484" t="s">
        <v>234</v>
      </c>
      <c r="D484" t="s">
        <v>248</v>
      </c>
      <c r="E484" t="s">
        <v>709</v>
      </c>
      <c r="F484" t="s">
        <v>1216</v>
      </c>
      <c r="G484" t="s">
        <v>2458</v>
      </c>
      <c r="H484" t="s">
        <v>3691</v>
      </c>
      <c r="I484" t="s">
        <v>4913</v>
      </c>
      <c r="J484" t="s">
        <v>5321</v>
      </c>
      <c r="K484">
        <v>10453</v>
      </c>
      <c r="L484" t="s">
        <v>5355</v>
      </c>
      <c r="M484" t="s">
        <v>5356</v>
      </c>
      <c r="O484" t="s">
        <v>5393</v>
      </c>
      <c r="P484" t="s">
        <v>6525</v>
      </c>
      <c r="Q484" t="s">
        <v>6532</v>
      </c>
      <c r="R484" t="s">
        <v>6539</v>
      </c>
      <c r="S484" t="s">
        <v>5357</v>
      </c>
      <c r="U484" t="s">
        <v>6557</v>
      </c>
      <c r="W484" t="s">
        <v>362</v>
      </c>
      <c r="X484">
        <v>1300</v>
      </c>
      <c r="Y484" t="s">
        <v>6606</v>
      </c>
      <c r="Z484" t="s">
        <v>6612</v>
      </c>
      <c r="AA484" t="s">
        <v>6631</v>
      </c>
      <c r="AB484" t="s">
        <v>7114</v>
      </c>
      <c r="AE484">
        <v>70</v>
      </c>
      <c r="AF484" t="s">
        <v>8722</v>
      </c>
      <c r="AG484" t="s">
        <v>5406</v>
      </c>
      <c r="AH484">
        <v>1</v>
      </c>
      <c r="AI484">
        <v>3</v>
      </c>
      <c r="AJ484">
        <v>1</v>
      </c>
      <c r="AK484">
        <v>84.55</v>
      </c>
      <c r="AN484" t="s">
        <v>11050</v>
      </c>
      <c r="AO484">
        <v>20800</v>
      </c>
      <c r="AU484">
        <v>1.9</v>
      </c>
      <c r="AV484" t="s">
        <v>709</v>
      </c>
      <c r="AW484" t="s">
        <v>11492</v>
      </c>
    </row>
    <row r="485" spans="1:49">
      <c r="A485" s="1">
        <f>HYPERLINK("https://cms.ls-nyc.org/matter/dynamic-profile/view/1856422","18-1856422")</f>
        <v>0</v>
      </c>
      <c r="B485" t="s">
        <v>77</v>
      </c>
      <c r="C485" t="s">
        <v>234</v>
      </c>
      <c r="D485" t="s">
        <v>261</v>
      </c>
      <c r="E485" t="s">
        <v>718</v>
      </c>
      <c r="F485" t="s">
        <v>1217</v>
      </c>
      <c r="G485" t="s">
        <v>2120</v>
      </c>
      <c r="H485" t="s">
        <v>3817</v>
      </c>
      <c r="I485" t="s">
        <v>4785</v>
      </c>
      <c r="J485" t="s">
        <v>5320</v>
      </c>
      <c r="K485">
        <v>11212</v>
      </c>
      <c r="L485" t="s">
        <v>5355</v>
      </c>
      <c r="M485" t="s">
        <v>5355</v>
      </c>
      <c r="O485" t="s">
        <v>6500</v>
      </c>
      <c r="P485" t="s">
        <v>6525</v>
      </c>
      <c r="Q485" t="s">
        <v>6531</v>
      </c>
      <c r="R485" t="s">
        <v>6539</v>
      </c>
      <c r="S485" t="s">
        <v>5355</v>
      </c>
      <c r="U485" t="s">
        <v>6557</v>
      </c>
      <c r="W485" t="s">
        <v>525</v>
      </c>
      <c r="X485">
        <v>0</v>
      </c>
      <c r="Y485" t="s">
        <v>6605</v>
      </c>
      <c r="Z485" t="s">
        <v>6622</v>
      </c>
      <c r="AA485" t="s">
        <v>6631</v>
      </c>
      <c r="AB485" t="s">
        <v>7115</v>
      </c>
      <c r="AD485" t="s">
        <v>9506</v>
      </c>
      <c r="AE485">
        <v>70</v>
      </c>
      <c r="AF485" t="s">
        <v>11005</v>
      </c>
      <c r="AG485" t="s">
        <v>11026</v>
      </c>
      <c r="AH485">
        <v>1</v>
      </c>
      <c r="AI485">
        <v>1</v>
      </c>
      <c r="AJ485">
        <v>0</v>
      </c>
      <c r="AK485">
        <v>84.58</v>
      </c>
      <c r="AN485" t="s">
        <v>11050</v>
      </c>
      <c r="AO485">
        <v>10200</v>
      </c>
      <c r="AU485">
        <v>2.22</v>
      </c>
      <c r="AV485" t="s">
        <v>718</v>
      </c>
      <c r="AW485" t="s">
        <v>11512</v>
      </c>
    </row>
    <row r="486" spans="1:49">
      <c r="A486" s="1">
        <f>HYPERLINK("https://cms.ls-nyc.org/matter/dynamic-profile/view/1857630","18-1857630")</f>
        <v>0</v>
      </c>
      <c r="B486" t="s">
        <v>71</v>
      </c>
      <c r="C486" t="s">
        <v>234</v>
      </c>
      <c r="D486" t="s">
        <v>436</v>
      </c>
      <c r="E486" t="s">
        <v>684</v>
      </c>
      <c r="F486" t="s">
        <v>1218</v>
      </c>
      <c r="G486" t="s">
        <v>2459</v>
      </c>
      <c r="H486" t="s">
        <v>3818</v>
      </c>
      <c r="I486" t="s">
        <v>4914</v>
      </c>
      <c r="J486" t="s">
        <v>5321</v>
      </c>
      <c r="K486">
        <v>10452</v>
      </c>
      <c r="L486" t="s">
        <v>5355</v>
      </c>
      <c r="M486" t="s">
        <v>5356</v>
      </c>
      <c r="N486" t="s">
        <v>5519</v>
      </c>
      <c r="O486" t="s">
        <v>6491</v>
      </c>
      <c r="P486" t="s">
        <v>6525</v>
      </c>
      <c r="Q486" t="s">
        <v>6531</v>
      </c>
      <c r="R486" t="s">
        <v>6539</v>
      </c>
      <c r="U486" t="s">
        <v>6557</v>
      </c>
      <c r="W486" t="s">
        <v>319</v>
      </c>
      <c r="X486">
        <v>740</v>
      </c>
      <c r="Y486" t="s">
        <v>6606</v>
      </c>
      <c r="Z486" t="s">
        <v>6613</v>
      </c>
      <c r="AA486" t="s">
        <v>6636</v>
      </c>
      <c r="AB486" t="s">
        <v>7116</v>
      </c>
      <c r="AC486" t="s">
        <v>8767</v>
      </c>
      <c r="AD486" t="s">
        <v>9507</v>
      </c>
      <c r="AE486">
        <v>384</v>
      </c>
      <c r="AF486" t="s">
        <v>8722</v>
      </c>
      <c r="AG486" t="s">
        <v>5406</v>
      </c>
      <c r="AH486">
        <v>5</v>
      </c>
      <c r="AI486">
        <v>1</v>
      </c>
      <c r="AJ486">
        <v>0</v>
      </c>
      <c r="AK486">
        <v>84.58</v>
      </c>
      <c r="AN486" t="s">
        <v>11057</v>
      </c>
      <c r="AO486">
        <v>10200</v>
      </c>
      <c r="AU486">
        <v>6.75</v>
      </c>
      <c r="AV486" t="s">
        <v>306</v>
      </c>
      <c r="AW486" t="s">
        <v>11500</v>
      </c>
    </row>
    <row r="487" spans="1:49">
      <c r="A487" s="1">
        <f>HYPERLINK("https://cms.ls-nyc.org/matter/dynamic-profile/view/1871301","18-1871301")</f>
        <v>0</v>
      </c>
      <c r="B487" t="s">
        <v>124</v>
      </c>
      <c r="C487" t="s">
        <v>234</v>
      </c>
      <c r="D487" t="s">
        <v>401</v>
      </c>
      <c r="E487" t="s">
        <v>673</v>
      </c>
      <c r="F487" t="s">
        <v>1219</v>
      </c>
      <c r="G487" t="s">
        <v>2411</v>
      </c>
      <c r="H487" t="s">
        <v>3819</v>
      </c>
      <c r="I487">
        <v>1</v>
      </c>
      <c r="J487" t="s">
        <v>5323</v>
      </c>
      <c r="K487">
        <v>10034</v>
      </c>
      <c r="L487" t="s">
        <v>5355</v>
      </c>
      <c r="M487" t="s">
        <v>5355</v>
      </c>
      <c r="O487" t="s">
        <v>6498</v>
      </c>
      <c r="P487" t="s">
        <v>6525</v>
      </c>
      <c r="Q487" t="s">
        <v>6532</v>
      </c>
      <c r="R487" t="s">
        <v>6539</v>
      </c>
      <c r="S487" t="s">
        <v>5357</v>
      </c>
      <c r="U487" t="s">
        <v>6557</v>
      </c>
      <c r="W487" t="s">
        <v>401</v>
      </c>
      <c r="X487">
        <v>818.49</v>
      </c>
      <c r="Y487" t="s">
        <v>6608</v>
      </c>
      <c r="Z487" t="s">
        <v>6614</v>
      </c>
      <c r="AA487" t="s">
        <v>6632</v>
      </c>
      <c r="AB487" t="s">
        <v>7117</v>
      </c>
      <c r="AD487" t="s">
        <v>9508</v>
      </c>
      <c r="AE487">
        <v>0</v>
      </c>
      <c r="AF487" t="s">
        <v>11005</v>
      </c>
      <c r="AG487" t="s">
        <v>11024</v>
      </c>
      <c r="AH487">
        <v>19</v>
      </c>
      <c r="AI487">
        <v>1</v>
      </c>
      <c r="AJ487">
        <v>0</v>
      </c>
      <c r="AK487">
        <v>84.70999999999999</v>
      </c>
      <c r="AN487" t="s">
        <v>11061</v>
      </c>
      <c r="AO487">
        <v>10284</v>
      </c>
      <c r="AU487">
        <v>1.1</v>
      </c>
      <c r="AV487" t="s">
        <v>668</v>
      </c>
      <c r="AW487" t="s">
        <v>11495</v>
      </c>
    </row>
    <row r="488" spans="1:49">
      <c r="A488" s="1">
        <f>HYPERLINK("https://cms.ls-nyc.org/matter/dynamic-profile/view/1866217","18-1866217")</f>
        <v>0</v>
      </c>
      <c r="B488" t="s">
        <v>146</v>
      </c>
      <c r="C488" t="s">
        <v>234</v>
      </c>
      <c r="D488" t="s">
        <v>274</v>
      </c>
      <c r="E488" t="s">
        <v>754</v>
      </c>
      <c r="F488" t="s">
        <v>837</v>
      </c>
      <c r="G488" t="s">
        <v>2460</v>
      </c>
      <c r="H488" t="s">
        <v>3820</v>
      </c>
      <c r="I488" t="s">
        <v>4915</v>
      </c>
      <c r="J488" t="s">
        <v>5321</v>
      </c>
      <c r="K488">
        <v>10467</v>
      </c>
      <c r="L488" t="s">
        <v>5355</v>
      </c>
      <c r="M488" t="s">
        <v>5356</v>
      </c>
      <c r="O488" t="s">
        <v>6503</v>
      </c>
      <c r="P488" t="s">
        <v>6525</v>
      </c>
      <c r="Q488" t="s">
        <v>6532</v>
      </c>
      <c r="R488" t="s">
        <v>6539</v>
      </c>
      <c r="S488" t="s">
        <v>5357</v>
      </c>
      <c r="U488" t="s">
        <v>6560</v>
      </c>
      <c r="W488" t="s">
        <v>516</v>
      </c>
      <c r="X488">
        <v>1508.99</v>
      </c>
      <c r="Y488" t="s">
        <v>6606</v>
      </c>
      <c r="Z488" t="s">
        <v>6614</v>
      </c>
      <c r="AA488" t="s">
        <v>6631</v>
      </c>
      <c r="AB488" t="s">
        <v>7118</v>
      </c>
      <c r="AC488" t="s">
        <v>8768</v>
      </c>
      <c r="AD488" t="s">
        <v>9509</v>
      </c>
      <c r="AE488">
        <v>0</v>
      </c>
      <c r="AF488" t="s">
        <v>11005</v>
      </c>
      <c r="AG488" t="s">
        <v>11020</v>
      </c>
      <c r="AH488">
        <v>20</v>
      </c>
      <c r="AI488">
        <v>1</v>
      </c>
      <c r="AJ488">
        <v>0</v>
      </c>
      <c r="AK488">
        <v>85.20999999999999</v>
      </c>
      <c r="AN488" t="s">
        <v>11050</v>
      </c>
      <c r="AO488">
        <v>10344</v>
      </c>
      <c r="AU488">
        <v>0.1</v>
      </c>
      <c r="AV488" t="s">
        <v>352</v>
      </c>
      <c r="AW488" t="s">
        <v>11492</v>
      </c>
    </row>
    <row r="489" spans="1:49">
      <c r="A489" s="1">
        <f>HYPERLINK("https://cms.ls-nyc.org/matter/dynamic-profile/view/1868544","18-1868544")</f>
        <v>0</v>
      </c>
      <c r="B489" t="s">
        <v>97</v>
      </c>
      <c r="C489" t="s">
        <v>234</v>
      </c>
      <c r="D489" t="s">
        <v>267</v>
      </c>
      <c r="E489" t="s">
        <v>703</v>
      </c>
      <c r="F489" t="s">
        <v>1220</v>
      </c>
      <c r="G489" t="s">
        <v>2461</v>
      </c>
      <c r="H489" t="s">
        <v>3821</v>
      </c>
      <c r="I489" t="s">
        <v>4783</v>
      </c>
      <c r="J489" t="s">
        <v>5323</v>
      </c>
      <c r="K489">
        <v>10034</v>
      </c>
      <c r="L489" t="s">
        <v>5355</v>
      </c>
      <c r="M489" t="s">
        <v>5355</v>
      </c>
      <c r="N489" t="s">
        <v>5520</v>
      </c>
      <c r="O489" t="s">
        <v>6491</v>
      </c>
      <c r="P489" t="s">
        <v>6525</v>
      </c>
      <c r="Q489" t="s">
        <v>6532</v>
      </c>
      <c r="R489" t="s">
        <v>6539</v>
      </c>
      <c r="S489" t="s">
        <v>5357</v>
      </c>
      <c r="U489" t="s">
        <v>6557</v>
      </c>
      <c r="V489" t="s">
        <v>6566</v>
      </c>
      <c r="W489" t="s">
        <v>474</v>
      </c>
      <c r="X489">
        <v>902</v>
      </c>
      <c r="Y489" t="s">
        <v>6608</v>
      </c>
      <c r="Z489" t="s">
        <v>6616</v>
      </c>
      <c r="AA489" t="s">
        <v>6636</v>
      </c>
      <c r="AB489" t="s">
        <v>7119</v>
      </c>
      <c r="AD489" t="s">
        <v>9510</v>
      </c>
      <c r="AE489">
        <v>0</v>
      </c>
      <c r="AF489" t="s">
        <v>8722</v>
      </c>
      <c r="AG489" t="s">
        <v>5406</v>
      </c>
      <c r="AH489">
        <v>18</v>
      </c>
      <c r="AI489">
        <v>1</v>
      </c>
      <c r="AJ489">
        <v>0</v>
      </c>
      <c r="AK489">
        <v>85.67</v>
      </c>
      <c r="AN489" t="s">
        <v>11049</v>
      </c>
      <c r="AO489">
        <v>10400</v>
      </c>
      <c r="AU489">
        <v>12.3</v>
      </c>
      <c r="AV489" t="s">
        <v>670</v>
      </c>
      <c r="AW489" t="s">
        <v>11494</v>
      </c>
    </row>
    <row r="490" spans="1:49">
      <c r="A490" s="1">
        <f>HYPERLINK("https://cms.ls-nyc.org/matter/dynamic-profile/view/1861669","18-1861669")</f>
        <v>0</v>
      </c>
      <c r="B490" t="s">
        <v>97</v>
      </c>
      <c r="C490" t="s">
        <v>234</v>
      </c>
      <c r="D490" t="s">
        <v>362</v>
      </c>
      <c r="E490" t="s">
        <v>665</v>
      </c>
      <c r="F490" t="s">
        <v>1221</v>
      </c>
      <c r="G490" t="s">
        <v>2451</v>
      </c>
      <c r="H490" t="s">
        <v>3822</v>
      </c>
      <c r="I490" t="s">
        <v>4752</v>
      </c>
      <c r="J490" t="s">
        <v>5323</v>
      </c>
      <c r="K490">
        <v>10034</v>
      </c>
      <c r="L490" t="s">
        <v>5355</v>
      </c>
      <c r="M490" t="s">
        <v>5356</v>
      </c>
      <c r="P490" t="s">
        <v>6525</v>
      </c>
      <c r="Q490" t="s">
        <v>6532</v>
      </c>
      <c r="R490" t="s">
        <v>6539</v>
      </c>
      <c r="S490" t="s">
        <v>5357</v>
      </c>
      <c r="U490" t="s">
        <v>6557</v>
      </c>
      <c r="W490" t="s">
        <v>362</v>
      </c>
      <c r="X490">
        <v>1499.97</v>
      </c>
      <c r="Y490" t="s">
        <v>6608</v>
      </c>
      <c r="Z490" t="s">
        <v>6616</v>
      </c>
      <c r="AA490" t="s">
        <v>6636</v>
      </c>
      <c r="AB490" t="s">
        <v>7120</v>
      </c>
      <c r="AD490" t="s">
        <v>9511</v>
      </c>
      <c r="AE490">
        <v>16</v>
      </c>
      <c r="AF490" t="s">
        <v>11005</v>
      </c>
      <c r="AG490" t="s">
        <v>11020</v>
      </c>
      <c r="AH490">
        <v>10</v>
      </c>
      <c r="AI490">
        <v>2</v>
      </c>
      <c r="AJ490">
        <v>1</v>
      </c>
      <c r="AK490">
        <v>86.97</v>
      </c>
      <c r="AN490" t="s">
        <v>11049</v>
      </c>
      <c r="AO490">
        <v>18072</v>
      </c>
      <c r="AU490">
        <v>3</v>
      </c>
      <c r="AV490" t="s">
        <v>395</v>
      </c>
      <c r="AW490" t="s">
        <v>11495</v>
      </c>
    </row>
    <row r="491" spans="1:49">
      <c r="A491" s="1">
        <f>HYPERLINK("https://cms.ls-nyc.org/matter/dynamic-profile/view/1861085","18-1861085")</f>
        <v>0</v>
      </c>
      <c r="B491" t="s">
        <v>126</v>
      </c>
      <c r="C491" t="s">
        <v>235</v>
      </c>
      <c r="D491" t="s">
        <v>246</v>
      </c>
      <c r="F491" t="s">
        <v>1222</v>
      </c>
      <c r="G491" t="s">
        <v>2239</v>
      </c>
      <c r="H491" t="s">
        <v>3823</v>
      </c>
      <c r="I491" t="s">
        <v>4916</v>
      </c>
      <c r="J491" t="s">
        <v>5323</v>
      </c>
      <c r="K491">
        <v>10016</v>
      </c>
      <c r="L491" t="s">
        <v>5355</v>
      </c>
      <c r="M491" t="s">
        <v>5356</v>
      </c>
      <c r="N491" t="s">
        <v>5521</v>
      </c>
      <c r="O491" t="s">
        <v>6492</v>
      </c>
      <c r="P491" t="s">
        <v>6525</v>
      </c>
      <c r="R491" t="s">
        <v>6539</v>
      </c>
      <c r="T491" t="s">
        <v>6542</v>
      </c>
      <c r="U491" t="s">
        <v>6557</v>
      </c>
      <c r="W491" t="s">
        <v>298</v>
      </c>
      <c r="X491">
        <v>3633</v>
      </c>
      <c r="Y491" t="s">
        <v>6608</v>
      </c>
      <c r="Z491" t="s">
        <v>6612</v>
      </c>
      <c r="AB491" t="s">
        <v>7121</v>
      </c>
      <c r="AD491" t="s">
        <v>9512</v>
      </c>
      <c r="AE491">
        <v>0</v>
      </c>
      <c r="AF491" t="s">
        <v>8722</v>
      </c>
      <c r="AG491" t="s">
        <v>11020</v>
      </c>
      <c r="AH491">
        <v>25</v>
      </c>
      <c r="AI491">
        <v>1</v>
      </c>
      <c r="AJ491">
        <v>0</v>
      </c>
      <c r="AK491">
        <v>87.81</v>
      </c>
      <c r="AO491">
        <v>10660</v>
      </c>
      <c r="AU491">
        <v>8.800000000000001</v>
      </c>
      <c r="AV491" t="s">
        <v>326</v>
      </c>
      <c r="AW491" t="s">
        <v>11496</v>
      </c>
    </row>
    <row r="492" spans="1:49">
      <c r="A492" s="1">
        <f>HYPERLINK("https://cms.ls-nyc.org/matter/dynamic-profile/view/1869916","18-1869916")</f>
        <v>0</v>
      </c>
      <c r="B492" t="s">
        <v>80</v>
      </c>
      <c r="C492" t="s">
        <v>234</v>
      </c>
      <c r="D492" t="s">
        <v>313</v>
      </c>
      <c r="E492" t="s">
        <v>708</v>
      </c>
      <c r="F492" t="s">
        <v>1204</v>
      </c>
      <c r="G492" t="s">
        <v>2462</v>
      </c>
      <c r="H492" t="s">
        <v>3824</v>
      </c>
      <c r="I492">
        <v>26</v>
      </c>
      <c r="J492" t="s">
        <v>5321</v>
      </c>
      <c r="K492">
        <v>10452</v>
      </c>
      <c r="L492" t="s">
        <v>5355</v>
      </c>
      <c r="M492" t="s">
        <v>5356</v>
      </c>
      <c r="O492" t="s">
        <v>6496</v>
      </c>
      <c r="P492" t="s">
        <v>6525</v>
      </c>
      <c r="Q492" t="s">
        <v>6531</v>
      </c>
      <c r="R492" t="s">
        <v>6539</v>
      </c>
      <c r="S492" t="s">
        <v>5357</v>
      </c>
      <c r="U492" t="s">
        <v>6557</v>
      </c>
      <c r="W492" t="s">
        <v>313</v>
      </c>
      <c r="X492">
        <v>0</v>
      </c>
      <c r="Y492" t="s">
        <v>6606</v>
      </c>
      <c r="Z492" t="s">
        <v>6612</v>
      </c>
      <c r="AA492" t="s">
        <v>6631</v>
      </c>
      <c r="AB492" t="s">
        <v>7122</v>
      </c>
      <c r="AE492">
        <v>0</v>
      </c>
      <c r="AF492" t="s">
        <v>11008</v>
      </c>
      <c r="AG492" t="s">
        <v>11020</v>
      </c>
      <c r="AH492">
        <v>10</v>
      </c>
      <c r="AI492">
        <v>1</v>
      </c>
      <c r="AJ492">
        <v>0</v>
      </c>
      <c r="AK492">
        <v>87.97</v>
      </c>
      <c r="AN492" t="s">
        <v>11049</v>
      </c>
      <c r="AO492">
        <v>10680</v>
      </c>
      <c r="AU492">
        <v>0.1</v>
      </c>
      <c r="AV492" t="s">
        <v>708</v>
      </c>
      <c r="AW492" t="s">
        <v>11530</v>
      </c>
    </row>
    <row r="493" spans="1:49">
      <c r="A493" s="1">
        <f>HYPERLINK("https://cms.ls-nyc.org/matter/dynamic-profile/view/1869424","18-1869424")</f>
        <v>0</v>
      </c>
      <c r="B493" t="s">
        <v>135</v>
      </c>
      <c r="C493" t="s">
        <v>235</v>
      </c>
      <c r="D493" t="s">
        <v>253</v>
      </c>
      <c r="F493" t="s">
        <v>1080</v>
      </c>
      <c r="G493" t="s">
        <v>2463</v>
      </c>
      <c r="H493" t="s">
        <v>3734</v>
      </c>
      <c r="I493" t="s">
        <v>4758</v>
      </c>
      <c r="J493" t="s">
        <v>5320</v>
      </c>
      <c r="K493">
        <v>11233</v>
      </c>
      <c r="L493" t="s">
        <v>5355</v>
      </c>
      <c r="M493" t="s">
        <v>5356</v>
      </c>
      <c r="O493" t="s">
        <v>6500</v>
      </c>
      <c r="P493" t="s">
        <v>6525</v>
      </c>
      <c r="R493" t="s">
        <v>6539</v>
      </c>
      <c r="S493" t="s">
        <v>5355</v>
      </c>
      <c r="U493" t="s">
        <v>6557</v>
      </c>
      <c r="W493" t="s">
        <v>239</v>
      </c>
      <c r="X493">
        <v>950</v>
      </c>
      <c r="Y493" t="s">
        <v>6605</v>
      </c>
      <c r="Z493" t="s">
        <v>6614</v>
      </c>
      <c r="AB493" t="s">
        <v>7123</v>
      </c>
      <c r="AD493" t="s">
        <v>9513</v>
      </c>
      <c r="AE493">
        <v>11</v>
      </c>
      <c r="AF493" t="s">
        <v>11005</v>
      </c>
      <c r="AG493" t="s">
        <v>5406</v>
      </c>
      <c r="AH493">
        <v>23</v>
      </c>
      <c r="AI493">
        <v>3</v>
      </c>
      <c r="AJ493">
        <v>2</v>
      </c>
      <c r="AK493">
        <v>88.38</v>
      </c>
      <c r="AN493" t="s">
        <v>11050</v>
      </c>
      <c r="AO493">
        <v>26000</v>
      </c>
      <c r="AU493">
        <v>0</v>
      </c>
      <c r="AW493" t="s">
        <v>11512</v>
      </c>
    </row>
    <row r="494" spans="1:49">
      <c r="A494" s="1">
        <f>HYPERLINK("https://cms.ls-nyc.org/matter/dynamic-profile/view/1851045","17-1851045")</f>
        <v>0</v>
      </c>
      <c r="B494" t="s">
        <v>97</v>
      </c>
      <c r="C494" t="s">
        <v>234</v>
      </c>
      <c r="D494" t="s">
        <v>367</v>
      </c>
      <c r="E494" t="s">
        <v>568</v>
      </c>
      <c r="F494" t="s">
        <v>871</v>
      </c>
      <c r="G494" t="s">
        <v>2464</v>
      </c>
      <c r="H494" t="s">
        <v>3825</v>
      </c>
      <c r="I494">
        <v>2</v>
      </c>
      <c r="J494" t="s">
        <v>5323</v>
      </c>
      <c r="K494">
        <v>10034</v>
      </c>
      <c r="L494" t="s">
        <v>5355</v>
      </c>
      <c r="M494" t="s">
        <v>5355</v>
      </c>
      <c r="O494" t="s">
        <v>6491</v>
      </c>
      <c r="P494" t="s">
        <v>6525</v>
      </c>
      <c r="Q494" t="s">
        <v>6532</v>
      </c>
      <c r="R494" t="s">
        <v>6539</v>
      </c>
      <c r="S494" t="s">
        <v>5357</v>
      </c>
      <c r="U494" t="s">
        <v>6557</v>
      </c>
      <c r="W494" t="s">
        <v>367</v>
      </c>
      <c r="X494">
        <v>765.87</v>
      </c>
      <c r="Y494" t="s">
        <v>6608</v>
      </c>
      <c r="Z494" t="s">
        <v>6616</v>
      </c>
      <c r="AA494" t="s">
        <v>6631</v>
      </c>
      <c r="AB494" t="s">
        <v>7124</v>
      </c>
      <c r="AD494" t="s">
        <v>9514</v>
      </c>
      <c r="AE494">
        <v>25</v>
      </c>
      <c r="AF494" t="s">
        <v>11005</v>
      </c>
      <c r="AG494" t="s">
        <v>5406</v>
      </c>
      <c r="AH494">
        <v>9</v>
      </c>
      <c r="AI494">
        <v>2</v>
      </c>
      <c r="AJ494">
        <v>0</v>
      </c>
      <c r="AK494">
        <v>88.67</v>
      </c>
      <c r="AN494" t="s">
        <v>11050</v>
      </c>
      <c r="AO494">
        <v>14400</v>
      </c>
      <c r="AU494">
        <v>4.5</v>
      </c>
      <c r="AV494" t="s">
        <v>242</v>
      </c>
      <c r="AW494" t="s">
        <v>11495</v>
      </c>
    </row>
    <row r="495" spans="1:49">
      <c r="A495" s="1">
        <f>HYPERLINK("https://cms.ls-nyc.org/matter/dynamic-profile/view/1852179","17-1852179")</f>
        <v>0</v>
      </c>
      <c r="B495" t="s">
        <v>135</v>
      </c>
      <c r="C495" t="s">
        <v>234</v>
      </c>
      <c r="D495" t="s">
        <v>294</v>
      </c>
      <c r="E495" t="s">
        <v>665</v>
      </c>
      <c r="F495" t="s">
        <v>1223</v>
      </c>
      <c r="G495" t="s">
        <v>2197</v>
      </c>
      <c r="H495" t="s">
        <v>3775</v>
      </c>
      <c r="I495" t="s">
        <v>4750</v>
      </c>
      <c r="J495" t="s">
        <v>5320</v>
      </c>
      <c r="K495">
        <v>11206</v>
      </c>
      <c r="L495" t="s">
        <v>5355</v>
      </c>
      <c r="M495" t="s">
        <v>5355</v>
      </c>
      <c r="O495" t="s">
        <v>5393</v>
      </c>
      <c r="P495" t="s">
        <v>6525</v>
      </c>
      <c r="Q495" t="s">
        <v>6533</v>
      </c>
      <c r="R495" t="s">
        <v>6539</v>
      </c>
      <c r="S495" t="s">
        <v>5355</v>
      </c>
      <c r="U495" t="s">
        <v>6557</v>
      </c>
      <c r="W495" t="s">
        <v>575</v>
      </c>
      <c r="X495">
        <v>611.9299999999999</v>
      </c>
      <c r="Y495" t="s">
        <v>6605</v>
      </c>
      <c r="Z495" t="s">
        <v>6493</v>
      </c>
      <c r="AA495" t="s">
        <v>6634</v>
      </c>
      <c r="AB495" t="s">
        <v>7125</v>
      </c>
      <c r="AC495" t="s">
        <v>8769</v>
      </c>
      <c r="AD495" t="s">
        <v>9515</v>
      </c>
      <c r="AE495">
        <v>25</v>
      </c>
      <c r="AF495" t="s">
        <v>11005</v>
      </c>
      <c r="AH495">
        <v>7</v>
      </c>
      <c r="AI495">
        <v>1</v>
      </c>
      <c r="AJ495">
        <v>2</v>
      </c>
      <c r="AK495">
        <v>89.13</v>
      </c>
      <c r="AN495" t="s">
        <v>11050</v>
      </c>
      <c r="AO495">
        <v>18200</v>
      </c>
      <c r="AP495" t="s">
        <v>11094</v>
      </c>
      <c r="AU495">
        <v>0.1</v>
      </c>
      <c r="AV495" t="s">
        <v>399</v>
      </c>
      <c r="AW495" t="s">
        <v>11489</v>
      </c>
    </row>
    <row r="496" spans="1:49">
      <c r="A496" s="1">
        <f>HYPERLINK("https://cms.ls-nyc.org/matter/dynamic-profile/view/1871554","18-1871554")</f>
        <v>0</v>
      </c>
      <c r="B496" t="s">
        <v>135</v>
      </c>
      <c r="C496" t="s">
        <v>235</v>
      </c>
      <c r="D496" t="s">
        <v>402</v>
      </c>
      <c r="F496" t="s">
        <v>1148</v>
      </c>
      <c r="G496" t="s">
        <v>2410</v>
      </c>
      <c r="H496" t="s">
        <v>3739</v>
      </c>
      <c r="I496" t="s">
        <v>4791</v>
      </c>
      <c r="J496" t="s">
        <v>5320</v>
      </c>
      <c r="K496">
        <v>11212</v>
      </c>
      <c r="L496" t="s">
        <v>5355</v>
      </c>
      <c r="M496" t="s">
        <v>5356</v>
      </c>
      <c r="O496" t="s">
        <v>5393</v>
      </c>
      <c r="P496" t="s">
        <v>6525</v>
      </c>
      <c r="R496" t="s">
        <v>6539</v>
      </c>
      <c r="S496" t="s">
        <v>5355</v>
      </c>
      <c r="U496" t="s">
        <v>6557</v>
      </c>
      <c r="W496" t="s">
        <v>6581</v>
      </c>
      <c r="X496">
        <v>840</v>
      </c>
      <c r="Y496" t="s">
        <v>6605</v>
      </c>
      <c r="Z496" t="s">
        <v>6493</v>
      </c>
      <c r="AB496" t="s">
        <v>7038</v>
      </c>
      <c r="AD496" t="s">
        <v>9439</v>
      </c>
      <c r="AE496">
        <v>32</v>
      </c>
      <c r="AF496" t="s">
        <v>11005</v>
      </c>
      <c r="AH496">
        <v>19</v>
      </c>
      <c r="AI496">
        <v>2</v>
      </c>
      <c r="AJ496">
        <v>0</v>
      </c>
      <c r="AK496">
        <v>89.23</v>
      </c>
      <c r="AN496" t="s">
        <v>11050</v>
      </c>
      <c r="AO496">
        <v>14688</v>
      </c>
      <c r="AU496">
        <v>0</v>
      </c>
      <c r="AW496" t="s">
        <v>11517</v>
      </c>
    </row>
    <row r="497" spans="1:49">
      <c r="A497" s="1">
        <f>HYPERLINK("https://cms.ls-nyc.org/matter/dynamic-profile/view/1864176","18-1864176")</f>
        <v>0</v>
      </c>
      <c r="B497" t="s">
        <v>97</v>
      </c>
      <c r="C497" t="s">
        <v>234</v>
      </c>
      <c r="D497" t="s">
        <v>357</v>
      </c>
      <c r="E497" t="s">
        <v>703</v>
      </c>
      <c r="F497" t="s">
        <v>1072</v>
      </c>
      <c r="G497" t="s">
        <v>2465</v>
      </c>
      <c r="H497" t="s">
        <v>3816</v>
      </c>
      <c r="I497" t="s">
        <v>4744</v>
      </c>
      <c r="J497" t="s">
        <v>5323</v>
      </c>
      <c r="K497">
        <v>10033</v>
      </c>
      <c r="L497" t="s">
        <v>5355</v>
      </c>
      <c r="M497" t="s">
        <v>5355</v>
      </c>
      <c r="N497" t="s">
        <v>5522</v>
      </c>
      <c r="O497" t="s">
        <v>6491</v>
      </c>
      <c r="P497" t="s">
        <v>6525</v>
      </c>
      <c r="Q497" t="s">
        <v>6532</v>
      </c>
      <c r="R497" t="s">
        <v>6539</v>
      </c>
      <c r="U497" t="s">
        <v>6557</v>
      </c>
      <c r="W497" t="s">
        <v>357</v>
      </c>
      <c r="X497">
        <v>0</v>
      </c>
      <c r="Y497" t="s">
        <v>6608</v>
      </c>
      <c r="Z497" t="s">
        <v>6616</v>
      </c>
      <c r="AA497" t="s">
        <v>6636</v>
      </c>
      <c r="AB497" t="s">
        <v>7126</v>
      </c>
      <c r="AC497" t="s">
        <v>8770</v>
      </c>
      <c r="AD497" t="s">
        <v>9516</v>
      </c>
      <c r="AE497">
        <v>29</v>
      </c>
      <c r="AF497" t="s">
        <v>11005</v>
      </c>
      <c r="AG497" t="s">
        <v>5406</v>
      </c>
      <c r="AH497">
        <v>27</v>
      </c>
      <c r="AI497">
        <v>2</v>
      </c>
      <c r="AJ497">
        <v>0</v>
      </c>
      <c r="AK497">
        <v>89.75</v>
      </c>
      <c r="AO497">
        <v>14773</v>
      </c>
      <c r="AU497">
        <v>14.2</v>
      </c>
      <c r="AV497" t="s">
        <v>382</v>
      </c>
      <c r="AW497" t="s">
        <v>11495</v>
      </c>
    </row>
    <row r="498" spans="1:49">
      <c r="A498" s="1">
        <f>HYPERLINK("https://cms.ls-nyc.org/matter/dynamic-profile/view/1872113","18-1872113")</f>
        <v>0</v>
      </c>
      <c r="B498" t="s">
        <v>135</v>
      </c>
      <c r="C498" t="s">
        <v>235</v>
      </c>
      <c r="D498" t="s">
        <v>398</v>
      </c>
      <c r="F498" t="s">
        <v>1224</v>
      </c>
      <c r="G498" t="s">
        <v>2466</v>
      </c>
      <c r="H498" t="s">
        <v>3735</v>
      </c>
      <c r="I498" t="s">
        <v>4917</v>
      </c>
      <c r="J498" t="s">
        <v>5320</v>
      </c>
      <c r="K498">
        <v>11225</v>
      </c>
      <c r="L498" t="s">
        <v>5355</v>
      </c>
      <c r="M498" t="s">
        <v>5356</v>
      </c>
      <c r="O498" t="s">
        <v>6500</v>
      </c>
      <c r="P498" t="s">
        <v>6525</v>
      </c>
      <c r="R498" t="s">
        <v>6539</v>
      </c>
      <c r="S498" t="s">
        <v>5355</v>
      </c>
      <c r="U498" t="s">
        <v>6557</v>
      </c>
      <c r="W498" t="s">
        <v>523</v>
      </c>
      <c r="X498">
        <v>900</v>
      </c>
      <c r="Y498" t="s">
        <v>6605</v>
      </c>
      <c r="Z498" t="s">
        <v>6622</v>
      </c>
      <c r="AB498" t="s">
        <v>7127</v>
      </c>
      <c r="AD498" t="s">
        <v>9517</v>
      </c>
      <c r="AE498">
        <v>89</v>
      </c>
      <c r="AF498" t="s">
        <v>11005</v>
      </c>
      <c r="AG498" t="s">
        <v>11024</v>
      </c>
      <c r="AH498">
        <v>29</v>
      </c>
      <c r="AI498">
        <v>2</v>
      </c>
      <c r="AJ498">
        <v>0</v>
      </c>
      <c r="AK498">
        <v>89.95999999999999</v>
      </c>
      <c r="AN498" t="s">
        <v>11050</v>
      </c>
      <c r="AO498">
        <v>14808</v>
      </c>
      <c r="AU498">
        <v>0</v>
      </c>
      <c r="AW498" t="s">
        <v>11512</v>
      </c>
    </row>
    <row r="499" spans="1:49">
      <c r="A499" s="1">
        <f>HYPERLINK("https://cms.ls-nyc.org/matter/dynamic-profile/view/1882206","18-1882206")</f>
        <v>0</v>
      </c>
      <c r="B499" t="s">
        <v>138</v>
      </c>
      <c r="C499" t="s">
        <v>235</v>
      </c>
      <c r="D499" t="s">
        <v>437</v>
      </c>
      <c r="F499" t="s">
        <v>991</v>
      </c>
      <c r="G499" t="s">
        <v>2467</v>
      </c>
      <c r="H499" t="s">
        <v>3826</v>
      </c>
      <c r="I499" t="s">
        <v>4911</v>
      </c>
      <c r="J499" t="s">
        <v>5320</v>
      </c>
      <c r="K499">
        <v>11233</v>
      </c>
      <c r="L499" t="s">
        <v>5355</v>
      </c>
      <c r="M499" t="s">
        <v>5355</v>
      </c>
      <c r="N499" t="s">
        <v>5393</v>
      </c>
      <c r="O499" t="s">
        <v>6500</v>
      </c>
      <c r="P499" t="s">
        <v>6525</v>
      </c>
      <c r="R499" t="s">
        <v>6539</v>
      </c>
      <c r="U499" t="s">
        <v>6557</v>
      </c>
      <c r="V499" t="s">
        <v>6566</v>
      </c>
      <c r="W499" t="s">
        <v>6584</v>
      </c>
      <c r="X499">
        <v>1300</v>
      </c>
      <c r="Y499" t="s">
        <v>6605</v>
      </c>
      <c r="Z499" t="s">
        <v>6614</v>
      </c>
      <c r="AB499" t="s">
        <v>7128</v>
      </c>
      <c r="AC499" t="s">
        <v>8740</v>
      </c>
      <c r="AD499" t="s">
        <v>9518</v>
      </c>
      <c r="AE499">
        <v>6</v>
      </c>
      <c r="AF499" t="s">
        <v>11005</v>
      </c>
      <c r="AG499" t="s">
        <v>11022</v>
      </c>
      <c r="AH499">
        <v>1</v>
      </c>
      <c r="AI499">
        <v>1</v>
      </c>
      <c r="AJ499">
        <v>2</v>
      </c>
      <c r="AK499">
        <v>90.84</v>
      </c>
      <c r="AN499" t="s">
        <v>6493</v>
      </c>
      <c r="AO499">
        <v>18876</v>
      </c>
      <c r="AU499">
        <v>0</v>
      </c>
      <c r="AW499" t="s">
        <v>11512</v>
      </c>
    </row>
    <row r="500" spans="1:49">
      <c r="A500" s="1">
        <f>HYPERLINK("https://cms.ls-nyc.org/matter/dynamic-profile/view/1871275","18-1871275")</f>
        <v>0</v>
      </c>
      <c r="B500" t="s">
        <v>135</v>
      </c>
      <c r="C500" t="s">
        <v>234</v>
      </c>
      <c r="D500" t="s">
        <v>401</v>
      </c>
      <c r="E500" t="s">
        <v>742</v>
      </c>
      <c r="F500" t="s">
        <v>1225</v>
      </c>
      <c r="G500" t="s">
        <v>2120</v>
      </c>
      <c r="H500" t="s">
        <v>3739</v>
      </c>
      <c r="I500" t="s">
        <v>4783</v>
      </c>
      <c r="J500" t="s">
        <v>5320</v>
      </c>
      <c r="K500">
        <v>11212</v>
      </c>
      <c r="L500" t="s">
        <v>5355</v>
      </c>
      <c r="M500" t="s">
        <v>5356</v>
      </c>
      <c r="O500" t="s">
        <v>6499</v>
      </c>
      <c r="P500" t="s">
        <v>6525</v>
      </c>
      <c r="Q500" t="s">
        <v>6532</v>
      </c>
      <c r="R500" t="s">
        <v>6539</v>
      </c>
      <c r="S500" t="s">
        <v>5355</v>
      </c>
      <c r="U500" t="s">
        <v>6557</v>
      </c>
      <c r="W500" t="s">
        <v>349</v>
      </c>
      <c r="X500">
        <v>755</v>
      </c>
      <c r="Y500" t="s">
        <v>6605</v>
      </c>
      <c r="Z500" t="s">
        <v>6493</v>
      </c>
      <c r="AA500" t="s">
        <v>6642</v>
      </c>
      <c r="AB500" t="s">
        <v>7129</v>
      </c>
      <c r="AD500" t="s">
        <v>9519</v>
      </c>
      <c r="AE500">
        <v>0</v>
      </c>
      <c r="AF500" t="s">
        <v>11005</v>
      </c>
      <c r="AG500" t="s">
        <v>5406</v>
      </c>
      <c r="AH500">
        <v>30</v>
      </c>
      <c r="AI500">
        <v>2</v>
      </c>
      <c r="AJ500">
        <v>0</v>
      </c>
      <c r="AK500">
        <v>91.56999999999999</v>
      </c>
      <c r="AN500" t="s">
        <v>11050</v>
      </c>
      <c r="AO500">
        <v>15072</v>
      </c>
      <c r="AU500">
        <v>0.08</v>
      </c>
      <c r="AV500" t="s">
        <v>726</v>
      </c>
      <c r="AW500" t="s">
        <v>11517</v>
      </c>
    </row>
    <row r="501" spans="1:49">
      <c r="A501" s="1">
        <f>HYPERLINK("https://cms.ls-nyc.org/matter/dynamic-profile/view/1867069","18-1867069")</f>
        <v>0</v>
      </c>
      <c r="B501" t="s">
        <v>135</v>
      </c>
      <c r="C501" t="s">
        <v>235</v>
      </c>
      <c r="D501" t="s">
        <v>244</v>
      </c>
      <c r="F501" t="s">
        <v>1225</v>
      </c>
      <c r="G501" t="s">
        <v>2120</v>
      </c>
      <c r="H501" t="s">
        <v>3739</v>
      </c>
      <c r="I501" t="s">
        <v>4783</v>
      </c>
      <c r="J501" t="s">
        <v>5320</v>
      </c>
      <c r="K501">
        <v>11212</v>
      </c>
      <c r="L501" t="s">
        <v>5355</v>
      </c>
      <c r="M501" t="s">
        <v>5356</v>
      </c>
      <c r="P501" t="s">
        <v>6525</v>
      </c>
      <c r="R501" t="s">
        <v>6539</v>
      </c>
      <c r="S501" t="s">
        <v>5355</v>
      </c>
      <c r="U501" t="s">
        <v>6557</v>
      </c>
      <c r="W501" t="s">
        <v>298</v>
      </c>
      <c r="X501">
        <v>755</v>
      </c>
      <c r="Y501" t="s">
        <v>6605</v>
      </c>
      <c r="Z501" t="s">
        <v>6493</v>
      </c>
      <c r="AB501" t="s">
        <v>7129</v>
      </c>
      <c r="AD501" t="s">
        <v>9519</v>
      </c>
      <c r="AE501">
        <v>0</v>
      </c>
      <c r="AF501" t="s">
        <v>11005</v>
      </c>
      <c r="AH501">
        <v>30</v>
      </c>
      <c r="AI501">
        <v>2</v>
      </c>
      <c r="AJ501">
        <v>0</v>
      </c>
      <c r="AK501">
        <v>91.56999999999999</v>
      </c>
      <c r="AN501" t="s">
        <v>11050</v>
      </c>
      <c r="AO501">
        <v>15072</v>
      </c>
      <c r="AU501">
        <v>0</v>
      </c>
      <c r="AW501" t="s">
        <v>11512</v>
      </c>
    </row>
    <row r="502" spans="1:49">
      <c r="A502" s="1">
        <f>HYPERLINK("https://cms.ls-nyc.org/matter/dynamic-profile/view/1843418","17-1843418")</f>
        <v>0</v>
      </c>
      <c r="B502" t="s">
        <v>77</v>
      </c>
      <c r="C502" t="s">
        <v>234</v>
      </c>
      <c r="D502" t="s">
        <v>438</v>
      </c>
      <c r="E502" t="s">
        <v>723</v>
      </c>
      <c r="F502" t="s">
        <v>842</v>
      </c>
      <c r="G502" t="s">
        <v>2468</v>
      </c>
      <c r="H502" t="s">
        <v>3827</v>
      </c>
      <c r="I502" t="s">
        <v>4756</v>
      </c>
      <c r="J502" t="s">
        <v>5320</v>
      </c>
      <c r="K502">
        <v>11233</v>
      </c>
      <c r="L502" t="s">
        <v>5355</v>
      </c>
      <c r="M502" t="s">
        <v>5356</v>
      </c>
      <c r="O502" t="s">
        <v>6500</v>
      </c>
      <c r="P502" t="s">
        <v>6525</v>
      </c>
      <c r="Q502" t="s">
        <v>6531</v>
      </c>
      <c r="R502" t="s">
        <v>6539</v>
      </c>
      <c r="S502" t="s">
        <v>5355</v>
      </c>
      <c r="U502" t="s">
        <v>6557</v>
      </c>
      <c r="W502" t="s">
        <v>321</v>
      </c>
      <c r="X502">
        <v>651</v>
      </c>
      <c r="Y502" t="s">
        <v>6605</v>
      </c>
      <c r="Z502" t="s">
        <v>6622</v>
      </c>
      <c r="AA502" t="s">
        <v>6631</v>
      </c>
      <c r="AB502" t="s">
        <v>7130</v>
      </c>
      <c r="AD502" t="s">
        <v>9520</v>
      </c>
      <c r="AE502">
        <v>36</v>
      </c>
      <c r="AF502" t="s">
        <v>11005</v>
      </c>
      <c r="AG502" t="s">
        <v>11024</v>
      </c>
      <c r="AH502">
        <v>28</v>
      </c>
      <c r="AI502">
        <v>2</v>
      </c>
      <c r="AJ502">
        <v>0</v>
      </c>
      <c r="AK502">
        <v>94.34999999999999</v>
      </c>
      <c r="AM502" t="s">
        <v>11045</v>
      </c>
      <c r="AN502" t="s">
        <v>11050</v>
      </c>
      <c r="AO502">
        <v>15321.72</v>
      </c>
      <c r="AU502">
        <v>2.26</v>
      </c>
      <c r="AV502" t="s">
        <v>723</v>
      </c>
      <c r="AW502" t="s">
        <v>77</v>
      </c>
    </row>
    <row r="503" spans="1:49">
      <c r="A503" s="1">
        <f>HYPERLINK("https://cms.ls-nyc.org/matter/dynamic-profile/view/1852369","17-1852369")</f>
        <v>0</v>
      </c>
      <c r="B503" t="s">
        <v>135</v>
      </c>
      <c r="C503" t="s">
        <v>234</v>
      </c>
      <c r="D503" t="s">
        <v>439</v>
      </c>
      <c r="E503" t="s">
        <v>665</v>
      </c>
      <c r="F503" t="s">
        <v>1226</v>
      </c>
      <c r="G503" t="s">
        <v>2469</v>
      </c>
      <c r="H503" t="s">
        <v>3775</v>
      </c>
      <c r="I503" t="s">
        <v>4783</v>
      </c>
      <c r="J503" t="s">
        <v>5320</v>
      </c>
      <c r="K503">
        <v>11206</v>
      </c>
      <c r="L503" t="s">
        <v>5355</v>
      </c>
      <c r="M503" t="s">
        <v>5355</v>
      </c>
      <c r="O503" t="s">
        <v>5393</v>
      </c>
      <c r="P503" t="s">
        <v>6525</v>
      </c>
      <c r="Q503" t="s">
        <v>6533</v>
      </c>
      <c r="R503" t="s">
        <v>6539</v>
      </c>
      <c r="S503" t="s">
        <v>5355</v>
      </c>
      <c r="U503" t="s">
        <v>6557</v>
      </c>
      <c r="W503" t="s">
        <v>575</v>
      </c>
      <c r="X503">
        <v>678</v>
      </c>
      <c r="Y503" t="s">
        <v>6605</v>
      </c>
      <c r="Z503" t="s">
        <v>6493</v>
      </c>
      <c r="AA503" t="s">
        <v>6634</v>
      </c>
      <c r="AB503" t="s">
        <v>7131</v>
      </c>
      <c r="AD503" t="s">
        <v>9521</v>
      </c>
      <c r="AE503">
        <v>25</v>
      </c>
      <c r="AF503" t="s">
        <v>11005</v>
      </c>
      <c r="AH503">
        <v>23</v>
      </c>
      <c r="AI503">
        <v>1</v>
      </c>
      <c r="AJ503">
        <v>1</v>
      </c>
      <c r="AK503">
        <v>94.73</v>
      </c>
      <c r="AN503" t="s">
        <v>11050</v>
      </c>
      <c r="AO503">
        <v>15384</v>
      </c>
      <c r="AP503" t="s">
        <v>11094</v>
      </c>
      <c r="AU503">
        <v>0.25</v>
      </c>
      <c r="AV503" t="s">
        <v>439</v>
      </c>
      <c r="AW503" t="s">
        <v>135</v>
      </c>
    </row>
    <row r="504" spans="1:49">
      <c r="A504" s="1">
        <f>HYPERLINK("https://cms.ls-nyc.org/matter/dynamic-profile/view/1874124","18-1874124")</f>
        <v>0</v>
      </c>
      <c r="B504" t="s">
        <v>77</v>
      </c>
      <c r="C504" t="s">
        <v>234</v>
      </c>
      <c r="D504" t="s">
        <v>440</v>
      </c>
      <c r="E504" t="s">
        <v>718</v>
      </c>
      <c r="F504" t="s">
        <v>1007</v>
      </c>
      <c r="G504" t="s">
        <v>1643</v>
      </c>
      <c r="H504" t="s">
        <v>3603</v>
      </c>
      <c r="I504" t="s">
        <v>4740</v>
      </c>
      <c r="J504" t="s">
        <v>5320</v>
      </c>
      <c r="K504">
        <v>11213</v>
      </c>
      <c r="L504" t="s">
        <v>5355</v>
      </c>
      <c r="M504" t="s">
        <v>5356</v>
      </c>
      <c r="O504" t="s">
        <v>5393</v>
      </c>
      <c r="P504" t="s">
        <v>6525</v>
      </c>
      <c r="Q504" t="s">
        <v>6531</v>
      </c>
      <c r="R504" t="s">
        <v>6539</v>
      </c>
      <c r="S504" t="s">
        <v>5355</v>
      </c>
      <c r="U504" t="s">
        <v>6557</v>
      </c>
      <c r="W504" t="s">
        <v>256</v>
      </c>
      <c r="X504">
        <v>874.4</v>
      </c>
      <c r="Y504" t="s">
        <v>6605</v>
      </c>
      <c r="Z504" t="s">
        <v>6622</v>
      </c>
      <c r="AA504" t="s">
        <v>6631</v>
      </c>
      <c r="AB504" t="s">
        <v>6843</v>
      </c>
      <c r="AD504" t="s">
        <v>9267</v>
      </c>
      <c r="AE504">
        <v>27</v>
      </c>
      <c r="AF504" t="s">
        <v>11005</v>
      </c>
      <c r="AG504" t="s">
        <v>5406</v>
      </c>
      <c r="AH504">
        <v>20</v>
      </c>
      <c r="AI504">
        <v>2</v>
      </c>
      <c r="AJ504">
        <v>0</v>
      </c>
      <c r="AK504">
        <v>94.78</v>
      </c>
      <c r="AM504" t="s">
        <v>11045</v>
      </c>
      <c r="AN504" t="s">
        <v>11050</v>
      </c>
      <c r="AO504">
        <v>15600</v>
      </c>
      <c r="AU504">
        <v>0.5</v>
      </c>
      <c r="AV504" t="s">
        <v>718</v>
      </c>
      <c r="AW504" t="s">
        <v>77</v>
      </c>
    </row>
    <row r="505" spans="1:49">
      <c r="A505" s="1">
        <f>HYPERLINK("https://cms.ls-nyc.org/matter/dynamic-profile/view/1869429","18-1869429")</f>
        <v>0</v>
      </c>
      <c r="B505" t="s">
        <v>135</v>
      </c>
      <c r="C505" t="s">
        <v>235</v>
      </c>
      <c r="D505" t="s">
        <v>253</v>
      </c>
      <c r="F505" t="s">
        <v>1227</v>
      </c>
      <c r="G505" t="s">
        <v>2375</v>
      </c>
      <c r="H505" t="s">
        <v>3734</v>
      </c>
      <c r="I505" t="s">
        <v>4739</v>
      </c>
      <c r="J505" t="s">
        <v>5320</v>
      </c>
      <c r="K505">
        <v>11233</v>
      </c>
      <c r="L505" t="s">
        <v>5355</v>
      </c>
      <c r="M505" t="s">
        <v>5356</v>
      </c>
      <c r="O505" t="s">
        <v>6500</v>
      </c>
      <c r="P505" t="s">
        <v>6525</v>
      </c>
      <c r="R505" t="s">
        <v>6539</v>
      </c>
      <c r="S505" t="s">
        <v>5355</v>
      </c>
      <c r="U505" t="s">
        <v>6557</v>
      </c>
      <c r="W505" t="s">
        <v>239</v>
      </c>
      <c r="X505">
        <v>950</v>
      </c>
      <c r="Y505" t="s">
        <v>6605</v>
      </c>
      <c r="Z505" t="s">
        <v>6614</v>
      </c>
      <c r="AB505" t="s">
        <v>7132</v>
      </c>
      <c r="AD505" t="s">
        <v>9522</v>
      </c>
      <c r="AE505">
        <v>11</v>
      </c>
      <c r="AF505" t="s">
        <v>11005</v>
      </c>
      <c r="AG505" t="s">
        <v>5406</v>
      </c>
      <c r="AH505">
        <v>27</v>
      </c>
      <c r="AI505">
        <v>2</v>
      </c>
      <c r="AJ505">
        <v>1</v>
      </c>
      <c r="AK505">
        <v>95.28</v>
      </c>
      <c r="AN505" t="s">
        <v>11050</v>
      </c>
      <c r="AO505">
        <v>19800</v>
      </c>
      <c r="AU505">
        <v>0</v>
      </c>
      <c r="AW505" t="s">
        <v>11512</v>
      </c>
    </row>
    <row r="506" spans="1:49">
      <c r="A506" s="1">
        <f>HYPERLINK("https://cms.ls-nyc.org/matter/dynamic-profile/view/1847457","17-1847457")</f>
        <v>0</v>
      </c>
      <c r="B506" t="s">
        <v>53</v>
      </c>
      <c r="C506" t="s">
        <v>234</v>
      </c>
      <c r="D506" t="s">
        <v>390</v>
      </c>
      <c r="E506" t="s">
        <v>715</v>
      </c>
      <c r="F506" t="s">
        <v>1228</v>
      </c>
      <c r="G506" t="s">
        <v>2147</v>
      </c>
      <c r="H506" t="s">
        <v>3828</v>
      </c>
      <c r="I506" t="s">
        <v>4781</v>
      </c>
      <c r="J506" t="s">
        <v>5320</v>
      </c>
      <c r="K506">
        <v>11207</v>
      </c>
      <c r="L506" t="s">
        <v>5355</v>
      </c>
      <c r="M506" t="s">
        <v>5355</v>
      </c>
      <c r="O506" t="s">
        <v>5393</v>
      </c>
      <c r="P506" t="s">
        <v>6525</v>
      </c>
      <c r="Q506" t="s">
        <v>6532</v>
      </c>
      <c r="R506" t="s">
        <v>6539</v>
      </c>
      <c r="S506" t="s">
        <v>5357</v>
      </c>
      <c r="U506" t="s">
        <v>6557</v>
      </c>
      <c r="W506" t="s">
        <v>415</v>
      </c>
      <c r="X506">
        <v>1070</v>
      </c>
      <c r="Y506" t="s">
        <v>6605</v>
      </c>
      <c r="AA506" t="s">
        <v>6636</v>
      </c>
      <c r="AB506" t="s">
        <v>7133</v>
      </c>
      <c r="AD506" t="s">
        <v>9523</v>
      </c>
      <c r="AE506">
        <v>5</v>
      </c>
      <c r="AH506">
        <v>0</v>
      </c>
      <c r="AI506">
        <v>2</v>
      </c>
      <c r="AJ506">
        <v>1</v>
      </c>
      <c r="AK506">
        <v>97.14</v>
      </c>
      <c r="AN506" t="s">
        <v>11050</v>
      </c>
      <c r="AO506">
        <v>19836</v>
      </c>
      <c r="AU506">
        <v>6.7</v>
      </c>
      <c r="AV506" t="s">
        <v>715</v>
      </c>
      <c r="AW506" t="s">
        <v>53</v>
      </c>
    </row>
    <row r="507" spans="1:49">
      <c r="A507" s="1">
        <f>HYPERLINK("https://cms.ls-nyc.org/matter/dynamic-profile/view/1847790","17-1847790")</f>
        <v>0</v>
      </c>
      <c r="B507" t="s">
        <v>135</v>
      </c>
      <c r="C507" t="s">
        <v>234</v>
      </c>
      <c r="D507" t="s">
        <v>237</v>
      </c>
      <c r="E507" t="s">
        <v>665</v>
      </c>
      <c r="F507" t="s">
        <v>1229</v>
      </c>
      <c r="G507" t="s">
        <v>2470</v>
      </c>
      <c r="H507" t="s">
        <v>3785</v>
      </c>
      <c r="I507" t="s">
        <v>4881</v>
      </c>
      <c r="J507" t="s">
        <v>5320</v>
      </c>
      <c r="K507">
        <v>11214</v>
      </c>
      <c r="L507" t="s">
        <v>5355</v>
      </c>
      <c r="M507" t="s">
        <v>5356</v>
      </c>
      <c r="O507" t="s">
        <v>6500</v>
      </c>
      <c r="P507" t="s">
        <v>6525</v>
      </c>
      <c r="Q507" t="s">
        <v>6532</v>
      </c>
      <c r="R507" t="s">
        <v>6539</v>
      </c>
      <c r="S507" t="s">
        <v>5355</v>
      </c>
      <c r="U507" t="s">
        <v>6557</v>
      </c>
      <c r="W507" t="s">
        <v>6582</v>
      </c>
      <c r="X507">
        <v>1150</v>
      </c>
      <c r="Y507" t="s">
        <v>6605</v>
      </c>
      <c r="AA507" t="s">
        <v>6634</v>
      </c>
      <c r="AB507" t="s">
        <v>7134</v>
      </c>
      <c r="AD507" t="s">
        <v>9524</v>
      </c>
      <c r="AE507">
        <v>15</v>
      </c>
      <c r="AF507" t="s">
        <v>11005</v>
      </c>
      <c r="AG507" t="s">
        <v>6493</v>
      </c>
      <c r="AH507">
        <v>6</v>
      </c>
      <c r="AI507">
        <v>1</v>
      </c>
      <c r="AJ507">
        <v>0</v>
      </c>
      <c r="AK507">
        <v>97.51000000000001</v>
      </c>
      <c r="AL507" t="s">
        <v>465</v>
      </c>
      <c r="AN507" t="s">
        <v>11050</v>
      </c>
      <c r="AO507">
        <v>11760</v>
      </c>
      <c r="AU507">
        <v>0.75</v>
      </c>
      <c r="AV507" t="s">
        <v>456</v>
      </c>
      <c r="AW507" t="s">
        <v>11512</v>
      </c>
    </row>
    <row r="508" spans="1:49">
      <c r="A508" s="1">
        <f>HYPERLINK("https://cms.ls-nyc.org/matter/dynamic-profile/view/1868725","18-1868725")</f>
        <v>0</v>
      </c>
      <c r="B508" t="s">
        <v>71</v>
      </c>
      <c r="C508" t="s">
        <v>234</v>
      </c>
      <c r="D508" t="s">
        <v>318</v>
      </c>
      <c r="E508" t="s">
        <v>652</v>
      </c>
      <c r="F508" t="s">
        <v>1230</v>
      </c>
      <c r="G508" t="s">
        <v>2107</v>
      </c>
      <c r="H508" t="s">
        <v>3829</v>
      </c>
      <c r="I508" t="s">
        <v>4868</v>
      </c>
      <c r="J508" t="s">
        <v>5321</v>
      </c>
      <c r="K508">
        <v>10457</v>
      </c>
      <c r="L508" t="s">
        <v>5355</v>
      </c>
      <c r="M508" t="s">
        <v>5356</v>
      </c>
      <c r="O508" t="s">
        <v>6498</v>
      </c>
      <c r="P508" t="s">
        <v>6525</v>
      </c>
      <c r="Q508" t="s">
        <v>6532</v>
      </c>
      <c r="R508" t="s">
        <v>6539</v>
      </c>
      <c r="S508" t="s">
        <v>5357</v>
      </c>
      <c r="U508" t="s">
        <v>6559</v>
      </c>
      <c r="W508" t="s">
        <v>516</v>
      </c>
      <c r="X508">
        <v>679</v>
      </c>
      <c r="Y508" t="s">
        <v>6606</v>
      </c>
      <c r="AA508" t="s">
        <v>6632</v>
      </c>
      <c r="AB508" t="s">
        <v>7135</v>
      </c>
      <c r="AD508" t="s">
        <v>9525</v>
      </c>
      <c r="AE508">
        <v>0</v>
      </c>
      <c r="AF508" t="s">
        <v>11005</v>
      </c>
      <c r="AH508">
        <v>47</v>
      </c>
      <c r="AI508">
        <v>1</v>
      </c>
      <c r="AJ508">
        <v>0</v>
      </c>
      <c r="AK508">
        <v>98.84999999999999</v>
      </c>
      <c r="AN508" t="s">
        <v>11050</v>
      </c>
      <c r="AO508">
        <v>12000</v>
      </c>
      <c r="AU508">
        <v>0.5</v>
      </c>
      <c r="AV508" t="s">
        <v>652</v>
      </c>
      <c r="AW508" t="s">
        <v>71</v>
      </c>
    </row>
    <row r="509" spans="1:49">
      <c r="A509" s="1">
        <f>HYPERLINK("https://cms.ls-nyc.org/matter/dynamic-profile/view/1863847","18-1863847")</f>
        <v>0</v>
      </c>
      <c r="B509" t="s">
        <v>113</v>
      </c>
      <c r="C509" t="s">
        <v>234</v>
      </c>
      <c r="D509" t="s">
        <v>288</v>
      </c>
      <c r="E509" t="s">
        <v>605</v>
      </c>
      <c r="F509" t="s">
        <v>1113</v>
      </c>
      <c r="G509" t="s">
        <v>2471</v>
      </c>
      <c r="H509" t="s">
        <v>3830</v>
      </c>
      <c r="I509">
        <v>1002</v>
      </c>
      <c r="J509" t="s">
        <v>5323</v>
      </c>
      <c r="K509">
        <v>10029</v>
      </c>
      <c r="L509" t="s">
        <v>5355</v>
      </c>
      <c r="M509" t="s">
        <v>5355</v>
      </c>
      <c r="O509" t="s">
        <v>5393</v>
      </c>
      <c r="P509" t="s">
        <v>6525</v>
      </c>
      <c r="Q509" t="s">
        <v>6532</v>
      </c>
      <c r="R509" t="s">
        <v>6539</v>
      </c>
      <c r="S509" t="s">
        <v>5357</v>
      </c>
      <c r="U509" t="s">
        <v>6557</v>
      </c>
      <c r="V509" t="s">
        <v>6566</v>
      </c>
      <c r="W509" t="s">
        <v>250</v>
      </c>
      <c r="X509">
        <v>801</v>
      </c>
      <c r="Y509" t="s">
        <v>6608</v>
      </c>
      <c r="Z509" t="s">
        <v>6616</v>
      </c>
      <c r="AA509" t="s">
        <v>6636</v>
      </c>
      <c r="AB509" t="s">
        <v>7136</v>
      </c>
      <c r="AD509" t="s">
        <v>9526</v>
      </c>
      <c r="AE509">
        <v>90</v>
      </c>
      <c r="AF509" t="s">
        <v>11005</v>
      </c>
      <c r="AG509" t="s">
        <v>5406</v>
      </c>
      <c r="AH509">
        <v>2</v>
      </c>
      <c r="AI509">
        <v>1</v>
      </c>
      <c r="AJ509">
        <v>0</v>
      </c>
      <c r="AK509">
        <v>98.84999999999999</v>
      </c>
      <c r="AN509" t="s">
        <v>11050</v>
      </c>
      <c r="AO509">
        <v>12000</v>
      </c>
      <c r="AP509" t="s">
        <v>11103</v>
      </c>
      <c r="AU509">
        <v>10.7</v>
      </c>
      <c r="AV509" t="s">
        <v>681</v>
      </c>
      <c r="AW509" t="s">
        <v>11524</v>
      </c>
    </row>
    <row r="510" spans="1:49">
      <c r="A510" s="1">
        <f>HYPERLINK("https://cms.ls-nyc.org/matter/dynamic-profile/view/1841984","17-1841984")</f>
        <v>0</v>
      </c>
      <c r="B510" t="s">
        <v>132</v>
      </c>
      <c r="C510" t="s">
        <v>235</v>
      </c>
      <c r="D510" t="s">
        <v>305</v>
      </c>
      <c r="F510" t="s">
        <v>1231</v>
      </c>
      <c r="G510" t="s">
        <v>2472</v>
      </c>
      <c r="H510" t="s">
        <v>3705</v>
      </c>
      <c r="I510" t="s">
        <v>4918</v>
      </c>
      <c r="J510" t="s">
        <v>5323</v>
      </c>
      <c r="K510">
        <v>10029</v>
      </c>
      <c r="L510" t="s">
        <v>5355</v>
      </c>
      <c r="M510" t="s">
        <v>5356</v>
      </c>
      <c r="O510" t="s">
        <v>5393</v>
      </c>
      <c r="P510" t="s">
        <v>6525</v>
      </c>
      <c r="R510" t="s">
        <v>6539</v>
      </c>
      <c r="S510" t="s">
        <v>5355</v>
      </c>
      <c r="U510" t="s">
        <v>6557</v>
      </c>
      <c r="W510" t="s">
        <v>404</v>
      </c>
      <c r="X510">
        <v>1097</v>
      </c>
      <c r="Y510" t="s">
        <v>6608</v>
      </c>
      <c r="Z510" t="s">
        <v>6616</v>
      </c>
      <c r="AB510" t="s">
        <v>7137</v>
      </c>
      <c r="AD510" t="s">
        <v>9527</v>
      </c>
      <c r="AE510">
        <v>13</v>
      </c>
      <c r="AF510" t="s">
        <v>11005</v>
      </c>
      <c r="AG510" t="s">
        <v>5406</v>
      </c>
      <c r="AH510">
        <v>27</v>
      </c>
      <c r="AI510">
        <v>1</v>
      </c>
      <c r="AJ510">
        <v>0</v>
      </c>
      <c r="AK510">
        <v>99.5</v>
      </c>
      <c r="AN510" t="s">
        <v>11050</v>
      </c>
      <c r="AO510">
        <v>12000</v>
      </c>
      <c r="AU510">
        <v>20.3</v>
      </c>
      <c r="AV510" t="s">
        <v>817</v>
      </c>
      <c r="AW510" t="s">
        <v>11497</v>
      </c>
    </row>
    <row r="511" spans="1:49">
      <c r="A511" s="1">
        <f>HYPERLINK("https://cms.ls-nyc.org/matter/dynamic-profile/view/1871284","18-1871284")</f>
        <v>0</v>
      </c>
      <c r="B511" t="s">
        <v>135</v>
      </c>
      <c r="C511" t="s">
        <v>234</v>
      </c>
      <c r="D511" t="s">
        <v>401</v>
      </c>
      <c r="E511" t="s">
        <v>742</v>
      </c>
      <c r="F511" t="s">
        <v>942</v>
      </c>
      <c r="G511" t="s">
        <v>2147</v>
      </c>
      <c r="H511" t="s">
        <v>3739</v>
      </c>
      <c r="I511" t="s">
        <v>4775</v>
      </c>
      <c r="J511" t="s">
        <v>5320</v>
      </c>
      <c r="K511">
        <v>11212</v>
      </c>
      <c r="L511" t="s">
        <v>5355</v>
      </c>
      <c r="M511" t="s">
        <v>5356</v>
      </c>
      <c r="O511" t="s">
        <v>6499</v>
      </c>
      <c r="P511" t="s">
        <v>6525</v>
      </c>
      <c r="Q511" t="s">
        <v>6532</v>
      </c>
      <c r="R511" t="s">
        <v>6539</v>
      </c>
      <c r="S511" t="s">
        <v>5355</v>
      </c>
      <c r="U511" t="s">
        <v>6557</v>
      </c>
      <c r="W511" t="s">
        <v>349</v>
      </c>
      <c r="X511">
        <v>862.52</v>
      </c>
      <c r="Y511" t="s">
        <v>6605</v>
      </c>
      <c r="Z511" t="s">
        <v>6493</v>
      </c>
      <c r="AA511" t="s">
        <v>6642</v>
      </c>
      <c r="AB511" t="s">
        <v>6748</v>
      </c>
      <c r="AD511" t="s">
        <v>9528</v>
      </c>
      <c r="AE511">
        <v>32</v>
      </c>
      <c r="AF511" t="s">
        <v>11005</v>
      </c>
      <c r="AG511" t="s">
        <v>5406</v>
      </c>
      <c r="AH511">
        <v>6</v>
      </c>
      <c r="AI511">
        <v>3</v>
      </c>
      <c r="AJ511">
        <v>0</v>
      </c>
      <c r="AK511">
        <v>100.1</v>
      </c>
      <c r="AN511" t="s">
        <v>11050</v>
      </c>
      <c r="AO511">
        <v>20800</v>
      </c>
      <c r="AU511">
        <v>0.08</v>
      </c>
      <c r="AV511" t="s">
        <v>726</v>
      </c>
      <c r="AW511" t="s">
        <v>11517</v>
      </c>
    </row>
    <row r="512" spans="1:49">
      <c r="A512" s="1">
        <f>HYPERLINK("https://cms.ls-nyc.org/matter/dynamic-profile/view/1871625","18-1871625")</f>
        <v>0</v>
      </c>
      <c r="B512" t="s">
        <v>135</v>
      </c>
      <c r="C512" t="s">
        <v>235</v>
      </c>
      <c r="D512" t="s">
        <v>394</v>
      </c>
      <c r="F512" t="s">
        <v>942</v>
      </c>
      <c r="G512" t="s">
        <v>2147</v>
      </c>
      <c r="H512" t="s">
        <v>3739</v>
      </c>
      <c r="I512" t="s">
        <v>4775</v>
      </c>
      <c r="J512" t="s">
        <v>5320</v>
      </c>
      <c r="K512">
        <v>11212</v>
      </c>
      <c r="L512" t="s">
        <v>5355</v>
      </c>
      <c r="M512" t="s">
        <v>5356</v>
      </c>
      <c r="O512" t="s">
        <v>5393</v>
      </c>
      <c r="P512" t="s">
        <v>6525</v>
      </c>
      <c r="R512" t="s">
        <v>6539</v>
      </c>
      <c r="S512" t="s">
        <v>5355</v>
      </c>
      <c r="U512" t="s">
        <v>6557</v>
      </c>
      <c r="W512" t="s">
        <v>6581</v>
      </c>
      <c r="X512">
        <v>862.52</v>
      </c>
      <c r="Y512" t="s">
        <v>6605</v>
      </c>
      <c r="Z512" t="s">
        <v>6493</v>
      </c>
      <c r="AB512" t="s">
        <v>6748</v>
      </c>
      <c r="AD512" t="s">
        <v>9528</v>
      </c>
      <c r="AE512">
        <v>32</v>
      </c>
      <c r="AF512" t="s">
        <v>11005</v>
      </c>
      <c r="AG512" t="s">
        <v>5406</v>
      </c>
      <c r="AH512">
        <v>6</v>
      </c>
      <c r="AI512">
        <v>3</v>
      </c>
      <c r="AJ512">
        <v>0</v>
      </c>
      <c r="AK512">
        <v>100.1</v>
      </c>
      <c r="AN512" t="s">
        <v>11050</v>
      </c>
      <c r="AO512">
        <v>20800</v>
      </c>
      <c r="AU512">
        <v>0</v>
      </c>
      <c r="AW512" t="s">
        <v>11517</v>
      </c>
    </row>
    <row r="513" spans="1:50">
      <c r="A513" s="1">
        <f>HYPERLINK("https://cms.ls-nyc.org/matter/dynamic-profile/view/1868031","18-1868031")</f>
        <v>0</v>
      </c>
      <c r="B513" t="s">
        <v>148</v>
      </c>
      <c r="C513" t="s">
        <v>234</v>
      </c>
      <c r="D513" t="s">
        <v>280</v>
      </c>
      <c r="E513" t="s">
        <v>695</v>
      </c>
      <c r="F513" t="s">
        <v>1232</v>
      </c>
      <c r="G513" t="s">
        <v>2473</v>
      </c>
      <c r="H513" t="s">
        <v>3831</v>
      </c>
      <c r="I513" t="s">
        <v>4783</v>
      </c>
      <c r="J513" t="s">
        <v>5322</v>
      </c>
      <c r="K513">
        <v>10304</v>
      </c>
      <c r="L513" t="s">
        <v>5355</v>
      </c>
      <c r="M513" t="s">
        <v>5356</v>
      </c>
      <c r="N513" t="s">
        <v>5523</v>
      </c>
      <c r="O513" t="s">
        <v>6491</v>
      </c>
      <c r="P513" t="s">
        <v>6525</v>
      </c>
      <c r="Q513" t="s">
        <v>6532</v>
      </c>
      <c r="R513" t="s">
        <v>6539</v>
      </c>
      <c r="S513" t="s">
        <v>5357</v>
      </c>
      <c r="U513" t="s">
        <v>6557</v>
      </c>
      <c r="W513" t="s">
        <v>270</v>
      </c>
      <c r="X513">
        <v>650</v>
      </c>
      <c r="Y513" t="s">
        <v>6607</v>
      </c>
      <c r="Z513" t="s">
        <v>6493</v>
      </c>
      <c r="AA513" t="s">
        <v>6631</v>
      </c>
      <c r="AB513" t="s">
        <v>7138</v>
      </c>
      <c r="AC513" t="s">
        <v>5406</v>
      </c>
      <c r="AD513" t="s">
        <v>9529</v>
      </c>
      <c r="AE513">
        <v>12</v>
      </c>
      <c r="AF513" t="s">
        <v>11004</v>
      </c>
      <c r="AG513" t="s">
        <v>5406</v>
      </c>
      <c r="AH513">
        <v>1</v>
      </c>
      <c r="AI513">
        <v>2</v>
      </c>
      <c r="AJ513">
        <v>1</v>
      </c>
      <c r="AK513">
        <v>100.1</v>
      </c>
      <c r="AN513" t="s">
        <v>11050</v>
      </c>
      <c r="AO513">
        <v>20800</v>
      </c>
      <c r="AU513">
        <v>2.1</v>
      </c>
      <c r="AV513" t="s">
        <v>695</v>
      </c>
      <c r="AW513" t="s">
        <v>11510</v>
      </c>
    </row>
    <row r="514" spans="1:50">
      <c r="A514" s="1">
        <f>HYPERLINK("https://cms.ls-nyc.org/matter/dynamic-profile/view/1869873","18-1869873")</f>
        <v>0</v>
      </c>
      <c r="B514" t="s">
        <v>132</v>
      </c>
      <c r="C514" t="s">
        <v>235</v>
      </c>
      <c r="D514" t="s">
        <v>313</v>
      </c>
      <c r="F514" t="s">
        <v>1233</v>
      </c>
      <c r="G514" t="s">
        <v>2474</v>
      </c>
      <c r="H514" t="s">
        <v>3705</v>
      </c>
      <c r="I514" t="s">
        <v>4823</v>
      </c>
      <c r="J514" t="s">
        <v>5323</v>
      </c>
      <c r="K514">
        <v>10029</v>
      </c>
      <c r="L514" t="s">
        <v>5355</v>
      </c>
      <c r="M514" t="s">
        <v>5356</v>
      </c>
      <c r="O514" t="s">
        <v>6499</v>
      </c>
      <c r="P514" t="s">
        <v>6525</v>
      </c>
      <c r="R514" t="s">
        <v>6539</v>
      </c>
      <c r="S514" t="s">
        <v>5357</v>
      </c>
      <c r="U514" t="s">
        <v>6557</v>
      </c>
      <c r="W514" t="s">
        <v>313</v>
      </c>
      <c r="X514">
        <v>868</v>
      </c>
      <c r="Y514" t="s">
        <v>6608</v>
      </c>
      <c r="Z514" t="s">
        <v>6614</v>
      </c>
      <c r="AB514" t="s">
        <v>7139</v>
      </c>
      <c r="AD514" t="s">
        <v>9530</v>
      </c>
      <c r="AE514">
        <v>13</v>
      </c>
      <c r="AF514" t="s">
        <v>11005</v>
      </c>
      <c r="AG514" t="s">
        <v>11020</v>
      </c>
      <c r="AH514">
        <v>31</v>
      </c>
      <c r="AI514">
        <v>2</v>
      </c>
      <c r="AJ514">
        <v>0</v>
      </c>
      <c r="AK514">
        <v>100.61</v>
      </c>
      <c r="AN514" t="s">
        <v>11049</v>
      </c>
      <c r="AO514">
        <v>16560</v>
      </c>
      <c r="AU514">
        <v>1.5</v>
      </c>
      <c r="AV514" t="s">
        <v>275</v>
      </c>
      <c r="AW514" t="s">
        <v>11497</v>
      </c>
    </row>
    <row r="515" spans="1:50">
      <c r="A515" s="1">
        <f>HYPERLINK("https://cms.ls-nyc.org/matter/dynamic-profile/view/1869881","18-1869881")</f>
        <v>0</v>
      </c>
      <c r="B515" t="s">
        <v>132</v>
      </c>
      <c r="C515" t="s">
        <v>235</v>
      </c>
      <c r="D515" t="s">
        <v>313</v>
      </c>
      <c r="F515" t="s">
        <v>1233</v>
      </c>
      <c r="G515" t="s">
        <v>2474</v>
      </c>
      <c r="H515" t="s">
        <v>3705</v>
      </c>
      <c r="I515" t="s">
        <v>4823</v>
      </c>
      <c r="J515" t="s">
        <v>5323</v>
      </c>
      <c r="K515">
        <v>10029</v>
      </c>
      <c r="L515" t="s">
        <v>5355</v>
      </c>
      <c r="M515" t="s">
        <v>5356</v>
      </c>
      <c r="O515" t="s">
        <v>5393</v>
      </c>
      <c r="P515" t="s">
        <v>6525</v>
      </c>
      <c r="R515" t="s">
        <v>6539</v>
      </c>
      <c r="U515" t="s">
        <v>6557</v>
      </c>
      <c r="W515" t="s">
        <v>307</v>
      </c>
      <c r="X515">
        <v>868</v>
      </c>
      <c r="Y515" t="s">
        <v>6608</v>
      </c>
      <c r="Z515" t="s">
        <v>6614</v>
      </c>
      <c r="AB515" t="s">
        <v>7139</v>
      </c>
      <c r="AD515" t="s">
        <v>9530</v>
      </c>
      <c r="AE515">
        <v>13</v>
      </c>
      <c r="AF515" t="s">
        <v>11005</v>
      </c>
      <c r="AG515" t="s">
        <v>11020</v>
      </c>
      <c r="AH515">
        <v>31</v>
      </c>
      <c r="AI515">
        <v>2</v>
      </c>
      <c r="AJ515">
        <v>0</v>
      </c>
      <c r="AK515">
        <v>100.61</v>
      </c>
      <c r="AN515" t="s">
        <v>11049</v>
      </c>
      <c r="AO515">
        <v>16560</v>
      </c>
      <c r="AU515">
        <v>0.1</v>
      </c>
      <c r="AV515" t="s">
        <v>835</v>
      </c>
      <c r="AW515" t="s">
        <v>11497</v>
      </c>
    </row>
    <row r="516" spans="1:50">
      <c r="A516" s="1">
        <f>HYPERLINK("https://cms.ls-nyc.org/matter/dynamic-profile/view/1861689","18-1861689")</f>
        <v>0</v>
      </c>
      <c r="B516" t="s">
        <v>121</v>
      </c>
      <c r="C516" t="s">
        <v>234</v>
      </c>
      <c r="D516" t="s">
        <v>263</v>
      </c>
      <c r="E516" t="s">
        <v>680</v>
      </c>
      <c r="F516" t="s">
        <v>1234</v>
      </c>
      <c r="G516" t="s">
        <v>2475</v>
      </c>
      <c r="H516" t="s">
        <v>3832</v>
      </c>
      <c r="I516" t="s">
        <v>4919</v>
      </c>
      <c r="J516" t="s">
        <v>5321</v>
      </c>
      <c r="K516">
        <v>10468</v>
      </c>
      <c r="L516" t="s">
        <v>5355</v>
      </c>
      <c r="M516" t="s">
        <v>5356</v>
      </c>
      <c r="N516" t="s">
        <v>5524</v>
      </c>
      <c r="O516" t="s">
        <v>6492</v>
      </c>
      <c r="P516" t="s">
        <v>6525</v>
      </c>
      <c r="Q516" t="s">
        <v>6532</v>
      </c>
      <c r="R516" t="s">
        <v>6539</v>
      </c>
      <c r="U516" t="s">
        <v>6557</v>
      </c>
      <c r="W516" t="s">
        <v>263</v>
      </c>
      <c r="X516">
        <v>1556.53</v>
      </c>
      <c r="Y516" t="s">
        <v>6606</v>
      </c>
      <c r="AA516" t="s">
        <v>6636</v>
      </c>
      <c r="AB516" t="s">
        <v>7140</v>
      </c>
      <c r="AD516" t="s">
        <v>9531</v>
      </c>
      <c r="AE516">
        <v>60</v>
      </c>
      <c r="AF516" t="s">
        <v>11005</v>
      </c>
      <c r="AG516" t="s">
        <v>11020</v>
      </c>
      <c r="AH516">
        <v>12</v>
      </c>
      <c r="AI516">
        <v>3</v>
      </c>
      <c r="AJ516">
        <v>0</v>
      </c>
      <c r="AK516">
        <v>100.85</v>
      </c>
      <c r="AN516" t="s">
        <v>11050</v>
      </c>
      <c r="AO516">
        <v>20956</v>
      </c>
      <c r="AU516">
        <v>1.3</v>
      </c>
      <c r="AV516" t="s">
        <v>251</v>
      </c>
      <c r="AW516" t="s">
        <v>104</v>
      </c>
    </row>
    <row r="517" spans="1:50">
      <c r="A517" s="1">
        <f>HYPERLINK("https://cms.ls-nyc.org/matter/dynamic-profile/view/1842388","17-1842388")</f>
        <v>0</v>
      </c>
      <c r="B517" t="s">
        <v>132</v>
      </c>
      <c r="C517" t="s">
        <v>235</v>
      </c>
      <c r="D517" t="s">
        <v>388</v>
      </c>
      <c r="F517" t="s">
        <v>1233</v>
      </c>
      <c r="G517" t="s">
        <v>2474</v>
      </c>
      <c r="H517" t="s">
        <v>3705</v>
      </c>
      <c r="I517" t="s">
        <v>4823</v>
      </c>
      <c r="J517" t="s">
        <v>5323</v>
      </c>
      <c r="K517">
        <v>10029</v>
      </c>
      <c r="L517" t="s">
        <v>5355</v>
      </c>
      <c r="M517" t="s">
        <v>5356</v>
      </c>
      <c r="O517" t="s">
        <v>5393</v>
      </c>
      <c r="P517" t="s">
        <v>6525</v>
      </c>
      <c r="R517" t="s">
        <v>6539</v>
      </c>
      <c r="S517" t="s">
        <v>5355</v>
      </c>
      <c r="U517" t="s">
        <v>6557</v>
      </c>
      <c r="W517" t="s">
        <v>388</v>
      </c>
      <c r="X517">
        <v>868</v>
      </c>
      <c r="Y517" t="s">
        <v>6608</v>
      </c>
      <c r="Z517" t="s">
        <v>6622</v>
      </c>
      <c r="AB517" t="s">
        <v>7139</v>
      </c>
      <c r="AD517" t="s">
        <v>9530</v>
      </c>
      <c r="AE517">
        <v>13</v>
      </c>
      <c r="AF517" t="s">
        <v>11005</v>
      </c>
      <c r="AG517" t="s">
        <v>11020</v>
      </c>
      <c r="AH517">
        <v>30</v>
      </c>
      <c r="AI517">
        <v>2</v>
      </c>
      <c r="AJ517">
        <v>0</v>
      </c>
      <c r="AK517">
        <v>101.97</v>
      </c>
      <c r="AN517" t="s">
        <v>11049</v>
      </c>
      <c r="AO517">
        <v>16560</v>
      </c>
      <c r="AU517">
        <v>1.7</v>
      </c>
      <c r="AV517" t="s">
        <v>267</v>
      </c>
      <c r="AW517" t="s">
        <v>11497</v>
      </c>
    </row>
    <row r="518" spans="1:50">
      <c r="A518" s="1">
        <f>HYPERLINK("https://cms.ls-nyc.org/matter/dynamic-profile/view/1863111","18-1863111")</f>
        <v>0</v>
      </c>
      <c r="B518" t="s">
        <v>97</v>
      </c>
      <c r="C518" t="s">
        <v>234</v>
      </c>
      <c r="D518" t="s">
        <v>369</v>
      </c>
      <c r="E518" t="s">
        <v>703</v>
      </c>
      <c r="F518" t="s">
        <v>914</v>
      </c>
      <c r="G518" t="s">
        <v>2476</v>
      </c>
      <c r="H518" t="s">
        <v>3833</v>
      </c>
      <c r="I518" t="s">
        <v>4920</v>
      </c>
      <c r="J518" t="s">
        <v>5323</v>
      </c>
      <c r="K518">
        <v>10034</v>
      </c>
      <c r="L518" t="s">
        <v>5355</v>
      </c>
      <c r="M518" t="s">
        <v>5355</v>
      </c>
      <c r="N518" t="s">
        <v>5525</v>
      </c>
      <c r="O518" t="s">
        <v>6491</v>
      </c>
      <c r="P518" t="s">
        <v>6525</v>
      </c>
      <c r="Q518" t="s">
        <v>6532</v>
      </c>
      <c r="R518" t="s">
        <v>6539</v>
      </c>
      <c r="S518" t="s">
        <v>5357</v>
      </c>
      <c r="U518" t="s">
        <v>6557</v>
      </c>
      <c r="W518" t="s">
        <v>369</v>
      </c>
      <c r="X518">
        <v>1176.77</v>
      </c>
      <c r="Y518" t="s">
        <v>6608</v>
      </c>
      <c r="Z518" t="s">
        <v>6616</v>
      </c>
      <c r="AA518" t="s">
        <v>6636</v>
      </c>
      <c r="AB518" t="s">
        <v>7141</v>
      </c>
      <c r="AD518" t="s">
        <v>9532</v>
      </c>
      <c r="AE518">
        <v>50</v>
      </c>
      <c r="AF518" t="s">
        <v>11005</v>
      </c>
      <c r="AG518" t="s">
        <v>5406</v>
      </c>
      <c r="AH518">
        <v>12</v>
      </c>
      <c r="AI518">
        <v>1</v>
      </c>
      <c r="AJ518">
        <v>0</v>
      </c>
      <c r="AK518">
        <v>102.8</v>
      </c>
      <c r="AN518" t="s">
        <v>11049</v>
      </c>
      <c r="AO518">
        <v>12480</v>
      </c>
      <c r="AU518">
        <v>4.5</v>
      </c>
      <c r="AV518" t="s">
        <v>502</v>
      </c>
      <c r="AW518" t="s">
        <v>11495</v>
      </c>
    </row>
    <row r="519" spans="1:50">
      <c r="A519" s="1">
        <f>HYPERLINK("https://cms.ls-nyc.org/matter/dynamic-profile/view/1840506","17-1840506")</f>
        <v>0</v>
      </c>
      <c r="B519" t="s">
        <v>54</v>
      </c>
      <c r="C519" t="s">
        <v>234</v>
      </c>
      <c r="D519" t="s">
        <v>441</v>
      </c>
      <c r="E519" t="s">
        <v>434</v>
      </c>
      <c r="F519" t="s">
        <v>1235</v>
      </c>
      <c r="G519" t="s">
        <v>2477</v>
      </c>
      <c r="H519" t="s">
        <v>3750</v>
      </c>
      <c r="I519" t="s">
        <v>4781</v>
      </c>
      <c r="J519" t="s">
        <v>5320</v>
      </c>
      <c r="K519">
        <v>11207</v>
      </c>
      <c r="L519" t="s">
        <v>5355</v>
      </c>
      <c r="M519" t="s">
        <v>5355</v>
      </c>
      <c r="O519" t="s">
        <v>5393</v>
      </c>
      <c r="P519" t="s">
        <v>6525</v>
      </c>
      <c r="Q519" t="s">
        <v>6532</v>
      </c>
      <c r="R519" t="s">
        <v>6539</v>
      </c>
      <c r="S519" t="s">
        <v>5355</v>
      </c>
      <c r="U519" t="s">
        <v>6557</v>
      </c>
      <c r="W519" t="s">
        <v>441</v>
      </c>
      <c r="X519">
        <v>1450</v>
      </c>
      <c r="Y519" t="s">
        <v>6605</v>
      </c>
      <c r="AA519" t="s">
        <v>6631</v>
      </c>
      <c r="AB519" t="s">
        <v>7142</v>
      </c>
      <c r="AD519" t="s">
        <v>9416</v>
      </c>
      <c r="AE519">
        <v>6</v>
      </c>
      <c r="AF519" t="s">
        <v>11005</v>
      </c>
      <c r="AH519">
        <v>0</v>
      </c>
      <c r="AI519">
        <v>1</v>
      </c>
      <c r="AJ519">
        <v>4</v>
      </c>
      <c r="AK519">
        <v>103.28</v>
      </c>
      <c r="AN519" t="s">
        <v>11050</v>
      </c>
      <c r="AO519">
        <v>46988</v>
      </c>
      <c r="AU519">
        <v>0.3</v>
      </c>
      <c r="AV519" t="s">
        <v>449</v>
      </c>
      <c r="AW519" t="s">
        <v>11489</v>
      </c>
      <c r="AX519" t="s">
        <v>11564</v>
      </c>
    </row>
    <row r="520" spans="1:50">
      <c r="A520" s="1">
        <f>HYPERLINK("https://cms.ls-nyc.org/matter/dynamic-profile/view/1868474","18-1868474")</f>
        <v>0</v>
      </c>
      <c r="B520" t="s">
        <v>64</v>
      </c>
      <c r="C520" t="s">
        <v>235</v>
      </c>
      <c r="D520" t="s">
        <v>320</v>
      </c>
      <c r="F520" t="s">
        <v>972</v>
      </c>
      <c r="G520" t="s">
        <v>2478</v>
      </c>
      <c r="H520" t="s">
        <v>3834</v>
      </c>
      <c r="I520">
        <v>57</v>
      </c>
      <c r="J520" t="s">
        <v>5323</v>
      </c>
      <c r="K520">
        <v>10031</v>
      </c>
      <c r="L520" t="s">
        <v>5356</v>
      </c>
      <c r="M520" t="s">
        <v>5356</v>
      </c>
      <c r="O520" t="s">
        <v>5393</v>
      </c>
      <c r="P520" t="s">
        <v>6525</v>
      </c>
      <c r="R520" t="s">
        <v>6539</v>
      </c>
      <c r="S520" t="s">
        <v>5355</v>
      </c>
      <c r="U520" t="s">
        <v>6557</v>
      </c>
      <c r="V520" t="s">
        <v>6566</v>
      </c>
      <c r="W520" t="s">
        <v>320</v>
      </c>
      <c r="X520">
        <v>834.46</v>
      </c>
      <c r="Y520" t="s">
        <v>6608</v>
      </c>
      <c r="AB520" t="s">
        <v>7143</v>
      </c>
      <c r="AD520" t="s">
        <v>9533</v>
      </c>
      <c r="AE520">
        <v>0</v>
      </c>
      <c r="AH520">
        <v>41</v>
      </c>
      <c r="AI520">
        <v>1</v>
      </c>
      <c r="AJ520">
        <v>0</v>
      </c>
      <c r="AK520">
        <v>103.79</v>
      </c>
      <c r="AN520" t="s">
        <v>11050</v>
      </c>
      <c r="AO520">
        <v>12600</v>
      </c>
      <c r="AU520">
        <v>0</v>
      </c>
      <c r="AW520" t="s">
        <v>11531</v>
      </c>
    </row>
    <row r="521" spans="1:50">
      <c r="A521" s="1">
        <f>HYPERLINK("https://cms.ls-nyc.org/matter/dynamic-profile/view/1861677","18-1861677")</f>
        <v>0</v>
      </c>
      <c r="B521" t="s">
        <v>136</v>
      </c>
      <c r="C521" t="s">
        <v>235</v>
      </c>
      <c r="D521" t="s">
        <v>362</v>
      </c>
      <c r="F521" t="s">
        <v>1236</v>
      </c>
      <c r="G521" t="s">
        <v>2479</v>
      </c>
      <c r="H521" t="s">
        <v>3835</v>
      </c>
      <c r="I521" t="s">
        <v>4759</v>
      </c>
      <c r="J521" t="s">
        <v>5320</v>
      </c>
      <c r="K521">
        <v>11208</v>
      </c>
      <c r="L521" t="s">
        <v>5355</v>
      </c>
      <c r="M521" t="s">
        <v>5356</v>
      </c>
      <c r="N521" t="s">
        <v>5526</v>
      </c>
      <c r="O521" t="s">
        <v>6492</v>
      </c>
      <c r="P521" t="s">
        <v>6525</v>
      </c>
      <c r="R521" t="s">
        <v>6539</v>
      </c>
      <c r="S521" t="s">
        <v>5357</v>
      </c>
      <c r="U521" t="s">
        <v>6557</v>
      </c>
      <c r="W521" t="s">
        <v>362</v>
      </c>
      <c r="X521">
        <v>1357</v>
      </c>
      <c r="Y521" t="s">
        <v>6605</v>
      </c>
      <c r="Z521" t="s">
        <v>6613</v>
      </c>
      <c r="AB521" t="s">
        <v>7144</v>
      </c>
      <c r="AC521" t="s">
        <v>8771</v>
      </c>
      <c r="AD521" t="s">
        <v>9534</v>
      </c>
      <c r="AE521">
        <v>48</v>
      </c>
      <c r="AF521" t="s">
        <v>11005</v>
      </c>
      <c r="AG521" t="s">
        <v>5406</v>
      </c>
      <c r="AH521">
        <v>-2</v>
      </c>
      <c r="AI521">
        <v>1</v>
      </c>
      <c r="AJ521">
        <v>2</v>
      </c>
      <c r="AK521">
        <v>105.1</v>
      </c>
      <c r="AN521" t="s">
        <v>11050</v>
      </c>
      <c r="AO521">
        <v>21840</v>
      </c>
      <c r="AU521">
        <v>7.5</v>
      </c>
      <c r="AV521" t="s">
        <v>358</v>
      </c>
      <c r="AW521" t="s">
        <v>11490</v>
      </c>
    </row>
    <row r="522" spans="1:50">
      <c r="A522" s="1">
        <f>HYPERLINK("https://cms.ls-nyc.org/matter/dynamic-profile/view/1863534","18-1863534")</f>
        <v>0</v>
      </c>
      <c r="B522" t="s">
        <v>97</v>
      </c>
      <c r="C522" t="s">
        <v>235</v>
      </c>
      <c r="D522" t="s">
        <v>373</v>
      </c>
      <c r="F522" t="s">
        <v>1237</v>
      </c>
      <c r="G522" t="s">
        <v>2480</v>
      </c>
      <c r="H522" t="s">
        <v>3836</v>
      </c>
      <c r="I522">
        <v>53</v>
      </c>
      <c r="J522" t="s">
        <v>5323</v>
      </c>
      <c r="K522">
        <v>10031</v>
      </c>
      <c r="L522" t="s">
        <v>5355</v>
      </c>
      <c r="M522" t="s">
        <v>5356</v>
      </c>
      <c r="O522" t="s">
        <v>6502</v>
      </c>
      <c r="P522" t="s">
        <v>6525</v>
      </c>
      <c r="R522" t="s">
        <v>6539</v>
      </c>
      <c r="S522" t="s">
        <v>5357</v>
      </c>
      <c r="U522" t="s">
        <v>6557</v>
      </c>
      <c r="W522" t="s">
        <v>373</v>
      </c>
      <c r="X522">
        <v>566.6799999999999</v>
      </c>
      <c r="Y522" t="s">
        <v>6608</v>
      </c>
      <c r="Z522" t="s">
        <v>6616</v>
      </c>
      <c r="AB522" t="s">
        <v>7145</v>
      </c>
      <c r="AD522" t="s">
        <v>9535</v>
      </c>
      <c r="AE522">
        <v>30</v>
      </c>
      <c r="AF522" t="s">
        <v>11005</v>
      </c>
      <c r="AG522" t="s">
        <v>5406</v>
      </c>
      <c r="AH522">
        <v>26</v>
      </c>
      <c r="AI522">
        <v>2</v>
      </c>
      <c r="AJ522">
        <v>0</v>
      </c>
      <c r="AK522">
        <v>105.24</v>
      </c>
      <c r="AL522" t="s">
        <v>658</v>
      </c>
      <c r="AN522" t="s">
        <v>11050</v>
      </c>
      <c r="AO522">
        <v>34555</v>
      </c>
      <c r="AU522">
        <v>17.6</v>
      </c>
      <c r="AV522" t="s">
        <v>799</v>
      </c>
      <c r="AW522" t="s">
        <v>11495</v>
      </c>
    </row>
    <row r="523" spans="1:50">
      <c r="A523" s="1">
        <f>HYPERLINK("https://cms.ls-nyc.org/matter/dynamic-profile/view/1860843","18-1860843")</f>
        <v>0</v>
      </c>
      <c r="B523" t="s">
        <v>97</v>
      </c>
      <c r="C523" t="s">
        <v>234</v>
      </c>
      <c r="D523" t="s">
        <v>306</v>
      </c>
      <c r="E523" t="s">
        <v>703</v>
      </c>
      <c r="F523" t="s">
        <v>1238</v>
      </c>
      <c r="G523" t="s">
        <v>2363</v>
      </c>
      <c r="H523" t="s">
        <v>3837</v>
      </c>
      <c r="I523" t="s">
        <v>4921</v>
      </c>
      <c r="J523" t="s">
        <v>5323</v>
      </c>
      <c r="K523">
        <v>10034</v>
      </c>
      <c r="L523" t="s">
        <v>5355</v>
      </c>
      <c r="M523" t="s">
        <v>5355</v>
      </c>
      <c r="O523" t="s">
        <v>6498</v>
      </c>
      <c r="P523" t="s">
        <v>6525</v>
      </c>
      <c r="Q523" t="s">
        <v>6532</v>
      </c>
      <c r="R523" t="s">
        <v>6539</v>
      </c>
      <c r="S523" t="s">
        <v>5357</v>
      </c>
      <c r="U523" t="s">
        <v>6557</v>
      </c>
      <c r="W523" t="s">
        <v>306</v>
      </c>
      <c r="X523">
        <v>0</v>
      </c>
      <c r="Y523" t="s">
        <v>6608</v>
      </c>
      <c r="Z523" t="s">
        <v>6614</v>
      </c>
      <c r="AA523" t="s">
        <v>6636</v>
      </c>
      <c r="AB523" t="s">
        <v>7146</v>
      </c>
      <c r="AD523" t="s">
        <v>9536</v>
      </c>
      <c r="AE523">
        <v>73</v>
      </c>
      <c r="AF523" t="s">
        <v>11005</v>
      </c>
      <c r="AG523" t="s">
        <v>11024</v>
      </c>
      <c r="AH523">
        <v>38</v>
      </c>
      <c r="AI523">
        <v>2</v>
      </c>
      <c r="AJ523">
        <v>1</v>
      </c>
      <c r="AK523">
        <v>105.51</v>
      </c>
      <c r="AN523" t="s">
        <v>11049</v>
      </c>
      <c r="AO523">
        <v>37320</v>
      </c>
      <c r="AU523">
        <v>1.4</v>
      </c>
      <c r="AV523" t="s">
        <v>319</v>
      </c>
      <c r="AW523" t="s">
        <v>11495</v>
      </c>
    </row>
    <row r="524" spans="1:50">
      <c r="A524" s="1">
        <f>HYPERLINK("https://cms.ls-nyc.org/matter/dynamic-profile/view/1850413","17-1850413")</f>
        <v>0</v>
      </c>
      <c r="B524" t="s">
        <v>149</v>
      </c>
      <c r="C524" t="s">
        <v>234</v>
      </c>
      <c r="D524" t="s">
        <v>366</v>
      </c>
      <c r="E524" t="s">
        <v>750</v>
      </c>
      <c r="F524" t="s">
        <v>1239</v>
      </c>
      <c r="G524" t="s">
        <v>2481</v>
      </c>
      <c r="H524" t="s">
        <v>3838</v>
      </c>
      <c r="I524" t="s">
        <v>4922</v>
      </c>
      <c r="J524" t="s">
        <v>5324</v>
      </c>
      <c r="K524">
        <v>11355</v>
      </c>
      <c r="L524" t="s">
        <v>5355</v>
      </c>
      <c r="M524" t="s">
        <v>5356</v>
      </c>
      <c r="N524" t="s">
        <v>5527</v>
      </c>
      <c r="O524" t="s">
        <v>6491</v>
      </c>
      <c r="P524" t="s">
        <v>6525</v>
      </c>
      <c r="Q524" t="s">
        <v>6533</v>
      </c>
      <c r="R524" t="s">
        <v>6539</v>
      </c>
      <c r="S524" t="s">
        <v>5357</v>
      </c>
      <c r="U524" t="s">
        <v>6557</v>
      </c>
      <c r="W524" t="s">
        <v>366</v>
      </c>
      <c r="X524">
        <v>1619.01</v>
      </c>
      <c r="Y524" t="s">
        <v>6604</v>
      </c>
      <c r="Z524" t="s">
        <v>6620</v>
      </c>
      <c r="AA524" t="s">
        <v>6636</v>
      </c>
      <c r="AB524" t="s">
        <v>7147</v>
      </c>
      <c r="AC524" t="s">
        <v>5392</v>
      </c>
      <c r="AD524" t="s">
        <v>9537</v>
      </c>
      <c r="AE524">
        <v>146</v>
      </c>
      <c r="AF524" t="s">
        <v>11005</v>
      </c>
      <c r="AG524" t="s">
        <v>5406</v>
      </c>
      <c r="AH524">
        <v>5</v>
      </c>
      <c r="AI524">
        <v>3</v>
      </c>
      <c r="AJ524">
        <v>1</v>
      </c>
      <c r="AK524">
        <v>105.69</v>
      </c>
      <c r="AL524" t="s">
        <v>333</v>
      </c>
      <c r="AN524" t="s">
        <v>11053</v>
      </c>
      <c r="AO524">
        <v>26000</v>
      </c>
      <c r="AU524">
        <v>11.1</v>
      </c>
      <c r="AV524" t="s">
        <v>750</v>
      </c>
      <c r="AW524" t="s">
        <v>127</v>
      </c>
    </row>
    <row r="525" spans="1:50">
      <c r="A525" s="1">
        <f>HYPERLINK("https://cms.ls-nyc.org/matter/dynamic-profile/view/1867904","18-1867904")</f>
        <v>0</v>
      </c>
      <c r="B525" t="s">
        <v>92</v>
      </c>
      <c r="C525" t="s">
        <v>235</v>
      </c>
      <c r="D525" t="s">
        <v>334</v>
      </c>
      <c r="F525" t="s">
        <v>1240</v>
      </c>
      <c r="G525" t="s">
        <v>2482</v>
      </c>
      <c r="H525" t="s">
        <v>3839</v>
      </c>
      <c r="I525" t="s">
        <v>4923</v>
      </c>
      <c r="J525" t="s">
        <v>5323</v>
      </c>
      <c r="K525">
        <v>10031</v>
      </c>
      <c r="L525" t="s">
        <v>5355</v>
      </c>
      <c r="M525" t="s">
        <v>5356</v>
      </c>
      <c r="O525" t="s">
        <v>6494</v>
      </c>
      <c r="P525" t="s">
        <v>6525</v>
      </c>
      <c r="R525" t="s">
        <v>6539</v>
      </c>
      <c r="S525" t="s">
        <v>5355</v>
      </c>
      <c r="U525" t="s">
        <v>6557</v>
      </c>
      <c r="W525" t="s">
        <v>334</v>
      </c>
      <c r="X525">
        <v>1712</v>
      </c>
      <c r="Y525" t="s">
        <v>6608</v>
      </c>
      <c r="Z525" t="s">
        <v>6622</v>
      </c>
      <c r="AB525" t="s">
        <v>7148</v>
      </c>
      <c r="AD525" t="s">
        <v>9538</v>
      </c>
      <c r="AE525">
        <v>42</v>
      </c>
      <c r="AF525" t="s">
        <v>11008</v>
      </c>
      <c r="AG525" t="s">
        <v>11020</v>
      </c>
      <c r="AH525">
        <v>35</v>
      </c>
      <c r="AI525">
        <v>1</v>
      </c>
      <c r="AJ525">
        <v>0</v>
      </c>
      <c r="AK525">
        <v>105.86</v>
      </c>
      <c r="AN525" t="s">
        <v>11050</v>
      </c>
      <c r="AO525">
        <v>12852</v>
      </c>
      <c r="AU525">
        <v>0.25</v>
      </c>
      <c r="AV525" t="s">
        <v>784</v>
      </c>
      <c r="AW525" t="s">
        <v>11497</v>
      </c>
      <c r="AX525" t="s">
        <v>11564</v>
      </c>
    </row>
    <row r="526" spans="1:50">
      <c r="A526" s="1">
        <f>HYPERLINK("https://cms.ls-nyc.org/matter/dynamic-profile/view/1867413","18-1867413")</f>
        <v>0</v>
      </c>
      <c r="B526" t="s">
        <v>142</v>
      </c>
      <c r="C526" t="s">
        <v>234</v>
      </c>
      <c r="D526" t="s">
        <v>320</v>
      </c>
      <c r="E526" t="s">
        <v>413</v>
      </c>
      <c r="F526" t="s">
        <v>1241</v>
      </c>
      <c r="G526" t="s">
        <v>2219</v>
      </c>
      <c r="H526" t="s">
        <v>3840</v>
      </c>
      <c r="I526" t="s">
        <v>4924</v>
      </c>
      <c r="J526" t="s">
        <v>5320</v>
      </c>
      <c r="K526">
        <v>11208</v>
      </c>
      <c r="L526" t="s">
        <v>5355</v>
      </c>
      <c r="M526" t="s">
        <v>5356</v>
      </c>
      <c r="O526" t="s">
        <v>6492</v>
      </c>
      <c r="P526" t="s">
        <v>6525</v>
      </c>
      <c r="Q526" t="s">
        <v>6532</v>
      </c>
      <c r="R526" t="s">
        <v>6539</v>
      </c>
      <c r="S526" t="s">
        <v>5357</v>
      </c>
      <c r="U526" t="s">
        <v>6557</v>
      </c>
      <c r="W526" t="s">
        <v>320</v>
      </c>
      <c r="X526">
        <v>1956</v>
      </c>
      <c r="Y526" t="s">
        <v>6605</v>
      </c>
      <c r="Z526" t="s">
        <v>6612</v>
      </c>
      <c r="AA526" t="s">
        <v>6632</v>
      </c>
      <c r="AB526" t="s">
        <v>7149</v>
      </c>
      <c r="AD526" t="s">
        <v>9539</v>
      </c>
      <c r="AE526">
        <v>3</v>
      </c>
      <c r="AF526" t="s">
        <v>11004</v>
      </c>
      <c r="AG526" t="s">
        <v>11023</v>
      </c>
      <c r="AH526">
        <v>1</v>
      </c>
      <c r="AI526">
        <v>2</v>
      </c>
      <c r="AJ526">
        <v>3</v>
      </c>
      <c r="AK526">
        <v>106.05</v>
      </c>
      <c r="AN526" t="s">
        <v>11050</v>
      </c>
      <c r="AO526">
        <v>31200</v>
      </c>
      <c r="AU526">
        <v>1</v>
      </c>
      <c r="AV526" t="s">
        <v>320</v>
      </c>
      <c r="AW526" t="s">
        <v>142</v>
      </c>
    </row>
    <row r="527" spans="1:50">
      <c r="A527" s="1">
        <f>HYPERLINK("https://cms.ls-nyc.org/matter/dynamic-profile/view/1869561","18-1869561")</f>
        <v>0</v>
      </c>
      <c r="B527" t="s">
        <v>95</v>
      </c>
      <c r="C527" t="s">
        <v>234</v>
      </c>
      <c r="D527" t="s">
        <v>364</v>
      </c>
      <c r="E527" t="s">
        <v>737</v>
      </c>
      <c r="F527" t="s">
        <v>890</v>
      </c>
      <c r="G527" t="s">
        <v>2483</v>
      </c>
      <c r="H527" t="s">
        <v>3841</v>
      </c>
      <c r="I527" t="s">
        <v>4903</v>
      </c>
      <c r="J527" t="s">
        <v>5321</v>
      </c>
      <c r="K527">
        <v>10453</v>
      </c>
      <c r="L527" t="s">
        <v>5355</v>
      </c>
      <c r="M527" t="s">
        <v>5356</v>
      </c>
      <c r="O527" t="s">
        <v>5393</v>
      </c>
      <c r="P527" t="s">
        <v>6525</v>
      </c>
      <c r="Q527" t="s">
        <v>6532</v>
      </c>
      <c r="R527" t="s">
        <v>6539</v>
      </c>
      <c r="S527" t="s">
        <v>5357</v>
      </c>
      <c r="U527" t="s">
        <v>6557</v>
      </c>
      <c r="W527" t="s">
        <v>364</v>
      </c>
      <c r="X527">
        <v>925.14</v>
      </c>
      <c r="Y527" t="s">
        <v>6606</v>
      </c>
      <c r="Z527" t="s">
        <v>6616</v>
      </c>
      <c r="AA527" t="s">
        <v>6631</v>
      </c>
      <c r="AB527" t="s">
        <v>7150</v>
      </c>
      <c r="AD527" t="s">
        <v>9540</v>
      </c>
      <c r="AE527">
        <v>10</v>
      </c>
      <c r="AF527" t="s">
        <v>11006</v>
      </c>
      <c r="AG527" t="s">
        <v>5406</v>
      </c>
      <c r="AH527">
        <v>21</v>
      </c>
      <c r="AI527">
        <v>2</v>
      </c>
      <c r="AJ527">
        <v>4</v>
      </c>
      <c r="AK527">
        <v>106.7</v>
      </c>
      <c r="AN527" t="s">
        <v>11050</v>
      </c>
      <c r="AO527">
        <v>36000</v>
      </c>
      <c r="AU527">
        <v>6.2</v>
      </c>
      <c r="AV527" t="s">
        <v>737</v>
      </c>
      <c r="AW527" t="s">
        <v>11493</v>
      </c>
    </row>
    <row r="528" spans="1:50">
      <c r="A528" s="1">
        <f>HYPERLINK("https://cms.ls-nyc.org/matter/dynamic-profile/view/1836549","17-1836549")</f>
        <v>0</v>
      </c>
      <c r="B528" t="s">
        <v>76</v>
      </c>
      <c r="C528" t="s">
        <v>234</v>
      </c>
      <c r="D528" t="s">
        <v>442</v>
      </c>
      <c r="E528" t="s">
        <v>665</v>
      </c>
      <c r="F528" t="s">
        <v>929</v>
      </c>
      <c r="G528" t="s">
        <v>2484</v>
      </c>
      <c r="H528" t="s">
        <v>3842</v>
      </c>
      <c r="I528" t="s">
        <v>4772</v>
      </c>
      <c r="J528" t="s">
        <v>5323</v>
      </c>
      <c r="K528">
        <v>10035</v>
      </c>
      <c r="L528" t="s">
        <v>5355</v>
      </c>
      <c r="M528" t="s">
        <v>5355</v>
      </c>
      <c r="N528" t="s">
        <v>5528</v>
      </c>
      <c r="O528" t="s">
        <v>5393</v>
      </c>
      <c r="P528" t="s">
        <v>6525</v>
      </c>
      <c r="Q528" t="s">
        <v>6532</v>
      </c>
      <c r="R528" t="s">
        <v>6539</v>
      </c>
      <c r="S528" t="s">
        <v>5355</v>
      </c>
      <c r="U528" t="s">
        <v>6557</v>
      </c>
      <c r="V528" t="s">
        <v>6566</v>
      </c>
      <c r="W528" t="s">
        <v>404</v>
      </c>
      <c r="X528">
        <v>831</v>
      </c>
      <c r="Y528" t="s">
        <v>6608</v>
      </c>
      <c r="Z528" t="s">
        <v>6622</v>
      </c>
      <c r="AA528" t="s">
        <v>6636</v>
      </c>
      <c r="AB528" t="s">
        <v>7151</v>
      </c>
      <c r="AD528" t="s">
        <v>9541</v>
      </c>
      <c r="AE528">
        <v>35</v>
      </c>
      <c r="AF528" t="s">
        <v>11005</v>
      </c>
      <c r="AG528" t="s">
        <v>11024</v>
      </c>
      <c r="AH528">
        <v>31</v>
      </c>
      <c r="AI528">
        <v>1</v>
      </c>
      <c r="AJ528">
        <v>0</v>
      </c>
      <c r="AK528">
        <v>106.97</v>
      </c>
      <c r="AN528" t="s">
        <v>11050</v>
      </c>
      <c r="AO528">
        <v>12900</v>
      </c>
      <c r="AU528">
        <v>61.45</v>
      </c>
      <c r="AV528" t="s">
        <v>672</v>
      </c>
      <c r="AW528" t="s">
        <v>11497</v>
      </c>
    </row>
    <row r="529" spans="1:50">
      <c r="A529" s="1">
        <f>HYPERLINK("https://cms.ls-nyc.org/matter/dynamic-profile/view/1869871","18-1869871")</f>
        <v>0</v>
      </c>
      <c r="B529" t="s">
        <v>80</v>
      </c>
      <c r="C529" t="s">
        <v>234</v>
      </c>
      <c r="D529" t="s">
        <v>313</v>
      </c>
      <c r="E529" t="s">
        <v>708</v>
      </c>
      <c r="F529" t="s">
        <v>914</v>
      </c>
      <c r="G529" t="s">
        <v>2247</v>
      </c>
      <c r="H529" t="s">
        <v>3843</v>
      </c>
      <c r="I529" t="s">
        <v>4925</v>
      </c>
      <c r="J529" t="s">
        <v>5321</v>
      </c>
      <c r="K529">
        <v>10456</v>
      </c>
      <c r="L529" t="s">
        <v>5355</v>
      </c>
      <c r="M529" t="s">
        <v>5356</v>
      </c>
      <c r="O529" t="s">
        <v>6496</v>
      </c>
      <c r="P529" t="s">
        <v>6525</v>
      </c>
      <c r="Q529" t="s">
        <v>6531</v>
      </c>
      <c r="R529" t="s">
        <v>6539</v>
      </c>
      <c r="S529" t="s">
        <v>5357</v>
      </c>
      <c r="U529" t="s">
        <v>6557</v>
      </c>
      <c r="W529" t="s">
        <v>313</v>
      </c>
      <c r="X529">
        <v>1259</v>
      </c>
      <c r="Y529" t="s">
        <v>6606</v>
      </c>
      <c r="Z529" t="s">
        <v>6612</v>
      </c>
      <c r="AA529" t="s">
        <v>6631</v>
      </c>
      <c r="AB529" t="s">
        <v>7152</v>
      </c>
      <c r="AD529" t="s">
        <v>9542</v>
      </c>
      <c r="AE529">
        <v>0</v>
      </c>
      <c r="AF529" t="s">
        <v>11008</v>
      </c>
      <c r="AG529" t="s">
        <v>11020</v>
      </c>
      <c r="AH529">
        <v>28</v>
      </c>
      <c r="AI529">
        <v>2</v>
      </c>
      <c r="AJ529">
        <v>0</v>
      </c>
      <c r="AK529">
        <v>107.17</v>
      </c>
      <c r="AN529" t="s">
        <v>11049</v>
      </c>
      <c r="AO529">
        <v>17640</v>
      </c>
      <c r="AU529">
        <v>0.2</v>
      </c>
      <c r="AV529" t="s">
        <v>708</v>
      </c>
      <c r="AW529" t="s">
        <v>11492</v>
      </c>
    </row>
    <row r="530" spans="1:50">
      <c r="A530" s="1">
        <f>HYPERLINK("https://cms.ls-nyc.org/matter/dynamic-profile/view/1853967","17-1853967")</f>
        <v>0</v>
      </c>
      <c r="B530" t="s">
        <v>97</v>
      </c>
      <c r="C530" t="s">
        <v>234</v>
      </c>
      <c r="D530" t="s">
        <v>399</v>
      </c>
      <c r="E530" t="s">
        <v>703</v>
      </c>
      <c r="F530" t="s">
        <v>1242</v>
      </c>
      <c r="G530" t="s">
        <v>2485</v>
      </c>
      <c r="H530" t="s">
        <v>3844</v>
      </c>
      <c r="I530" t="s">
        <v>4891</v>
      </c>
      <c r="J530" t="s">
        <v>5323</v>
      </c>
      <c r="K530">
        <v>10034</v>
      </c>
      <c r="L530" t="s">
        <v>5355</v>
      </c>
      <c r="M530" t="s">
        <v>5355</v>
      </c>
      <c r="O530" t="s">
        <v>6492</v>
      </c>
      <c r="P530" t="s">
        <v>6525</v>
      </c>
      <c r="Q530" t="s">
        <v>6532</v>
      </c>
      <c r="R530" t="s">
        <v>6539</v>
      </c>
      <c r="S530" t="s">
        <v>5357</v>
      </c>
      <c r="U530" t="s">
        <v>6557</v>
      </c>
      <c r="W530" t="s">
        <v>399</v>
      </c>
      <c r="X530">
        <v>1380</v>
      </c>
      <c r="Y530" t="s">
        <v>6608</v>
      </c>
      <c r="Z530" t="s">
        <v>6616</v>
      </c>
      <c r="AA530" t="s">
        <v>6636</v>
      </c>
      <c r="AB530" t="s">
        <v>7153</v>
      </c>
      <c r="AD530" t="s">
        <v>9543</v>
      </c>
      <c r="AE530">
        <v>26</v>
      </c>
      <c r="AF530" t="s">
        <v>11005</v>
      </c>
      <c r="AG530" t="s">
        <v>5406</v>
      </c>
      <c r="AH530">
        <v>25</v>
      </c>
      <c r="AI530">
        <v>1</v>
      </c>
      <c r="AJ530">
        <v>0</v>
      </c>
      <c r="AK530">
        <v>107.65</v>
      </c>
      <c r="AN530" t="s">
        <v>11049</v>
      </c>
      <c r="AO530">
        <v>12982</v>
      </c>
      <c r="AU530">
        <v>4.3</v>
      </c>
      <c r="AV530" t="s">
        <v>703</v>
      </c>
      <c r="AW530" t="s">
        <v>11495</v>
      </c>
    </row>
    <row r="531" spans="1:50">
      <c r="A531" s="1">
        <f>HYPERLINK("https://cms.ls-nyc.org/matter/dynamic-profile/view/1846002","17-1846002")</f>
        <v>0</v>
      </c>
      <c r="B531" t="s">
        <v>97</v>
      </c>
      <c r="C531" t="s">
        <v>234</v>
      </c>
      <c r="D531" t="s">
        <v>443</v>
      </c>
      <c r="E531" t="s">
        <v>703</v>
      </c>
      <c r="F531" t="s">
        <v>1130</v>
      </c>
      <c r="G531" t="s">
        <v>2486</v>
      </c>
      <c r="H531" t="s">
        <v>3845</v>
      </c>
      <c r="I531" t="s">
        <v>4744</v>
      </c>
      <c r="J531" t="s">
        <v>5323</v>
      </c>
      <c r="K531">
        <v>10034</v>
      </c>
      <c r="L531" t="s">
        <v>5355</v>
      </c>
      <c r="M531" t="s">
        <v>5355</v>
      </c>
      <c r="O531" t="s">
        <v>6491</v>
      </c>
      <c r="P531" t="s">
        <v>6525</v>
      </c>
      <c r="Q531" t="s">
        <v>6532</v>
      </c>
      <c r="R531" t="s">
        <v>6539</v>
      </c>
      <c r="S531" t="s">
        <v>5357</v>
      </c>
      <c r="U531" t="s">
        <v>6557</v>
      </c>
      <c r="W531" t="s">
        <v>550</v>
      </c>
      <c r="X531">
        <v>1335.75</v>
      </c>
      <c r="Y531" t="s">
        <v>6608</v>
      </c>
      <c r="Z531" t="s">
        <v>6616</v>
      </c>
      <c r="AA531" t="s">
        <v>6636</v>
      </c>
      <c r="AB531" t="s">
        <v>7154</v>
      </c>
      <c r="AD531" t="s">
        <v>9544</v>
      </c>
      <c r="AE531">
        <v>21</v>
      </c>
      <c r="AF531" t="s">
        <v>11005</v>
      </c>
      <c r="AG531" t="s">
        <v>5406</v>
      </c>
      <c r="AH531">
        <v>3</v>
      </c>
      <c r="AI531">
        <v>2</v>
      </c>
      <c r="AJ531">
        <v>1</v>
      </c>
      <c r="AK531">
        <v>107.89</v>
      </c>
      <c r="AN531" t="s">
        <v>11049</v>
      </c>
      <c r="AO531">
        <v>22032</v>
      </c>
      <c r="AU531">
        <v>9.699999999999999</v>
      </c>
      <c r="AV531" t="s">
        <v>449</v>
      </c>
      <c r="AW531" t="s">
        <v>11495</v>
      </c>
    </row>
    <row r="532" spans="1:50">
      <c r="A532" s="1">
        <f>HYPERLINK("https://cms.ls-nyc.org/matter/dynamic-profile/view/1861226","18-1861226")</f>
        <v>0</v>
      </c>
      <c r="B532" t="s">
        <v>97</v>
      </c>
      <c r="C532" t="s">
        <v>235</v>
      </c>
      <c r="D532" t="s">
        <v>444</v>
      </c>
      <c r="F532" t="s">
        <v>855</v>
      </c>
      <c r="G532" t="s">
        <v>2487</v>
      </c>
      <c r="H532" t="s">
        <v>3836</v>
      </c>
      <c r="I532">
        <v>24</v>
      </c>
      <c r="J532" t="s">
        <v>5323</v>
      </c>
      <c r="K532">
        <v>10031</v>
      </c>
      <c r="L532" t="s">
        <v>5355</v>
      </c>
      <c r="M532" t="s">
        <v>5356</v>
      </c>
      <c r="O532" t="s">
        <v>6502</v>
      </c>
      <c r="P532" t="s">
        <v>6525</v>
      </c>
      <c r="R532" t="s">
        <v>6539</v>
      </c>
      <c r="S532" t="s">
        <v>5357</v>
      </c>
      <c r="U532" t="s">
        <v>6557</v>
      </c>
      <c r="W532" t="s">
        <v>444</v>
      </c>
      <c r="X532">
        <v>760.3099999999999</v>
      </c>
      <c r="Y532" t="s">
        <v>6608</v>
      </c>
      <c r="Z532" t="s">
        <v>6614</v>
      </c>
      <c r="AB532" t="s">
        <v>7155</v>
      </c>
      <c r="AD532" t="s">
        <v>9545</v>
      </c>
      <c r="AE532">
        <v>29</v>
      </c>
      <c r="AF532" t="s">
        <v>11005</v>
      </c>
      <c r="AG532" t="s">
        <v>11020</v>
      </c>
      <c r="AH532">
        <v>40</v>
      </c>
      <c r="AI532">
        <v>2</v>
      </c>
      <c r="AJ532">
        <v>0</v>
      </c>
      <c r="AK532">
        <v>108.85</v>
      </c>
      <c r="AL532" t="s">
        <v>658</v>
      </c>
      <c r="AN532" t="s">
        <v>11050</v>
      </c>
      <c r="AO532">
        <v>26916</v>
      </c>
      <c r="AU532">
        <v>6.7</v>
      </c>
      <c r="AV532" t="s">
        <v>732</v>
      </c>
      <c r="AW532" t="s">
        <v>11495</v>
      </c>
    </row>
    <row r="533" spans="1:50">
      <c r="A533" s="1">
        <f>HYPERLINK("https://cms.ls-nyc.org/matter/dynamic-profile/view/1867877","18-1867877")</f>
        <v>0</v>
      </c>
      <c r="B533" t="s">
        <v>92</v>
      </c>
      <c r="C533" t="s">
        <v>235</v>
      </c>
      <c r="D533" t="s">
        <v>334</v>
      </c>
      <c r="F533" t="s">
        <v>900</v>
      </c>
      <c r="G533" t="s">
        <v>2409</v>
      </c>
      <c r="H533" t="s">
        <v>3579</v>
      </c>
      <c r="I533">
        <v>214</v>
      </c>
      <c r="J533" t="s">
        <v>5323</v>
      </c>
      <c r="K533">
        <v>10029</v>
      </c>
      <c r="L533" t="s">
        <v>5355</v>
      </c>
      <c r="M533" t="s">
        <v>5355</v>
      </c>
      <c r="O533" t="s">
        <v>6494</v>
      </c>
      <c r="P533" t="s">
        <v>6525</v>
      </c>
      <c r="R533" t="s">
        <v>6539</v>
      </c>
      <c r="S533" t="s">
        <v>5355</v>
      </c>
      <c r="U533" t="s">
        <v>6557</v>
      </c>
      <c r="V533" t="s">
        <v>6566</v>
      </c>
      <c r="W533" t="s">
        <v>334</v>
      </c>
      <c r="X533">
        <v>1917</v>
      </c>
      <c r="Y533" t="s">
        <v>6608</v>
      </c>
      <c r="Z533" t="s">
        <v>6622</v>
      </c>
      <c r="AB533" t="s">
        <v>7156</v>
      </c>
      <c r="AD533" t="s">
        <v>9546</v>
      </c>
      <c r="AE533">
        <v>108</v>
      </c>
      <c r="AF533" t="s">
        <v>11008</v>
      </c>
      <c r="AG533" t="s">
        <v>11020</v>
      </c>
      <c r="AH533">
        <v>12</v>
      </c>
      <c r="AI533">
        <v>1</v>
      </c>
      <c r="AJ533">
        <v>0</v>
      </c>
      <c r="AK533">
        <v>108.87</v>
      </c>
      <c r="AN533" t="s">
        <v>11050</v>
      </c>
      <c r="AO533">
        <v>13217</v>
      </c>
      <c r="AU533">
        <v>0</v>
      </c>
      <c r="AW533" t="s">
        <v>11497</v>
      </c>
    </row>
    <row r="534" spans="1:50">
      <c r="A534" s="1">
        <f>HYPERLINK("https://cms.ls-nyc.org/matter/dynamic-profile/view/1871348","18-1871348")</f>
        <v>0</v>
      </c>
      <c r="B534" t="s">
        <v>135</v>
      </c>
      <c r="C534" t="s">
        <v>234</v>
      </c>
      <c r="D534" t="s">
        <v>413</v>
      </c>
      <c r="E534" t="s">
        <v>665</v>
      </c>
      <c r="F534" t="s">
        <v>1243</v>
      </c>
      <c r="G534" t="s">
        <v>1965</v>
      </c>
      <c r="H534" t="s">
        <v>3739</v>
      </c>
      <c r="I534" t="s">
        <v>4738</v>
      </c>
      <c r="J534" t="s">
        <v>5320</v>
      </c>
      <c r="K534">
        <v>11212</v>
      </c>
      <c r="L534" t="s">
        <v>5355</v>
      </c>
      <c r="M534" t="s">
        <v>5355</v>
      </c>
      <c r="O534" t="s">
        <v>6499</v>
      </c>
      <c r="P534" t="s">
        <v>6525</v>
      </c>
      <c r="Q534" t="s">
        <v>6532</v>
      </c>
      <c r="R534" t="s">
        <v>6539</v>
      </c>
      <c r="S534" t="s">
        <v>5355</v>
      </c>
      <c r="U534" t="s">
        <v>6557</v>
      </c>
      <c r="W534" t="s">
        <v>349</v>
      </c>
      <c r="X534">
        <v>1100</v>
      </c>
      <c r="Y534" t="s">
        <v>6605</v>
      </c>
      <c r="Z534" t="s">
        <v>6493</v>
      </c>
      <c r="AA534" t="s">
        <v>6642</v>
      </c>
      <c r="AB534" t="s">
        <v>7157</v>
      </c>
      <c r="AD534" t="s">
        <v>9547</v>
      </c>
      <c r="AE534">
        <v>0</v>
      </c>
      <c r="AF534" t="s">
        <v>11005</v>
      </c>
      <c r="AH534">
        <v>16</v>
      </c>
      <c r="AI534">
        <v>1</v>
      </c>
      <c r="AJ534">
        <v>0</v>
      </c>
      <c r="AK534">
        <v>109.28</v>
      </c>
      <c r="AN534" t="s">
        <v>11050</v>
      </c>
      <c r="AO534">
        <v>13266.72</v>
      </c>
      <c r="AP534" t="s">
        <v>11094</v>
      </c>
      <c r="AU534">
        <v>0.08</v>
      </c>
      <c r="AV534" t="s">
        <v>789</v>
      </c>
      <c r="AW534" t="s">
        <v>11517</v>
      </c>
    </row>
    <row r="535" spans="1:50">
      <c r="A535" s="1">
        <f>HYPERLINK("https://cms.ls-nyc.org/matter/dynamic-profile/view/1871724","18-1871724")</f>
        <v>0</v>
      </c>
      <c r="B535" t="s">
        <v>135</v>
      </c>
      <c r="C535" t="s">
        <v>234</v>
      </c>
      <c r="D535" t="s">
        <v>445</v>
      </c>
      <c r="E535" t="s">
        <v>665</v>
      </c>
      <c r="F535" t="s">
        <v>1243</v>
      </c>
      <c r="G535" t="s">
        <v>1965</v>
      </c>
      <c r="H535" t="s">
        <v>3739</v>
      </c>
      <c r="I535" t="s">
        <v>4738</v>
      </c>
      <c r="J535" t="s">
        <v>5320</v>
      </c>
      <c r="K535">
        <v>11212</v>
      </c>
      <c r="L535" t="s">
        <v>5355</v>
      </c>
      <c r="M535" t="s">
        <v>5356</v>
      </c>
      <c r="O535" t="s">
        <v>5393</v>
      </c>
      <c r="P535" t="s">
        <v>6525</v>
      </c>
      <c r="Q535" t="s">
        <v>6532</v>
      </c>
      <c r="R535" t="s">
        <v>6539</v>
      </c>
      <c r="S535" t="s">
        <v>5355</v>
      </c>
      <c r="U535" t="s">
        <v>6557</v>
      </c>
      <c r="W535" t="s">
        <v>6581</v>
      </c>
      <c r="X535">
        <v>1100</v>
      </c>
      <c r="Y535" t="s">
        <v>6605</v>
      </c>
      <c r="Z535" t="s">
        <v>6493</v>
      </c>
      <c r="AA535" t="s">
        <v>6634</v>
      </c>
      <c r="AB535" t="s">
        <v>7157</v>
      </c>
      <c r="AD535" t="s">
        <v>9547</v>
      </c>
      <c r="AE535">
        <v>0</v>
      </c>
      <c r="AF535" t="s">
        <v>11005</v>
      </c>
      <c r="AH535">
        <v>16</v>
      </c>
      <c r="AI535">
        <v>1</v>
      </c>
      <c r="AJ535">
        <v>0</v>
      </c>
      <c r="AK535">
        <v>109.28</v>
      </c>
      <c r="AN535" t="s">
        <v>11050</v>
      </c>
      <c r="AO535">
        <v>13266.72</v>
      </c>
      <c r="AU535">
        <v>0.08</v>
      </c>
      <c r="AV535" t="s">
        <v>789</v>
      </c>
      <c r="AW535" t="s">
        <v>11517</v>
      </c>
    </row>
    <row r="536" spans="1:50">
      <c r="A536" s="1">
        <f>HYPERLINK("https://cms.ls-nyc.org/matter/dynamic-profile/view/1838822","17-1838822")</f>
        <v>0</v>
      </c>
      <c r="B536" t="s">
        <v>129</v>
      </c>
      <c r="C536" t="s">
        <v>235</v>
      </c>
      <c r="D536" t="s">
        <v>446</v>
      </c>
      <c r="F536" t="s">
        <v>1244</v>
      </c>
      <c r="G536" t="s">
        <v>2488</v>
      </c>
      <c r="H536" t="s">
        <v>3846</v>
      </c>
      <c r="I536" t="s">
        <v>4851</v>
      </c>
      <c r="J536" t="s">
        <v>5321</v>
      </c>
      <c r="K536">
        <v>10473</v>
      </c>
      <c r="L536" t="s">
        <v>5355</v>
      </c>
      <c r="M536" t="s">
        <v>5356</v>
      </c>
      <c r="O536" t="s">
        <v>5393</v>
      </c>
      <c r="P536" t="s">
        <v>6525</v>
      </c>
      <c r="R536" t="s">
        <v>6539</v>
      </c>
      <c r="S536" t="s">
        <v>5355</v>
      </c>
      <c r="U536" t="s">
        <v>6557</v>
      </c>
      <c r="W536" t="s">
        <v>6572</v>
      </c>
      <c r="X536">
        <v>0</v>
      </c>
      <c r="Y536" t="s">
        <v>6606</v>
      </c>
      <c r="Z536" t="s">
        <v>6620</v>
      </c>
      <c r="AB536" t="s">
        <v>7158</v>
      </c>
      <c r="AD536" t="s">
        <v>9548</v>
      </c>
      <c r="AE536">
        <v>976</v>
      </c>
      <c r="AF536" t="s">
        <v>11005</v>
      </c>
      <c r="AG536" t="s">
        <v>11024</v>
      </c>
      <c r="AH536">
        <v>0</v>
      </c>
      <c r="AI536">
        <v>1</v>
      </c>
      <c r="AJ536">
        <v>0</v>
      </c>
      <c r="AK536">
        <v>109.45</v>
      </c>
      <c r="AL536" t="s">
        <v>578</v>
      </c>
      <c r="AN536" t="s">
        <v>11050</v>
      </c>
      <c r="AO536">
        <v>13200</v>
      </c>
      <c r="AU536">
        <v>0</v>
      </c>
      <c r="AW536" t="s">
        <v>11509</v>
      </c>
    </row>
    <row r="537" spans="1:50">
      <c r="A537" s="1">
        <f>HYPERLINK("https://cms.ls-nyc.org/matter/dynamic-profile/view/1840081","17-1840081")</f>
        <v>0</v>
      </c>
      <c r="B537" t="s">
        <v>138</v>
      </c>
      <c r="C537" t="s">
        <v>234</v>
      </c>
      <c r="D537" t="s">
        <v>359</v>
      </c>
      <c r="E537" t="s">
        <v>434</v>
      </c>
      <c r="F537" t="s">
        <v>957</v>
      </c>
      <c r="G537" t="s">
        <v>2489</v>
      </c>
      <c r="H537" t="s">
        <v>3847</v>
      </c>
      <c r="I537" t="s">
        <v>4734</v>
      </c>
      <c r="J537" t="s">
        <v>5320</v>
      </c>
      <c r="K537">
        <v>11207</v>
      </c>
      <c r="L537" t="s">
        <v>5355</v>
      </c>
      <c r="M537" t="s">
        <v>5355</v>
      </c>
      <c r="O537" t="s">
        <v>5393</v>
      </c>
      <c r="P537" t="s">
        <v>6525</v>
      </c>
      <c r="Q537" t="s">
        <v>6531</v>
      </c>
      <c r="R537" t="s">
        <v>6539</v>
      </c>
      <c r="S537" t="s">
        <v>5355</v>
      </c>
      <c r="U537" t="s">
        <v>6557</v>
      </c>
      <c r="W537" t="s">
        <v>404</v>
      </c>
      <c r="X537">
        <v>1400</v>
      </c>
      <c r="Y537" t="s">
        <v>6605</v>
      </c>
      <c r="AA537" t="s">
        <v>6631</v>
      </c>
      <c r="AB537" t="s">
        <v>7159</v>
      </c>
      <c r="AD537" t="s">
        <v>9549</v>
      </c>
      <c r="AE537">
        <v>6</v>
      </c>
      <c r="AF537" t="s">
        <v>11005</v>
      </c>
      <c r="AH537">
        <v>0</v>
      </c>
      <c r="AI537">
        <v>2</v>
      </c>
      <c r="AJ537">
        <v>0</v>
      </c>
      <c r="AK537">
        <v>112.32</v>
      </c>
      <c r="AN537" t="s">
        <v>11049</v>
      </c>
      <c r="AO537">
        <v>27060</v>
      </c>
      <c r="AU537">
        <v>0.5</v>
      </c>
      <c r="AV537" t="s">
        <v>449</v>
      </c>
      <c r="AW537" t="s">
        <v>11489</v>
      </c>
      <c r="AX537" t="s">
        <v>11564</v>
      </c>
    </row>
    <row r="538" spans="1:50">
      <c r="A538" s="1">
        <f>HYPERLINK("https://cms.ls-nyc.org/matter/dynamic-profile/view/1867350","18-1867350")</f>
        <v>0</v>
      </c>
      <c r="B538" t="s">
        <v>54</v>
      </c>
      <c r="C538" t="s">
        <v>234</v>
      </c>
      <c r="D538" t="s">
        <v>447</v>
      </c>
      <c r="E538" t="s">
        <v>756</v>
      </c>
      <c r="F538" t="s">
        <v>1245</v>
      </c>
      <c r="G538" t="s">
        <v>2490</v>
      </c>
      <c r="H538" t="s">
        <v>3848</v>
      </c>
      <c r="I538" t="s">
        <v>4739</v>
      </c>
      <c r="J538" t="s">
        <v>5320</v>
      </c>
      <c r="K538">
        <v>11206</v>
      </c>
      <c r="L538" t="s">
        <v>5355</v>
      </c>
      <c r="M538" t="s">
        <v>5356</v>
      </c>
      <c r="P538" t="s">
        <v>6525</v>
      </c>
      <c r="Q538" t="s">
        <v>6531</v>
      </c>
      <c r="R538" t="s">
        <v>6539</v>
      </c>
      <c r="U538" t="s">
        <v>6557</v>
      </c>
      <c r="W538" t="s">
        <v>298</v>
      </c>
      <c r="X538">
        <v>499.21</v>
      </c>
      <c r="Y538" t="s">
        <v>6605</v>
      </c>
      <c r="AA538" t="s">
        <v>6631</v>
      </c>
      <c r="AB538" t="s">
        <v>7160</v>
      </c>
      <c r="AD538" t="s">
        <v>9550</v>
      </c>
      <c r="AE538">
        <v>6</v>
      </c>
      <c r="AF538" t="s">
        <v>11005</v>
      </c>
      <c r="AG538" t="s">
        <v>5406</v>
      </c>
      <c r="AH538">
        <v>28</v>
      </c>
      <c r="AI538">
        <v>2</v>
      </c>
      <c r="AJ538">
        <v>0</v>
      </c>
      <c r="AK538">
        <v>112.49</v>
      </c>
      <c r="AN538" t="s">
        <v>11049</v>
      </c>
      <c r="AO538">
        <v>18516</v>
      </c>
      <c r="AU538">
        <v>0.1</v>
      </c>
      <c r="AV538" t="s">
        <v>756</v>
      </c>
      <c r="AW538" t="s">
        <v>11512</v>
      </c>
    </row>
    <row r="539" spans="1:50">
      <c r="A539" s="1">
        <f>HYPERLINK("https://cms.ls-nyc.org/matter/dynamic-profile/view/0823190","16-0823190")</f>
        <v>0</v>
      </c>
      <c r="B539" t="s">
        <v>136</v>
      </c>
      <c r="C539" t="s">
        <v>234</v>
      </c>
      <c r="D539" t="s">
        <v>448</v>
      </c>
      <c r="E539" t="s">
        <v>513</v>
      </c>
      <c r="F539" t="s">
        <v>1142</v>
      </c>
      <c r="G539" t="s">
        <v>2491</v>
      </c>
      <c r="H539" t="s">
        <v>3849</v>
      </c>
      <c r="I539" t="s">
        <v>4926</v>
      </c>
      <c r="J539" t="s">
        <v>5320</v>
      </c>
      <c r="K539">
        <v>11225</v>
      </c>
      <c r="L539" t="s">
        <v>5355</v>
      </c>
      <c r="M539" t="s">
        <v>5355</v>
      </c>
      <c r="O539" t="s">
        <v>6500</v>
      </c>
      <c r="P539" t="s">
        <v>6525</v>
      </c>
      <c r="Q539" t="s">
        <v>6532</v>
      </c>
      <c r="R539" t="s">
        <v>6539</v>
      </c>
      <c r="S539" t="s">
        <v>5355</v>
      </c>
      <c r="U539" t="s">
        <v>6557</v>
      </c>
      <c r="W539" t="s">
        <v>404</v>
      </c>
      <c r="X539">
        <v>668.6799999999999</v>
      </c>
      <c r="Y539" t="s">
        <v>6605</v>
      </c>
      <c r="AA539" t="s">
        <v>6636</v>
      </c>
      <c r="AB539" t="s">
        <v>7161</v>
      </c>
      <c r="AD539" t="s">
        <v>9551</v>
      </c>
      <c r="AE539">
        <v>16</v>
      </c>
      <c r="AF539" t="s">
        <v>11005</v>
      </c>
      <c r="AH539">
        <v>17</v>
      </c>
      <c r="AI539">
        <v>1</v>
      </c>
      <c r="AJ539">
        <v>0</v>
      </c>
      <c r="AK539">
        <v>112.63</v>
      </c>
      <c r="AL539" t="s">
        <v>11031</v>
      </c>
      <c r="AN539" t="s">
        <v>11050</v>
      </c>
      <c r="AO539">
        <v>13380</v>
      </c>
      <c r="AP539" t="s">
        <v>11104</v>
      </c>
      <c r="AR539" t="s">
        <v>6493</v>
      </c>
      <c r="AU539">
        <v>0.8</v>
      </c>
      <c r="AV539" t="s">
        <v>513</v>
      </c>
      <c r="AW539" t="s">
        <v>11489</v>
      </c>
    </row>
    <row r="540" spans="1:50">
      <c r="A540" s="1">
        <f>HYPERLINK("https://cms.ls-nyc.org/matter/dynamic-profile/view/1862772","18-1862772")</f>
        <v>0</v>
      </c>
      <c r="B540" t="s">
        <v>65</v>
      </c>
      <c r="C540" t="s">
        <v>234</v>
      </c>
      <c r="D540" t="s">
        <v>242</v>
      </c>
      <c r="E540" t="s">
        <v>716</v>
      </c>
      <c r="F540" t="s">
        <v>901</v>
      </c>
      <c r="G540" t="s">
        <v>2492</v>
      </c>
      <c r="H540" t="s">
        <v>3850</v>
      </c>
      <c r="I540">
        <v>10</v>
      </c>
      <c r="J540" t="s">
        <v>5323</v>
      </c>
      <c r="K540">
        <v>10033</v>
      </c>
      <c r="L540" t="s">
        <v>5355</v>
      </c>
      <c r="M540" t="s">
        <v>5355</v>
      </c>
      <c r="P540" t="s">
        <v>6525</v>
      </c>
      <c r="Q540" t="s">
        <v>6532</v>
      </c>
      <c r="R540" t="s">
        <v>6539</v>
      </c>
      <c r="S540" t="s">
        <v>5357</v>
      </c>
      <c r="U540" t="s">
        <v>6557</v>
      </c>
      <c r="W540" t="s">
        <v>242</v>
      </c>
      <c r="X540">
        <v>1012.55</v>
      </c>
      <c r="Y540" t="s">
        <v>6608</v>
      </c>
      <c r="Z540" t="s">
        <v>6614</v>
      </c>
      <c r="AA540" t="s">
        <v>6636</v>
      </c>
      <c r="AB540" t="s">
        <v>7162</v>
      </c>
      <c r="AD540" t="s">
        <v>9552</v>
      </c>
      <c r="AE540">
        <v>20</v>
      </c>
      <c r="AF540" t="s">
        <v>11005</v>
      </c>
      <c r="AG540" t="s">
        <v>11024</v>
      </c>
      <c r="AH540">
        <v>25</v>
      </c>
      <c r="AI540">
        <v>2</v>
      </c>
      <c r="AJ540">
        <v>0</v>
      </c>
      <c r="AK540">
        <v>113.44</v>
      </c>
      <c r="AN540" t="s">
        <v>11049</v>
      </c>
      <c r="AO540">
        <v>18672</v>
      </c>
      <c r="AU540">
        <v>4.3</v>
      </c>
      <c r="AV540" t="s">
        <v>716</v>
      </c>
      <c r="AW540" t="s">
        <v>11495</v>
      </c>
    </row>
    <row r="541" spans="1:50">
      <c r="A541" s="1">
        <f>HYPERLINK("https://cms.ls-nyc.org/matter/dynamic-profile/view/1867094","18-1867094")</f>
        <v>0</v>
      </c>
      <c r="B541" t="s">
        <v>126</v>
      </c>
      <c r="C541" t="s">
        <v>235</v>
      </c>
      <c r="D541" t="s">
        <v>391</v>
      </c>
      <c r="F541" t="s">
        <v>1246</v>
      </c>
      <c r="G541" t="s">
        <v>2493</v>
      </c>
      <c r="H541" t="s">
        <v>3851</v>
      </c>
      <c r="I541" t="s">
        <v>4862</v>
      </c>
      <c r="J541" t="s">
        <v>5323</v>
      </c>
      <c r="K541">
        <v>10002</v>
      </c>
      <c r="L541" t="s">
        <v>5355</v>
      </c>
      <c r="M541" t="s">
        <v>5356</v>
      </c>
      <c r="N541" t="s">
        <v>5529</v>
      </c>
      <c r="O541" t="s">
        <v>6506</v>
      </c>
      <c r="P541" t="s">
        <v>6525</v>
      </c>
      <c r="R541" t="s">
        <v>6540</v>
      </c>
      <c r="S541" t="s">
        <v>5357</v>
      </c>
      <c r="U541" t="s">
        <v>6564</v>
      </c>
      <c r="W541" t="s">
        <v>299</v>
      </c>
      <c r="X541">
        <v>230</v>
      </c>
      <c r="Y541" t="s">
        <v>6608</v>
      </c>
      <c r="Z541" t="s">
        <v>6610</v>
      </c>
      <c r="AB541" t="s">
        <v>7163</v>
      </c>
      <c r="AD541" t="s">
        <v>9553</v>
      </c>
      <c r="AE541">
        <v>1861</v>
      </c>
      <c r="AF541" t="s">
        <v>11008</v>
      </c>
      <c r="AH541">
        <v>3</v>
      </c>
      <c r="AI541">
        <v>2</v>
      </c>
      <c r="AJ541">
        <v>1</v>
      </c>
      <c r="AK541">
        <v>113.86</v>
      </c>
      <c r="AN541" t="s">
        <v>11050</v>
      </c>
      <c r="AO541">
        <v>23660</v>
      </c>
      <c r="AU541">
        <v>14.6</v>
      </c>
      <c r="AV541" t="s">
        <v>11442</v>
      </c>
      <c r="AW541" t="s">
        <v>11525</v>
      </c>
    </row>
    <row r="542" spans="1:50">
      <c r="A542" s="1">
        <f>HYPERLINK("https://cms.ls-nyc.org/matter/dynamic-profile/view/1866528","18-1866528")</f>
        <v>0</v>
      </c>
      <c r="B542" t="s">
        <v>117</v>
      </c>
      <c r="C542" t="s">
        <v>234</v>
      </c>
      <c r="D542" t="s">
        <v>268</v>
      </c>
      <c r="E542" t="s">
        <v>427</v>
      </c>
      <c r="F542" t="s">
        <v>1247</v>
      </c>
      <c r="G542" t="s">
        <v>2494</v>
      </c>
      <c r="H542" t="s">
        <v>3852</v>
      </c>
      <c r="I542">
        <v>11</v>
      </c>
      <c r="J542" t="s">
        <v>5321</v>
      </c>
      <c r="K542">
        <v>10458</v>
      </c>
      <c r="L542" t="s">
        <v>5355</v>
      </c>
      <c r="M542" t="s">
        <v>5356</v>
      </c>
      <c r="O542" t="s">
        <v>6498</v>
      </c>
      <c r="P542" t="s">
        <v>6525</v>
      </c>
      <c r="Q542" t="s">
        <v>6532</v>
      </c>
      <c r="R542" t="s">
        <v>6539</v>
      </c>
      <c r="S542" t="s">
        <v>5357</v>
      </c>
      <c r="U542" t="s">
        <v>6559</v>
      </c>
      <c r="W542" t="s">
        <v>516</v>
      </c>
      <c r="X542">
        <v>725</v>
      </c>
      <c r="Y542" t="s">
        <v>6606</v>
      </c>
      <c r="Z542" t="s">
        <v>6614</v>
      </c>
      <c r="AA542" t="s">
        <v>6636</v>
      </c>
      <c r="AB542" t="s">
        <v>7164</v>
      </c>
      <c r="AD542" t="s">
        <v>9554</v>
      </c>
      <c r="AE542">
        <v>0</v>
      </c>
      <c r="AF542" t="s">
        <v>11005</v>
      </c>
      <c r="AG542" t="s">
        <v>5406</v>
      </c>
      <c r="AH542">
        <v>0</v>
      </c>
      <c r="AI542">
        <v>1</v>
      </c>
      <c r="AJ542">
        <v>0</v>
      </c>
      <c r="AK542">
        <v>116.94</v>
      </c>
      <c r="AN542" t="s">
        <v>11050</v>
      </c>
      <c r="AO542">
        <v>14196</v>
      </c>
      <c r="AU542">
        <v>2</v>
      </c>
      <c r="AV542" t="s">
        <v>315</v>
      </c>
      <c r="AW542" t="s">
        <v>117</v>
      </c>
    </row>
    <row r="543" spans="1:50">
      <c r="A543" s="1">
        <f>HYPERLINK("https://cms.ls-nyc.org/matter/dynamic-profile/view/1867164","18-1867164")</f>
        <v>0</v>
      </c>
      <c r="B543" t="s">
        <v>111</v>
      </c>
      <c r="C543" t="s">
        <v>234</v>
      </c>
      <c r="D543" t="s">
        <v>391</v>
      </c>
      <c r="E543" t="s">
        <v>757</v>
      </c>
      <c r="F543" t="s">
        <v>1000</v>
      </c>
      <c r="G543" t="s">
        <v>2142</v>
      </c>
      <c r="H543" t="s">
        <v>3853</v>
      </c>
      <c r="J543" t="s">
        <v>5323</v>
      </c>
      <c r="K543">
        <v>10033</v>
      </c>
      <c r="L543" t="s">
        <v>5355</v>
      </c>
      <c r="M543" t="s">
        <v>5356</v>
      </c>
      <c r="P543" t="s">
        <v>6525</v>
      </c>
      <c r="Q543" t="s">
        <v>6532</v>
      </c>
      <c r="R543" t="s">
        <v>6539</v>
      </c>
      <c r="S543" t="s">
        <v>5357</v>
      </c>
      <c r="U543" t="s">
        <v>6557</v>
      </c>
      <c r="W543" t="s">
        <v>391</v>
      </c>
      <c r="X543">
        <v>700</v>
      </c>
      <c r="Y543" t="s">
        <v>6608</v>
      </c>
      <c r="Z543" t="s">
        <v>6616</v>
      </c>
      <c r="AA543" t="s">
        <v>6636</v>
      </c>
      <c r="AB543" t="s">
        <v>7165</v>
      </c>
      <c r="AD543" t="s">
        <v>9555</v>
      </c>
      <c r="AE543">
        <v>0</v>
      </c>
      <c r="AF543" t="s">
        <v>11005</v>
      </c>
      <c r="AG543" t="s">
        <v>5406</v>
      </c>
      <c r="AH543">
        <v>3</v>
      </c>
      <c r="AI543">
        <v>1</v>
      </c>
      <c r="AJ543">
        <v>0</v>
      </c>
      <c r="AK543">
        <v>117.73</v>
      </c>
      <c r="AN543" t="s">
        <v>11050</v>
      </c>
      <c r="AO543">
        <v>14292</v>
      </c>
      <c r="AU543">
        <v>11.05</v>
      </c>
      <c r="AV543" t="s">
        <v>11443</v>
      </c>
      <c r="AW543" t="s">
        <v>11495</v>
      </c>
      <c r="AX543" t="s">
        <v>11564</v>
      </c>
    </row>
    <row r="544" spans="1:50">
      <c r="A544" s="1">
        <f>HYPERLINK("https://cms.ls-nyc.org/matter/dynamic-profile/view/1881139","18-1881139")</f>
        <v>0</v>
      </c>
      <c r="B544" t="s">
        <v>54</v>
      </c>
      <c r="C544" t="s">
        <v>234</v>
      </c>
      <c r="D544" t="s">
        <v>449</v>
      </c>
      <c r="E544" t="s">
        <v>434</v>
      </c>
      <c r="F544" t="s">
        <v>1248</v>
      </c>
      <c r="G544" t="s">
        <v>2495</v>
      </c>
      <c r="H544" t="s">
        <v>3750</v>
      </c>
      <c r="I544" t="s">
        <v>4758</v>
      </c>
      <c r="J544" t="s">
        <v>5320</v>
      </c>
      <c r="K544">
        <v>11207</v>
      </c>
      <c r="L544" t="s">
        <v>5355</v>
      </c>
      <c r="M544" t="s">
        <v>5355</v>
      </c>
      <c r="O544" t="s">
        <v>5393</v>
      </c>
      <c r="P544" t="s">
        <v>6525</v>
      </c>
      <c r="Q544" t="s">
        <v>6532</v>
      </c>
      <c r="R544" t="s">
        <v>6539</v>
      </c>
      <c r="S544" t="s">
        <v>5355</v>
      </c>
      <c r="U544" t="s">
        <v>6557</v>
      </c>
      <c r="W544" t="s">
        <v>363</v>
      </c>
      <c r="X544">
        <v>1550</v>
      </c>
      <c r="Y544" t="s">
        <v>6605</v>
      </c>
      <c r="AA544" t="s">
        <v>6631</v>
      </c>
      <c r="AB544" t="s">
        <v>7166</v>
      </c>
      <c r="AD544" t="s">
        <v>9166</v>
      </c>
      <c r="AE544">
        <v>6</v>
      </c>
      <c r="AF544" t="s">
        <v>11005</v>
      </c>
      <c r="AH544">
        <v>5</v>
      </c>
      <c r="AI544">
        <v>3</v>
      </c>
      <c r="AJ544">
        <v>3</v>
      </c>
      <c r="AK544">
        <v>118.55</v>
      </c>
      <c r="AN544" t="s">
        <v>11049</v>
      </c>
      <c r="AO544">
        <v>40000</v>
      </c>
      <c r="AU544">
        <v>0.2</v>
      </c>
      <c r="AV544" t="s">
        <v>449</v>
      </c>
      <c r="AW544" t="s">
        <v>54</v>
      </c>
      <c r="AX544" t="s">
        <v>11564</v>
      </c>
    </row>
    <row r="545" spans="1:50">
      <c r="A545" s="1">
        <f>HYPERLINK("https://cms.ls-nyc.org/matter/dynamic-profile/view/1871334","18-1871334")</f>
        <v>0</v>
      </c>
      <c r="B545" t="s">
        <v>135</v>
      </c>
      <c r="C545" t="s">
        <v>234</v>
      </c>
      <c r="D545" t="s">
        <v>413</v>
      </c>
      <c r="E545" t="s">
        <v>742</v>
      </c>
      <c r="F545" t="s">
        <v>1249</v>
      </c>
      <c r="G545" t="s">
        <v>1643</v>
      </c>
      <c r="H545" t="s">
        <v>3739</v>
      </c>
      <c r="I545" t="s">
        <v>4927</v>
      </c>
      <c r="J545" t="s">
        <v>5320</v>
      </c>
      <c r="K545">
        <v>11212</v>
      </c>
      <c r="L545" t="s">
        <v>5355</v>
      </c>
      <c r="M545" t="s">
        <v>5355</v>
      </c>
      <c r="O545" t="s">
        <v>6499</v>
      </c>
      <c r="P545" t="s">
        <v>6525</v>
      </c>
      <c r="Q545" t="s">
        <v>6532</v>
      </c>
      <c r="R545" t="s">
        <v>6539</v>
      </c>
      <c r="S545" t="s">
        <v>5355</v>
      </c>
      <c r="U545" t="s">
        <v>6557</v>
      </c>
      <c r="W545" t="s">
        <v>349</v>
      </c>
      <c r="X545">
        <v>900</v>
      </c>
      <c r="Y545" t="s">
        <v>6605</v>
      </c>
      <c r="Z545" t="s">
        <v>6493</v>
      </c>
      <c r="AA545" t="s">
        <v>6642</v>
      </c>
      <c r="AB545" t="s">
        <v>7167</v>
      </c>
      <c r="AD545" t="s">
        <v>9556</v>
      </c>
      <c r="AE545">
        <v>32</v>
      </c>
      <c r="AF545" t="s">
        <v>11005</v>
      </c>
      <c r="AH545">
        <v>18</v>
      </c>
      <c r="AI545">
        <v>1</v>
      </c>
      <c r="AJ545">
        <v>0</v>
      </c>
      <c r="AK545">
        <v>118.62</v>
      </c>
      <c r="AN545" t="s">
        <v>11050</v>
      </c>
      <c r="AO545">
        <v>14400</v>
      </c>
      <c r="AP545" t="s">
        <v>11094</v>
      </c>
      <c r="AU545">
        <v>0.08</v>
      </c>
      <c r="AV545" t="s">
        <v>726</v>
      </c>
      <c r="AW545" t="s">
        <v>11517</v>
      </c>
    </row>
    <row r="546" spans="1:50">
      <c r="A546" s="1">
        <f>HYPERLINK("https://cms.ls-nyc.org/matter/dynamic-profile/view/1871558","18-1871558")</f>
        <v>0</v>
      </c>
      <c r="B546" t="s">
        <v>135</v>
      </c>
      <c r="C546" t="s">
        <v>235</v>
      </c>
      <c r="D546" t="s">
        <v>402</v>
      </c>
      <c r="F546" t="s">
        <v>1249</v>
      </c>
      <c r="G546" t="s">
        <v>1643</v>
      </c>
      <c r="H546" t="s">
        <v>3739</v>
      </c>
      <c r="I546" t="s">
        <v>4927</v>
      </c>
      <c r="J546" t="s">
        <v>5320</v>
      </c>
      <c r="K546">
        <v>11212</v>
      </c>
      <c r="L546" t="s">
        <v>5355</v>
      </c>
      <c r="M546" t="s">
        <v>5356</v>
      </c>
      <c r="O546" t="s">
        <v>5393</v>
      </c>
      <c r="P546" t="s">
        <v>6525</v>
      </c>
      <c r="R546" t="s">
        <v>6539</v>
      </c>
      <c r="S546" t="s">
        <v>5355</v>
      </c>
      <c r="U546" t="s">
        <v>6557</v>
      </c>
      <c r="W546" t="s">
        <v>6581</v>
      </c>
      <c r="X546">
        <v>900</v>
      </c>
      <c r="Y546" t="s">
        <v>6605</v>
      </c>
      <c r="Z546" t="s">
        <v>6493</v>
      </c>
      <c r="AB546" t="s">
        <v>7167</v>
      </c>
      <c r="AD546" t="s">
        <v>9556</v>
      </c>
      <c r="AE546">
        <v>32</v>
      </c>
      <c r="AF546" t="s">
        <v>11005</v>
      </c>
      <c r="AH546">
        <v>18</v>
      </c>
      <c r="AI546">
        <v>1</v>
      </c>
      <c r="AJ546">
        <v>0</v>
      </c>
      <c r="AK546">
        <v>118.62</v>
      </c>
      <c r="AN546" t="s">
        <v>11050</v>
      </c>
      <c r="AO546">
        <v>14400</v>
      </c>
      <c r="AU546">
        <v>0</v>
      </c>
      <c r="AW546" t="s">
        <v>11517</v>
      </c>
    </row>
    <row r="547" spans="1:50">
      <c r="A547" s="1">
        <f>HYPERLINK("https://cms.ls-nyc.org/matter/dynamic-profile/view/1863805","18-1863805")</f>
        <v>0</v>
      </c>
      <c r="B547" t="s">
        <v>65</v>
      </c>
      <c r="C547" t="s">
        <v>234</v>
      </c>
      <c r="D547" t="s">
        <v>288</v>
      </c>
      <c r="E547" t="s">
        <v>692</v>
      </c>
      <c r="F547" t="s">
        <v>1250</v>
      </c>
      <c r="G547" t="s">
        <v>2496</v>
      </c>
      <c r="H547" t="s">
        <v>3780</v>
      </c>
      <c r="I547" t="s">
        <v>4814</v>
      </c>
      <c r="J547" t="s">
        <v>5323</v>
      </c>
      <c r="K547">
        <v>10033</v>
      </c>
      <c r="L547" t="s">
        <v>5355</v>
      </c>
      <c r="M547" t="s">
        <v>5355</v>
      </c>
      <c r="O547" t="s">
        <v>6499</v>
      </c>
      <c r="P547" t="s">
        <v>6525</v>
      </c>
      <c r="Q547" t="s">
        <v>6532</v>
      </c>
      <c r="R547" t="s">
        <v>6539</v>
      </c>
      <c r="S547" t="s">
        <v>5355</v>
      </c>
      <c r="U547" t="s">
        <v>6557</v>
      </c>
      <c r="W547" t="s">
        <v>288</v>
      </c>
      <c r="X547">
        <v>830</v>
      </c>
      <c r="Y547" t="s">
        <v>6608</v>
      </c>
      <c r="Z547" t="s">
        <v>6614</v>
      </c>
      <c r="AA547" t="s">
        <v>6646</v>
      </c>
      <c r="AB547" t="s">
        <v>7168</v>
      </c>
      <c r="AD547" t="s">
        <v>9557</v>
      </c>
      <c r="AE547">
        <v>20</v>
      </c>
      <c r="AF547" t="s">
        <v>11005</v>
      </c>
      <c r="AG547" t="s">
        <v>5406</v>
      </c>
      <c r="AH547">
        <v>44</v>
      </c>
      <c r="AI547">
        <v>1</v>
      </c>
      <c r="AJ547">
        <v>0</v>
      </c>
      <c r="AK547">
        <v>118.71</v>
      </c>
      <c r="AL547" t="s">
        <v>450</v>
      </c>
      <c r="AN547" t="s">
        <v>11049</v>
      </c>
      <c r="AO547">
        <v>14412</v>
      </c>
      <c r="AU547">
        <v>0.1</v>
      </c>
      <c r="AV547" t="s">
        <v>692</v>
      </c>
      <c r="AW547" t="s">
        <v>11495</v>
      </c>
    </row>
    <row r="548" spans="1:50">
      <c r="A548" s="1">
        <f>HYPERLINK("https://cms.ls-nyc.org/matter/dynamic-profile/view/1865126","18-1865126")</f>
        <v>0</v>
      </c>
      <c r="B548" t="s">
        <v>69</v>
      </c>
      <c r="C548" t="s">
        <v>234</v>
      </c>
      <c r="D548" t="s">
        <v>251</v>
      </c>
      <c r="E548" t="s">
        <v>679</v>
      </c>
      <c r="F548" t="s">
        <v>1251</v>
      </c>
      <c r="G548" t="s">
        <v>2497</v>
      </c>
      <c r="H548" t="s">
        <v>3854</v>
      </c>
      <c r="I548" t="s">
        <v>4840</v>
      </c>
      <c r="J548" t="s">
        <v>5321</v>
      </c>
      <c r="K548">
        <v>10452</v>
      </c>
      <c r="L548" t="s">
        <v>5355</v>
      </c>
      <c r="M548" t="s">
        <v>5356</v>
      </c>
      <c r="O548" t="s">
        <v>6498</v>
      </c>
      <c r="P548" t="s">
        <v>6525</v>
      </c>
      <c r="Q548" t="s">
        <v>6531</v>
      </c>
      <c r="R548" t="s">
        <v>6539</v>
      </c>
      <c r="U548" t="s">
        <v>6557</v>
      </c>
      <c r="W548" t="s">
        <v>326</v>
      </c>
      <c r="X548">
        <v>796.9400000000001</v>
      </c>
      <c r="Y548" t="s">
        <v>6606</v>
      </c>
      <c r="AA548" t="s">
        <v>6631</v>
      </c>
      <c r="AB548" t="s">
        <v>7169</v>
      </c>
      <c r="AD548" t="s">
        <v>9558</v>
      </c>
      <c r="AE548">
        <v>0</v>
      </c>
      <c r="AF548" t="s">
        <v>11005</v>
      </c>
      <c r="AH548">
        <v>41</v>
      </c>
      <c r="AI548">
        <v>2</v>
      </c>
      <c r="AJ548">
        <v>0</v>
      </c>
      <c r="AK548">
        <v>119.64</v>
      </c>
      <c r="AN548" t="s">
        <v>11050</v>
      </c>
      <c r="AO548">
        <v>19692.12</v>
      </c>
      <c r="AU548">
        <v>0.8</v>
      </c>
      <c r="AV548" t="s">
        <v>502</v>
      </c>
      <c r="AW548" t="s">
        <v>69</v>
      </c>
    </row>
    <row r="549" spans="1:50">
      <c r="A549" s="1">
        <f>HYPERLINK("https://cms.ls-nyc.org/matter/dynamic-profile/view/1847265","17-1847265")</f>
        <v>0</v>
      </c>
      <c r="B549" t="s">
        <v>135</v>
      </c>
      <c r="C549" t="s">
        <v>234</v>
      </c>
      <c r="D549" t="s">
        <v>415</v>
      </c>
      <c r="E549" t="s">
        <v>665</v>
      </c>
      <c r="F549" t="s">
        <v>1252</v>
      </c>
      <c r="G549" t="s">
        <v>2498</v>
      </c>
      <c r="H549" t="s">
        <v>3775</v>
      </c>
      <c r="I549" t="s">
        <v>4841</v>
      </c>
      <c r="J549" t="s">
        <v>5320</v>
      </c>
      <c r="K549">
        <v>11206</v>
      </c>
      <c r="L549" t="s">
        <v>5355</v>
      </c>
      <c r="M549" t="s">
        <v>5356</v>
      </c>
      <c r="N549" t="s">
        <v>5392</v>
      </c>
      <c r="P549" t="s">
        <v>6525</v>
      </c>
      <c r="Q549" t="s">
        <v>6533</v>
      </c>
      <c r="R549" t="s">
        <v>6539</v>
      </c>
      <c r="U549" t="s">
        <v>6557</v>
      </c>
      <c r="W549" t="s">
        <v>575</v>
      </c>
      <c r="X549">
        <v>458.7</v>
      </c>
      <c r="Y549" t="s">
        <v>6605</v>
      </c>
      <c r="Z549" t="s">
        <v>6612</v>
      </c>
      <c r="AA549" t="s">
        <v>6634</v>
      </c>
      <c r="AB549" t="s">
        <v>7170</v>
      </c>
      <c r="AC549" t="s">
        <v>5406</v>
      </c>
      <c r="AD549" t="s">
        <v>9559</v>
      </c>
      <c r="AE549">
        <v>25</v>
      </c>
      <c r="AF549" t="s">
        <v>11013</v>
      </c>
      <c r="AG549" t="s">
        <v>5406</v>
      </c>
      <c r="AH549">
        <v>19</v>
      </c>
      <c r="AI549">
        <v>1</v>
      </c>
      <c r="AJ549">
        <v>0</v>
      </c>
      <c r="AK549">
        <v>120.12</v>
      </c>
      <c r="AN549" t="s">
        <v>11050</v>
      </c>
      <c r="AO549">
        <v>14486.4</v>
      </c>
      <c r="AU549">
        <v>0.25</v>
      </c>
      <c r="AV549" t="s">
        <v>403</v>
      </c>
      <c r="AW549" t="s">
        <v>11512</v>
      </c>
    </row>
    <row r="550" spans="1:50">
      <c r="A550" s="1">
        <f>HYPERLINK("https://cms.ls-nyc.org/matter/dynamic-profile/view/1855845","18-1855845")</f>
        <v>0</v>
      </c>
      <c r="B550" t="s">
        <v>77</v>
      </c>
      <c r="C550" t="s">
        <v>234</v>
      </c>
      <c r="D550" t="s">
        <v>380</v>
      </c>
      <c r="E550" t="s">
        <v>704</v>
      </c>
      <c r="F550" t="s">
        <v>1253</v>
      </c>
      <c r="G550" t="s">
        <v>2499</v>
      </c>
      <c r="H550" t="s">
        <v>3773</v>
      </c>
      <c r="I550" t="s">
        <v>4922</v>
      </c>
      <c r="J550" t="s">
        <v>5320</v>
      </c>
      <c r="K550">
        <v>11213</v>
      </c>
      <c r="L550" t="s">
        <v>5355</v>
      </c>
      <c r="M550" t="s">
        <v>5356</v>
      </c>
      <c r="O550" t="s">
        <v>5393</v>
      </c>
      <c r="P550" t="s">
        <v>6525</v>
      </c>
      <c r="Q550" t="s">
        <v>6532</v>
      </c>
      <c r="R550" t="s">
        <v>6539</v>
      </c>
      <c r="S550" t="s">
        <v>5355</v>
      </c>
      <c r="U550" t="s">
        <v>6557</v>
      </c>
      <c r="W550" t="s">
        <v>302</v>
      </c>
      <c r="X550">
        <v>894.36</v>
      </c>
      <c r="Y550" t="s">
        <v>6605</v>
      </c>
      <c r="Z550" t="s">
        <v>6622</v>
      </c>
      <c r="AA550" t="s">
        <v>6634</v>
      </c>
      <c r="AB550" t="s">
        <v>7171</v>
      </c>
      <c r="AD550" t="s">
        <v>9560</v>
      </c>
      <c r="AE550">
        <v>107</v>
      </c>
      <c r="AF550" t="s">
        <v>11005</v>
      </c>
      <c r="AG550" t="s">
        <v>5406</v>
      </c>
      <c r="AH550">
        <v>26</v>
      </c>
      <c r="AI550">
        <v>3</v>
      </c>
      <c r="AJ550">
        <v>0</v>
      </c>
      <c r="AK550">
        <v>123.21</v>
      </c>
      <c r="AL550" t="s">
        <v>266</v>
      </c>
      <c r="AN550" t="s">
        <v>11049</v>
      </c>
      <c r="AO550">
        <v>27320</v>
      </c>
      <c r="AU550">
        <v>0.5</v>
      </c>
      <c r="AV550" t="s">
        <v>704</v>
      </c>
      <c r="AW550" t="s">
        <v>77</v>
      </c>
    </row>
    <row r="551" spans="1:50">
      <c r="A551" s="1">
        <f>HYPERLINK("https://cms.ls-nyc.org/matter/dynamic-profile/view/1844968","17-1844968")</f>
        <v>0</v>
      </c>
      <c r="B551" t="s">
        <v>77</v>
      </c>
      <c r="C551" t="s">
        <v>234</v>
      </c>
      <c r="D551" t="s">
        <v>419</v>
      </c>
      <c r="E551" t="s">
        <v>704</v>
      </c>
      <c r="F551" t="s">
        <v>1253</v>
      </c>
      <c r="G551" t="s">
        <v>2499</v>
      </c>
      <c r="H551" t="s">
        <v>3773</v>
      </c>
      <c r="I551" t="s">
        <v>4922</v>
      </c>
      <c r="J551" t="s">
        <v>5320</v>
      </c>
      <c r="K551">
        <v>11213</v>
      </c>
      <c r="L551" t="s">
        <v>5355</v>
      </c>
      <c r="M551" t="s">
        <v>5356</v>
      </c>
      <c r="O551" t="s">
        <v>6500</v>
      </c>
      <c r="P551" t="s">
        <v>6525</v>
      </c>
      <c r="Q551" t="s">
        <v>6532</v>
      </c>
      <c r="R551" t="s">
        <v>6539</v>
      </c>
      <c r="U551" t="s">
        <v>6557</v>
      </c>
      <c r="W551" t="s">
        <v>478</v>
      </c>
      <c r="X551">
        <v>894.36</v>
      </c>
      <c r="Y551" t="s">
        <v>6605</v>
      </c>
      <c r="AA551" t="s">
        <v>6634</v>
      </c>
      <c r="AB551" t="s">
        <v>7171</v>
      </c>
      <c r="AD551" t="s">
        <v>9560</v>
      </c>
      <c r="AE551">
        <v>107</v>
      </c>
      <c r="AF551" t="s">
        <v>11005</v>
      </c>
      <c r="AH551">
        <v>26</v>
      </c>
      <c r="AI551">
        <v>3</v>
      </c>
      <c r="AJ551">
        <v>0</v>
      </c>
      <c r="AK551">
        <v>123.21</v>
      </c>
      <c r="AL551" t="s">
        <v>266</v>
      </c>
      <c r="AN551" t="s">
        <v>11049</v>
      </c>
      <c r="AO551">
        <v>25160</v>
      </c>
      <c r="AU551">
        <v>0.85</v>
      </c>
      <c r="AV551" t="s">
        <v>704</v>
      </c>
      <c r="AW551" t="s">
        <v>11489</v>
      </c>
    </row>
    <row r="552" spans="1:50">
      <c r="A552" s="1">
        <f>HYPERLINK("https://cms.ls-nyc.org/matter/dynamic-profile/view/1862036","18-1862036")</f>
        <v>0</v>
      </c>
      <c r="B552" t="s">
        <v>84</v>
      </c>
      <c r="C552" t="s">
        <v>235</v>
      </c>
      <c r="D552" t="s">
        <v>325</v>
      </c>
      <c r="F552" t="s">
        <v>1254</v>
      </c>
      <c r="G552" t="s">
        <v>2500</v>
      </c>
      <c r="H552" t="s">
        <v>3855</v>
      </c>
      <c r="I552">
        <v>2</v>
      </c>
      <c r="J552" t="s">
        <v>5320</v>
      </c>
      <c r="K552">
        <v>11226</v>
      </c>
      <c r="L552" t="s">
        <v>5357</v>
      </c>
      <c r="M552" t="s">
        <v>5356</v>
      </c>
      <c r="P552" t="s">
        <v>6525</v>
      </c>
      <c r="R552" t="s">
        <v>6539</v>
      </c>
      <c r="U552" t="s">
        <v>6557</v>
      </c>
      <c r="W552" t="s">
        <v>236</v>
      </c>
      <c r="X552">
        <v>2300</v>
      </c>
      <c r="Y552" t="s">
        <v>6605</v>
      </c>
      <c r="Z552" t="s">
        <v>6619</v>
      </c>
      <c r="AB552" t="s">
        <v>7172</v>
      </c>
      <c r="AD552" t="s">
        <v>9561</v>
      </c>
      <c r="AE552">
        <v>3</v>
      </c>
      <c r="AF552" t="s">
        <v>11004</v>
      </c>
      <c r="AG552" t="s">
        <v>5406</v>
      </c>
      <c r="AH552">
        <v>1</v>
      </c>
      <c r="AI552">
        <v>4</v>
      </c>
      <c r="AJ552">
        <v>0</v>
      </c>
      <c r="AK552">
        <v>124.3</v>
      </c>
      <c r="AN552" t="s">
        <v>11050</v>
      </c>
      <c r="AO552">
        <v>31200</v>
      </c>
      <c r="AU552">
        <v>1.5</v>
      </c>
      <c r="AV552" t="s">
        <v>257</v>
      </c>
      <c r="AW552" t="s">
        <v>11500</v>
      </c>
    </row>
    <row r="553" spans="1:50">
      <c r="A553" s="1">
        <f>HYPERLINK("https://cms.ls-nyc.org/matter/dynamic-profile/view/1865622","18-1865622")</f>
        <v>0</v>
      </c>
      <c r="B553" t="s">
        <v>104</v>
      </c>
      <c r="C553" t="s">
        <v>234</v>
      </c>
      <c r="D553" t="s">
        <v>239</v>
      </c>
      <c r="E553" t="s">
        <v>706</v>
      </c>
      <c r="F553" t="s">
        <v>1255</v>
      </c>
      <c r="G553" t="s">
        <v>2268</v>
      </c>
      <c r="H553" t="s">
        <v>3856</v>
      </c>
      <c r="I553" t="s">
        <v>4840</v>
      </c>
      <c r="J553" t="s">
        <v>5321</v>
      </c>
      <c r="K553">
        <v>10462</v>
      </c>
      <c r="L553" t="s">
        <v>5355</v>
      </c>
      <c r="M553" t="s">
        <v>5356</v>
      </c>
      <c r="N553" t="s">
        <v>5530</v>
      </c>
      <c r="O553" t="s">
        <v>6507</v>
      </c>
      <c r="P553" t="s">
        <v>6525</v>
      </c>
      <c r="Q553" t="s">
        <v>6532</v>
      </c>
      <c r="R553" t="s">
        <v>6539</v>
      </c>
      <c r="S553" t="s">
        <v>5357</v>
      </c>
      <c r="U553" t="s">
        <v>6557</v>
      </c>
      <c r="W553" t="s">
        <v>516</v>
      </c>
      <c r="X553">
        <v>1396</v>
      </c>
      <c r="Y553" t="s">
        <v>6606</v>
      </c>
      <c r="Z553" t="s">
        <v>6626</v>
      </c>
      <c r="AA553" t="s">
        <v>6631</v>
      </c>
      <c r="AB553" t="s">
        <v>6856</v>
      </c>
      <c r="AD553" t="s">
        <v>9278</v>
      </c>
      <c r="AE553">
        <v>0</v>
      </c>
      <c r="AF553" t="s">
        <v>11005</v>
      </c>
      <c r="AG553" t="s">
        <v>5406</v>
      </c>
      <c r="AH553">
        <v>10</v>
      </c>
      <c r="AI553">
        <v>2</v>
      </c>
      <c r="AJ553">
        <v>2</v>
      </c>
      <c r="AK553">
        <v>124.3</v>
      </c>
      <c r="AN553" t="s">
        <v>6493</v>
      </c>
      <c r="AO553">
        <v>31200</v>
      </c>
      <c r="AP553" t="s">
        <v>11105</v>
      </c>
      <c r="AU553">
        <v>1.85</v>
      </c>
      <c r="AV553" t="s">
        <v>365</v>
      </c>
      <c r="AW553" t="s">
        <v>11505</v>
      </c>
    </row>
    <row r="554" spans="1:50">
      <c r="A554" s="1">
        <f>HYPERLINK("https://cms.ls-nyc.org/matter/dynamic-profile/view/1864485","18-1864485")</f>
        <v>0</v>
      </c>
      <c r="B554" t="s">
        <v>65</v>
      </c>
      <c r="C554" t="s">
        <v>234</v>
      </c>
      <c r="D554" t="s">
        <v>256</v>
      </c>
      <c r="E554" t="s">
        <v>758</v>
      </c>
      <c r="F554" t="s">
        <v>1256</v>
      </c>
      <c r="G554" t="s">
        <v>2215</v>
      </c>
      <c r="H554" t="s">
        <v>3857</v>
      </c>
      <c r="I554">
        <v>52</v>
      </c>
      <c r="J554" t="s">
        <v>5323</v>
      </c>
      <c r="K554">
        <v>10034</v>
      </c>
      <c r="L554" t="s">
        <v>5355</v>
      </c>
      <c r="M554" t="s">
        <v>5355</v>
      </c>
      <c r="O554" t="s">
        <v>6496</v>
      </c>
      <c r="P554" t="s">
        <v>6525</v>
      </c>
      <c r="Q554" t="s">
        <v>6532</v>
      </c>
      <c r="R554" t="s">
        <v>6539</v>
      </c>
      <c r="S554" t="s">
        <v>5357</v>
      </c>
      <c r="U554" t="s">
        <v>6557</v>
      </c>
      <c r="W554" t="s">
        <v>256</v>
      </c>
      <c r="X554">
        <v>1157.39</v>
      </c>
      <c r="Y554" t="s">
        <v>6608</v>
      </c>
      <c r="Z554" t="s">
        <v>6616</v>
      </c>
      <c r="AA554" t="s">
        <v>6636</v>
      </c>
      <c r="AB554" t="s">
        <v>7173</v>
      </c>
      <c r="AE554">
        <v>26</v>
      </c>
      <c r="AF554" t="s">
        <v>11005</v>
      </c>
      <c r="AG554" t="s">
        <v>5406</v>
      </c>
      <c r="AH554">
        <v>18</v>
      </c>
      <c r="AI554">
        <v>3</v>
      </c>
      <c r="AJ554">
        <v>0</v>
      </c>
      <c r="AK554">
        <v>128.12</v>
      </c>
      <c r="AN554" t="s">
        <v>11049</v>
      </c>
      <c r="AO554">
        <v>26624</v>
      </c>
      <c r="AU554">
        <v>4.9</v>
      </c>
      <c r="AV554" t="s">
        <v>270</v>
      </c>
      <c r="AW554" t="s">
        <v>11495</v>
      </c>
    </row>
    <row r="555" spans="1:50">
      <c r="A555" s="1">
        <f>HYPERLINK("https://cms.ls-nyc.org/matter/dynamic-profile/view/1836194","17-1836194")</f>
        <v>0</v>
      </c>
      <c r="B555" t="s">
        <v>150</v>
      </c>
      <c r="C555" t="s">
        <v>234</v>
      </c>
      <c r="D555" t="s">
        <v>450</v>
      </c>
      <c r="E555" t="s">
        <v>665</v>
      </c>
      <c r="F555" t="s">
        <v>1257</v>
      </c>
      <c r="G555" t="s">
        <v>2501</v>
      </c>
      <c r="H555" t="s">
        <v>3858</v>
      </c>
      <c r="I555">
        <v>5</v>
      </c>
      <c r="J555" t="s">
        <v>5320</v>
      </c>
      <c r="K555">
        <v>11220</v>
      </c>
      <c r="L555" t="s">
        <v>5355</v>
      </c>
      <c r="M555" t="s">
        <v>5356</v>
      </c>
      <c r="N555" t="s">
        <v>5531</v>
      </c>
      <c r="O555" t="s">
        <v>6492</v>
      </c>
      <c r="P555" t="s">
        <v>6525</v>
      </c>
      <c r="Q555" t="s">
        <v>6532</v>
      </c>
      <c r="R555" t="s">
        <v>6539</v>
      </c>
      <c r="S555" t="s">
        <v>5355</v>
      </c>
      <c r="T555" t="s">
        <v>6544</v>
      </c>
      <c r="U555" t="s">
        <v>6557</v>
      </c>
      <c r="W555" t="s">
        <v>6583</v>
      </c>
      <c r="X555">
        <v>1400</v>
      </c>
      <c r="Y555" t="s">
        <v>6605</v>
      </c>
      <c r="Z555" t="s">
        <v>6616</v>
      </c>
      <c r="AA555" t="s">
        <v>6636</v>
      </c>
      <c r="AB555" t="s">
        <v>7174</v>
      </c>
      <c r="AD555" t="s">
        <v>9562</v>
      </c>
      <c r="AE555">
        <v>9</v>
      </c>
      <c r="AF555" t="s">
        <v>11005</v>
      </c>
      <c r="AH555">
        <v>5</v>
      </c>
      <c r="AI555">
        <v>2</v>
      </c>
      <c r="AJ555">
        <v>0</v>
      </c>
      <c r="AK555">
        <v>129.31</v>
      </c>
      <c r="AN555" t="s">
        <v>11049</v>
      </c>
      <c r="AO555">
        <v>21000</v>
      </c>
      <c r="AU555">
        <v>17.72</v>
      </c>
      <c r="AV555" t="s">
        <v>665</v>
      </c>
      <c r="AW555" t="s">
        <v>11532</v>
      </c>
    </row>
    <row r="556" spans="1:50">
      <c r="A556" s="1">
        <f>HYPERLINK("https://cms.ls-nyc.org/matter/dynamic-profile/view/1833952","17-1833952")</f>
        <v>0</v>
      </c>
      <c r="B556" t="s">
        <v>77</v>
      </c>
      <c r="C556" t="s">
        <v>234</v>
      </c>
      <c r="D556" t="s">
        <v>451</v>
      </c>
      <c r="E556" t="s">
        <v>723</v>
      </c>
      <c r="F556" t="s">
        <v>878</v>
      </c>
      <c r="G556" t="s">
        <v>2142</v>
      </c>
      <c r="H556" t="s">
        <v>3827</v>
      </c>
      <c r="I556" t="s">
        <v>4811</v>
      </c>
      <c r="J556" t="s">
        <v>5320</v>
      </c>
      <c r="K556">
        <v>11233</v>
      </c>
      <c r="L556" t="s">
        <v>5355</v>
      </c>
      <c r="M556" t="s">
        <v>5356</v>
      </c>
      <c r="P556" t="s">
        <v>6525</v>
      </c>
      <c r="Q556" t="s">
        <v>6531</v>
      </c>
      <c r="R556" t="s">
        <v>6539</v>
      </c>
      <c r="S556" t="s">
        <v>5355</v>
      </c>
      <c r="U556" t="s">
        <v>6557</v>
      </c>
      <c r="W556" t="s">
        <v>404</v>
      </c>
      <c r="X556">
        <v>1134</v>
      </c>
      <c r="Y556" t="s">
        <v>6605</v>
      </c>
      <c r="AA556" t="s">
        <v>6631</v>
      </c>
      <c r="AB556" t="s">
        <v>7175</v>
      </c>
      <c r="AD556" t="s">
        <v>9563</v>
      </c>
      <c r="AE556">
        <v>36</v>
      </c>
      <c r="AF556" t="s">
        <v>11005</v>
      </c>
      <c r="AG556" t="s">
        <v>11026</v>
      </c>
      <c r="AH556">
        <v>12</v>
      </c>
      <c r="AI556">
        <v>1</v>
      </c>
      <c r="AJ556">
        <v>0</v>
      </c>
      <c r="AK556">
        <v>129.35</v>
      </c>
      <c r="AM556" t="s">
        <v>11045</v>
      </c>
      <c r="AN556" t="s">
        <v>11050</v>
      </c>
      <c r="AO556">
        <v>15600</v>
      </c>
      <c r="AU556">
        <v>0.45</v>
      </c>
      <c r="AV556" t="s">
        <v>723</v>
      </c>
      <c r="AW556" t="s">
        <v>11512</v>
      </c>
    </row>
    <row r="557" spans="1:50">
      <c r="A557" s="1">
        <f>HYPERLINK("https://cms.ls-nyc.org/matter/dynamic-profile/view/1854180","17-1854180")</f>
        <v>0</v>
      </c>
      <c r="B557" t="s">
        <v>97</v>
      </c>
      <c r="C557" t="s">
        <v>235</v>
      </c>
      <c r="D557" t="s">
        <v>439</v>
      </c>
      <c r="F557" t="s">
        <v>1258</v>
      </c>
      <c r="G557" t="s">
        <v>2502</v>
      </c>
      <c r="H557" t="s">
        <v>3859</v>
      </c>
      <c r="I557" t="s">
        <v>4832</v>
      </c>
      <c r="J557" t="s">
        <v>5323</v>
      </c>
      <c r="K557">
        <v>10034</v>
      </c>
      <c r="L557" t="s">
        <v>5355</v>
      </c>
      <c r="M557" t="s">
        <v>5356</v>
      </c>
      <c r="O557" t="s">
        <v>5393</v>
      </c>
      <c r="P557" t="s">
        <v>6525</v>
      </c>
      <c r="R557" t="s">
        <v>6539</v>
      </c>
      <c r="S557" t="s">
        <v>5357</v>
      </c>
      <c r="U557" t="s">
        <v>6557</v>
      </c>
      <c r="W557" t="s">
        <v>399</v>
      </c>
      <c r="X557">
        <v>2450</v>
      </c>
      <c r="Y557" t="s">
        <v>6608</v>
      </c>
      <c r="Z557" t="s">
        <v>6616</v>
      </c>
      <c r="AB557" t="s">
        <v>7176</v>
      </c>
      <c r="AD557" t="s">
        <v>9564</v>
      </c>
      <c r="AE557">
        <v>108</v>
      </c>
      <c r="AF557" t="s">
        <v>11005</v>
      </c>
      <c r="AG557" t="s">
        <v>11026</v>
      </c>
      <c r="AH557">
        <v>19</v>
      </c>
      <c r="AI557">
        <v>1</v>
      </c>
      <c r="AJ557">
        <v>0</v>
      </c>
      <c r="AK557">
        <v>130.35</v>
      </c>
      <c r="AN557" t="s">
        <v>11050</v>
      </c>
      <c r="AO557">
        <v>15720</v>
      </c>
      <c r="AU557">
        <v>3.5</v>
      </c>
      <c r="AV557" t="s">
        <v>11441</v>
      </c>
      <c r="AW557" t="s">
        <v>11495</v>
      </c>
    </row>
    <row r="558" spans="1:50">
      <c r="A558" s="1">
        <f>HYPERLINK("https://cms.ls-nyc.org/matter/dynamic-profile/view/1860417","18-1860417")</f>
        <v>0</v>
      </c>
      <c r="B558" t="s">
        <v>92</v>
      </c>
      <c r="C558" t="s">
        <v>235</v>
      </c>
      <c r="D558" t="s">
        <v>319</v>
      </c>
      <c r="F558" t="s">
        <v>959</v>
      </c>
      <c r="G558" t="s">
        <v>2503</v>
      </c>
      <c r="H558" t="s">
        <v>3839</v>
      </c>
      <c r="I558" t="s">
        <v>4750</v>
      </c>
      <c r="J558" t="s">
        <v>5323</v>
      </c>
      <c r="K558">
        <v>10031</v>
      </c>
      <c r="L558" t="s">
        <v>5355</v>
      </c>
      <c r="M558" t="s">
        <v>5355</v>
      </c>
      <c r="O558" t="s">
        <v>6494</v>
      </c>
      <c r="P558" t="s">
        <v>6525</v>
      </c>
      <c r="R558" t="s">
        <v>6539</v>
      </c>
      <c r="S558" t="s">
        <v>5355</v>
      </c>
      <c r="U558" t="s">
        <v>6557</v>
      </c>
      <c r="V558" t="s">
        <v>6566</v>
      </c>
      <c r="W558" t="s">
        <v>6585</v>
      </c>
      <c r="X558">
        <v>347</v>
      </c>
      <c r="Y558" t="s">
        <v>6608</v>
      </c>
      <c r="Z558" t="s">
        <v>6622</v>
      </c>
      <c r="AB558" t="s">
        <v>7177</v>
      </c>
      <c r="AD558" t="s">
        <v>9565</v>
      </c>
      <c r="AE558">
        <v>42</v>
      </c>
      <c r="AF558" t="s">
        <v>11008</v>
      </c>
      <c r="AG558" t="s">
        <v>11020</v>
      </c>
      <c r="AH558">
        <v>41</v>
      </c>
      <c r="AI558">
        <v>1</v>
      </c>
      <c r="AJ558">
        <v>0</v>
      </c>
      <c r="AK558">
        <v>130.88</v>
      </c>
      <c r="AN558" t="s">
        <v>11050</v>
      </c>
      <c r="AO558">
        <v>15889</v>
      </c>
      <c r="AU558">
        <v>0.25</v>
      </c>
      <c r="AV558" t="s">
        <v>605</v>
      </c>
      <c r="AW558" t="s">
        <v>11497</v>
      </c>
      <c r="AX558" t="s">
        <v>11564</v>
      </c>
    </row>
    <row r="559" spans="1:50">
      <c r="A559" s="1">
        <f>HYPERLINK("https://cms.ls-nyc.org/matter/dynamic-profile/view/1868009","18-1868009")</f>
        <v>0</v>
      </c>
      <c r="B559" t="s">
        <v>59</v>
      </c>
      <c r="C559" t="s">
        <v>234</v>
      </c>
      <c r="D559" t="s">
        <v>452</v>
      </c>
      <c r="E559" t="s">
        <v>759</v>
      </c>
      <c r="F559" t="s">
        <v>1259</v>
      </c>
      <c r="G559" t="s">
        <v>2504</v>
      </c>
      <c r="H559" t="s">
        <v>3676</v>
      </c>
      <c r="I559" t="s">
        <v>4750</v>
      </c>
      <c r="J559" t="s">
        <v>5321</v>
      </c>
      <c r="K559">
        <v>10452</v>
      </c>
      <c r="L559" t="s">
        <v>5355</v>
      </c>
      <c r="M559" t="s">
        <v>5356</v>
      </c>
      <c r="O559" t="s">
        <v>5393</v>
      </c>
      <c r="P559" t="s">
        <v>6525</v>
      </c>
      <c r="Q559" t="s">
        <v>6531</v>
      </c>
      <c r="R559" t="s">
        <v>6539</v>
      </c>
      <c r="S559" t="s">
        <v>5357</v>
      </c>
      <c r="U559" t="s">
        <v>6557</v>
      </c>
      <c r="W559" t="s">
        <v>516</v>
      </c>
      <c r="X559">
        <v>750</v>
      </c>
      <c r="Y559" t="s">
        <v>6606</v>
      </c>
      <c r="Z559" t="s">
        <v>6617</v>
      </c>
      <c r="AA559" t="s">
        <v>6631</v>
      </c>
      <c r="AB559" t="s">
        <v>7178</v>
      </c>
      <c r="AE559">
        <v>50</v>
      </c>
      <c r="AF559" t="s">
        <v>8722</v>
      </c>
      <c r="AG559" t="s">
        <v>6493</v>
      </c>
      <c r="AH559">
        <v>40</v>
      </c>
      <c r="AI559">
        <v>1</v>
      </c>
      <c r="AJ559">
        <v>0</v>
      </c>
      <c r="AK559">
        <v>131.17</v>
      </c>
      <c r="AN559" t="s">
        <v>11050</v>
      </c>
      <c r="AO559">
        <v>15924</v>
      </c>
      <c r="AU559">
        <v>3.8</v>
      </c>
      <c r="AV559" t="s">
        <v>759</v>
      </c>
      <c r="AW559" t="s">
        <v>11500</v>
      </c>
    </row>
    <row r="560" spans="1:50">
      <c r="A560" s="1">
        <f>HYPERLINK("https://cms.ls-nyc.org/matter/dynamic-profile/view/1866317","18-1866317")</f>
        <v>0</v>
      </c>
      <c r="B560" t="s">
        <v>67</v>
      </c>
      <c r="C560" t="s">
        <v>234</v>
      </c>
      <c r="D560" t="s">
        <v>241</v>
      </c>
      <c r="E560" t="s">
        <v>677</v>
      </c>
      <c r="F560" t="s">
        <v>1231</v>
      </c>
      <c r="G560" t="s">
        <v>2505</v>
      </c>
      <c r="H560" t="s">
        <v>3860</v>
      </c>
      <c r="I560" t="s">
        <v>4852</v>
      </c>
      <c r="J560" t="s">
        <v>5323</v>
      </c>
      <c r="K560">
        <v>10035</v>
      </c>
      <c r="L560" t="s">
        <v>5355</v>
      </c>
      <c r="M560" t="s">
        <v>5355</v>
      </c>
      <c r="O560" t="s">
        <v>5393</v>
      </c>
      <c r="P560" t="s">
        <v>6525</v>
      </c>
      <c r="Q560" t="s">
        <v>6532</v>
      </c>
      <c r="R560" t="s">
        <v>6539</v>
      </c>
      <c r="S560" t="s">
        <v>5357</v>
      </c>
      <c r="U560" t="s">
        <v>6559</v>
      </c>
      <c r="V560" t="s">
        <v>6566</v>
      </c>
      <c r="W560" t="s">
        <v>241</v>
      </c>
      <c r="X560">
        <v>568.27</v>
      </c>
      <c r="Y560" t="s">
        <v>6608</v>
      </c>
      <c r="Z560" t="s">
        <v>6623</v>
      </c>
      <c r="AA560" t="s">
        <v>6631</v>
      </c>
      <c r="AB560" t="s">
        <v>7179</v>
      </c>
      <c r="AD560" t="s">
        <v>9566</v>
      </c>
      <c r="AE560">
        <v>36</v>
      </c>
      <c r="AF560" t="s">
        <v>11013</v>
      </c>
      <c r="AG560" t="s">
        <v>5406</v>
      </c>
      <c r="AH560">
        <v>25</v>
      </c>
      <c r="AI560">
        <v>1</v>
      </c>
      <c r="AJ560">
        <v>0</v>
      </c>
      <c r="AK560">
        <v>131.17</v>
      </c>
      <c r="AN560" t="s">
        <v>11050</v>
      </c>
      <c r="AO560">
        <v>15924</v>
      </c>
      <c r="AU560">
        <v>3</v>
      </c>
      <c r="AV560" t="s">
        <v>677</v>
      </c>
      <c r="AW560" t="s">
        <v>11497</v>
      </c>
    </row>
    <row r="561" spans="1:49">
      <c r="A561" s="1">
        <f>HYPERLINK("https://cms.ls-nyc.org/matter/dynamic-profile/view/1871628","18-1871628")</f>
        <v>0</v>
      </c>
      <c r="B561" t="s">
        <v>135</v>
      </c>
      <c r="C561" t="s">
        <v>235</v>
      </c>
      <c r="D561" t="s">
        <v>394</v>
      </c>
      <c r="F561" t="s">
        <v>1225</v>
      </c>
      <c r="G561" t="s">
        <v>2120</v>
      </c>
      <c r="H561" t="s">
        <v>3739</v>
      </c>
      <c r="I561" t="s">
        <v>4783</v>
      </c>
      <c r="J561" t="s">
        <v>5320</v>
      </c>
      <c r="K561">
        <v>11212</v>
      </c>
      <c r="L561" t="s">
        <v>5355</v>
      </c>
      <c r="M561" t="s">
        <v>5356</v>
      </c>
      <c r="O561" t="s">
        <v>5393</v>
      </c>
      <c r="P561" t="s">
        <v>6525</v>
      </c>
      <c r="R561" t="s">
        <v>6539</v>
      </c>
      <c r="S561" t="s">
        <v>5355</v>
      </c>
      <c r="U561" t="s">
        <v>6557</v>
      </c>
      <c r="W561" t="s">
        <v>6581</v>
      </c>
      <c r="X561">
        <v>755</v>
      </c>
      <c r="Y561" t="s">
        <v>6605</v>
      </c>
      <c r="Z561" t="s">
        <v>6493</v>
      </c>
      <c r="AB561" t="s">
        <v>7129</v>
      </c>
      <c r="AD561" t="s">
        <v>9519</v>
      </c>
      <c r="AE561">
        <v>32</v>
      </c>
      <c r="AF561" t="s">
        <v>11005</v>
      </c>
      <c r="AG561" t="s">
        <v>5406</v>
      </c>
      <c r="AH561">
        <v>30</v>
      </c>
      <c r="AI561">
        <v>2</v>
      </c>
      <c r="AJ561">
        <v>0</v>
      </c>
      <c r="AK561">
        <v>131.66</v>
      </c>
      <c r="AN561" t="s">
        <v>11050</v>
      </c>
      <c r="AO561">
        <v>21672</v>
      </c>
      <c r="AU561">
        <v>0</v>
      </c>
      <c r="AW561" t="s">
        <v>11517</v>
      </c>
    </row>
    <row r="562" spans="1:49">
      <c r="A562" s="1">
        <f>HYPERLINK("https://cms.ls-nyc.org/matter/dynamic-profile/view/1844652","17-1844652")</f>
        <v>0</v>
      </c>
      <c r="B562" t="s">
        <v>141</v>
      </c>
      <c r="C562" t="s">
        <v>234</v>
      </c>
      <c r="D562" t="s">
        <v>453</v>
      </c>
      <c r="E562" t="s">
        <v>699</v>
      </c>
      <c r="F562" t="s">
        <v>1260</v>
      </c>
      <c r="G562" t="s">
        <v>2506</v>
      </c>
      <c r="H562" t="s">
        <v>3861</v>
      </c>
      <c r="I562" t="s">
        <v>4851</v>
      </c>
      <c r="J562" t="s">
        <v>5320</v>
      </c>
      <c r="K562">
        <v>11208</v>
      </c>
      <c r="L562" t="s">
        <v>5355</v>
      </c>
      <c r="M562" t="s">
        <v>5356</v>
      </c>
      <c r="N562" t="s">
        <v>5532</v>
      </c>
      <c r="O562" t="s">
        <v>6492</v>
      </c>
      <c r="P562" t="s">
        <v>6525</v>
      </c>
      <c r="Q562" t="s">
        <v>6531</v>
      </c>
      <c r="R562" t="s">
        <v>6539</v>
      </c>
      <c r="U562" t="s">
        <v>6557</v>
      </c>
      <c r="W562" t="s">
        <v>372</v>
      </c>
      <c r="X562">
        <v>1515</v>
      </c>
      <c r="Y562" t="s">
        <v>6605</v>
      </c>
      <c r="Z562" t="s">
        <v>6614</v>
      </c>
      <c r="AA562" t="s">
        <v>6631</v>
      </c>
      <c r="AB562" t="s">
        <v>7180</v>
      </c>
      <c r="AD562" t="s">
        <v>9567</v>
      </c>
      <c r="AE562">
        <v>100</v>
      </c>
      <c r="AF562" t="s">
        <v>11010</v>
      </c>
      <c r="AH562">
        <v>13</v>
      </c>
      <c r="AI562">
        <v>3</v>
      </c>
      <c r="AJ562">
        <v>0</v>
      </c>
      <c r="AK562">
        <v>132.22</v>
      </c>
      <c r="AM562" t="s">
        <v>11046</v>
      </c>
      <c r="AN562" t="s">
        <v>11050</v>
      </c>
      <c r="AO562">
        <v>27000</v>
      </c>
      <c r="AU562">
        <v>8</v>
      </c>
      <c r="AV562" t="s">
        <v>247</v>
      </c>
      <c r="AW562" t="s">
        <v>11488</v>
      </c>
    </row>
    <row r="563" spans="1:49">
      <c r="A563" s="1">
        <f>HYPERLINK("https://cms.ls-nyc.org/matter/dynamic-profile/view/1865176","18-1865176")</f>
        <v>0</v>
      </c>
      <c r="B563" t="s">
        <v>92</v>
      </c>
      <c r="C563" t="s">
        <v>234</v>
      </c>
      <c r="D563" t="s">
        <v>254</v>
      </c>
      <c r="E563" t="s">
        <v>733</v>
      </c>
      <c r="F563" t="s">
        <v>1193</v>
      </c>
      <c r="G563" t="s">
        <v>2143</v>
      </c>
      <c r="H563" t="s">
        <v>3862</v>
      </c>
      <c r="I563">
        <v>104</v>
      </c>
      <c r="J563" t="s">
        <v>5323</v>
      </c>
      <c r="K563">
        <v>10035</v>
      </c>
      <c r="L563" t="s">
        <v>5355</v>
      </c>
      <c r="M563" t="s">
        <v>5355</v>
      </c>
      <c r="O563" t="s">
        <v>5393</v>
      </c>
      <c r="P563" t="s">
        <v>6525</v>
      </c>
      <c r="Q563" t="s">
        <v>6532</v>
      </c>
      <c r="R563" t="s">
        <v>6539</v>
      </c>
      <c r="S563" t="s">
        <v>5357</v>
      </c>
      <c r="U563" t="s">
        <v>6557</v>
      </c>
      <c r="V563" t="s">
        <v>6566</v>
      </c>
      <c r="W563" t="s">
        <v>244</v>
      </c>
      <c r="X563">
        <v>1200</v>
      </c>
      <c r="Y563" t="s">
        <v>6608</v>
      </c>
      <c r="Z563" t="s">
        <v>6621</v>
      </c>
      <c r="AA563" t="s">
        <v>6631</v>
      </c>
      <c r="AB563" t="s">
        <v>7181</v>
      </c>
      <c r="AD563" t="s">
        <v>9568</v>
      </c>
      <c r="AE563">
        <v>76</v>
      </c>
      <c r="AF563" t="s">
        <v>8722</v>
      </c>
      <c r="AG563" t="s">
        <v>11020</v>
      </c>
      <c r="AH563">
        <v>5</v>
      </c>
      <c r="AI563">
        <v>2</v>
      </c>
      <c r="AJ563">
        <v>1</v>
      </c>
      <c r="AK563">
        <v>132.24</v>
      </c>
      <c r="AN563" t="s">
        <v>11050</v>
      </c>
      <c r="AO563">
        <v>27480</v>
      </c>
      <c r="AU563">
        <v>2.45</v>
      </c>
      <c r="AV563" t="s">
        <v>811</v>
      </c>
      <c r="AW563" t="s">
        <v>11514</v>
      </c>
    </row>
    <row r="564" spans="1:49">
      <c r="A564" s="1">
        <f>HYPERLINK("https://cms.ls-nyc.org/matter/dynamic-profile/view/1864927","18-1864927")</f>
        <v>0</v>
      </c>
      <c r="B564" t="s">
        <v>140</v>
      </c>
      <c r="C564" t="s">
        <v>234</v>
      </c>
      <c r="D564" t="s">
        <v>250</v>
      </c>
      <c r="E564" t="s">
        <v>710</v>
      </c>
      <c r="F564" t="s">
        <v>1261</v>
      </c>
      <c r="G564" t="s">
        <v>2507</v>
      </c>
      <c r="H564" t="s">
        <v>3863</v>
      </c>
      <c r="J564" t="s">
        <v>5322</v>
      </c>
      <c r="K564">
        <v>10308</v>
      </c>
      <c r="L564" t="s">
        <v>5355</v>
      </c>
      <c r="M564" t="s">
        <v>5356</v>
      </c>
      <c r="N564" t="s">
        <v>5533</v>
      </c>
      <c r="O564" t="s">
        <v>6492</v>
      </c>
      <c r="P564" t="s">
        <v>6525</v>
      </c>
      <c r="Q564" t="s">
        <v>6532</v>
      </c>
      <c r="R564" t="s">
        <v>6540</v>
      </c>
      <c r="S564" t="s">
        <v>5357</v>
      </c>
      <c r="U564" t="s">
        <v>6557</v>
      </c>
      <c r="W564" t="s">
        <v>250</v>
      </c>
      <c r="X564">
        <v>2400</v>
      </c>
      <c r="Y564" t="s">
        <v>6607</v>
      </c>
      <c r="Z564" t="s">
        <v>6610</v>
      </c>
      <c r="AA564" t="s">
        <v>6631</v>
      </c>
      <c r="AB564" t="s">
        <v>7182</v>
      </c>
      <c r="AD564" t="s">
        <v>9569</v>
      </c>
      <c r="AE564">
        <v>1</v>
      </c>
      <c r="AF564" t="s">
        <v>11004</v>
      </c>
      <c r="AG564" t="s">
        <v>5406</v>
      </c>
      <c r="AH564">
        <v>1</v>
      </c>
      <c r="AI564">
        <v>1</v>
      </c>
      <c r="AJ564">
        <v>2</v>
      </c>
      <c r="AK564">
        <v>132.25</v>
      </c>
      <c r="AL564" t="s">
        <v>11028</v>
      </c>
      <c r="AN564" t="s">
        <v>11050</v>
      </c>
      <c r="AO564">
        <v>27482</v>
      </c>
      <c r="AU564">
        <v>1.1</v>
      </c>
      <c r="AV564" t="s">
        <v>710</v>
      </c>
      <c r="AW564" t="s">
        <v>140</v>
      </c>
    </row>
    <row r="565" spans="1:49">
      <c r="A565" s="1">
        <f>HYPERLINK("https://cms.ls-nyc.org/matter/dynamic-profile/view/1863479","18-1863479")</f>
        <v>0</v>
      </c>
      <c r="B565" t="s">
        <v>151</v>
      </c>
      <c r="C565" t="s">
        <v>234</v>
      </c>
      <c r="D565" t="s">
        <v>377</v>
      </c>
      <c r="E565" t="s">
        <v>685</v>
      </c>
      <c r="F565" t="s">
        <v>1262</v>
      </c>
      <c r="G565" t="s">
        <v>2508</v>
      </c>
      <c r="H565" t="s">
        <v>3864</v>
      </c>
      <c r="I565" t="s">
        <v>4854</v>
      </c>
      <c r="J565" t="s">
        <v>5321</v>
      </c>
      <c r="K565">
        <v>10457</v>
      </c>
      <c r="L565" t="s">
        <v>5355</v>
      </c>
      <c r="M565" t="s">
        <v>5356</v>
      </c>
      <c r="O565" t="s">
        <v>6503</v>
      </c>
      <c r="P565" t="s">
        <v>6525</v>
      </c>
      <c r="Q565" t="s">
        <v>6531</v>
      </c>
      <c r="R565" t="s">
        <v>6539</v>
      </c>
      <c r="U565" t="s">
        <v>6560</v>
      </c>
      <c r="W565" t="s">
        <v>377</v>
      </c>
      <c r="X565">
        <v>2000</v>
      </c>
      <c r="Y565" t="s">
        <v>6606</v>
      </c>
      <c r="Z565" t="s">
        <v>6611</v>
      </c>
      <c r="AA565" t="s">
        <v>6631</v>
      </c>
      <c r="AB565" t="s">
        <v>7183</v>
      </c>
      <c r="AD565" t="s">
        <v>9570</v>
      </c>
      <c r="AE565">
        <v>20</v>
      </c>
      <c r="AF565" t="s">
        <v>11005</v>
      </c>
      <c r="AG565" t="s">
        <v>11020</v>
      </c>
      <c r="AH565">
        <v>8</v>
      </c>
      <c r="AI565">
        <v>3</v>
      </c>
      <c r="AJ565">
        <v>0</v>
      </c>
      <c r="AK565">
        <v>136.92</v>
      </c>
      <c r="AN565" t="s">
        <v>11050</v>
      </c>
      <c r="AO565">
        <v>37248</v>
      </c>
      <c r="AU565">
        <v>2.02</v>
      </c>
      <c r="AV565" t="s">
        <v>11444</v>
      </c>
      <c r="AW565" t="s">
        <v>11505</v>
      </c>
    </row>
    <row r="566" spans="1:49">
      <c r="A566" s="1">
        <f>HYPERLINK("https://cms.ls-nyc.org/matter/dynamic-profile/view/1867868","18-1867868")</f>
        <v>0</v>
      </c>
      <c r="B566" t="s">
        <v>77</v>
      </c>
      <c r="C566" t="s">
        <v>234</v>
      </c>
      <c r="D566" t="s">
        <v>334</v>
      </c>
      <c r="E566" t="s">
        <v>680</v>
      </c>
      <c r="F566" t="s">
        <v>1263</v>
      </c>
      <c r="G566" t="s">
        <v>2509</v>
      </c>
      <c r="H566" t="s">
        <v>3865</v>
      </c>
      <c r="I566">
        <v>1</v>
      </c>
      <c r="J566" t="s">
        <v>5320</v>
      </c>
      <c r="K566">
        <v>11213</v>
      </c>
      <c r="L566" t="s">
        <v>5355</v>
      </c>
      <c r="M566" t="s">
        <v>5356</v>
      </c>
      <c r="P566" t="s">
        <v>6525</v>
      </c>
      <c r="Q566" t="s">
        <v>6532</v>
      </c>
      <c r="R566" t="s">
        <v>6539</v>
      </c>
      <c r="S566" t="s">
        <v>5357</v>
      </c>
      <c r="U566" t="s">
        <v>6557</v>
      </c>
      <c r="W566" t="s">
        <v>334</v>
      </c>
      <c r="X566">
        <v>1773.67</v>
      </c>
      <c r="Y566" t="s">
        <v>6605</v>
      </c>
      <c r="Z566" t="s">
        <v>6609</v>
      </c>
      <c r="AA566" t="s">
        <v>6636</v>
      </c>
      <c r="AB566" t="s">
        <v>7184</v>
      </c>
      <c r="AD566" t="s">
        <v>9571</v>
      </c>
      <c r="AE566">
        <v>20</v>
      </c>
      <c r="AF566" t="s">
        <v>11005</v>
      </c>
      <c r="AG566" t="s">
        <v>5406</v>
      </c>
      <c r="AH566">
        <v>4</v>
      </c>
      <c r="AI566">
        <v>2</v>
      </c>
      <c r="AJ566">
        <v>0</v>
      </c>
      <c r="AK566">
        <v>137.28</v>
      </c>
      <c r="AM566" t="s">
        <v>11045</v>
      </c>
      <c r="AO566">
        <v>22596</v>
      </c>
      <c r="AU566">
        <v>11.75</v>
      </c>
      <c r="AV566" t="s">
        <v>786</v>
      </c>
      <c r="AW566" t="s">
        <v>77</v>
      </c>
    </row>
    <row r="567" spans="1:49">
      <c r="A567" s="1">
        <f>HYPERLINK("https://cms.ls-nyc.org/matter/dynamic-profile/view/1857750","18-1857750")</f>
        <v>0</v>
      </c>
      <c r="B567" t="s">
        <v>100</v>
      </c>
      <c r="C567" t="s">
        <v>234</v>
      </c>
      <c r="D567" t="s">
        <v>247</v>
      </c>
      <c r="E567" t="s">
        <v>703</v>
      </c>
      <c r="F567" t="s">
        <v>1264</v>
      </c>
      <c r="G567" t="s">
        <v>2510</v>
      </c>
      <c r="H567" t="s">
        <v>3866</v>
      </c>
      <c r="I567" t="s">
        <v>4858</v>
      </c>
      <c r="J567" t="s">
        <v>5320</v>
      </c>
      <c r="K567">
        <v>11212</v>
      </c>
      <c r="L567" t="s">
        <v>5355</v>
      </c>
      <c r="M567" t="s">
        <v>5356</v>
      </c>
      <c r="O567" t="s">
        <v>6492</v>
      </c>
      <c r="P567" t="s">
        <v>6525</v>
      </c>
      <c r="Q567" t="s">
        <v>6532</v>
      </c>
      <c r="R567" t="s">
        <v>6539</v>
      </c>
      <c r="U567" t="s">
        <v>6557</v>
      </c>
      <c r="W567" t="s">
        <v>236</v>
      </c>
      <c r="X567">
        <v>1112.16</v>
      </c>
      <c r="Y567" t="s">
        <v>6605</v>
      </c>
      <c r="Z567" t="s">
        <v>6614</v>
      </c>
      <c r="AA567" t="s">
        <v>6637</v>
      </c>
      <c r="AB567" t="s">
        <v>7185</v>
      </c>
      <c r="AC567" t="s">
        <v>8772</v>
      </c>
      <c r="AD567" t="s">
        <v>9572</v>
      </c>
      <c r="AE567">
        <v>16</v>
      </c>
      <c r="AF567" t="s">
        <v>11006</v>
      </c>
      <c r="AG567" t="s">
        <v>11022</v>
      </c>
      <c r="AH567">
        <v>8</v>
      </c>
      <c r="AI567">
        <v>1</v>
      </c>
      <c r="AJ567">
        <v>2</v>
      </c>
      <c r="AK567">
        <v>137.36</v>
      </c>
      <c r="AN567" t="s">
        <v>11050</v>
      </c>
      <c r="AO567">
        <v>28048</v>
      </c>
      <c r="AU567">
        <v>20.65</v>
      </c>
      <c r="AV567" t="s">
        <v>364</v>
      </c>
      <c r="AW567" t="s">
        <v>11507</v>
      </c>
    </row>
    <row r="568" spans="1:49">
      <c r="A568" s="1">
        <f>HYPERLINK("https://cms.ls-nyc.org/matter/dynamic-profile/view/1863687","18-1863687")</f>
        <v>0</v>
      </c>
      <c r="B568" t="s">
        <v>121</v>
      </c>
      <c r="C568" t="s">
        <v>234</v>
      </c>
      <c r="D568" t="s">
        <v>263</v>
      </c>
      <c r="E568" t="s">
        <v>680</v>
      </c>
      <c r="F568" t="s">
        <v>1231</v>
      </c>
      <c r="G568" t="s">
        <v>2511</v>
      </c>
      <c r="H568" t="s">
        <v>3867</v>
      </c>
      <c r="I568">
        <v>26</v>
      </c>
      <c r="J568" t="s">
        <v>5321</v>
      </c>
      <c r="K568">
        <v>10463</v>
      </c>
      <c r="L568" t="s">
        <v>5355</v>
      </c>
      <c r="M568" t="s">
        <v>5356</v>
      </c>
      <c r="P568" t="s">
        <v>6525</v>
      </c>
      <c r="Q568" t="s">
        <v>6532</v>
      </c>
      <c r="R568" t="s">
        <v>6539</v>
      </c>
      <c r="S568" t="s">
        <v>5357</v>
      </c>
      <c r="U568" t="s">
        <v>6557</v>
      </c>
      <c r="W568" t="s">
        <v>516</v>
      </c>
      <c r="X568">
        <v>1325</v>
      </c>
      <c r="Y568" t="s">
        <v>6606</v>
      </c>
      <c r="Z568" t="s">
        <v>6616</v>
      </c>
      <c r="AA568" t="s">
        <v>6636</v>
      </c>
      <c r="AB568" t="s">
        <v>7186</v>
      </c>
      <c r="AD568" t="s">
        <v>9573</v>
      </c>
      <c r="AE568">
        <v>29</v>
      </c>
      <c r="AF568" t="s">
        <v>11005</v>
      </c>
      <c r="AH568">
        <v>7</v>
      </c>
      <c r="AI568">
        <v>1</v>
      </c>
      <c r="AJ568">
        <v>1</v>
      </c>
      <c r="AK568">
        <v>137.42</v>
      </c>
      <c r="AN568" t="s">
        <v>11050</v>
      </c>
      <c r="AO568">
        <v>22620</v>
      </c>
      <c r="AU568">
        <v>1</v>
      </c>
      <c r="AV568" t="s">
        <v>263</v>
      </c>
      <c r="AW568" t="s">
        <v>121</v>
      </c>
    </row>
    <row r="569" spans="1:49">
      <c r="A569" s="1">
        <f>HYPERLINK("https://cms.ls-nyc.org/matter/dynamic-profile/view/1869798","18-1869798")</f>
        <v>0</v>
      </c>
      <c r="B569" t="s">
        <v>80</v>
      </c>
      <c r="C569" t="s">
        <v>234</v>
      </c>
      <c r="D569" t="s">
        <v>275</v>
      </c>
      <c r="E569" t="s">
        <v>708</v>
      </c>
      <c r="F569" t="s">
        <v>1204</v>
      </c>
      <c r="G569" t="s">
        <v>2512</v>
      </c>
      <c r="H569" t="s">
        <v>3868</v>
      </c>
      <c r="I569" t="s">
        <v>4788</v>
      </c>
      <c r="J569" t="s">
        <v>5321</v>
      </c>
      <c r="K569">
        <v>10452</v>
      </c>
      <c r="L569" t="s">
        <v>5355</v>
      </c>
      <c r="M569" t="s">
        <v>5355</v>
      </c>
      <c r="O569" t="s">
        <v>6496</v>
      </c>
      <c r="P569" t="s">
        <v>6525</v>
      </c>
      <c r="Q569" t="s">
        <v>6531</v>
      </c>
      <c r="R569" t="s">
        <v>6539</v>
      </c>
      <c r="S569" t="s">
        <v>5357</v>
      </c>
      <c r="U569" t="s">
        <v>6557</v>
      </c>
      <c r="W569" t="s">
        <v>275</v>
      </c>
      <c r="X569">
        <v>1299.86</v>
      </c>
      <c r="Y569" t="s">
        <v>6606</v>
      </c>
      <c r="Z569" t="s">
        <v>6612</v>
      </c>
      <c r="AA569" t="s">
        <v>6631</v>
      </c>
      <c r="AB569" t="s">
        <v>7187</v>
      </c>
      <c r="AD569" t="s">
        <v>9574</v>
      </c>
      <c r="AE569">
        <v>0</v>
      </c>
      <c r="AF569" t="s">
        <v>8722</v>
      </c>
      <c r="AG569" t="s">
        <v>5406</v>
      </c>
      <c r="AH569">
        <v>10</v>
      </c>
      <c r="AI569">
        <v>2</v>
      </c>
      <c r="AJ569">
        <v>1</v>
      </c>
      <c r="AK569">
        <v>138.4</v>
      </c>
      <c r="AN569" t="s">
        <v>11049</v>
      </c>
      <c r="AO569">
        <v>28760</v>
      </c>
      <c r="AU569">
        <v>0.1</v>
      </c>
      <c r="AV569" t="s">
        <v>708</v>
      </c>
      <c r="AW569" t="s">
        <v>11492</v>
      </c>
    </row>
    <row r="570" spans="1:49">
      <c r="A570" s="1">
        <f>HYPERLINK("https://cms.ls-nyc.org/matter/dynamic-profile/view/1861515","18-1861515")</f>
        <v>0</v>
      </c>
      <c r="B570" t="s">
        <v>107</v>
      </c>
      <c r="C570" t="s">
        <v>234</v>
      </c>
      <c r="D570" t="s">
        <v>339</v>
      </c>
      <c r="E570" t="s">
        <v>684</v>
      </c>
      <c r="F570" t="s">
        <v>903</v>
      </c>
      <c r="G570" t="s">
        <v>2513</v>
      </c>
      <c r="H570" t="s">
        <v>3869</v>
      </c>
      <c r="I570" t="s">
        <v>4825</v>
      </c>
      <c r="J570" t="s">
        <v>5323</v>
      </c>
      <c r="K570">
        <v>10035</v>
      </c>
      <c r="L570" t="s">
        <v>5355</v>
      </c>
      <c r="M570" t="s">
        <v>5355</v>
      </c>
      <c r="O570" t="s">
        <v>6498</v>
      </c>
      <c r="P570" t="s">
        <v>6525</v>
      </c>
      <c r="Q570" t="s">
        <v>6532</v>
      </c>
      <c r="R570" t="s">
        <v>6539</v>
      </c>
      <c r="S570" t="s">
        <v>5357</v>
      </c>
      <c r="U570" t="s">
        <v>6557</v>
      </c>
      <c r="V570" t="s">
        <v>6566</v>
      </c>
      <c r="W570" t="s">
        <v>339</v>
      </c>
      <c r="X570">
        <v>1063</v>
      </c>
      <c r="Y570" t="s">
        <v>6608</v>
      </c>
      <c r="Z570" t="s">
        <v>6614</v>
      </c>
      <c r="AA570" t="s">
        <v>6632</v>
      </c>
      <c r="AB570" t="s">
        <v>7188</v>
      </c>
      <c r="AD570" t="s">
        <v>9575</v>
      </c>
      <c r="AE570">
        <v>16</v>
      </c>
      <c r="AF570" t="s">
        <v>11005</v>
      </c>
      <c r="AG570" t="s">
        <v>5406</v>
      </c>
      <c r="AH570">
        <v>24</v>
      </c>
      <c r="AI570">
        <v>2</v>
      </c>
      <c r="AJ570">
        <v>0</v>
      </c>
      <c r="AK570">
        <v>138.74</v>
      </c>
      <c r="AN570" t="s">
        <v>11050</v>
      </c>
      <c r="AO570">
        <v>30406.8</v>
      </c>
      <c r="AU570">
        <v>1.75</v>
      </c>
      <c r="AV570" t="s">
        <v>817</v>
      </c>
      <c r="AW570" t="s">
        <v>11497</v>
      </c>
    </row>
    <row r="571" spans="1:49">
      <c r="A571" s="1">
        <f>HYPERLINK("https://cms.ls-nyc.org/matter/dynamic-profile/view/1881961","18-1881961")</f>
        <v>0</v>
      </c>
      <c r="B571" t="s">
        <v>131</v>
      </c>
      <c r="C571" t="s">
        <v>234</v>
      </c>
      <c r="D571" t="s">
        <v>454</v>
      </c>
      <c r="E571" t="s">
        <v>437</v>
      </c>
      <c r="F571" t="s">
        <v>1265</v>
      </c>
      <c r="G571" t="s">
        <v>1213</v>
      </c>
      <c r="H571" t="s">
        <v>3769</v>
      </c>
      <c r="I571" t="s">
        <v>4928</v>
      </c>
      <c r="J571" t="s">
        <v>5323</v>
      </c>
      <c r="K571">
        <v>10034</v>
      </c>
      <c r="L571" t="s">
        <v>5355</v>
      </c>
      <c r="M571" t="s">
        <v>5355</v>
      </c>
      <c r="O571" t="s">
        <v>6491</v>
      </c>
      <c r="P571" t="s">
        <v>6525</v>
      </c>
      <c r="Q571" t="s">
        <v>6533</v>
      </c>
      <c r="R571" t="s">
        <v>6539</v>
      </c>
      <c r="S571" t="s">
        <v>5357</v>
      </c>
      <c r="U571" t="s">
        <v>6557</v>
      </c>
      <c r="V571" t="s">
        <v>6566</v>
      </c>
      <c r="W571" t="s">
        <v>6586</v>
      </c>
      <c r="X571">
        <v>947</v>
      </c>
      <c r="Y571" t="s">
        <v>6608</v>
      </c>
      <c r="Z571" t="s">
        <v>6616</v>
      </c>
      <c r="AA571" t="s">
        <v>6631</v>
      </c>
      <c r="AB571" t="s">
        <v>7189</v>
      </c>
      <c r="AD571" t="s">
        <v>9576</v>
      </c>
      <c r="AE571">
        <v>50</v>
      </c>
      <c r="AF571" t="s">
        <v>11005</v>
      </c>
      <c r="AH571">
        <v>15</v>
      </c>
      <c r="AI571">
        <v>1</v>
      </c>
      <c r="AJ571">
        <v>0</v>
      </c>
      <c r="AK571">
        <v>140.03</v>
      </c>
      <c r="AN571" t="s">
        <v>11050</v>
      </c>
      <c r="AO571">
        <v>17000</v>
      </c>
      <c r="AU571">
        <v>1.5</v>
      </c>
      <c r="AV571" t="s">
        <v>437</v>
      </c>
      <c r="AW571" t="s">
        <v>131</v>
      </c>
    </row>
    <row r="572" spans="1:49">
      <c r="A572" s="1">
        <f>HYPERLINK("https://cms.ls-nyc.org/matter/dynamic-profile/view/1849262","17-1849262")</f>
        <v>0</v>
      </c>
      <c r="B572" t="s">
        <v>77</v>
      </c>
      <c r="C572" t="s">
        <v>234</v>
      </c>
      <c r="D572" t="s">
        <v>392</v>
      </c>
      <c r="E572" t="s">
        <v>715</v>
      </c>
      <c r="F572" t="s">
        <v>1266</v>
      </c>
      <c r="G572" t="s">
        <v>2514</v>
      </c>
      <c r="H572" t="s">
        <v>3480</v>
      </c>
      <c r="I572" t="s">
        <v>4929</v>
      </c>
      <c r="J572" t="s">
        <v>5320</v>
      </c>
      <c r="K572">
        <v>11213</v>
      </c>
      <c r="L572" t="s">
        <v>5355</v>
      </c>
      <c r="M572" t="s">
        <v>5356</v>
      </c>
      <c r="O572" t="s">
        <v>6500</v>
      </c>
      <c r="P572" t="s">
        <v>6525</v>
      </c>
      <c r="Q572" t="s">
        <v>6532</v>
      </c>
      <c r="R572" t="s">
        <v>6539</v>
      </c>
      <c r="S572" t="s">
        <v>5355</v>
      </c>
      <c r="U572" t="s">
        <v>6557</v>
      </c>
      <c r="W572" t="s">
        <v>340</v>
      </c>
      <c r="X572">
        <v>754.25</v>
      </c>
      <c r="Y572" t="s">
        <v>6605</v>
      </c>
      <c r="Z572" t="s">
        <v>6622</v>
      </c>
      <c r="AA572" t="s">
        <v>6634</v>
      </c>
      <c r="AB572" t="s">
        <v>7190</v>
      </c>
      <c r="AD572" t="s">
        <v>9577</v>
      </c>
      <c r="AE572">
        <v>107</v>
      </c>
      <c r="AF572" t="s">
        <v>11005</v>
      </c>
      <c r="AG572" t="s">
        <v>5406</v>
      </c>
      <c r="AH572">
        <v>32</v>
      </c>
      <c r="AI572">
        <v>2</v>
      </c>
      <c r="AJ572">
        <v>0</v>
      </c>
      <c r="AK572">
        <v>141.43</v>
      </c>
      <c r="AL572" t="s">
        <v>266</v>
      </c>
      <c r="AN572" t="s">
        <v>11050</v>
      </c>
      <c r="AO572">
        <v>32568</v>
      </c>
      <c r="AU572">
        <v>0.75</v>
      </c>
      <c r="AV572" t="s">
        <v>715</v>
      </c>
      <c r="AW572" t="s">
        <v>11512</v>
      </c>
    </row>
    <row r="573" spans="1:49">
      <c r="A573" s="1">
        <f>HYPERLINK("https://cms.ls-nyc.org/matter/dynamic-profile/view/1865606","18-1865606")</f>
        <v>0</v>
      </c>
      <c r="B573" t="s">
        <v>135</v>
      </c>
      <c r="C573" t="s">
        <v>235</v>
      </c>
      <c r="D573" t="s">
        <v>239</v>
      </c>
      <c r="F573" t="s">
        <v>1267</v>
      </c>
      <c r="G573" t="s">
        <v>2515</v>
      </c>
      <c r="H573" t="s">
        <v>3734</v>
      </c>
      <c r="I573" t="s">
        <v>4781</v>
      </c>
      <c r="J573" t="s">
        <v>5320</v>
      </c>
      <c r="K573">
        <v>11233</v>
      </c>
      <c r="L573" t="s">
        <v>5355</v>
      </c>
      <c r="M573" t="s">
        <v>5356</v>
      </c>
      <c r="N573" t="s">
        <v>5393</v>
      </c>
      <c r="P573" t="s">
        <v>6525</v>
      </c>
      <c r="R573" t="s">
        <v>6539</v>
      </c>
      <c r="S573" t="s">
        <v>5355</v>
      </c>
      <c r="U573" t="s">
        <v>6557</v>
      </c>
      <c r="W573" t="s">
        <v>239</v>
      </c>
      <c r="X573">
        <v>1023.63</v>
      </c>
      <c r="Y573" t="s">
        <v>6605</v>
      </c>
      <c r="Z573" t="s">
        <v>6623</v>
      </c>
      <c r="AB573" t="s">
        <v>7191</v>
      </c>
      <c r="AD573" t="s">
        <v>9578</v>
      </c>
      <c r="AE573">
        <v>8</v>
      </c>
      <c r="AH573">
        <v>28</v>
      </c>
      <c r="AI573">
        <v>5</v>
      </c>
      <c r="AJ573">
        <v>1</v>
      </c>
      <c r="AK573">
        <v>141.79</v>
      </c>
      <c r="AN573" t="s">
        <v>11050</v>
      </c>
      <c r="AO573">
        <v>47840</v>
      </c>
      <c r="AU573">
        <v>29.33</v>
      </c>
      <c r="AV573" t="s">
        <v>11445</v>
      </c>
      <c r="AW573" t="s">
        <v>11512</v>
      </c>
    </row>
    <row r="574" spans="1:49">
      <c r="A574" s="1">
        <f>HYPERLINK("https://cms.ls-nyc.org/matter/dynamic-profile/view/0787426","15-0787426")</f>
        <v>0</v>
      </c>
      <c r="B574" t="s">
        <v>100</v>
      </c>
      <c r="C574" t="s">
        <v>234</v>
      </c>
      <c r="D574" t="s">
        <v>455</v>
      </c>
      <c r="E574" t="s">
        <v>703</v>
      </c>
      <c r="F574" t="s">
        <v>988</v>
      </c>
      <c r="G574" t="s">
        <v>2516</v>
      </c>
      <c r="H574" t="s">
        <v>3797</v>
      </c>
      <c r="I574" t="s">
        <v>4740</v>
      </c>
      <c r="J574" t="s">
        <v>5320</v>
      </c>
      <c r="K574">
        <v>11233</v>
      </c>
      <c r="L574" t="s">
        <v>5355</v>
      </c>
      <c r="M574" t="s">
        <v>5355</v>
      </c>
      <c r="N574" t="s">
        <v>5366</v>
      </c>
      <c r="O574" t="s">
        <v>5393</v>
      </c>
      <c r="P574" t="s">
        <v>6525</v>
      </c>
      <c r="Q574" t="s">
        <v>6531</v>
      </c>
      <c r="R574" t="s">
        <v>6539</v>
      </c>
      <c r="U574" t="s">
        <v>6557</v>
      </c>
      <c r="W574" t="s">
        <v>404</v>
      </c>
      <c r="X574">
        <v>1250.5</v>
      </c>
      <c r="Y574" t="s">
        <v>6605</v>
      </c>
      <c r="Z574" t="s">
        <v>6619</v>
      </c>
      <c r="AA574" t="s">
        <v>6631</v>
      </c>
      <c r="AB574" t="s">
        <v>7192</v>
      </c>
      <c r="AD574" t="s">
        <v>9579</v>
      </c>
      <c r="AE574">
        <v>8</v>
      </c>
      <c r="AF574" t="s">
        <v>11005</v>
      </c>
      <c r="AH574">
        <v>7</v>
      </c>
      <c r="AI574">
        <v>1</v>
      </c>
      <c r="AJ574">
        <v>0</v>
      </c>
      <c r="AK574">
        <v>142.74</v>
      </c>
      <c r="AN574" t="s">
        <v>11050</v>
      </c>
      <c r="AO574">
        <v>16800</v>
      </c>
      <c r="AU574">
        <v>11.9</v>
      </c>
      <c r="AV574" t="s">
        <v>404</v>
      </c>
      <c r="AW574" t="s">
        <v>11519</v>
      </c>
    </row>
    <row r="575" spans="1:49">
      <c r="A575" s="1">
        <f>HYPERLINK("https://cms.ls-nyc.org/matter/dynamic-profile/view/1887699","19-1887699")</f>
        <v>0</v>
      </c>
      <c r="B575" t="s">
        <v>54</v>
      </c>
      <c r="C575" t="s">
        <v>234</v>
      </c>
      <c r="D575" t="s">
        <v>456</v>
      </c>
      <c r="E575" t="s">
        <v>665</v>
      </c>
      <c r="F575" t="s">
        <v>1226</v>
      </c>
      <c r="G575" t="s">
        <v>2517</v>
      </c>
      <c r="H575" t="s">
        <v>3870</v>
      </c>
      <c r="I575" t="s">
        <v>4908</v>
      </c>
      <c r="J575" t="s">
        <v>5320</v>
      </c>
      <c r="K575">
        <v>11207</v>
      </c>
      <c r="L575" t="s">
        <v>5355</v>
      </c>
      <c r="M575" t="s">
        <v>5355</v>
      </c>
      <c r="O575" t="s">
        <v>6500</v>
      </c>
      <c r="P575" t="s">
        <v>6525</v>
      </c>
      <c r="Q575" t="s">
        <v>6532</v>
      </c>
      <c r="R575" t="s">
        <v>6539</v>
      </c>
      <c r="S575" t="s">
        <v>5355</v>
      </c>
      <c r="U575" t="s">
        <v>6557</v>
      </c>
      <c r="W575" t="s">
        <v>444</v>
      </c>
      <c r="X575">
        <v>1488</v>
      </c>
      <c r="Y575" t="s">
        <v>6605</v>
      </c>
      <c r="Z575" t="s">
        <v>6622</v>
      </c>
      <c r="AA575" t="s">
        <v>6636</v>
      </c>
      <c r="AB575" t="s">
        <v>7193</v>
      </c>
      <c r="AD575" t="s">
        <v>9580</v>
      </c>
      <c r="AE575">
        <v>280</v>
      </c>
      <c r="AF575" t="s">
        <v>11008</v>
      </c>
      <c r="AH575">
        <v>30</v>
      </c>
      <c r="AI575">
        <v>3</v>
      </c>
      <c r="AJ575">
        <v>0</v>
      </c>
      <c r="AK575">
        <v>144.37</v>
      </c>
      <c r="AN575" t="s">
        <v>11050</v>
      </c>
      <c r="AO575">
        <v>30000</v>
      </c>
      <c r="AR575" t="s">
        <v>6493</v>
      </c>
      <c r="AT575" t="s">
        <v>11260</v>
      </c>
      <c r="AU575">
        <v>0.5</v>
      </c>
      <c r="AV575" t="s">
        <v>456</v>
      </c>
      <c r="AW575" t="s">
        <v>54</v>
      </c>
    </row>
    <row r="576" spans="1:49">
      <c r="A576" s="1">
        <f>HYPERLINK("https://cms.ls-nyc.org/matter/dynamic-profile/view/1863894","18-1863894")</f>
        <v>0</v>
      </c>
      <c r="B576" t="s">
        <v>77</v>
      </c>
      <c r="C576" t="s">
        <v>234</v>
      </c>
      <c r="D576" t="s">
        <v>288</v>
      </c>
      <c r="E576" t="s">
        <v>723</v>
      </c>
      <c r="F576" t="s">
        <v>1268</v>
      </c>
      <c r="G576" t="s">
        <v>2518</v>
      </c>
      <c r="H576" t="s">
        <v>3603</v>
      </c>
      <c r="I576" t="s">
        <v>4757</v>
      </c>
      <c r="J576" t="s">
        <v>5320</v>
      </c>
      <c r="K576">
        <v>11213</v>
      </c>
      <c r="L576" t="s">
        <v>5355</v>
      </c>
      <c r="M576" t="s">
        <v>5356</v>
      </c>
      <c r="O576" t="s">
        <v>6500</v>
      </c>
      <c r="P576" t="s">
        <v>6525</v>
      </c>
      <c r="Q576" t="s">
        <v>6531</v>
      </c>
      <c r="R576" t="s">
        <v>6539</v>
      </c>
      <c r="S576" t="s">
        <v>5355</v>
      </c>
      <c r="U576" t="s">
        <v>6557</v>
      </c>
      <c r="W576" t="s">
        <v>263</v>
      </c>
      <c r="X576">
        <v>1085.7</v>
      </c>
      <c r="Y576" t="s">
        <v>6605</v>
      </c>
      <c r="Z576" t="s">
        <v>6622</v>
      </c>
      <c r="AA576" t="s">
        <v>6631</v>
      </c>
      <c r="AB576" t="s">
        <v>7194</v>
      </c>
      <c r="AC576" t="s">
        <v>8773</v>
      </c>
      <c r="AD576" t="s">
        <v>9581</v>
      </c>
      <c r="AE576">
        <v>27</v>
      </c>
      <c r="AF576" t="s">
        <v>11005</v>
      </c>
      <c r="AG576" t="s">
        <v>5406</v>
      </c>
      <c r="AH576">
        <v>15</v>
      </c>
      <c r="AI576">
        <v>4</v>
      </c>
      <c r="AJ576">
        <v>1</v>
      </c>
      <c r="AK576">
        <v>147.76</v>
      </c>
      <c r="AN576" t="s">
        <v>11050</v>
      </c>
      <c r="AO576">
        <v>43472</v>
      </c>
      <c r="AU576">
        <v>1.85</v>
      </c>
      <c r="AV576" t="s">
        <v>723</v>
      </c>
      <c r="AW576" t="s">
        <v>11512</v>
      </c>
    </row>
    <row r="577" spans="1:49">
      <c r="A577" s="1">
        <f>HYPERLINK("https://cms.ls-nyc.org/matter/dynamic-profile/view/1845450","17-1845450")</f>
        <v>0</v>
      </c>
      <c r="B577" t="s">
        <v>135</v>
      </c>
      <c r="C577" t="s">
        <v>234</v>
      </c>
      <c r="D577" t="s">
        <v>383</v>
      </c>
      <c r="E577" t="s">
        <v>665</v>
      </c>
      <c r="F577" t="s">
        <v>1269</v>
      </c>
      <c r="G577" t="s">
        <v>2519</v>
      </c>
      <c r="H577" t="s">
        <v>3785</v>
      </c>
      <c r="I577" t="s">
        <v>4930</v>
      </c>
      <c r="J577" t="s">
        <v>5320</v>
      </c>
      <c r="K577">
        <v>11214</v>
      </c>
      <c r="L577" t="s">
        <v>5355</v>
      </c>
      <c r="M577" t="s">
        <v>5356</v>
      </c>
      <c r="O577" t="s">
        <v>5393</v>
      </c>
      <c r="P577" t="s">
        <v>6525</v>
      </c>
      <c r="Q577" t="s">
        <v>6532</v>
      </c>
      <c r="R577" t="s">
        <v>6539</v>
      </c>
      <c r="S577" t="s">
        <v>5355</v>
      </c>
      <c r="U577" t="s">
        <v>6557</v>
      </c>
      <c r="W577" t="s">
        <v>383</v>
      </c>
      <c r="X577">
        <v>914.98</v>
      </c>
      <c r="Y577" t="s">
        <v>6605</v>
      </c>
      <c r="Z577" t="s">
        <v>6493</v>
      </c>
      <c r="AA577" t="s">
        <v>6634</v>
      </c>
      <c r="AB577" t="s">
        <v>7195</v>
      </c>
      <c r="AD577" t="s">
        <v>9582</v>
      </c>
      <c r="AE577">
        <v>15</v>
      </c>
      <c r="AF577" t="s">
        <v>11005</v>
      </c>
      <c r="AH577">
        <v>41</v>
      </c>
      <c r="AI577">
        <v>2</v>
      </c>
      <c r="AJ577">
        <v>0</v>
      </c>
      <c r="AK577">
        <v>147.78</v>
      </c>
      <c r="AL577" t="s">
        <v>465</v>
      </c>
      <c r="AN577" t="s">
        <v>11050</v>
      </c>
      <c r="AO577">
        <v>24000</v>
      </c>
      <c r="AU577">
        <v>6.5</v>
      </c>
      <c r="AV577" t="s">
        <v>560</v>
      </c>
      <c r="AW577" t="s">
        <v>135</v>
      </c>
    </row>
    <row r="578" spans="1:49">
      <c r="A578" s="1">
        <f>HYPERLINK("https://cms.ls-nyc.org/matter/dynamic-profile/view/1864020","18-1864020")</f>
        <v>0</v>
      </c>
      <c r="B578" t="s">
        <v>135</v>
      </c>
      <c r="C578" t="s">
        <v>234</v>
      </c>
      <c r="D578" t="s">
        <v>425</v>
      </c>
      <c r="E578" t="s">
        <v>665</v>
      </c>
      <c r="F578" t="s">
        <v>1243</v>
      </c>
      <c r="G578" t="s">
        <v>1965</v>
      </c>
      <c r="H578" t="s">
        <v>3739</v>
      </c>
      <c r="I578" t="s">
        <v>4738</v>
      </c>
      <c r="J578" t="s">
        <v>5320</v>
      </c>
      <c r="K578">
        <v>11212</v>
      </c>
      <c r="L578" t="s">
        <v>5355</v>
      </c>
      <c r="M578" t="s">
        <v>5356</v>
      </c>
      <c r="O578" t="s">
        <v>5393</v>
      </c>
      <c r="P578" t="s">
        <v>6525</v>
      </c>
      <c r="Q578" t="s">
        <v>6532</v>
      </c>
      <c r="R578" t="s">
        <v>6539</v>
      </c>
      <c r="S578" t="s">
        <v>5357</v>
      </c>
      <c r="U578" t="s">
        <v>6557</v>
      </c>
      <c r="W578" t="s">
        <v>428</v>
      </c>
      <c r="X578">
        <v>1100</v>
      </c>
      <c r="Y578" t="s">
        <v>6605</v>
      </c>
      <c r="AA578" t="s">
        <v>6636</v>
      </c>
      <c r="AB578" t="s">
        <v>7157</v>
      </c>
      <c r="AD578" t="s">
        <v>9547</v>
      </c>
      <c r="AE578">
        <v>31</v>
      </c>
      <c r="AF578" t="s">
        <v>11005</v>
      </c>
      <c r="AG578" t="s">
        <v>11024</v>
      </c>
      <c r="AH578">
        <v>17</v>
      </c>
      <c r="AI578">
        <v>1</v>
      </c>
      <c r="AJ578">
        <v>0</v>
      </c>
      <c r="AK578">
        <v>147.94</v>
      </c>
      <c r="AN578" t="s">
        <v>11050</v>
      </c>
      <c r="AO578">
        <v>17960.52</v>
      </c>
      <c r="AU578">
        <v>1</v>
      </c>
      <c r="AV578" t="s">
        <v>425</v>
      </c>
      <c r="AW578" t="s">
        <v>135</v>
      </c>
    </row>
    <row r="579" spans="1:49">
      <c r="A579" s="1">
        <f>HYPERLINK("https://cms.ls-nyc.org/matter/dynamic-profile/view/1861343","18-1861343")</f>
        <v>0</v>
      </c>
      <c r="B579" t="s">
        <v>76</v>
      </c>
      <c r="C579" t="s">
        <v>234</v>
      </c>
      <c r="D579" t="s">
        <v>330</v>
      </c>
      <c r="E579" t="s">
        <v>676</v>
      </c>
      <c r="F579" t="s">
        <v>1006</v>
      </c>
      <c r="G579" t="s">
        <v>2520</v>
      </c>
      <c r="H579" t="s">
        <v>3766</v>
      </c>
      <c r="I579" t="s">
        <v>4768</v>
      </c>
      <c r="J579" t="s">
        <v>5323</v>
      </c>
      <c r="K579">
        <v>10035</v>
      </c>
      <c r="L579" t="s">
        <v>5355</v>
      </c>
      <c r="M579" t="s">
        <v>5355</v>
      </c>
      <c r="O579" t="s">
        <v>6499</v>
      </c>
      <c r="P579" t="s">
        <v>6525</v>
      </c>
      <c r="Q579" t="s">
        <v>6532</v>
      </c>
      <c r="R579" t="s">
        <v>6539</v>
      </c>
      <c r="S579" t="s">
        <v>5357</v>
      </c>
      <c r="U579" t="s">
        <v>6557</v>
      </c>
      <c r="V579" t="s">
        <v>6566</v>
      </c>
      <c r="W579" t="s">
        <v>330</v>
      </c>
      <c r="X579">
        <v>1133.6</v>
      </c>
      <c r="Y579" t="s">
        <v>6608</v>
      </c>
      <c r="Z579" t="s">
        <v>6493</v>
      </c>
      <c r="AA579" t="s">
        <v>6645</v>
      </c>
      <c r="AB579" t="s">
        <v>7196</v>
      </c>
      <c r="AD579" t="s">
        <v>9583</v>
      </c>
      <c r="AE579">
        <v>72</v>
      </c>
      <c r="AF579" t="s">
        <v>11005</v>
      </c>
      <c r="AG579" t="s">
        <v>5406</v>
      </c>
      <c r="AH579">
        <v>7</v>
      </c>
      <c r="AI579">
        <v>1</v>
      </c>
      <c r="AJ579">
        <v>0</v>
      </c>
      <c r="AK579">
        <v>148.27</v>
      </c>
      <c r="AN579" t="s">
        <v>11050</v>
      </c>
      <c r="AO579">
        <v>18000</v>
      </c>
      <c r="AU579">
        <v>2.7</v>
      </c>
      <c r="AV579" t="s">
        <v>252</v>
      </c>
      <c r="AW579" t="s">
        <v>11497</v>
      </c>
    </row>
    <row r="580" spans="1:49">
      <c r="A580" s="1">
        <f>HYPERLINK("https://cms.ls-nyc.org/matter/dynamic-profile/view/1850779","17-1850779")</f>
        <v>0</v>
      </c>
      <c r="B580" t="s">
        <v>77</v>
      </c>
      <c r="C580" t="s">
        <v>234</v>
      </c>
      <c r="D580" t="s">
        <v>400</v>
      </c>
      <c r="E580" t="s">
        <v>715</v>
      </c>
      <c r="F580" t="s">
        <v>1270</v>
      </c>
      <c r="G580" t="s">
        <v>2125</v>
      </c>
      <c r="H580" t="s">
        <v>3480</v>
      </c>
      <c r="I580" t="s">
        <v>4931</v>
      </c>
      <c r="J580" t="s">
        <v>5320</v>
      </c>
      <c r="K580">
        <v>11213</v>
      </c>
      <c r="L580" t="s">
        <v>5355</v>
      </c>
      <c r="M580" t="s">
        <v>5356</v>
      </c>
      <c r="O580" t="s">
        <v>6500</v>
      </c>
      <c r="P580" t="s">
        <v>6525</v>
      </c>
      <c r="Q580" t="s">
        <v>6532</v>
      </c>
      <c r="R580" t="s">
        <v>6539</v>
      </c>
      <c r="S580" t="s">
        <v>5355</v>
      </c>
      <c r="U580" t="s">
        <v>6557</v>
      </c>
      <c r="W580" t="s">
        <v>6580</v>
      </c>
      <c r="X580">
        <v>1400</v>
      </c>
      <c r="Y580" t="s">
        <v>6605</v>
      </c>
      <c r="Z580" t="s">
        <v>6622</v>
      </c>
      <c r="AA580" t="s">
        <v>6634</v>
      </c>
      <c r="AB580" t="s">
        <v>7197</v>
      </c>
      <c r="AD580" t="s">
        <v>9584</v>
      </c>
      <c r="AE580">
        <v>107</v>
      </c>
      <c r="AF580" t="s">
        <v>11005</v>
      </c>
      <c r="AG580" t="s">
        <v>11020</v>
      </c>
      <c r="AH580">
        <v>20</v>
      </c>
      <c r="AI580">
        <v>2</v>
      </c>
      <c r="AJ580">
        <v>0</v>
      </c>
      <c r="AK580">
        <v>153.94</v>
      </c>
      <c r="AL580" t="s">
        <v>266</v>
      </c>
      <c r="AN580" t="s">
        <v>11050</v>
      </c>
      <c r="AO580">
        <v>25000</v>
      </c>
      <c r="AU580">
        <v>0.75</v>
      </c>
      <c r="AV580" t="s">
        <v>715</v>
      </c>
      <c r="AW580" t="s">
        <v>11512</v>
      </c>
    </row>
    <row r="581" spans="1:49">
      <c r="A581" s="1">
        <f>HYPERLINK("https://cms.ls-nyc.org/matter/dynamic-profile/view/1845371","17-1845371")</f>
        <v>0</v>
      </c>
      <c r="B581" t="s">
        <v>77</v>
      </c>
      <c r="C581" t="s">
        <v>234</v>
      </c>
      <c r="D581" t="s">
        <v>457</v>
      </c>
      <c r="E581" t="s">
        <v>704</v>
      </c>
      <c r="F581" t="s">
        <v>1111</v>
      </c>
      <c r="G581" t="s">
        <v>2224</v>
      </c>
      <c r="H581" t="s">
        <v>3480</v>
      </c>
      <c r="I581" t="s">
        <v>4932</v>
      </c>
      <c r="J581" t="s">
        <v>5320</v>
      </c>
      <c r="K581">
        <v>11213</v>
      </c>
      <c r="L581" t="s">
        <v>5355</v>
      </c>
      <c r="M581" t="s">
        <v>5356</v>
      </c>
      <c r="O581" t="s">
        <v>5393</v>
      </c>
      <c r="P581" t="s">
        <v>6525</v>
      </c>
      <c r="Q581" t="s">
        <v>6532</v>
      </c>
      <c r="R581" t="s">
        <v>6539</v>
      </c>
      <c r="S581" t="s">
        <v>5355</v>
      </c>
      <c r="U581" t="s">
        <v>6557</v>
      </c>
      <c r="W581" t="s">
        <v>417</v>
      </c>
      <c r="X581">
        <v>1061.92</v>
      </c>
      <c r="Y581" t="s">
        <v>6605</v>
      </c>
      <c r="Z581" t="s">
        <v>6622</v>
      </c>
      <c r="AA581" t="s">
        <v>6634</v>
      </c>
      <c r="AB581" t="s">
        <v>7198</v>
      </c>
      <c r="AD581" t="s">
        <v>9585</v>
      </c>
      <c r="AE581">
        <v>107</v>
      </c>
      <c r="AF581" t="s">
        <v>11005</v>
      </c>
      <c r="AG581" t="s">
        <v>11024</v>
      </c>
      <c r="AH581">
        <v>2</v>
      </c>
      <c r="AI581">
        <v>2</v>
      </c>
      <c r="AJ581">
        <v>0</v>
      </c>
      <c r="AK581">
        <v>154.2</v>
      </c>
      <c r="AL581" t="s">
        <v>266</v>
      </c>
      <c r="AN581" t="s">
        <v>11049</v>
      </c>
      <c r="AO581">
        <v>25042.04</v>
      </c>
      <c r="AU581">
        <v>0.76</v>
      </c>
      <c r="AV581" t="s">
        <v>704</v>
      </c>
      <c r="AW581" t="s">
        <v>77</v>
      </c>
    </row>
    <row r="582" spans="1:49">
      <c r="A582" s="1">
        <f>HYPERLINK("https://cms.ls-nyc.org/matter/dynamic-profile/view/1870466","18-1870466")</f>
        <v>0</v>
      </c>
      <c r="B582" t="s">
        <v>65</v>
      </c>
      <c r="C582" t="s">
        <v>235</v>
      </c>
      <c r="D582" t="s">
        <v>255</v>
      </c>
      <c r="F582" t="s">
        <v>1044</v>
      </c>
      <c r="G582" t="s">
        <v>2274</v>
      </c>
      <c r="H582" t="s">
        <v>3448</v>
      </c>
      <c r="I582" t="s">
        <v>4833</v>
      </c>
      <c r="J582" t="s">
        <v>5323</v>
      </c>
      <c r="K582">
        <v>10032</v>
      </c>
      <c r="L582" t="s">
        <v>5355</v>
      </c>
      <c r="M582" t="s">
        <v>5356</v>
      </c>
      <c r="O582" t="s">
        <v>6499</v>
      </c>
      <c r="P582" t="s">
        <v>6525</v>
      </c>
      <c r="R582" t="s">
        <v>6539</v>
      </c>
      <c r="S582" t="s">
        <v>5355</v>
      </c>
      <c r="U582" t="s">
        <v>6557</v>
      </c>
      <c r="W582" t="s">
        <v>490</v>
      </c>
      <c r="X582">
        <v>1245.95</v>
      </c>
      <c r="Y582" t="s">
        <v>6608</v>
      </c>
      <c r="Z582" t="s">
        <v>6616</v>
      </c>
      <c r="AB582" t="s">
        <v>6892</v>
      </c>
      <c r="AE582">
        <v>49</v>
      </c>
      <c r="AF582" t="s">
        <v>11005</v>
      </c>
      <c r="AG582" t="s">
        <v>5406</v>
      </c>
      <c r="AH582">
        <v>10</v>
      </c>
      <c r="AI582">
        <v>1</v>
      </c>
      <c r="AJ582">
        <v>1</v>
      </c>
      <c r="AK582">
        <v>157.21</v>
      </c>
      <c r="AN582" t="s">
        <v>11049</v>
      </c>
      <c r="AO582">
        <v>25876</v>
      </c>
      <c r="AU582">
        <v>0</v>
      </c>
      <c r="AW582" t="s">
        <v>11495</v>
      </c>
    </row>
    <row r="583" spans="1:49">
      <c r="A583" s="1">
        <f>HYPERLINK("https://cms.ls-nyc.org/matter/dynamic-profile/view/1845386","17-1845386")</f>
        <v>0</v>
      </c>
      <c r="B583" t="s">
        <v>106</v>
      </c>
      <c r="C583" t="s">
        <v>235</v>
      </c>
      <c r="D583" t="s">
        <v>457</v>
      </c>
      <c r="F583" t="s">
        <v>1271</v>
      </c>
      <c r="G583" t="s">
        <v>2133</v>
      </c>
      <c r="H583" t="s">
        <v>3871</v>
      </c>
      <c r="I583" t="s">
        <v>4933</v>
      </c>
      <c r="J583" t="s">
        <v>5321</v>
      </c>
      <c r="K583">
        <v>10456</v>
      </c>
      <c r="L583" t="s">
        <v>5355</v>
      </c>
      <c r="M583" t="s">
        <v>5356</v>
      </c>
      <c r="O583" t="s">
        <v>5393</v>
      </c>
      <c r="P583" t="s">
        <v>6525</v>
      </c>
      <c r="R583" t="s">
        <v>6539</v>
      </c>
      <c r="S583" t="s">
        <v>5355</v>
      </c>
      <c r="U583" t="s">
        <v>6557</v>
      </c>
      <c r="W583" t="s">
        <v>397</v>
      </c>
      <c r="X583">
        <v>686.79</v>
      </c>
      <c r="Y583" t="s">
        <v>6606</v>
      </c>
      <c r="Z583" t="s">
        <v>6612</v>
      </c>
      <c r="AB583" t="s">
        <v>7199</v>
      </c>
      <c r="AD583" t="s">
        <v>9586</v>
      </c>
      <c r="AE583">
        <v>107</v>
      </c>
      <c r="AF583" t="s">
        <v>11006</v>
      </c>
      <c r="AG583" t="s">
        <v>5406</v>
      </c>
      <c r="AH583">
        <v>34</v>
      </c>
      <c r="AI583">
        <v>1</v>
      </c>
      <c r="AJ583">
        <v>0</v>
      </c>
      <c r="AK583">
        <v>157.55</v>
      </c>
      <c r="AN583" t="s">
        <v>11049</v>
      </c>
      <c r="AO583">
        <v>19000</v>
      </c>
      <c r="AP583" t="s">
        <v>11106</v>
      </c>
      <c r="AU583">
        <v>0.1</v>
      </c>
      <c r="AV583" t="s">
        <v>302</v>
      </c>
      <c r="AW583" t="s">
        <v>11492</v>
      </c>
    </row>
    <row r="584" spans="1:49">
      <c r="A584" s="1">
        <f>HYPERLINK("https://cms.ls-nyc.org/matter/dynamic-profile/view/1856577","18-1856577")</f>
        <v>0</v>
      </c>
      <c r="B584" t="s">
        <v>77</v>
      </c>
      <c r="C584" t="s">
        <v>234</v>
      </c>
      <c r="D584" t="s">
        <v>458</v>
      </c>
      <c r="E584" t="s">
        <v>704</v>
      </c>
      <c r="F584" t="s">
        <v>1272</v>
      </c>
      <c r="G584" t="s">
        <v>2521</v>
      </c>
      <c r="H584" t="s">
        <v>3480</v>
      </c>
      <c r="I584" t="s">
        <v>4934</v>
      </c>
      <c r="J584" t="s">
        <v>5320</v>
      </c>
      <c r="K584">
        <v>11213</v>
      </c>
      <c r="L584" t="s">
        <v>5355</v>
      </c>
      <c r="M584" t="s">
        <v>5356</v>
      </c>
      <c r="O584" t="s">
        <v>5393</v>
      </c>
      <c r="P584" t="s">
        <v>6525</v>
      </c>
      <c r="Q584" t="s">
        <v>6532</v>
      </c>
      <c r="R584" t="s">
        <v>6539</v>
      </c>
      <c r="S584" t="s">
        <v>5355</v>
      </c>
      <c r="U584" t="s">
        <v>6557</v>
      </c>
      <c r="W584" t="s">
        <v>481</v>
      </c>
      <c r="X584">
        <v>1175</v>
      </c>
      <c r="Y584" t="s">
        <v>6605</v>
      </c>
      <c r="Z584" t="s">
        <v>6622</v>
      </c>
      <c r="AA584" t="s">
        <v>6631</v>
      </c>
      <c r="AB584" t="s">
        <v>7200</v>
      </c>
      <c r="AD584" t="s">
        <v>9587</v>
      </c>
      <c r="AE584">
        <v>107</v>
      </c>
      <c r="AF584" t="s">
        <v>11005</v>
      </c>
      <c r="AG584" t="s">
        <v>5406</v>
      </c>
      <c r="AH584">
        <v>17</v>
      </c>
      <c r="AI584">
        <v>3</v>
      </c>
      <c r="AJ584">
        <v>1</v>
      </c>
      <c r="AK584">
        <v>159.2</v>
      </c>
      <c r="AL584" t="s">
        <v>266</v>
      </c>
      <c r="AN584" t="s">
        <v>11050</v>
      </c>
      <c r="AO584">
        <v>39164</v>
      </c>
      <c r="AU584">
        <v>1.75</v>
      </c>
      <c r="AV584" t="s">
        <v>704</v>
      </c>
      <c r="AW584" t="s">
        <v>11512</v>
      </c>
    </row>
    <row r="585" spans="1:49">
      <c r="A585" s="1">
        <f>HYPERLINK("https://cms.ls-nyc.org/matter/dynamic-profile/view/1855957","18-1855957")</f>
        <v>0</v>
      </c>
      <c r="B585" t="s">
        <v>77</v>
      </c>
      <c r="C585" t="s">
        <v>234</v>
      </c>
      <c r="D585" t="s">
        <v>380</v>
      </c>
      <c r="E585" t="s">
        <v>715</v>
      </c>
      <c r="F585" t="s">
        <v>1033</v>
      </c>
      <c r="G585" t="s">
        <v>2135</v>
      </c>
      <c r="H585" t="s">
        <v>3773</v>
      </c>
      <c r="I585" t="s">
        <v>4935</v>
      </c>
      <c r="J585" t="s">
        <v>5320</v>
      </c>
      <c r="K585">
        <v>11213</v>
      </c>
      <c r="L585" t="s">
        <v>5355</v>
      </c>
      <c r="M585" t="s">
        <v>5356</v>
      </c>
      <c r="O585" t="s">
        <v>5393</v>
      </c>
      <c r="P585" t="s">
        <v>6525</v>
      </c>
      <c r="Q585" t="s">
        <v>6531</v>
      </c>
      <c r="R585" t="s">
        <v>6539</v>
      </c>
      <c r="S585" t="s">
        <v>5355</v>
      </c>
      <c r="U585" t="s">
        <v>6557</v>
      </c>
      <c r="W585" t="s">
        <v>302</v>
      </c>
      <c r="X585">
        <v>1108</v>
      </c>
      <c r="Y585" t="s">
        <v>6605</v>
      </c>
      <c r="Z585" t="s">
        <v>6622</v>
      </c>
      <c r="AA585" t="s">
        <v>6631</v>
      </c>
      <c r="AB585" t="s">
        <v>7201</v>
      </c>
      <c r="AD585" t="s">
        <v>9588</v>
      </c>
      <c r="AE585">
        <v>107</v>
      </c>
      <c r="AF585" t="s">
        <v>11005</v>
      </c>
      <c r="AG585" t="s">
        <v>11020</v>
      </c>
      <c r="AH585">
        <v>0</v>
      </c>
      <c r="AI585">
        <v>2</v>
      </c>
      <c r="AJ585">
        <v>0</v>
      </c>
      <c r="AK585">
        <v>160.1</v>
      </c>
      <c r="AL585" t="s">
        <v>266</v>
      </c>
      <c r="AN585" t="s">
        <v>11050</v>
      </c>
      <c r="AO585">
        <v>26000</v>
      </c>
      <c r="AU585">
        <v>0.5</v>
      </c>
      <c r="AV585" t="s">
        <v>715</v>
      </c>
      <c r="AW585" t="s">
        <v>77</v>
      </c>
    </row>
    <row r="586" spans="1:49">
      <c r="A586" s="1">
        <f>HYPERLINK("https://cms.ls-nyc.org/matter/dynamic-profile/view/1871298","18-1871298")</f>
        <v>0</v>
      </c>
      <c r="B586" t="s">
        <v>135</v>
      </c>
      <c r="C586" t="s">
        <v>234</v>
      </c>
      <c r="D586" t="s">
        <v>401</v>
      </c>
      <c r="E586" t="s">
        <v>742</v>
      </c>
      <c r="F586" t="s">
        <v>968</v>
      </c>
      <c r="G586" t="s">
        <v>2522</v>
      </c>
      <c r="H586" t="s">
        <v>3739</v>
      </c>
      <c r="I586" t="s">
        <v>4765</v>
      </c>
      <c r="J586" t="s">
        <v>5320</v>
      </c>
      <c r="K586">
        <v>11212</v>
      </c>
      <c r="L586" t="s">
        <v>5355</v>
      </c>
      <c r="M586" t="s">
        <v>5356</v>
      </c>
      <c r="O586" t="s">
        <v>6499</v>
      </c>
      <c r="P586" t="s">
        <v>6525</v>
      </c>
      <c r="Q586" t="s">
        <v>6532</v>
      </c>
      <c r="R586" t="s">
        <v>6539</v>
      </c>
      <c r="S586" t="s">
        <v>5355</v>
      </c>
      <c r="U586" t="s">
        <v>6557</v>
      </c>
      <c r="W586" t="s">
        <v>349</v>
      </c>
      <c r="X586">
        <v>922.9400000000001</v>
      </c>
      <c r="Y586" t="s">
        <v>6605</v>
      </c>
      <c r="Z586" t="s">
        <v>6493</v>
      </c>
      <c r="AA586" t="s">
        <v>6642</v>
      </c>
      <c r="AB586" t="s">
        <v>7202</v>
      </c>
      <c r="AD586" t="s">
        <v>9589</v>
      </c>
      <c r="AE586">
        <v>32</v>
      </c>
      <c r="AF586" t="s">
        <v>11005</v>
      </c>
      <c r="AG586" t="s">
        <v>5406</v>
      </c>
      <c r="AH586">
        <v>21</v>
      </c>
      <c r="AI586">
        <v>2</v>
      </c>
      <c r="AJ586">
        <v>0</v>
      </c>
      <c r="AK586">
        <v>160.39</v>
      </c>
      <c r="AN586" t="s">
        <v>11050</v>
      </c>
      <c r="AO586">
        <v>26400</v>
      </c>
      <c r="AU586">
        <v>0.08</v>
      </c>
      <c r="AV586" t="s">
        <v>726</v>
      </c>
      <c r="AW586" t="s">
        <v>11517</v>
      </c>
    </row>
    <row r="587" spans="1:49">
      <c r="A587" s="1">
        <f>HYPERLINK("https://cms.ls-nyc.org/matter/dynamic-profile/view/1871618","18-1871618")</f>
        <v>0</v>
      </c>
      <c r="B587" t="s">
        <v>135</v>
      </c>
      <c r="C587" t="s">
        <v>235</v>
      </c>
      <c r="D587" t="s">
        <v>394</v>
      </c>
      <c r="F587" t="s">
        <v>968</v>
      </c>
      <c r="G587" t="s">
        <v>2522</v>
      </c>
      <c r="H587" t="s">
        <v>3739</v>
      </c>
      <c r="I587" t="s">
        <v>4765</v>
      </c>
      <c r="J587" t="s">
        <v>5320</v>
      </c>
      <c r="K587">
        <v>11212</v>
      </c>
      <c r="L587" t="s">
        <v>5355</v>
      </c>
      <c r="M587" t="s">
        <v>5356</v>
      </c>
      <c r="O587" t="s">
        <v>5393</v>
      </c>
      <c r="P587" t="s">
        <v>6525</v>
      </c>
      <c r="R587" t="s">
        <v>6539</v>
      </c>
      <c r="S587" t="s">
        <v>5355</v>
      </c>
      <c r="U587" t="s">
        <v>6557</v>
      </c>
      <c r="W587" t="s">
        <v>6581</v>
      </c>
      <c r="X587">
        <v>922.9400000000001</v>
      </c>
      <c r="Y587" t="s">
        <v>6605</v>
      </c>
      <c r="Z587" t="s">
        <v>6493</v>
      </c>
      <c r="AB587" t="s">
        <v>7202</v>
      </c>
      <c r="AD587" t="s">
        <v>9589</v>
      </c>
      <c r="AE587">
        <v>32</v>
      </c>
      <c r="AF587" t="s">
        <v>11005</v>
      </c>
      <c r="AG587" t="s">
        <v>5406</v>
      </c>
      <c r="AH587">
        <v>21</v>
      </c>
      <c r="AI587">
        <v>2</v>
      </c>
      <c r="AJ587">
        <v>0</v>
      </c>
      <c r="AK587">
        <v>160.39</v>
      </c>
      <c r="AN587" t="s">
        <v>11050</v>
      </c>
      <c r="AO587">
        <v>26400</v>
      </c>
      <c r="AU587">
        <v>0</v>
      </c>
      <c r="AW587" t="s">
        <v>11517</v>
      </c>
    </row>
    <row r="588" spans="1:49">
      <c r="A588" s="1">
        <f>HYPERLINK("https://cms.ls-nyc.org/matter/dynamic-profile/view/1856732","18-1856732")</f>
        <v>0</v>
      </c>
      <c r="B588" t="s">
        <v>102</v>
      </c>
      <c r="C588" t="s">
        <v>234</v>
      </c>
      <c r="D588" t="s">
        <v>310</v>
      </c>
      <c r="E588" t="s">
        <v>427</v>
      </c>
      <c r="F588" t="s">
        <v>1121</v>
      </c>
      <c r="G588" t="s">
        <v>2188</v>
      </c>
      <c r="H588" t="s">
        <v>3872</v>
      </c>
      <c r="I588" t="s">
        <v>4907</v>
      </c>
      <c r="J588" t="s">
        <v>5321</v>
      </c>
      <c r="K588">
        <v>10452</v>
      </c>
      <c r="L588" t="s">
        <v>5355</v>
      </c>
      <c r="M588" t="s">
        <v>5356</v>
      </c>
      <c r="O588" t="s">
        <v>6493</v>
      </c>
      <c r="P588" t="s">
        <v>6525</v>
      </c>
      <c r="Q588" t="s">
        <v>6532</v>
      </c>
      <c r="R588" t="s">
        <v>6539</v>
      </c>
      <c r="S588" t="s">
        <v>5357</v>
      </c>
      <c r="U588" t="s">
        <v>6557</v>
      </c>
      <c r="W588" t="s">
        <v>310</v>
      </c>
      <c r="X588">
        <v>942</v>
      </c>
      <c r="Y588" t="s">
        <v>6606</v>
      </c>
      <c r="Z588" t="s">
        <v>6612</v>
      </c>
      <c r="AA588" t="s">
        <v>6631</v>
      </c>
      <c r="AB588" t="s">
        <v>7203</v>
      </c>
      <c r="AD588" t="s">
        <v>9590</v>
      </c>
      <c r="AE588">
        <v>55</v>
      </c>
      <c r="AF588" t="s">
        <v>11015</v>
      </c>
      <c r="AG588" t="s">
        <v>5406</v>
      </c>
      <c r="AH588">
        <v>8</v>
      </c>
      <c r="AI588">
        <v>2</v>
      </c>
      <c r="AJ588">
        <v>0</v>
      </c>
      <c r="AK588">
        <v>161.2</v>
      </c>
      <c r="AN588" t="s">
        <v>11049</v>
      </c>
      <c r="AO588">
        <v>26533.72</v>
      </c>
      <c r="AU588">
        <v>3</v>
      </c>
      <c r="AV588" t="s">
        <v>310</v>
      </c>
      <c r="AW588" t="s">
        <v>11509</v>
      </c>
    </row>
    <row r="589" spans="1:49">
      <c r="A589" s="1">
        <f>HYPERLINK("https://cms.ls-nyc.org/matter/dynamic-profile/view/1856735","18-1856735")</f>
        <v>0</v>
      </c>
      <c r="B589" t="s">
        <v>102</v>
      </c>
      <c r="C589" t="s">
        <v>234</v>
      </c>
      <c r="D589" t="s">
        <v>310</v>
      </c>
      <c r="E589" t="s">
        <v>427</v>
      </c>
      <c r="F589" t="s">
        <v>1121</v>
      </c>
      <c r="G589" t="s">
        <v>2188</v>
      </c>
      <c r="H589" t="s">
        <v>3872</v>
      </c>
      <c r="I589" t="s">
        <v>4907</v>
      </c>
      <c r="J589" t="s">
        <v>5321</v>
      </c>
      <c r="K589">
        <v>10452</v>
      </c>
      <c r="L589" t="s">
        <v>5355</v>
      </c>
      <c r="M589" t="s">
        <v>5356</v>
      </c>
      <c r="O589" t="s">
        <v>6493</v>
      </c>
      <c r="P589" t="s">
        <v>6525</v>
      </c>
      <c r="Q589" t="s">
        <v>6532</v>
      </c>
      <c r="R589" t="s">
        <v>6539</v>
      </c>
      <c r="S589" t="s">
        <v>5357</v>
      </c>
      <c r="U589" t="s">
        <v>6557</v>
      </c>
      <c r="W589" t="s">
        <v>397</v>
      </c>
      <c r="X589">
        <v>942</v>
      </c>
      <c r="Y589" t="s">
        <v>6606</v>
      </c>
      <c r="Z589" t="s">
        <v>6612</v>
      </c>
      <c r="AA589" t="s">
        <v>6631</v>
      </c>
      <c r="AB589" t="s">
        <v>7203</v>
      </c>
      <c r="AD589" t="s">
        <v>9590</v>
      </c>
      <c r="AE589">
        <v>55</v>
      </c>
      <c r="AF589" t="s">
        <v>11015</v>
      </c>
      <c r="AG589" t="s">
        <v>5406</v>
      </c>
      <c r="AH589">
        <v>8</v>
      </c>
      <c r="AI589">
        <v>2</v>
      </c>
      <c r="AJ589">
        <v>0</v>
      </c>
      <c r="AK589">
        <v>163.38</v>
      </c>
      <c r="AN589" t="s">
        <v>11049</v>
      </c>
      <c r="AO589">
        <v>26533.72</v>
      </c>
      <c r="AU589">
        <v>1.25</v>
      </c>
      <c r="AV589" t="s">
        <v>310</v>
      </c>
      <c r="AW589" t="s">
        <v>11509</v>
      </c>
    </row>
    <row r="590" spans="1:49">
      <c r="A590" s="1">
        <f>HYPERLINK("https://cms.ls-nyc.org/matter/dynamic-profile/view/1847792","17-1847792")</f>
        <v>0</v>
      </c>
      <c r="B590" t="s">
        <v>135</v>
      </c>
      <c r="C590" t="s">
        <v>234</v>
      </c>
      <c r="D590" t="s">
        <v>237</v>
      </c>
      <c r="E590" t="s">
        <v>665</v>
      </c>
      <c r="F590" t="s">
        <v>1273</v>
      </c>
      <c r="G590" t="s">
        <v>2061</v>
      </c>
      <c r="H590" t="s">
        <v>3785</v>
      </c>
      <c r="I590" t="s">
        <v>4936</v>
      </c>
      <c r="J590" t="s">
        <v>5320</v>
      </c>
      <c r="K590">
        <v>11214</v>
      </c>
      <c r="L590" t="s">
        <v>5355</v>
      </c>
      <c r="M590" t="s">
        <v>5356</v>
      </c>
      <c r="O590" t="s">
        <v>6500</v>
      </c>
      <c r="P590" t="s">
        <v>6525</v>
      </c>
      <c r="Q590" t="s">
        <v>6532</v>
      </c>
      <c r="R590" t="s">
        <v>6539</v>
      </c>
      <c r="S590" t="s">
        <v>5355</v>
      </c>
      <c r="U590" t="s">
        <v>6557</v>
      </c>
      <c r="W590" t="s">
        <v>6582</v>
      </c>
      <c r="X590">
        <v>1335</v>
      </c>
      <c r="Y590" t="s">
        <v>6605</v>
      </c>
      <c r="Z590" t="s">
        <v>6625</v>
      </c>
      <c r="AA590" t="s">
        <v>6634</v>
      </c>
      <c r="AB590" t="s">
        <v>7204</v>
      </c>
      <c r="AD590" t="s">
        <v>9591</v>
      </c>
      <c r="AE590">
        <v>15</v>
      </c>
      <c r="AF590" t="s">
        <v>11005</v>
      </c>
      <c r="AG590" t="s">
        <v>5406</v>
      </c>
      <c r="AH590">
        <v>3</v>
      </c>
      <c r="AI590">
        <v>1</v>
      </c>
      <c r="AJ590">
        <v>0</v>
      </c>
      <c r="AK590">
        <v>165.84</v>
      </c>
      <c r="AL590" t="s">
        <v>465</v>
      </c>
      <c r="AN590" t="s">
        <v>11050</v>
      </c>
      <c r="AO590">
        <v>20000</v>
      </c>
      <c r="AU590">
        <v>19.7</v>
      </c>
      <c r="AV590" t="s">
        <v>289</v>
      </c>
      <c r="AW590" t="s">
        <v>11512</v>
      </c>
    </row>
    <row r="591" spans="1:49">
      <c r="A591" s="1">
        <f>HYPERLINK("https://cms.ls-nyc.org/matter/dynamic-profile/view/1851044","17-1851044")</f>
        <v>0</v>
      </c>
      <c r="B591" t="s">
        <v>97</v>
      </c>
      <c r="C591" t="s">
        <v>234</v>
      </c>
      <c r="D591" t="s">
        <v>367</v>
      </c>
      <c r="E591" t="s">
        <v>703</v>
      </c>
      <c r="F591" t="s">
        <v>1274</v>
      </c>
      <c r="G591" t="s">
        <v>2135</v>
      </c>
      <c r="H591" t="s">
        <v>3873</v>
      </c>
      <c r="I591">
        <v>43</v>
      </c>
      <c r="J591" t="s">
        <v>5323</v>
      </c>
      <c r="K591">
        <v>10034</v>
      </c>
      <c r="L591" t="s">
        <v>5355</v>
      </c>
      <c r="M591" t="s">
        <v>5355</v>
      </c>
      <c r="N591" t="s">
        <v>5534</v>
      </c>
      <c r="O591" t="s">
        <v>6491</v>
      </c>
      <c r="P591" t="s">
        <v>6525</v>
      </c>
      <c r="Q591" t="s">
        <v>6532</v>
      </c>
      <c r="R591" t="s">
        <v>6539</v>
      </c>
      <c r="S591" t="s">
        <v>5357</v>
      </c>
      <c r="U591" t="s">
        <v>6557</v>
      </c>
      <c r="V591" t="s">
        <v>6569</v>
      </c>
      <c r="W591" t="s">
        <v>367</v>
      </c>
      <c r="X591">
        <v>894.47</v>
      </c>
      <c r="Y591" t="s">
        <v>6608</v>
      </c>
      <c r="Z591" t="s">
        <v>6616</v>
      </c>
      <c r="AA591" t="s">
        <v>6636</v>
      </c>
      <c r="AB591" t="s">
        <v>7205</v>
      </c>
      <c r="AD591" t="s">
        <v>9592</v>
      </c>
      <c r="AE591">
        <v>25</v>
      </c>
      <c r="AF591" t="s">
        <v>11005</v>
      </c>
      <c r="AG591" t="s">
        <v>5406</v>
      </c>
      <c r="AH591">
        <v>7</v>
      </c>
      <c r="AI591">
        <v>1</v>
      </c>
      <c r="AJ591">
        <v>0</v>
      </c>
      <c r="AK591">
        <v>165.84</v>
      </c>
      <c r="AN591" t="s">
        <v>11049</v>
      </c>
      <c r="AO591">
        <v>20000</v>
      </c>
      <c r="AU591">
        <v>2.9</v>
      </c>
      <c r="AV591" t="s">
        <v>380</v>
      </c>
      <c r="AW591" t="s">
        <v>11495</v>
      </c>
    </row>
    <row r="592" spans="1:49">
      <c r="A592" s="1">
        <f>HYPERLINK("https://cms.ls-nyc.org/matter/dynamic-profile/view/1864141","18-1864141")</f>
        <v>0</v>
      </c>
      <c r="B592" t="s">
        <v>92</v>
      </c>
      <c r="C592" t="s">
        <v>235</v>
      </c>
      <c r="D592" t="s">
        <v>357</v>
      </c>
      <c r="F592" t="s">
        <v>1275</v>
      </c>
      <c r="G592" t="s">
        <v>2523</v>
      </c>
      <c r="H592" t="s">
        <v>3579</v>
      </c>
      <c r="I592">
        <v>506</v>
      </c>
      <c r="J592" t="s">
        <v>5323</v>
      </c>
      <c r="K592">
        <v>10029</v>
      </c>
      <c r="L592" t="s">
        <v>5355</v>
      </c>
      <c r="M592" t="s">
        <v>5355</v>
      </c>
      <c r="O592" t="s">
        <v>6494</v>
      </c>
      <c r="P592" t="s">
        <v>6525</v>
      </c>
      <c r="R592" t="s">
        <v>6539</v>
      </c>
      <c r="S592" t="s">
        <v>5355</v>
      </c>
      <c r="U592" t="s">
        <v>6557</v>
      </c>
      <c r="V592" t="s">
        <v>6566</v>
      </c>
      <c r="W592" t="s">
        <v>357</v>
      </c>
      <c r="X592">
        <v>0</v>
      </c>
      <c r="Y592" t="s">
        <v>6608</v>
      </c>
      <c r="Z592" t="s">
        <v>6622</v>
      </c>
      <c r="AB592" t="s">
        <v>7206</v>
      </c>
      <c r="AD592" t="s">
        <v>9593</v>
      </c>
      <c r="AE592">
        <v>108</v>
      </c>
      <c r="AF592" t="s">
        <v>11008</v>
      </c>
      <c r="AG592" t="s">
        <v>11020</v>
      </c>
      <c r="AH592">
        <v>-1</v>
      </c>
      <c r="AI592">
        <v>1</v>
      </c>
      <c r="AJ592">
        <v>1</v>
      </c>
      <c r="AK592">
        <v>170.11</v>
      </c>
      <c r="AN592" t="s">
        <v>11050</v>
      </c>
      <c r="AO592">
        <v>28000</v>
      </c>
      <c r="AU592">
        <v>0</v>
      </c>
      <c r="AW592" t="s">
        <v>11497</v>
      </c>
    </row>
    <row r="593" spans="1:50">
      <c r="A593" s="1">
        <f>HYPERLINK("https://cms.ls-nyc.org/matter/dynamic-profile/view/1875994","18-1875994")</f>
        <v>0</v>
      </c>
      <c r="B593" t="s">
        <v>135</v>
      </c>
      <c r="C593" t="s">
        <v>234</v>
      </c>
      <c r="D593" t="s">
        <v>459</v>
      </c>
      <c r="E593" t="s">
        <v>742</v>
      </c>
      <c r="F593" t="s">
        <v>1276</v>
      </c>
      <c r="G593" t="s">
        <v>2524</v>
      </c>
      <c r="H593" t="s">
        <v>3874</v>
      </c>
      <c r="I593" t="s">
        <v>4752</v>
      </c>
      <c r="J593" t="s">
        <v>5320</v>
      </c>
      <c r="K593">
        <v>11221</v>
      </c>
      <c r="L593" t="s">
        <v>5355</v>
      </c>
      <c r="M593" t="s">
        <v>5355</v>
      </c>
      <c r="N593" t="s">
        <v>5393</v>
      </c>
      <c r="O593" t="s">
        <v>6500</v>
      </c>
      <c r="P593" t="s">
        <v>6525</v>
      </c>
      <c r="Q593" t="s">
        <v>6532</v>
      </c>
      <c r="R593" t="s">
        <v>6539</v>
      </c>
      <c r="S593" t="s">
        <v>5355</v>
      </c>
      <c r="U593" t="s">
        <v>6557</v>
      </c>
      <c r="V593" t="s">
        <v>6566</v>
      </c>
      <c r="W593" t="s">
        <v>287</v>
      </c>
      <c r="X593">
        <v>763</v>
      </c>
      <c r="Y593" t="s">
        <v>6605</v>
      </c>
      <c r="Z593" t="s">
        <v>6622</v>
      </c>
      <c r="AA593" t="s">
        <v>6634</v>
      </c>
      <c r="AB593" t="s">
        <v>7207</v>
      </c>
      <c r="AD593" t="s">
        <v>9594</v>
      </c>
      <c r="AE593">
        <v>12</v>
      </c>
      <c r="AF593" t="s">
        <v>11005</v>
      </c>
      <c r="AG593" t="s">
        <v>5406</v>
      </c>
      <c r="AH593">
        <v>10</v>
      </c>
      <c r="AI593">
        <v>1</v>
      </c>
      <c r="AJ593">
        <v>0</v>
      </c>
      <c r="AK593">
        <v>171.33</v>
      </c>
      <c r="AN593" t="s">
        <v>11050</v>
      </c>
      <c r="AO593">
        <v>20800</v>
      </c>
      <c r="AU593">
        <v>24.5</v>
      </c>
      <c r="AV593" t="s">
        <v>674</v>
      </c>
      <c r="AW593" t="s">
        <v>11512</v>
      </c>
    </row>
    <row r="594" spans="1:50">
      <c r="A594" s="1">
        <f>HYPERLINK("https://cms.ls-nyc.org/matter/dynamic-profile/view/1869379","18-1869379")</f>
        <v>0</v>
      </c>
      <c r="B594" t="s">
        <v>104</v>
      </c>
      <c r="C594" t="s">
        <v>234</v>
      </c>
      <c r="D594" t="s">
        <v>253</v>
      </c>
      <c r="E594" t="s">
        <v>706</v>
      </c>
      <c r="F594" t="s">
        <v>1277</v>
      </c>
      <c r="G594" t="s">
        <v>2188</v>
      </c>
      <c r="H594" t="s">
        <v>3875</v>
      </c>
      <c r="I594" t="s">
        <v>4937</v>
      </c>
      <c r="J594" t="s">
        <v>5321</v>
      </c>
      <c r="K594">
        <v>10452</v>
      </c>
      <c r="L594" t="s">
        <v>5355</v>
      </c>
      <c r="M594" t="s">
        <v>5356</v>
      </c>
      <c r="N594" t="s">
        <v>5535</v>
      </c>
      <c r="O594" t="s">
        <v>6491</v>
      </c>
      <c r="P594" t="s">
        <v>6525</v>
      </c>
      <c r="Q594" t="s">
        <v>6532</v>
      </c>
      <c r="R594" t="s">
        <v>6539</v>
      </c>
      <c r="S594" t="s">
        <v>5357</v>
      </c>
      <c r="U594" t="s">
        <v>6557</v>
      </c>
      <c r="W594" t="s">
        <v>516</v>
      </c>
      <c r="X594">
        <v>979</v>
      </c>
      <c r="Y594" t="s">
        <v>6606</v>
      </c>
      <c r="Z594" t="s">
        <v>6619</v>
      </c>
      <c r="AA594" t="s">
        <v>6632</v>
      </c>
      <c r="AB594" t="s">
        <v>7208</v>
      </c>
      <c r="AD594" t="s">
        <v>9595</v>
      </c>
      <c r="AE594">
        <v>160</v>
      </c>
      <c r="AG594" t="s">
        <v>5406</v>
      </c>
      <c r="AH594">
        <v>26</v>
      </c>
      <c r="AI594">
        <v>1</v>
      </c>
      <c r="AJ594">
        <v>0</v>
      </c>
      <c r="AK594">
        <v>171.33</v>
      </c>
      <c r="AN594" t="s">
        <v>11049</v>
      </c>
      <c r="AO594">
        <v>20800</v>
      </c>
      <c r="AU594">
        <v>1.1</v>
      </c>
      <c r="AV594" t="s">
        <v>516</v>
      </c>
      <c r="AW594" t="s">
        <v>11511</v>
      </c>
    </row>
    <row r="595" spans="1:50">
      <c r="A595" s="1">
        <f>HYPERLINK("https://cms.ls-nyc.org/matter/dynamic-profile/view/1852940","17-1852940")</f>
        <v>0</v>
      </c>
      <c r="B595" t="s">
        <v>77</v>
      </c>
      <c r="C595" t="s">
        <v>234</v>
      </c>
      <c r="D595" t="s">
        <v>353</v>
      </c>
      <c r="E595" t="s">
        <v>704</v>
      </c>
      <c r="F595" t="s">
        <v>957</v>
      </c>
      <c r="G595" t="s">
        <v>1247</v>
      </c>
      <c r="H595" t="s">
        <v>3773</v>
      </c>
      <c r="I595" t="s">
        <v>4938</v>
      </c>
      <c r="J595" t="s">
        <v>5320</v>
      </c>
      <c r="K595">
        <v>11213</v>
      </c>
      <c r="L595" t="s">
        <v>5355</v>
      </c>
      <c r="M595" t="s">
        <v>5355</v>
      </c>
      <c r="O595" t="s">
        <v>6500</v>
      </c>
      <c r="P595" t="s">
        <v>6525</v>
      </c>
      <c r="Q595" t="s">
        <v>6532</v>
      </c>
      <c r="R595" t="s">
        <v>6539</v>
      </c>
      <c r="S595" t="s">
        <v>5355</v>
      </c>
      <c r="U595" t="s">
        <v>6557</v>
      </c>
      <c r="W595" t="s">
        <v>481</v>
      </c>
      <c r="X595">
        <v>1176.31</v>
      </c>
      <c r="Y595" t="s">
        <v>6605</v>
      </c>
      <c r="Z595" t="s">
        <v>6622</v>
      </c>
      <c r="AA595" t="s">
        <v>6631</v>
      </c>
      <c r="AB595" t="s">
        <v>7209</v>
      </c>
      <c r="AD595" t="s">
        <v>9596</v>
      </c>
      <c r="AE595">
        <v>107</v>
      </c>
      <c r="AF595" t="s">
        <v>11005</v>
      </c>
      <c r="AH595">
        <v>14</v>
      </c>
      <c r="AI595">
        <v>1</v>
      </c>
      <c r="AJ595">
        <v>0</v>
      </c>
      <c r="AK595">
        <v>172.47</v>
      </c>
      <c r="AL595" t="s">
        <v>266</v>
      </c>
      <c r="AN595" t="s">
        <v>11050</v>
      </c>
      <c r="AO595">
        <v>20800</v>
      </c>
      <c r="AU595">
        <v>1.35</v>
      </c>
      <c r="AV595" t="s">
        <v>704</v>
      </c>
      <c r="AW595" t="s">
        <v>11489</v>
      </c>
    </row>
    <row r="596" spans="1:50">
      <c r="A596" s="1">
        <f>HYPERLINK("https://cms.ls-nyc.org/matter/dynamic-profile/view/1850794","17-1850794")</f>
        <v>0</v>
      </c>
      <c r="B596" t="s">
        <v>67</v>
      </c>
      <c r="C596" t="s">
        <v>234</v>
      </c>
      <c r="D596" t="s">
        <v>400</v>
      </c>
      <c r="E596" t="s">
        <v>760</v>
      </c>
      <c r="F596" t="s">
        <v>914</v>
      </c>
      <c r="G596" t="s">
        <v>2473</v>
      </c>
      <c r="H596" t="s">
        <v>3876</v>
      </c>
      <c r="I596">
        <v>2</v>
      </c>
      <c r="J596" t="s">
        <v>5323</v>
      </c>
      <c r="K596">
        <v>10035</v>
      </c>
      <c r="L596" t="s">
        <v>5355</v>
      </c>
      <c r="M596" t="s">
        <v>5355</v>
      </c>
      <c r="O596" t="s">
        <v>5393</v>
      </c>
      <c r="P596" t="s">
        <v>6525</v>
      </c>
      <c r="Q596" t="s">
        <v>6532</v>
      </c>
      <c r="R596" t="s">
        <v>6539</v>
      </c>
      <c r="S596" t="s">
        <v>5355</v>
      </c>
      <c r="U596" t="s">
        <v>6557</v>
      </c>
      <c r="W596" t="s">
        <v>400</v>
      </c>
      <c r="X596">
        <v>1500</v>
      </c>
      <c r="Y596" t="s">
        <v>6608</v>
      </c>
      <c r="Z596" t="s">
        <v>6616</v>
      </c>
      <c r="AA596" t="s">
        <v>6636</v>
      </c>
      <c r="AB596" t="s">
        <v>7210</v>
      </c>
      <c r="AD596" t="s">
        <v>9597</v>
      </c>
      <c r="AE596">
        <v>6</v>
      </c>
      <c r="AF596" t="s">
        <v>11017</v>
      </c>
      <c r="AG596" t="s">
        <v>5406</v>
      </c>
      <c r="AH596">
        <v>15</v>
      </c>
      <c r="AI596">
        <v>1</v>
      </c>
      <c r="AJ596">
        <v>0</v>
      </c>
      <c r="AK596">
        <v>172.47</v>
      </c>
      <c r="AN596" t="s">
        <v>11049</v>
      </c>
      <c r="AO596">
        <v>20800</v>
      </c>
      <c r="AU596">
        <v>3</v>
      </c>
      <c r="AV596" t="s">
        <v>11446</v>
      </c>
      <c r="AW596" t="s">
        <v>11497</v>
      </c>
    </row>
    <row r="597" spans="1:50">
      <c r="A597" s="1">
        <f>HYPERLINK("https://cms.ls-nyc.org/matter/dynamic-profile/view/1842731","17-1842731")</f>
        <v>0</v>
      </c>
      <c r="B597" t="s">
        <v>152</v>
      </c>
      <c r="C597" t="s">
        <v>234</v>
      </c>
      <c r="D597" t="s">
        <v>321</v>
      </c>
      <c r="E597" t="s">
        <v>722</v>
      </c>
      <c r="F597" t="s">
        <v>1101</v>
      </c>
      <c r="G597" t="s">
        <v>2355</v>
      </c>
      <c r="H597" t="s">
        <v>3877</v>
      </c>
      <c r="I597" t="s">
        <v>4814</v>
      </c>
      <c r="J597" t="s">
        <v>5323</v>
      </c>
      <c r="K597">
        <v>10034</v>
      </c>
      <c r="L597" t="s">
        <v>5355</v>
      </c>
      <c r="M597" t="s">
        <v>5356</v>
      </c>
      <c r="O597" t="s">
        <v>6498</v>
      </c>
      <c r="P597" t="s">
        <v>6525</v>
      </c>
      <c r="Q597" t="s">
        <v>6532</v>
      </c>
      <c r="R597" t="s">
        <v>6539</v>
      </c>
      <c r="S597" t="s">
        <v>5357</v>
      </c>
      <c r="U597" t="s">
        <v>6557</v>
      </c>
      <c r="W597" t="s">
        <v>321</v>
      </c>
      <c r="X597">
        <v>1800</v>
      </c>
      <c r="Y597" t="s">
        <v>6608</v>
      </c>
      <c r="Z597" t="s">
        <v>6616</v>
      </c>
      <c r="AA597" t="s">
        <v>6636</v>
      </c>
      <c r="AB597" t="s">
        <v>7211</v>
      </c>
      <c r="AD597" t="s">
        <v>9598</v>
      </c>
      <c r="AE597">
        <v>48</v>
      </c>
      <c r="AF597" t="s">
        <v>11005</v>
      </c>
      <c r="AG597" t="s">
        <v>5406</v>
      </c>
      <c r="AH597">
        <v>21</v>
      </c>
      <c r="AI597">
        <v>1</v>
      </c>
      <c r="AJ597">
        <v>0</v>
      </c>
      <c r="AK597">
        <v>172.47</v>
      </c>
      <c r="AN597" t="s">
        <v>11049</v>
      </c>
      <c r="AO597">
        <v>20800</v>
      </c>
      <c r="AU597">
        <v>12.45</v>
      </c>
      <c r="AV597" t="s">
        <v>748</v>
      </c>
      <c r="AW597" t="s">
        <v>11495</v>
      </c>
    </row>
    <row r="598" spans="1:50">
      <c r="A598" s="1">
        <f>HYPERLINK("https://cms.ls-nyc.org/matter/dynamic-profile/view/1882209","18-1882209")</f>
        <v>0</v>
      </c>
      <c r="B598" t="s">
        <v>138</v>
      </c>
      <c r="C598" t="s">
        <v>235</v>
      </c>
      <c r="D598" t="s">
        <v>437</v>
      </c>
      <c r="F598" t="s">
        <v>1278</v>
      </c>
      <c r="G598" t="s">
        <v>2525</v>
      </c>
      <c r="H598" t="s">
        <v>3826</v>
      </c>
      <c r="I598" t="s">
        <v>4734</v>
      </c>
      <c r="J598" t="s">
        <v>5320</v>
      </c>
      <c r="K598">
        <v>11233</v>
      </c>
      <c r="L598" t="s">
        <v>5355</v>
      </c>
      <c r="M598" t="s">
        <v>5357</v>
      </c>
      <c r="O598" t="s">
        <v>6500</v>
      </c>
      <c r="P598" t="s">
        <v>6525</v>
      </c>
      <c r="R598" t="s">
        <v>6539</v>
      </c>
      <c r="S598" t="s">
        <v>5355</v>
      </c>
      <c r="U598" t="s">
        <v>6557</v>
      </c>
      <c r="V598" t="s">
        <v>6566</v>
      </c>
      <c r="W598" t="s">
        <v>6587</v>
      </c>
      <c r="X598">
        <v>1500</v>
      </c>
      <c r="Y598" t="s">
        <v>6605</v>
      </c>
      <c r="Z598" t="s">
        <v>6614</v>
      </c>
      <c r="AB598" t="s">
        <v>7212</v>
      </c>
      <c r="AD598" t="s">
        <v>9599</v>
      </c>
      <c r="AE598">
        <v>6</v>
      </c>
      <c r="AF598" t="s">
        <v>11005</v>
      </c>
      <c r="AH598">
        <v>1</v>
      </c>
      <c r="AI598">
        <v>1</v>
      </c>
      <c r="AJ598">
        <v>1</v>
      </c>
      <c r="AK598">
        <v>172.67</v>
      </c>
      <c r="AN598" t="s">
        <v>11050</v>
      </c>
      <c r="AO598">
        <v>28422.12</v>
      </c>
      <c r="AU598">
        <v>0</v>
      </c>
      <c r="AW598" t="s">
        <v>11512</v>
      </c>
    </row>
    <row r="599" spans="1:50">
      <c r="A599" s="1">
        <f>HYPERLINK("https://cms.ls-nyc.org/matter/dynamic-profile/view/1860636","18-1860636")</f>
        <v>0</v>
      </c>
      <c r="B599" t="s">
        <v>92</v>
      </c>
      <c r="C599" t="s">
        <v>235</v>
      </c>
      <c r="D599" t="s">
        <v>409</v>
      </c>
      <c r="F599" t="s">
        <v>1279</v>
      </c>
      <c r="G599" t="s">
        <v>2526</v>
      </c>
      <c r="H599" t="s">
        <v>3761</v>
      </c>
      <c r="I599" t="s">
        <v>4776</v>
      </c>
      <c r="J599" t="s">
        <v>5323</v>
      </c>
      <c r="K599">
        <v>10031</v>
      </c>
      <c r="L599" t="s">
        <v>5355</v>
      </c>
      <c r="M599" t="s">
        <v>5356</v>
      </c>
      <c r="O599" t="s">
        <v>6494</v>
      </c>
      <c r="P599" t="s">
        <v>6525</v>
      </c>
      <c r="R599" t="s">
        <v>6539</v>
      </c>
      <c r="S599" t="s">
        <v>5355</v>
      </c>
      <c r="U599" t="s">
        <v>6557</v>
      </c>
      <c r="W599" t="s">
        <v>316</v>
      </c>
      <c r="X599">
        <v>2697</v>
      </c>
      <c r="Y599" t="s">
        <v>6608</v>
      </c>
      <c r="Z599" t="s">
        <v>6622</v>
      </c>
      <c r="AB599" t="s">
        <v>7213</v>
      </c>
      <c r="AD599" t="s">
        <v>9600</v>
      </c>
      <c r="AE599">
        <v>44</v>
      </c>
      <c r="AF599" t="s">
        <v>11008</v>
      </c>
      <c r="AG599" t="s">
        <v>11020</v>
      </c>
      <c r="AH599">
        <v>9</v>
      </c>
      <c r="AI599">
        <v>2</v>
      </c>
      <c r="AJ599">
        <v>0</v>
      </c>
      <c r="AK599">
        <v>172.99</v>
      </c>
      <c r="AN599" t="s">
        <v>11049</v>
      </c>
      <c r="AO599">
        <v>28474</v>
      </c>
      <c r="AU599">
        <v>0.9</v>
      </c>
      <c r="AV599" t="s">
        <v>821</v>
      </c>
      <c r="AW599" t="s">
        <v>11497</v>
      </c>
      <c r="AX599" t="s">
        <v>11564</v>
      </c>
    </row>
    <row r="600" spans="1:50">
      <c r="A600" s="1">
        <f>HYPERLINK("https://cms.ls-nyc.org/matter/dynamic-profile/view/1844711","17-1844711")</f>
        <v>0</v>
      </c>
      <c r="B600" t="s">
        <v>97</v>
      </c>
      <c r="C600" t="s">
        <v>234</v>
      </c>
      <c r="D600" t="s">
        <v>453</v>
      </c>
      <c r="E600" t="s">
        <v>665</v>
      </c>
      <c r="F600" t="s">
        <v>1104</v>
      </c>
      <c r="G600" t="s">
        <v>2527</v>
      </c>
      <c r="H600" t="s">
        <v>3837</v>
      </c>
      <c r="I600" t="s">
        <v>4939</v>
      </c>
      <c r="J600" t="s">
        <v>5323</v>
      </c>
      <c r="K600">
        <v>10034</v>
      </c>
      <c r="L600" t="s">
        <v>5355</v>
      </c>
      <c r="M600" t="s">
        <v>5356</v>
      </c>
      <c r="O600" t="s">
        <v>6491</v>
      </c>
      <c r="P600" t="s">
        <v>6525</v>
      </c>
      <c r="Q600" t="s">
        <v>6532</v>
      </c>
      <c r="R600" t="s">
        <v>6539</v>
      </c>
      <c r="S600" t="s">
        <v>5357</v>
      </c>
      <c r="U600" t="s">
        <v>6557</v>
      </c>
      <c r="W600" t="s">
        <v>404</v>
      </c>
      <c r="X600">
        <v>1254</v>
      </c>
      <c r="Y600" t="s">
        <v>6608</v>
      </c>
      <c r="Z600" t="s">
        <v>6616</v>
      </c>
      <c r="AA600" t="s">
        <v>6647</v>
      </c>
      <c r="AB600" t="s">
        <v>7214</v>
      </c>
      <c r="AD600" t="s">
        <v>9601</v>
      </c>
      <c r="AE600">
        <v>73</v>
      </c>
      <c r="AF600" t="s">
        <v>11005</v>
      </c>
      <c r="AG600" t="s">
        <v>5406</v>
      </c>
      <c r="AH600">
        <v>12</v>
      </c>
      <c r="AI600">
        <v>3</v>
      </c>
      <c r="AJ600">
        <v>0</v>
      </c>
      <c r="AK600">
        <v>173.67</v>
      </c>
      <c r="AN600" t="s">
        <v>11049</v>
      </c>
      <c r="AO600">
        <v>35464</v>
      </c>
      <c r="AU600">
        <v>6.7</v>
      </c>
      <c r="AV600" t="s">
        <v>272</v>
      </c>
      <c r="AW600" t="s">
        <v>11495</v>
      </c>
    </row>
    <row r="601" spans="1:50">
      <c r="A601" s="1">
        <f>HYPERLINK("https://cms.ls-nyc.org/matter/dynamic-profile/view/1869537","18-1869537")</f>
        <v>0</v>
      </c>
      <c r="B601" t="s">
        <v>77</v>
      </c>
      <c r="C601" t="s">
        <v>234</v>
      </c>
      <c r="D601" t="s">
        <v>379</v>
      </c>
      <c r="E601" t="s">
        <v>723</v>
      </c>
      <c r="F601" t="s">
        <v>1026</v>
      </c>
      <c r="G601" t="s">
        <v>2162</v>
      </c>
      <c r="H601" t="s">
        <v>3603</v>
      </c>
      <c r="I601" t="s">
        <v>4840</v>
      </c>
      <c r="J601" t="s">
        <v>5320</v>
      </c>
      <c r="K601">
        <v>11213</v>
      </c>
      <c r="L601" t="s">
        <v>5355</v>
      </c>
      <c r="M601" t="s">
        <v>5356</v>
      </c>
      <c r="O601" t="s">
        <v>5393</v>
      </c>
      <c r="P601" t="s">
        <v>6525</v>
      </c>
      <c r="Q601" t="s">
        <v>6531</v>
      </c>
      <c r="R601" t="s">
        <v>6539</v>
      </c>
      <c r="S601" t="s">
        <v>5355</v>
      </c>
      <c r="U601" t="s">
        <v>6557</v>
      </c>
      <c r="W601" t="s">
        <v>395</v>
      </c>
      <c r="X601">
        <v>909.36</v>
      </c>
      <c r="Y601" t="s">
        <v>6605</v>
      </c>
      <c r="Z601" t="s">
        <v>6622</v>
      </c>
      <c r="AA601" t="s">
        <v>6631</v>
      </c>
      <c r="AB601" t="s">
        <v>6870</v>
      </c>
      <c r="AD601" t="s">
        <v>9291</v>
      </c>
      <c r="AE601">
        <v>27</v>
      </c>
      <c r="AF601" t="s">
        <v>11005</v>
      </c>
      <c r="AG601" t="s">
        <v>5406</v>
      </c>
      <c r="AH601">
        <v>26</v>
      </c>
      <c r="AI601">
        <v>1</v>
      </c>
      <c r="AJ601">
        <v>0</v>
      </c>
      <c r="AK601">
        <v>174.46</v>
      </c>
      <c r="AM601" t="s">
        <v>11045</v>
      </c>
      <c r="AN601" t="s">
        <v>11050</v>
      </c>
      <c r="AO601">
        <v>21180</v>
      </c>
      <c r="AU601">
        <v>0.35</v>
      </c>
      <c r="AV601" t="s">
        <v>723</v>
      </c>
      <c r="AW601" t="s">
        <v>77</v>
      </c>
    </row>
    <row r="602" spans="1:50">
      <c r="A602" s="1">
        <f>HYPERLINK("https://cms.ls-nyc.org/matter/dynamic-profile/view/1865839","18-1865839")</f>
        <v>0</v>
      </c>
      <c r="B602" t="s">
        <v>132</v>
      </c>
      <c r="C602" t="s">
        <v>234</v>
      </c>
      <c r="D602" t="s">
        <v>326</v>
      </c>
      <c r="E602" t="s">
        <v>475</v>
      </c>
      <c r="F602" t="s">
        <v>1279</v>
      </c>
      <c r="G602" t="s">
        <v>2528</v>
      </c>
      <c r="H602" t="s">
        <v>3761</v>
      </c>
      <c r="I602" t="s">
        <v>4776</v>
      </c>
      <c r="J602" t="s">
        <v>5323</v>
      </c>
      <c r="K602">
        <v>10031</v>
      </c>
      <c r="L602" t="s">
        <v>5355</v>
      </c>
      <c r="M602" t="s">
        <v>5355</v>
      </c>
      <c r="O602" t="s">
        <v>6492</v>
      </c>
      <c r="P602" t="s">
        <v>6525</v>
      </c>
      <c r="Q602" t="s">
        <v>6532</v>
      </c>
      <c r="R602" t="s">
        <v>6539</v>
      </c>
      <c r="S602" t="s">
        <v>5357</v>
      </c>
      <c r="U602" t="s">
        <v>6557</v>
      </c>
      <c r="V602" t="s">
        <v>6566</v>
      </c>
      <c r="W602" t="s">
        <v>326</v>
      </c>
      <c r="X602">
        <v>2696</v>
      </c>
      <c r="Y602" t="s">
        <v>6608</v>
      </c>
      <c r="Z602" t="s">
        <v>6614</v>
      </c>
      <c r="AA602" t="s">
        <v>6631</v>
      </c>
      <c r="AB602" t="s">
        <v>7213</v>
      </c>
      <c r="AD602" t="s">
        <v>9600</v>
      </c>
      <c r="AE602">
        <v>44</v>
      </c>
      <c r="AF602" t="s">
        <v>11008</v>
      </c>
      <c r="AG602" t="s">
        <v>11020</v>
      </c>
      <c r="AH602">
        <v>0</v>
      </c>
      <c r="AI602">
        <v>2</v>
      </c>
      <c r="AJ602">
        <v>0</v>
      </c>
      <c r="AK602">
        <v>174.46</v>
      </c>
      <c r="AN602" t="s">
        <v>11049</v>
      </c>
      <c r="AO602">
        <v>47854</v>
      </c>
      <c r="AU602">
        <v>0.1</v>
      </c>
      <c r="AV602" t="s">
        <v>434</v>
      </c>
      <c r="AW602" t="s">
        <v>11497</v>
      </c>
      <c r="AX602" t="s">
        <v>11564</v>
      </c>
    </row>
    <row r="603" spans="1:50">
      <c r="A603" s="1">
        <f>HYPERLINK("https://cms.ls-nyc.org/matter/dynamic-profile/view/1871409","18-1871409")</f>
        <v>0</v>
      </c>
      <c r="B603" t="s">
        <v>135</v>
      </c>
      <c r="C603" t="s">
        <v>234</v>
      </c>
      <c r="D603" t="s">
        <v>413</v>
      </c>
      <c r="E603" t="s">
        <v>742</v>
      </c>
      <c r="F603" t="s">
        <v>1280</v>
      </c>
      <c r="G603" t="s">
        <v>2529</v>
      </c>
      <c r="H603" t="s">
        <v>3739</v>
      </c>
      <c r="I603" t="s">
        <v>4749</v>
      </c>
      <c r="J603" t="s">
        <v>5320</v>
      </c>
      <c r="K603">
        <v>11212</v>
      </c>
      <c r="L603" t="s">
        <v>5355</v>
      </c>
      <c r="M603" t="s">
        <v>5356</v>
      </c>
      <c r="O603" t="s">
        <v>6499</v>
      </c>
      <c r="P603" t="s">
        <v>6525</v>
      </c>
      <c r="Q603" t="s">
        <v>6532</v>
      </c>
      <c r="R603" t="s">
        <v>6539</v>
      </c>
      <c r="S603" t="s">
        <v>5355</v>
      </c>
      <c r="U603" t="s">
        <v>6557</v>
      </c>
      <c r="W603" t="s">
        <v>349</v>
      </c>
      <c r="X603">
        <v>1120</v>
      </c>
      <c r="Y603" t="s">
        <v>6605</v>
      </c>
      <c r="Z603" t="s">
        <v>6493</v>
      </c>
      <c r="AA603" t="s">
        <v>6642</v>
      </c>
      <c r="AB603" t="s">
        <v>7215</v>
      </c>
      <c r="AD603" t="s">
        <v>9602</v>
      </c>
      <c r="AE603">
        <v>32</v>
      </c>
      <c r="AF603" t="s">
        <v>11006</v>
      </c>
      <c r="AH603">
        <v>12</v>
      </c>
      <c r="AI603">
        <v>2</v>
      </c>
      <c r="AJ603">
        <v>0</v>
      </c>
      <c r="AK603">
        <v>174.54</v>
      </c>
      <c r="AN603" t="s">
        <v>11050</v>
      </c>
      <c r="AO603">
        <v>28728.96</v>
      </c>
      <c r="AU603">
        <v>0.08</v>
      </c>
      <c r="AV603" t="s">
        <v>789</v>
      </c>
      <c r="AW603" t="s">
        <v>11517</v>
      </c>
    </row>
    <row r="604" spans="1:50">
      <c r="A604" s="1">
        <f>HYPERLINK("https://cms.ls-nyc.org/matter/dynamic-profile/view/1871549","18-1871549")</f>
        <v>0</v>
      </c>
      <c r="B604" t="s">
        <v>135</v>
      </c>
      <c r="C604" t="s">
        <v>235</v>
      </c>
      <c r="D604" t="s">
        <v>402</v>
      </c>
      <c r="F604" t="s">
        <v>1280</v>
      </c>
      <c r="G604" t="s">
        <v>2529</v>
      </c>
      <c r="H604" t="s">
        <v>3739</v>
      </c>
      <c r="I604" t="s">
        <v>4749</v>
      </c>
      <c r="J604" t="s">
        <v>5320</v>
      </c>
      <c r="K604">
        <v>11212</v>
      </c>
      <c r="L604" t="s">
        <v>5355</v>
      </c>
      <c r="M604" t="s">
        <v>5355</v>
      </c>
      <c r="O604" t="s">
        <v>5393</v>
      </c>
      <c r="P604" t="s">
        <v>6525</v>
      </c>
      <c r="R604" t="s">
        <v>6539</v>
      </c>
      <c r="S604" t="s">
        <v>5355</v>
      </c>
      <c r="U604" t="s">
        <v>6557</v>
      </c>
      <c r="W604" t="s">
        <v>6581</v>
      </c>
      <c r="X604">
        <v>1120</v>
      </c>
      <c r="Y604" t="s">
        <v>6605</v>
      </c>
      <c r="Z604" t="s">
        <v>6493</v>
      </c>
      <c r="AB604" t="s">
        <v>7215</v>
      </c>
      <c r="AD604" t="s">
        <v>9602</v>
      </c>
      <c r="AE604">
        <v>32</v>
      </c>
      <c r="AF604" t="s">
        <v>11005</v>
      </c>
      <c r="AH604">
        <v>12</v>
      </c>
      <c r="AI604">
        <v>2</v>
      </c>
      <c r="AJ604">
        <v>0</v>
      </c>
      <c r="AK604">
        <v>174.54</v>
      </c>
      <c r="AN604" t="s">
        <v>11050</v>
      </c>
      <c r="AO604">
        <v>28728.96</v>
      </c>
      <c r="AP604" t="s">
        <v>11096</v>
      </c>
      <c r="AU604">
        <v>0</v>
      </c>
      <c r="AW604" t="s">
        <v>11517</v>
      </c>
    </row>
    <row r="605" spans="1:50">
      <c r="A605" s="1">
        <f>HYPERLINK("https://cms.ls-nyc.org/matter/dynamic-profile/view/1852934","17-1852934")</f>
        <v>0</v>
      </c>
      <c r="B605" t="s">
        <v>77</v>
      </c>
      <c r="C605" t="s">
        <v>234</v>
      </c>
      <c r="D605" t="s">
        <v>353</v>
      </c>
      <c r="E605" t="s">
        <v>704</v>
      </c>
      <c r="F605" t="s">
        <v>1281</v>
      </c>
      <c r="G605" t="s">
        <v>2147</v>
      </c>
      <c r="H605" t="s">
        <v>3773</v>
      </c>
      <c r="I605" t="s">
        <v>4940</v>
      </c>
      <c r="J605" t="s">
        <v>5320</v>
      </c>
      <c r="K605">
        <v>11213</v>
      </c>
      <c r="L605" t="s">
        <v>5355</v>
      </c>
      <c r="M605" t="s">
        <v>5356</v>
      </c>
      <c r="O605" t="s">
        <v>6500</v>
      </c>
      <c r="P605" t="s">
        <v>6525</v>
      </c>
      <c r="Q605" t="s">
        <v>6532</v>
      </c>
      <c r="R605" t="s">
        <v>6539</v>
      </c>
      <c r="S605" t="s">
        <v>5355</v>
      </c>
      <c r="U605" t="s">
        <v>6557</v>
      </c>
      <c r="W605" t="s">
        <v>481</v>
      </c>
      <c r="X605">
        <v>1650</v>
      </c>
      <c r="Y605" t="s">
        <v>6605</v>
      </c>
      <c r="Z605" t="s">
        <v>6622</v>
      </c>
      <c r="AA605" t="s">
        <v>6634</v>
      </c>
      <c r="AB605" t="s">
        <v>7216</v>
      </c>
      <c r="AD605" t="s">
        <v>9603</v>
      </c>
      <c r="AE605">
        <v>107</v>
      </c>
      <c r="AF605" t="s">
        <v>11005</v>
      </c>
      <c r="AH605">
        <v>12</v>
      </c>
      <c r="AI605">
        <v>2</v>
      </c>
      <c r="AJ605">
        <v>1</v>
      </c>
      <c r="AK605">
        <v>176.3</v>
      </c>
      <c r="AL605" t="s">
        <v>266</v>
      </c>
      <c r="AN605" t="s">
        <v>11050</v>
      </c>
      <c r="AO605">
        <v>36000</v>
      </c>
      <c r="AU605">
        <v>1.25</v>
      </c>
      <c r="AV605" t="s">
        <v>469</v>
      </c>
      <c r="AW605" t="s">
        <v>11489</v>
      </c>
    </row>
    <row r="606" spans="1:50">
      <c r="A606" s="1">
        <f>HYPERLINK("https://cms.ls-nyc.org/matter/dynamic-profile/view/1843413","17-1843413")</f>
        <v>0</v>
      </c>
      <c r="B606" t="s">
        <v>77</v>
      </c>
      <c r="C606" t="s">
        <v>234</v>
      </c>
      <c r="D606" t="s">
        <v>438</v>
      </c>
      <c r="E606" t="s">
        <v>723</v>
      </c>
      <c r="F606" t="s">
        <v>1282</v>
      </c>
      <c r="G606" t="s">
        <v>2530</v>
      </c>
      <c r="H606" t="s">
        <v>3878</v>
      </c>
      <c r="I606" t="s">
        <v>4862</v>
      </c>
      <c r="J606" t="s">
        <v>5320</v>
      </c>
      <c r="K606">
        <v>11233</v>
      </c>
      <c r="L606" t="s">
        <v>5355</v>
      </c>
      <c r="M606" t="s">
        <v>5356</v>
      </c>
      <c r="O606" t="s">
        <v>6500</v>
      </c>
      <c r="P606" t="s">
        <v>6525</v>
      </c>
      <c r="Q606" t="s">
        <v>6531</v>
      </c>
      <c r="R606" t="s">
        <v>6539</v>
      </c>
      <c r="S606" t="s">
        <v>5355</v>
      </c>
      <c r="U606" t="s">
        <v>6557</v>
      </c>
      <c r="W606" t="s">
        <v>321</v>
      </c>
      <c r="X606">
        <v>0</v>
      </c>
      <c r="Y606" t="s">
        <v>6605</v>
      </c>
      <c r="Z606" t="s">
        <v>6622</v>
      </c>
      <c r="AA606" t="s">
        <v>6631</v>
      </c>
      <c r="AB606" t="s">
        <v>7217</v>
      </c>
      <c r="AD606" t="s">
        <v>9604</v>
      </c>
      <c r="AE606">
        <v>40</v>
      </c>
      <c r="AF606" t="s">
        <v>11005</v>
      </c>
      <c r="AG606" t="s">
        <v>11020</v>
      </c>
      <c r="AH606">
        <v>0</v>
      </c>
      <c r="AI606">
        <v>1</v>
      </c>
      <c r="AJ606">
        <v>0</v>
      </c>
      <c r="AK606">
        <v>177.61</v>
      </c>
      <c r="AN606" t="s">
        <v>11050</v>
      </c>
      <c r="AO606">
        <v>21420</v>
      </c>
      <c r="AU606">
        <v>1.11</v>
      </c>
      <c r="AV606" t="s">
        <v>723</v>
      </c>
      <c r="AW606" t="s">
        <v>77</v>
      </c>
    </row>
    <row r="607" spans="1:50">
      <c r="A607" s="1">
        <f>HYPERLINK("https://cms.ls-nyc.org/matter/dynamic-profile/view/1843483","17-1843483")</f>
        <v>0</v>
      </c>
      <c r="B607" t="s">
        <v>97</v>
      </c>
      <c r="C607" t="s">
        <v>234</v>
      </c>
      <c r="D607" t="s">
        <v>460</v>
      </c>
      <c r="E607" t="s">
        <v>711</v>
      </c>
      <c r="F607" t="s">
        <v>914</v>
      </c>
      <c r="G607" t="s">
        <v>2531</v>
      </c>
      <c r="H607" t="s">
        <v>3879</v>
      </c>
      <c r="I607">
        <v>46</v>
      </c>
      <c r="J607" t="s">
        <v>5323</v>
      </c>
      <c r="K607">
        <v>10040</v>
      </c>
      <c r="L607" t="s">
        <v>5355</v>
      </c>
      <c r="M607" t="s">
        <v>5355</v>
      </c>
      <c r="O607" t="s">
        <v>6498</v>
      </c>
      <c r="P607" t="s">
        <v>6525</v>
      </c>
      <c r="Q607" t="s">
        <v>6532</v>
      </c>
      <c r="R607" t="s">
        <v>6539</v>
      </c>
      <c r="S607" t="s">
        <v>5357</v>
      </c>
      <c r="U607" t="s">
        <v>6557</v>
      </c>
      <c r="W607" t="s">
        <v>6588</v>
      </c>
      <c r="X607">
        <v>762.8</v>
      </c>
      <c r="Y607" t="s">
        <v>6608</v>
      </c>
      <c r="Z607" t="s">
        <v>6616</v>
      </c>
      <c r="AA607" t="s">
        <v>6631</v>
      </c>
      <c r="AB607" t="s">
        <v>7218</v>
      </c>
      <c r="AD607" t="s">
        <v>9605</v>
      </c>
      <c r="AE607">
        <v>80</v>
      </c>
      <c r="AF607" t="s">
        <v>11005</v>
      </c>
      <c r="AG607" t="s">
        <v>5406</v>
      </c>
      <c r="AH607">
        <v>37</v>
      </c>
      <c r="AI607">
        <v>2</v>
      </c>
      <c r="AJ607">
        <v>0</v>
      </c>
      <c r="AK607">
        <v>178.03</v>
      </c>
      <c r="AN607" t="s">
        <v>11049</v>
      </c>
      <c r="AO607">
        <v>28911.6</v>
      </c>
      <c r="AU607">
        <v>6.8</v>
      </c>
      <c r="AV607" t="s">
        <v>711</v>
      </c>
      <c r="AW607" t="s">
        <v>11495</v>
      </c>
    </row>
    <row r="608" spans="1:50">
      <c r="A608" s="1">
        <f>HYPERLINK("https://cms.ls-nyc.org/matter/dynamic-profile/view/1870251","18-1870251")</f>
        <v>0</v>
      </c>
      <c r="B608" t="s">
        <v>92</v>
      </c>
      <c r="C608" t="s">
        <v>234</v>
      </c>
      <c r="D608" t="s">
        <v>337</v>
      </c>
      <c r="E608" t="s">
        <v>733</v>
      </c>
      <c r="F608" t="s">
        <v>1004</v>
      </c>
      <c r="G608" t="s">
        <v>2532</v>
      </c>
      <c r="H608" t="s">
        <v>3632</v>
      </c>
      <c r="I608" t="s">
        <v>4941</v>
      </c>
      <c r="J608" t="s">
        <v>5323</v>
      </c>
      <c r="K608">
        <v>10029</v>
      </c>
      <c r="L608" t="s">
        <v>5355</v>
      </c>
      <c r="M608" t="s">
        <v>5355</v>
      </c>
      <c r="N608" t="s">
        <v>5536</v>
      </c>
      <c r="O608" t="s">
        <v>6492</v>
      </c>
      <c r="P608" t="s">
        <v>6525</v>
      </c>
      <c r="Q608" t="s">
        <v>6532</v>
      </c>
      <c r="R608" t="s">
        <v>6539</v>
      </c>
      <c r="S608" t="s">
        <v>5357</v>
      </c>
      <c r="U608" t="s">
        <v>6557</v>
      </c>
      <c r="V608" t="s">
        <v>6567</v>
      </c>
      <c r="W608" t="s">
        <v>474</v>
      </c>
      <c r="X608">
        <v>1500</v>
      </c>
      <c r="Y608" t="s">
        <v>6608</v>
      </c>
      <c r="Z608" t="s">
        <v>6616</v>
      </c>
      <c r="AA608" t="s">
        <v>6631</v>
      </c>
      <c r="AB608" t="s">
        <v>7219</v>
      </c>
      <c r="AD608" t="s">
        <v>9606</v>
      </c>
      <c r="AE608">
        <v>306</v>
      </c>
      <c r="AF608" t="s">
        <v>8722</v>
      </c>
      <c r="AG608" t="s">
        <v>11020</v>
      </c>
      <c r="AH608">
        <v>40</v>
      </c>
      <c r="AI608">
        <v>2</v>
      </c>
      <c r="AJ608">
        <v>1</v>
      </c>
      <c r="AK608">
        <v>178.33</v>
      </c>
      <c r="AN608" t="s">
        <v>11050</v>
      </c>
      <c r="AO608">
        <v>37056</v>
      </c>
      <c r="AU608">
        <v>3.7</v>
      </c>
      <c r="AV608" t="s">
        <v>695</v>
      </c>
      <c r="AW608" t="s">
        <v>11519</v>
      </c>
    </row>
    <row r="609" spans="1:50">
      <c r="A609" s="1">
        <f>HYPERLINK("https://cms.ls-nyc.org/matter/dynamic-profile/view/1865052","18-1865052")</f>
        <v>0</v>
      </c>
      <c r="B609" t="s">
        <v>69</v>
      </c>
      <c r="C609" t="s">
        <v>234</v>
      </c>
      <c r="D609" t="s">
        <v>251</v>
      </c>
      <c r="E609" t="s">
        <v>710</v>
      </c>
      <c r="F609" t="s">
        <v>1283</v>
      </c>
      <c r="G609" t="s">
        <v>2106</v>
      </c>
      <c r="H609" t="s">
        <v>3880</v>
      </c>
      <c r="J609" t="s">
        <v>5321</v>
      </c>
      <c r="K609">
        <v>10452</v>
      </c>
      <c r="L609" t="s">
        <v>5355</v>
      </c>
      <c r="M609" t="s">
        <v>5356</v>
      </c>
      <c r="O609" t="s">
        <v>6498</v>
      </c>
      <c r="P609" t="s">
        <v>6525</v>
      </c>
      <c r="Q609" t="s">
        <v>6532</v>
      </c>
      <c r="R609" t="s">
        <v>6539</v>
      </c>
      <c r="U609" t="s">
        <v>6557</v>
      </c>
      <c r="W609" t="s">
        <v>326</v>
      </c>
      <c r="X609">
        <v>820.5</v>
      </c>
      <c r="Y609" t="s">
        <v>6606</v>
      </c>
      <c r="Z609" t="s">
        <v>6612</v>
      </c>
      <c r="AA609" t="s">
        <v>6631</v>
      </c>
      <c r="AB609" t="s">
        <v>7220</v>
      </c>
      <c r="AD609" t="s">
        <v>9607</v>
      </c>
      <c r="AE609">
        <v>0</v>
      </c>
      <c r="AF609" t="s">
        <v>11005</v>
      </c>
      <c r="AH609">
        <v>37</v>
      </c>
      <c r="AI609">
        <v>3</v>
      </c>
      <c r="AJ609">
        <v>0</v>
      </c>
      <c r="AK609">
        <v>179.08</v>
      </c>
      <c r="AN609" t="s">
        <v>11050</v>
      </c>
      <c r="AO609">
        <v>37212</v>
      </c>
      <c r="AU609">
        <v>0.8</v>
      </c>
      <c r="AV609" t="s">
        <v>502</v>
      </c>
      <c r="AW609" t="s">
        <v>69</v>
      </c>
    </row>
    <row r="610" spans="1:50">
      <c r="A610" s="1">
        <f>HYPERLINK("https://cms.ls-nyc.org/matter/dynamic-profile/view/1844139","17-1844139")</f>
        <v>0</v>
      </c>
      <c r="B610" t="s">
        <v>76</v>
      </c>
      <c r="C610" t="s">
        <v>234</v>
      </c>
      <c r="D610" t="s">
        <v>461</v>
      </c>
      <c r="E610" t="s">
        <v>665</v>
      </c>
      <c r="F610" t="s">
        <v>1284</v>
      </c>
      <c r="G610" t="s">
        <v>2533</v>
      </c>
      <c r="H610" t="s">
        <v>3881</v>
      </c>
      <c r="I610" t="s">
        <v>4942</v>
      </c>
      <c r="J610" t="s">
        <v>5323</v>
      </c>
      <c r="K610">
        <v>10029</v>
      </c>
      <c r="L610" t="s">
        <v>5355</v>
      </c>
      <c r="M610" t="s">
        <v>5355</v>
      </c>
      <c r="O610" t="s">
        <v>5393</v>
      </c>
      <c r="P610" t="s">
        <v>6525</v>
      </c>
      <c r="Q610" t="s">
        <v>6532</v>
      </c>
      <c r="R610" t="s">
        <v>6539</v>
      </c>
      <c r="S610" t="s">
        <v>5357</v>
      </c>
      <c r="U610" t="s">
        <v>6557</v>
      </c>
      <c r="V610" t="s">
        <v>6566</v>
      </c>
      <c r="W610" t="s">
        <v>461</v>
      </c>
      <c r="X610">
        <v>1500</v>
      </c>
      <c r="Y610" t="s">
        <v>6608</v>
      </c>
      <c r="Z610" t="s">
        <v>6626</v>
      </c>
      <c r="AA610" t="s">
        <v>6647</v>
      </c>
      <c r="AB610" t="s">
        <v>7221</v>
      </c>
      <c r="AD610" t="s">
        <v>9608</v>
      </c>
      <c r="AE610">
        <v>20</v>
      </c>
      <c r="AF610" t="s">
        <v>11005</v>
      </c>
      <c r="AG610" t="s">
        <v>5406</v>
      </c>
      <c r="AH610">
        <v>10</v>
      </c>
      <c r="AI610">
        <v>1</v>
      </c>
      <c r="AJ610">
        <v>0</v>
      </c>
      <c r="AK610">
        <v>179.1</v>
      </c>
      <c r="AN610" t="s">
        <v>11050</v>
      </c>
      <c r="AO610">
        <v>21600</v>
      </c>
      <c r="AU610">
        <v>1.9</v>
      </c>
      <c r="AV610" t="s">
        <v>411</v>
      </c>
      <c r="AW610" t="s">
        <v>11519</v>
      </c>
    </row>
    <row r="611" spans="1:50">
      <c r="A611" s="1">
        <f>HYPERLINK("https://cms.ls-nyc.org/matter/dynamic-profile/view/1845584","17-1845584")</f>
        <v>0</v>
      </c>
      <c r="B611" t="s">
        <v>141</v>
      </c>
      <c r="C611" t="s">
        <v>235</v>
      </c>
      <c r="D611" t="s">
        <v>462</v>
      </c>
      <c r="F611" t="s">
        <v>1285</v>
      </c>
      <c r="G611" t="s">
        <v>2534</v>
      </c>
      <c r="H611" t="s">
        <v>3882</v>
      </c>
      <c r="I611" t="s">
        <v>4738</v>
      </c>
      <c r="J611" t="s">
        <v>5320</v>
      </c>
      <c r="K611">
        <v>11210</v>
      </c>
      <c r="L611" t="s">
        <v>5355</v>
      </c>
      <c r="M611" t="s">
        <v>5356</v>
      </c>
      <c r="P611" t="s">
        <v>6525</v>
      </c>
      <c r="R611" t="s">
        <v>6539</v>
      </c>
      <c r="U611" t="s">
        <v>6557</v>
      </c>
      <c r="W611" t="s">
        <v>298</v>
      </c>
      <c r="X611">
        <v>1350</v>
      </c>
      <c r="Y611" t="s">
        <v>6605</v>
      </c>
      <c r="AB611" t="s">
        <v>7004</v>
      </c>
      <c r="AD611" t="s">
        <v>9609</v>
      </c>
      <c r="AE611">
        <v>12</v>
      </c>
      <c r="AF611" t="s">
        <v>11005</v>
      </c>
      <c r="AH611">
        <v>4</v>
      </c>
      <c r="AI611">
        <v>2</v>
      </c>
      <c r="AJ611">
        <v>0</v>
      </c>
      <c r="AK611">
        <v>182.02</v>
      </c>
      <c r="AN611" t="s">
        <v>11050</v>
      </c>
      <c r="AO611">
        <v>29560</v>
      </c>
      <c r="AU611">
        <v>0.1</v>
      </c>
      <c r="AV611" t="s">
        <v>550</v>
      </c>
      <c r="AW611" t="s">
        <v>11512</v>
      </c>
    </row>
    <row r="612" spans="1:50">
      <c r="A612" s="1">
        <f>HYPERLINK("https://cms.ls-nyc.org/matter/dynamic-profile/view/1863644","18-1863644")</f>
        <v>0</v>
      </c>
      <c r="B612" t="s">
        <v>61</v>
      </c>
      <c r="C612" t="s">
        <v>234</v>
      </c>
      <c r="D612" t="s">
        <v>263</v>
      </c>
      <c r="E612" t="s">
        <v>673</v>
      </c>
      <c r="F612" t="s">
        <v>1184</v>
      </c>
      <c r="G612" t="s">
        <v>1147</v>
      </c>
      <c r="H612" t="s">
        <v>3883</v>
      </c>
      <c r="I612" t="s">
        <v>4796</v>
      </c>
      <c r="J612" t="s">
        <v>5321</v>
      </c>
      <c r="K612">
        <v>10453</v>
      </c>
      <c r="L612" t="s">
        <v>5355</v>
      </c>
      <c r="M612" t="s">
        <v>5356</v>
      </c>
      <c r="O612" t="s">
        <v>5393</v>
      </c>
      <c r="P612" t="s">
        <v>6525</v>
      </c>
      <c r="Q612" t="s">
        <v>6531</v>
      </c>
      <c r="R612" t="s">
        <v>6539</v>
      </c>
      <c r="S612" t="s">
        <v>5357</v>
      </c>
      <c r="U612" t="s">
        <v>6557</v>
      </c>
      <c r="W612" t="s">
        <v>312</v>
      </c>
      <c r="X612">
        <v>216</v>
      </c>
      <c r="Y612" t="s">
        <v>6606</v>
      </c>
      <c r="Z612" t="s">
        <v>6612</v>
      </c>
      <c r="AA612" t="s">
        <v>6631</v>
      </c>
      <c r="AB612" t="s">
        <v>7222</v>
      </c>
      <c r="AD612" t="s">
        <v>9610</v>
      </c>
      <c r="AE612">
        <v>56</v>
      </c>
      <c r="AF612" t="s">
        <v>8722</v>
      </c>
      <c r="AG612" t="s">
        <v>11020</v>
      </c>
      <c r="AH612">
        <v>35</v>
      </c>
      <c r="AI612">
        <v>2</v>
      </c>
      <c r="AJ612">
        <v>1</v>
      </c>
      <c r="AK612">
        <v>182.1</v>
      </c>
      <c r="AN612" t="s">
        <v>11050</v>
      </c>
      <c r="AO612">
        <v>46840</v>
      </c>
      <c r="AP612" t="s">
        <v>11075</v>
      </c>
      <c r="AU612">
        <v>1.1</v>
      </c>
      <c r="AV612" t="s">
        <v>673</v>
      </c>
      <c r="AW612" t="s">
        <v>11514</v>
      </c>
    </row>
    <row r="613" spans="1:50">
      <c r="A613" s="1">
        <f>HYPERLINK("https://cms.ls-nyc.org/matter/dynamic-profile/view/1871695","18-1871695")</f>
        <v>0</v>
      </c>
      <c r="B613" t="s">
        <v>135</v>
      </c>
      <c r="C613" t="s">
        <v>235</v>
      </c>
      <c r="D613" t="s">
        <v>445</v>
      </c>
      <c r="F613" t="s">
        <v>1286</v>
      </c>
      <c r="G613" t="s">
        <v>1325</v>
      </c>
      <c r="H613" t="s">
        <v>3884</v>
      </c>
      <c r="I613" t="s">
        <v>4752</v>
      </c>
      <c r="J613" t="s">
        <v>5320</v>
      </c>
      <c r="K613">
        <v>11206</v>
      </c>
      <c r="L613" t="s">
        <v>5355</v>
      </c>
      <c r="M613" t="s">
        <v>5356</v>
      </c>
      <c r="P613" t="s">
        <v>6525</v>
      </c>
      <c r="R613" t="s">
        <v>6539</v>
      </c>
      <c r="S613" t="s">
        <v>5355</v>
      </c>
      <c r="U613" t="s">
        <v>6557</v>
      </c>
      <c r="W613" t="s">
        <v>6589</v>
      </c>
      <c r="X613">
        <v>1155.44</v>
      </c>
      <c r="Y613" t="s">
        <v>6605</v>
      </c>
      <c r="Z613" t="s">
        <v>6493</v>
      </c>
      <c r="AB613" t="s">
        <v>7223</v>
      </c>
      <c r="AD613" t="s">
        <v>9611</v>
      </c>
      <c r="AE613">
        <v>25</v>
      </c>
      <c r="AF613" t="s">
        <v>11005</v>
      </c>
      <c r="AH613">
        <v>8</v>
      </c>
      <c r="AI613">
        <v>1</v>
      </c>
      <c r="AJ613">
        <v>6</v>
      </c>
      <c r="AK613">
        <v>182.87</v>
      </c>
      <c r="AN613" t="s">
        <v>11050</v>
      </c>
      <c r="AO613">
        <v>69600</v>
      </c>
      <c r="AU613">
        <v>0</v>
      </c>
      <c r="AW613" t="s">
        <v>11517</v>
      </c>
    </row>
    <row r="614" spans="1:50">
      <c r="A614" s="1">
        <f>HYPERLINK("https://cms.ls-nyc.org/matter/dynamic-profile/view/1851056","17-1851056")</f>
        <v>0</v>
      </c>
      <c r="B614" t="s">
        <v>54</v>
      </c>
      <c r="C614" t="s">
        <v>234</v>
      </c>
      <c r="D614" t="s">
        <v>367</v>
      </c>
      <c r="E614" t="s">
        <v>727</v>
      </c>
      <c r="F614" t="s">
        <v>863</v>
      </c>
      <c r="G614" t="s">
        <v>2535</v>
      </c>
      <c r="H614" t="s">
        <v>3714</v>
      </c>
      <c r="I614" t="s">
        <v>4861</v>
      </c>
      <c r="J614" t="s">
        <v>5320</v>
      </c>
      <c r="K614">
        <v>11236</v>
      </c>
      <c r="L614" t="s">
        <v>5355</v>
      </c>
      <c r="M614" t="s">
        <v>5356</v>
      </c>
      <c r="O614" t="s">
        <v>6500</v>
      </c>
      <c r="P614" t="s">
        <v>6525</v>
      </c>
      <c r="Q614" t="s">
        <v>6531</v>
      </c>
      <c r="R614" t="s">
        <v>6539</v>
      </c>
      <c r="S614" t="s">
        <v>5355</v>
      </c>
      <c r="U614" t="s">
        <v>6557</v>
      </c>
      <c r="W614" t="s">
        <v>6577</v>
      </c>
      <c r="X614">
        <v>635.16</v>
      </c>
      <c r="Y614" t="s">
        <v>6605</v>
      </c>
      <c r="Z614" t="s">
        <v>6622</v>
      </c>
      <c r="AA614" t="s">
        <v>6631</v>
      </c>
      <c r="AB614" t="s">
        <v>7224</v>
      </c>
      <c r="AD614" t="s">
        <v>9612</v>
      </c>
      <c r="AE614">
        <v>113</v>
      </c>
      <c r="AF614" t="s">
        <v>11005</v>
      </c>
      <c r="AG614" t="s">
        <v>5406</v>
      </c>
      <c r="AH614">
        <v>9</v>
      </c>
      <c r="AI614">
        <v>1</v>
      </c>
      <c r="AJ614">
        <v>0</v>
      </c>
      <c r="AK614">
        <v>182.99</v>
      </c>
      <c r="AN614" t="s">
        <v>11050</v>
      </c>
      <c r="AO614">
        <v>22068</v>
      </c>
      <c r="AU614">
        <v>0.5</v>
      </c>
      <c r="AV614" t="s">
        <v>389</v>
      </c>
      <c r="AW614" t="s">
        <v>11512</v>
      </c>
      <c r="AX614" t="s">
        <v>11564</v>
      </c>
    </row>
    <row r="615" spans="1:50">
      <c r="A615" s="1">
        <f>HYPERLINK("https://cms.ls-nyc.org/matter/dynamic-profile/view/1868120","18-1868120")</f>
        <v>0</v>
      </c>
      <c r="B615" t="s">
        <v>61</v>
      </c>
      <c r="C615" t="s">
        <v>234</v>
      </c>
      <c r="D615" t="s">
        <v>317</v>
      </c>
      <c r="E615" t="s">
        <v>712</v>
      </c>
      <c r="F615" t="s">
        <v>1287</v>
      </c>
      <c r="G615" t="s">
        <v>2536</v>
      </c>
      <c r="H615" t="s">
        <v>3885</v>
      </c>
      <c r="I615">
        <v>1</v>
      </c>
      <c r="J615" t="s">
        <v>5321</v>
      </c>
      <c r="K615">
        <v>10459</v>
      </c>
      <c r="L615" t="s">
        <v>5355</v>
      </c>
      <c r="M615" t="s">
        <v>5356</v>
      </c>
      <c r="N615" t="s">
        <v>5537</v>
      </c>
      <c r="O615" t="s">
        <v>6492</v>
      </c>
      <c r="P615" t="s">
        <v>6525</v>
      </c>
      <c r="Q615" t="s">
        <v>6532</v>
      </c>
      <c r="R615" t="s">
        <v>6539</v>
      </c>
      <c r="S615" t="s">
        <v>5357</v>
      </c>
      <c r="U615" t="s">
        <v>6557</v>
      </c>
      <c r="W615" t="s">
        <v>516</v>
      </c>
      <c r="X615">
        <v>1599.75</v>
      </c>
      <c r="Y615" t="s">
        <v>6606</v>
      </c>
      <c r="Z615" t="s">
        <v>6611</v>
      </c>
      <c r="AA615" t="s">
        <v>6631</v>
      </c>
      <c r="AB615" t="s">
        <v>7225</v>
      </c>
      <c r="AC615" t="s">
        <v>8774</v>
      </c>
      <c r="AD615" t="s">
        <v>9613</v>
      </c>
      <c r="AE615">
        <v>0</v>
      </c>
      <c r="AG615" t="s">
        <v>5406</v>
      </c>
      <c r="AH615">
        <v>5</v>
      </c>
      <c r="AI615">
        <v>3</v>
      </c>
      <c r="AJ615">
        <v>2</v>
      </c>
      <c r="AK615">
        <v>184.41</v>
      </c>
      <c r="AN615" t="s">
        <v>11049</v>
      </c>
      <c r="AO615">
        <v>54254.2</v>
      </c>
      <c r="AU615">
        <v>4.7</v>
      </c>
      <c r="AV615" t="s">
        <v>737</v>
      </c>
      <c r="AW615" t="s">
        <v>11492</v>
      </c>
    </row>
    <row r="616" spans="1:50">
      <c r="A616" s="1">
        <f>HYPERLINK("https://cms.ls-nyc.org/matter/dynamic-profile/view/1852138","17-1852138")</f>
        <v>0</v>
      </c>
      <c r="B616" t="s">
        <v>135</v>
      </c>
      <c r="C616" t="s">
        <v>234</v>
      </c>
      <c r="D616" t="s">
        <v>463</v>
      </c>
      <c r="E616" t="s">
        <v>665</v>
      </c>
      <c r="F616" t="s">
        <v>1286</v>
      </c>
      <c r="G616" t="s">
        <v>1325</v>
      </c>
      <c r="H616" t="s">
        <v>3884</v>
      </c>
      <c r="I616" t="s">
        <v>4752</v>
      </c>
      <c r="J616" t="s">
        <v>5320</v>
      </c>
      <c r="K616">
        <v>11206</v>
      </c>
      <c r="L616" t="s">
        <v>5355</v>
      </c>
      <c r="M616" t="s">
        <v>5356</v>
      </c>
      <c r="O616" t="s">
        <v>6500</v>
      </c>
      <c r="P616" t="s">
        <v>6525</v>
      </c>
      <c r="Q616" t="s">
        <v>6533</v>
      </c>
      <c r="R616" t="s">
        <v>6539</v>
      </c>
      <c r="S616" t="s">
        <v>5355</v>
      </c>
      <c r="U616" t="s">
        <v>6557</v>
      </c>
      <c r="W616" t="s">
        <v>575</v>
      </c>
      <c r="X616">
        <v>1155.44</v>
      </c>
      <c r="Y616" t="s">
        <v>6605</v>
      </c>
      <c r="AA616" t="s">
        <v>6634</v>
      </c>
      <c r="AB616" t="s">
        <v>7223</v>
      </c>
      <c r="AD616" t="s">
        <v>9611</v>
      </c>
      <c r="AE616">
        <v>25</v>
      </c>
      <c r="AF616" t="s">
        <v>11005</v>
      </c>
      <c r="AH616">
        <v>8</v>
      </c>
      <c r="AI616">
        <v>1</v>
      </c>
      <c r="AJ616">
        <v>6</v>
      </c>
      <c r="AK616">
        <v>187.4</v>
      </c>
      <c r="AN616" t="s">
        <v>11050</v>
      </c>
      <c r="AO616">
        <v>69600</v>
      </c>
      <c r="AU616">
        <v>2</v>
      </c>
      <c r="AV616" t="s">
        <v>399</v>
      </c>
      <c r="AW616" t="s">
        <v>11489</v>
      </c>
    </row>
    <row r="617" spans="1:50">
      <c r="A617" s="1">
        <f>HYPERLINK("https://cms.ls-nyc.org/matter/dynamic-profile/view/1871414","18-1871414")</f>
        <v>0</v>
      </c>
      <c r="B617" t="s">
        <v>135</v>
      </c>
      <c r="C617" t="s">
        <v>234</v>
      </c>
      <c r="D617" t="s">
        <v>413</v>
      </c>
      <c r="E617" t="s">
        <v>742</v>
      </c>
      <c r="F617" t="s">
        <v>897</v>
      </c>
      <c r="G617" t="s">
        <v>2537</v>
      </c>
      <c r="H617" t="s">
        <v>3739</v>
      </c>
      <c r="I617" t="s">
        <v>4867</v>
      </c>
      <c r="J617" t="s">
        <v>5320</v>
      </c>
      <c r="K617">
        <v>11212</v>
      </c>
      <c r="L617" t="s">
        <v>5355</v>
      </c>
      <c r="M617" t="s">
        <v>5355</v>
      </c>
      <c r="O617" t="s">
        <v>6499</v>
      </c>
      <c r="P617" t="s">
        <v>6525</v>
      </c>
      <c r="Q617" t="s">
        <v>6532</v>
      </c>
      <c r="R617" t="s">
        <v>6539</v>
      </c>
      <c r="S617" t="s">
        <v>5355</v>
      </c>
      <c r="U617" t="s">
        <v>6557</v>
      </c>
      <c r="W617" t="s">
        <v>349</v>
      </c>
      <c r="X617">
        <v>893.61</v>
      </c>
      <c r="Y617" t="s">
        <v>6605</v>
      </c>
      <c r="Z617" t="s">
        <v>6493</v>
      </c>
      <c r="AA617" t="s">
        <v>6642</v>
      </c>
      <c r="AB617" t="s">
        <v>7226</v>
      </c>
      <c r="AD617" t="s">
        <v>9614</v>
      </c>
      <c r="AE617">
        <v>32</v>
      </c>
      <c r="AF617" t="s">
        <v>11005</v>
      </c>
      <c r="AH617">
        <v>8</v>
      </c>
      <c r="AI617">
        <v>3</v>
      </c>
      <c r="AJ617">
        <v>0</v>
      </c>
      <c r="AK617">
        <v>187.68</v>
      </c>
      <c r="AN617" t="s">
        <v>11050</v>
      </c>
      <c r="AO617">
        <v>39000</v>
      </c>
      <c r="AP617" t="s">
        <v>11094</v>
      </c>
      <c r="AU617">
        <v>0.08</v>
      </c>
      <c r="AV617" t="s">
        <v>789</v>
      </c>
      <c r="AW617" t="s">
        <v>11517</v>
      </c>
    </row>
    <row r="618" spans="1:50">
      <c r="A618" s="1">
        <f>HYPERLINK("https://cms.ls-nyc.org/matter/dynamic-profile/view/1871040","18-1871040")</f>
        <v>0</v>
      </c>
      <c r="B618" t="s">
        <v>92</v>
      </c>
      <c r="C618" t="s">
        <v>235</v>
      </c>
      <c r="D618" t="s">
        <v>338</v>
      </c>
      <c r="F618" t="s">
        <v>1288</v>
      </c>
      <c r="G618" t="s">
        <v>2538</v>
      </c>
      <c r="H618" t="s">
        <v>3623</v>
      </c>
      <c r="I618" t="s">
        <v>4943</v>
      </c>
      <c r="J618" t="s">
        <v>5323</v>
      </c>
      <c r="K618">
        <v>10029</v>
      </c>
      <c r="L618" t="s">
        <v>5355</v>
      </c>
      <c r="M618" t="s">
        <v>5356</v>
      </c>
      <c r="O618" t="s">
        <v>5393</v>
      </c>
      <c r="P618" t="s">
        <v>6525</v>
      </c>
      <c r="R618" t="s">
        <v>6539</v>
      </c>
      <c r="S618" t="s">
        <v>5357</v>
      </c>
      <c r="U618" t="s">
        <v>6557</v>
      </c>
      <c r="W618" t="s">
        <v>338</v>
      </c>
      <c r="X618">
        <v>900</v>
      </c>
      <c r="Y618" t="s">
        <v>6608</v>
      </c>
      <c r="Z618" t="s">
        <v>6493</v>
      </c>
      <c r="AB618" t="s">
        <v>7227</v>
      </c>
      <c r="AD618" t="s">
        <v>9615</v>
      </c>
      <c r="AE618">
        <v>396</v>
      </c>
      <c r="AF618" t="s">
        <v>11005</v>
      </c>
      <c r="AG618" t="s">
        <v>5406</v>
      </c>
      <c r="AH618">
        <v>33</v>
      </c>
      <c r="AI618">
        <v>1</v>
      </c>
      <c r="AJ618">
        <v>0</v>
      </c>
      <c r="AK618">
        <v>187.81</v>
      </c>
      <c r="AN618" t="s">
        <v>11050</v>
      </c>
      <c r="AO618">
        <v>22800</v>
      </c>
      <c r="AU618">
        <v>8.65</v>
      </c>
      <c r="AV618" t="s">
        <v>773</v>
      </c>
      <c r="AW618" t="s">
        <v>11497</v>
      </c>
    </row>
    <row r="619" spans="1:50">
      <c r="A619" s="1">
        <f>HYPERLINK("https://cms.ls-nyc.org/matter/dynamic-profile/view/1867179","18-1867179")</f>
        <v>0</v>
      </c>
      <c r="B619" t="s">
        <v>97</v>
      </c>
      <c r="C619" t="s">
        <v>235</v>
      </c>
      <c r="D619" t="s">
        <v>391</v>
      </c>
      <c r="F619" t="s">
        <v>1289</v>
      </c>
      <c r="G619" t="s">
        <v>2539</v>
      </c>
      <c r="H619" t="s">
        <v>3886</v>
      </c>
      <c r="I619" t="s">
        <v>4944</v>
      </c>
      <c r="J619" t="s">
        <v>5323</v>
      </c>
      <c r="K619">
        <v>10002</v>
      </c>
      <c r="L619" t="s">
        <v>5355</v>
      </c>
      <c r="M619" t="s">
        <v>5356</v>
      </c>
      <c r="O619" t="s">
        <v>5393</v>
      </c>
      <c r="P619" t="s">
        <v>6525</v>
      </c>
      <c r="R619" t="s">
        <v>6540</v>
      </c>
      <c r="S619" t="s">
        <v>5357</v>
      </c>
      <c r="U619" t="s">
        <v>6564</v>
      </c>
      <c r="W619" t="s">
        <v>252</v>
      </c>
      <c r="X619">
        <v>1390</v>
      </c>
      <c r="Y619" t="s">
        <v>6608</v>
      </c>
      <c r="Z619" t="s">
        <v>6610</v>
      </c>
      <c r="AB619" t="s">
        <v>7228</v>
      </c>
      <c r="AD619" t="s">
        <v>9616</v>
      </c>
      <c r="AE619">
        <v>0</v>
      </c>
      <c r="AF619" t="s">
        <v>11016</v>
      </c>
      <c r="AH619">
        <v>11</v>
      </c>
      <c r="AI619">
        <v>4</v>
      </c>
      <c r="AJ619">
        <v>0</v>
      </c>
      <c r="AK619">
        <v>188.66</v>
      </c>
      <c r="AN619" t="s">
        <v>11049</v>
      </c>
      <c r="AO619">
        <v>47353</v>
      </c>
      <c r="AU619">
        <v>1.2</v>
      </c>
      <c r="AV619" t="s">
        <v>394</v>
      </c>
      <c r="AW619" t="s">
        <v>11525</v>
      </c>
    </row>
    <row r="620" spans="1:50">
      <c r="A620" s="1">
        <f>HYPERLINK("https://cms.ls-nyc.org/matter/dynamic-profile/view/1843178","17-1843178")</f>
        <v>0</v>
      </c>
      <c r="B620" t="s">
        <v>142</v>
      </c>
      <c r="C620" t="s">
        <v>235</v>
      </c>
      <c r="D620" t="s">
        <v>429</v>
      </c>
      <c r="F620" t="s">
        <v>1010</v>
      </c>
      <c r="G620" t="s">
        <v>2540</v>
      </c>
      <c r="H620" t="s">
        <v>3887</v>
      </c>
      <c r="J620" t="s">
        <v>5320</v>
      </c>
      <c r="K620">
        <v>11206</v>
      </c>
      <c r="L620" t="s">
        <v>5355</v>
      </c>
      <c r="M620" t="s">
        <v>5355</v>
      </c>
      <c r="O620" t="s">
        <v>6502</v>
      </c>
      <c r="P620" t="s">
        <v>6525</v>
      </c>
      <c r="R620" t="s">
        <v>6539</v>
      </c>
      <c r="S620" t="s">
        <v>5357</v>
      </c>
      <c r="U620" t="s">
        <v>6557</v>
      </c>
      <c r="W620" t="s">
        <v>435</v>
      </c>
      <c r="X620">
        <v>588</v>
      </c>
      <c r="Y620" t="s">
        <v>6605</v>
      </c>
      <c r="Z620" t="s">
        <v>6612</v>
      </c>
      <c r="AB620" t="s">
        <v>7229</v>
      </c>
      <c r="AD620" t="s">
        <v>9617</v>
      </c>
      <c r="AE620">
        <v>8</v>
      </c>
      <c r="AF620" t="s">
        <v>11005</v>
      </c>
      <c r="AH620">
        <v>4</v>
      </c>
      <c r="AI620">
        <v>1</v>
      </c>
      <c r="AJ620">
        <v>1</v>
      </c>
      <c r="AK620">
        <v>189.66</v>
      </c>
      <c r="AN620" t="s">
        <v>11050</v>
      </c>
      <c r="AO620">
        <v>30800</v>
      </c>
      <c r="AP620" t="s">
        <v>11107</v>
      </c>
      <c r="AU620">
        <v>35.65</v>
      </c>
      <c r="AV620" t="s">
        <v>698</v>
      </c>
      <c r="AW620" t="s">
        <v>11489</v>
      </c>
    </row>
    <row r="621" spans="1:50">
      <c r="A621" s="1">
        <f>HYPERLINK("https://cms.ls-nyc.org/matter/dynamic-profile/view/1864736","18-1864736")</f>
        <v>0</v>
      </c>
      <c r="B621" t="s">
        <v>92</v>
      </c>
      <c r="C621" t="s">
        <v>235</v>
      </c>
      <c r="D621" t="s">
        <v>395</v>
      </c>
      <c r="F621" t="s">
        <v>972</v>
      </c>
      <c r="G621" t="s">
        <v>2541</v>
      </c>
      <c r="H621" t="s">
        <v>3579</v>
      </c>
      <c r="I621">
        <v>208</v>
      </c>
      <c r="J621" t="s">
        <v>5323</v>
      </c>
      <c r="K621">
        <v>10029</v>
      </c>
      <c r="L621" t="s">
        <v>5355</v>
      </c>
      <c r="M621" t="s">
        <v>5355</v>
      </c>
      <c r="O621" t="s">
        <v>6494</v>
      </c>
      <c r="P621" t="s">
        <v>6525</v>
      </c>
      <c r="R621" t="s">
        <v>6539</v>
      </c>
      <c r="S621" t="s">
        <v>5355</v>
      </c>
      <c r="U621" t="s">
        <v>6557</v>
      </c>
      <c r="V621" t="s">
        <v>6566</v>
      </c>
      <c r="W621" t="s">
        <v>395</v>
      </c>
      <c r="X621">
        <v>0</v>
      </c>
      <c r="Y621" t="s">
        <v>6608</v>
      </c>
      <c r="Z621" t="s">
        <v>6622</v>
      </c>
      <c r="AB621" t="s">
        <v>7230</v>
      </c>
      <c r="AD621" t="s">
        <v>9618</v>
      </c>
      <c r="AE621">
        <v>108</v>
      </c>
      <c r="AF621" t="s">
        <v>11008</v>
      </c>
      <c r="AG621" t="s">
        <v>11020</v>
      </c>
      <c r="AH621">
        <v>35</v>
      </c>
      <c r="AI621">
        <v>3</v>
      </c>
      <c r="AJ621">
        <v>0</v>
      </c>
      <c r="AK621">
        <v>192.49</v>
      </c>
      <c r="AN621" t="s">
        <v>11049</v>
      </c>
      <c r="AO621">
        <v>40000</v>
      </c>
      <c r="AU621">
        <v>0</v>
      </c>
      <c r="AW621" t="s">
        <v>11497</v>
      </c>
    </row>
    <row r="622" spans="1:50">
      <c r="A622" s="1">
        <f>HYPERLINK("https://cms.ls-nyc.org/matter/dynamic-profile/view/1866445","18-1866445")</f>
        <v>0</v>
      </c>
      <c r="B622" t="s">
        <v>92</v>
      </c>
      <c r="C622" t="s">
        <v>235</v>
      </c>
      <c r="D622" t="s">
        <v>268</v>
      </c>
      <c r="F622" t="s">
        <v>1261</v>
      </c>
      <c r="G622" t="s">
        <v>2355</v>
      </c>
      <c r="H622" t="s">
        <v>3761</v>
      </c>
      <c r="I622" t="s">
        <v>4772</v>
      </c>
      <c r="J622" t="s">
        <v>5323</v>
      </c>
      <c r="K622">
        <v>10031</v>
      </c>
      <c r="L622" t="s">
        <v>5355</v>
      </c>
      <c r="M622" t="s">
        <v>5355</v>
      </c>
      <c r="O622" t="s">
        <v>6494</v>
      </c>
      <c r="P622" t="s">
        <v>6525</v>
      </c>
      <c r="R622" t="s">
        <v>6539</v>
      </c>
      <c r="S622" t="s">
        <v>5355</v>
      </c>
      <c r="U622" t="s">
        <v>6557</v>
      </c>
      <c r="V622" t="s">
        <v>6566</v>
      </c>
      <c r="W622" t="s">
        <v>268</v>
      </c>
      <c r="X622">
        <v>1712</v>
      </c>
      <c r="Y622" t="s">
        <v>6608</v>
      </c>
      <c r="Z622" t="s">
        <v>6622</v>
      </c>
      <c r="AB622" t="s">
        <v>7231</v>
      </c>
      <c r="AD622" t="s">
        <v>9619</v>
      </c>
      <c r="AE622">
        <v>42</v>
      </c>
      <c r="AF622" t="s">
        <v>11008</v>
      </c>
      <c r="AG622" t="s">
        <v>11020</v>
      </c>
      <c r="AH622">
        <v>3</v>
      </c>
      <c r="AI622">
        <v>1</v>
      </c>
      <c r="AJ622">
        <v>0</v>
      </c>
      <c r="AK622">
        <v>194.28</v>
      </c>
      <c r="AN622" t="s">
        <v>11050</v>
      </c>
      <c r="AO622">
        <v>23586</v>
      </c>
      <c r="AU622">
        <v>0.75</v>
      </c>
      <c r="AV622" t="s">
        <v>11447</v>
      </c>
      <c r="AW622" t="s">
        <v>11497</v>
      </c>
      <c r="AX622" t="s">
        <v>11564</v>
      </c>
    </row>
    <row r="623" spans="1:50">
      <c r="A623" s="1">
        <f>HYPERLINK("https://cms.ls-nyc.org/matter/dynamic-profile/view/1871195","18-1871195")</f>
        <v>0</v>
      </c>
      <c r="B623" t="s">
        <v>135</v>
      </c>
      <c r="C623" t="s">
        <v>234</v>
      </c>
      <c r="D623" t="s">
        <v>287</v>
      </c>
      <c r="E623" t="s">
        <v>742</v>
      </c>
      <c r="F623" t="s">
        <v>1290</v>
      </c>
      <c r="G623" t="s">
        <v>2542</v>
      </c>
      <c r="H623" t="s">
        <v>3739</v>
      </c>
      <c r="I623" t="s">
        <v>4945</v>
      </c>
      <c r="J623" t="s">
        <v>5320</v>
      </c>
      <c r="K623">
        <v>11212</v>
      </c>
      <c r="L623" t="s">
        <v>5355</v>
      </c>
      <c r="M623" t="s">
        <v>5356</v>
      </c>
      <c r="O623" t="s">
        <v>6499</v>
      </c>
      <c r="P623" t="s">
        <v>6525</v>
      </c>
      <c r="Q623" t="s">
        <v>6532</v>
      </c>
      <c r="R623" t="s">
        <v>6539</v>
      </c>
      <c r="U623" t="s">
        <v>6557</v>
      </c>
      <c r="W623" t="s">
        <v>349</v>
      </c>
      <c r="X623">
        <v>0</v>
      </c>
      <c r="Y623" t="s">
        <v>6605</v>
      </c>
      <c r="AA623" t="s">
        <v>6642</v>
      </c>
      <c r="AB623" t="s">
        <v>7232</v>
      </c>
      <c r="AD623" t="s">
        <v>9166</v>
      </c>
      <c r="AE623">
        <v>0</v>
      </c>
      <c r="AH623">
        <v>0</v>
      </c>
      <c r="AI623">
        <v>2</v>
      </c>
      <c r="AJ623">
        <v>0</v>
      </c>
      <c r="AK623">
        <v>194.41</v>
      </c>
      <c r="AN623" t="s">
        <v>11050</v>
      </c>
      <c r="AO623">
        <v>32000.04</v>
      </c>
      <c r="AU623">
        <v>0.08</v>
      </c>
      <c r="AV623" t="s">
        <v>789</v>
      </c>
      <c r="AW623" t="s">
        <v>11517</v>
      </c>
    </row>
    <row r="624" spans="1:50">
      <c r="A624" s="1">
        <f>HYPERLINK("https://cms.ls-nyc.org/matter/dynamic-profile/view/1871479","18-1871479")</f>
        <v>0</v>
      </c>
      <c r="B624" t="s">
        <v>135</v>
      </c>
      <c r="C624" t="s">
        <v>234</v>
      </c>
      <c r="D624" t="s">
        <v>402</v>
      </c>
      <c r="E624" t="s">
        <v>742</v>
      </c>
      <c r="F624" t="s">
        <v>1290</v>
      </c>
      <c r="G624" t="s">
        <v>2542</v>
      </c>
      <c r="H624" t="s">
        <v>3739</v>
      </c>
      <c r="I624" t="s">
        <v>4945</v>
      </c>
      <c r="J624" t="s">
        <v>5320</v>
      </c>
      <c r="K624">
        <v>11212</v>
      </c>
      <c r="L624" t="s">
        <v>5355</v>
      </c>
      <c r="M624" t="s">
        <v>5356</v>
      </c>
      <c r="O624" t="s">
        <v>5393</v>
      </c>
      <c r="P624" t="s">
        <v>6525</v>
      </c>
      <c r="Q624" t="s">
        <v>6532</v>
      </c>
      <c r="R624" t="s">
        <v>6539</v>
      </c>
      <c r="S624" t="s">
        <v>5355</v>
      </c>
      <c r="U624" t="s">
        <v>6557</v>
      </c>
      <c r="W624" t="s">
        <v>6581</v>
      </c>
      <c r="X624">
        <v>0</v>
      </c>
      <c r="Y624" t="s">
        <v>6605</v>
      </c>
      <c r="AA624" t="s">
        <v>6642</v>
      </c>
      <c r="AB624" t="s">
        <v>7232</v>
      </c>
      <c r="AD624" t="s">
        <v>9166</v>
      </c>
      <c r="AE624">
        <v>0</v>
      </c>
      <c r="AH624">
        <v>0</v>
      </c>
      <c r="AI624">
        <v>2</v>
      </c>
      <c r="AJ624">
        <v>0</v>
      </c>
      <c r="AK624">
        <v>194.41</v>
      </c>
      <c r="AN624" t="s">
        <v>11050</v>
      </c>
      <c r="AO624">
        <v>32000.04</v>
      </c>
      <c r="AU624">
        <v>1</v>
      </c>
      <c r="AV624" t="s">
        <v>600</v>
      </c>
      <c r="AW624" t="s">
        <v>11517</v>
      </c>
    </row>
    <row r="625" spans="1:49">
      <c r="A625" s="1">
        <f>HYPERLINK("https://cms.ls-nyc.org/matter/dynamic-profile/view/1842277","17-1842277")</f>
        <v>0</v>
      </c>
      <c r="B625" t="s">
        <v>75</v>
      </c>
      <c r="C625" t="s">
        <v>234</v>
      </c>
      <c r="D625" t="s">
        <v>404</v>
      </c>
      <c r="E625" t="s">
        <v>701</v>
      </c>
      <c r="F625" t="s">
        <v>1069</v>
      </c>
      <c r="G625" t="s">
        <v>2543</v>
      </c>
      <c r="H625" t="s">
        <v>3759</v>
      </c>
      <c r="J625" t="s">
        <v>5320</v>
      </c>
      <c r="K625">
        <v>11213</v>
      </c>
      <c r="L625" t="s">
        <v>5355</v>
      </c>
      <c r="M625" t="s">
        <v>5356</v>
      </c>
      <c r="O625" t="s">
        <v>6498</v>
      </c>
      <c r="P625" t="s">
        <v>6525</v>
      </c>
      <c r="Q625" t="s">
        <v>6531</v>
      </c>
      <c r="R625" t="s">
        <v>6539</v>
      </c>
      <c r="S625" t="s">
        <v>5355</v>
      </c>
      <c r="U625" t="s">
        <v>6557</v>
      </c>
      <c r="W625" t="s">
        <v>438</v>
      </c>
      <c r="X625">
        <v>0</v>
      </c>
      <c r="Y625" t="s">
        <v>6605</v>
      </c>
      <c r="Z625" t="s">
        <v>6622</v>
      </c>
      <c r="AA625" t="s">
        <v>6631</v>
      </c>
      <c r="AB625" t="s">
        <v>7233</v>
      </c>
      <c r="AE625">
        <v>74</v>
      </c>
      <c r="AF625" t="s">
        <v>11005</v>
      </c>
      <c r="AG625" t="s">
        <v>5406</v>
      </c>
      <c r="AH625">
        <v>37</v>
      </c>
      <c r="AI625">
        <v>2</v>
      </c>
      <c r="AJ625">
        <v>0</v>
      </c>
      <c r="AK625">
        <v>194.48</v>
      </c>
      <c r="AL625" t="s">
        <v>511</v>
      </c>
      <c r="AN625" t="s">
        <v>11050</v>
      </c>
      <c r="AO625">
        <v>31584</v>
      </c>
      <c r="AU625">
        <v>0.7</v>
      </c>
      <c r="AV625" t="s">
        <v>701</v>
      </c>
      <c r="AW625" t="s">
        <v>11489</v>
      </c>
    </row>
    <row r="626" spans="1:49">
      <c r="A626" s="1">
        <f>HYPERLINK("https://cms.ls-nyc.org/matter/dynamic-profile/view/1847205","17-1847205")</f>
        <v>0</v>
      </c>
      <c r="B626" t="s">
        <v>135</v>
      </c>
      <c r="C626" t="s">
        <v>235</v>
      </c>
      <c r="D626" t="s">
        <v>415</v>
      </c>
      <c r="F626" t="s">
        <v>1185</v>
      </c>
      <c r="G626" t="s">
        <v>2544</v>
      </c>
      <c r="H626" t="s">
        <v>3775</v>
      </c>
      <c r="I626" t="s">
        <v>4749</v>
      </c>
      <c r="J626" t="s">
        <v>5320</v>
      </c>
      <c r="K626">
        <v>11206</v>
      </c>
      <c r="L626" t="s">
        <v>5355</v>
      </c>
      <c r="M626" t="s">
        <v>5356</v>
      </c>
      <c r="O626" t="s">
        <v>6500</v>
      </c>
      <c r="P626" t="s">
        <v>6525</v>
      </c>
      <c r="R626" t="s">
        <v>6539</v>
      </c>
      <c r="S626" t="s">
        <v>5355</v>
      </c>
      <c r="U626" t="s">
        <v>6557</v>
      </c>
      <c r="W626" t="s">
        <v>575</v>
      </c>
      <c r="X626">
        <v>1157.82</v>
      </c>
      <c r="Y626" t="s">
        <v>6605</v>
      </c>
      <c r="Z626" t="s">
        <v>6612</v>
      </c>
      <c r="AB626" t="s">
        <v>7234</v>
      </c>
      <c r="AC626" t="s">
        <v>5392</v>
      </c>
      <c r="AD626" t="s">
        <v>9620</v>
      </c>
      <c r="AE626">
        <v>25</v>
      </c>
      <c r="AF626" t="s">
        <v>11013</v>
      </c>
      <c r="AG626" t="s">
        <v>5406</v>
      </c>
      <c r="AH626">
        <v>25</v>
      </c>
      <c r="AI626">
        <v>1</v>
      </c>
      <c r="AJ626">
        <v>0</v>
      </c>
      <c r="AK626">
        <v>199</v>
      </c>
      <c r="AN626" t="s">
        <v>11050</v>
      </c>
      <c r="AO626">
        <v>24000</v>
      </c>
      <c r="AU626">
        <v>220.8</v>
      </c>
      <c r="AV626" t="s">
        <v>782</v>
      </c>
      <c r="AW626" t="s">
        <v>11512</v>
      </c>
    </row>
    <row r="627" spans="1:49">
      <c r="A627" s="1">
        <f>HYPERLINK("https://cms.ls-nyc.org/matter/dynamic-profile/view/1853025","17-1853025")</f>
        <v>0</v>
      </c>
      <c r="B627" t="s">
        <v>105</v>
      </c>
      <c r="C627" t="s">
        <v>234</v>
      </c>
      <c r="D627" t="s">
        <v>464</v>
      </c>
      <c r="E627" t="s">
        <v>680</v>
      </c>
      <c r="F627" t="s">
        <v>842</v>
      </c>
      <c r="G627" t="s">
        <v>2545</v>
      </c>
      <c r="H627" t="s">
        <v>3888</v>
      </c>
      <c r="I627" t="s">
        <v>4814</v>
      </c>
      <c r="J627" t="s">
        <v>5323</v>
      </c>
      <c r="K627">
        <v>10019</v>
      </c>
      <c r="L627" t="s">
        <v>5356</v>
      </c>
      <c r="M627" t="s">
        <v>5356</v>
      </c>
      <c r="P627" t="s">
        <v>6525</v>
      </c>
      <c r="Q627" t="s">
        <v>6532</v>
      </c>
      <c r="R627" t="s">
        <v>6539</v>
      </c>
      <c r="S627" t="s">
        <v>5355</v>
      </c>
      <c r="U627" t="s">
        <v>6557</v>
      </c>
      <c r="W627" t="s">
        <v>464</v>
      </c>
      <c r="X627">
        <v>1256</v>
      </c>
      <c r="Y627" t="s">
        <v>6608</v>
      </c>
      <c r="Z627" t="s">
        <v>6612</v>
      </c>
      <c r="AA627" t="s">
        <v>6631</v>
      </c>
      <c r="AB627" t="s">
        <v>7235</v>
      </c>
      <c r="AD627" t="s">
        <v>9621</v>
      </c>
      <c r="AE627">
        <v>0</v>
      </c>
      <c r="AF627" t="s">
        <v>11005</v>
      </c>
      <c r="AH627">
        <v>40</v>
      </c>
      <c r="AI627">
        <v>2</v>
      </c>
      <c r="AJ627">
        <v>0</v>
      </c>
      <c r="AK627">
        <v>199.51</v>
      </c>
      <c r="AO627">
        <v>32400</v>
      </c>
      <c r="AU627">
        <v>14.25</v>
      </c>
      <c r="AV627" t="s">
        <v>680</v>
      </c>
      <c r="AW627" t="s">
        <v>105</v>
      </c>
    </row>
    <row r="628" spans="1:49">
      <c r="A628" s="1">
        <f>HYPERLINK("https://cms.ls-nyc.org/matter/dynamic-profile/view/1866981","18-1866981")</f>
        <v>0</v>
      </c>
      <c r="B628" t="s">
        <v>76</v>
      </c>
      <c r="C628" t="s">
        <v>234</v>
      </c>
      <c r="D628" t="s">
        <v>244</v>
      </c>
      <c r="E628" t="s">
        <v>761</v>
      </c>
      <c r="F628" t="s">
        <v>988</v>
      </c>
      <c r="G628" t="s">
        <v>2546</v>
      </c>
      <c r="H628" t="s">
        <v>3889</v>
      </c>
      <c r="I628" t="s">
        <v>4946</v>
      </c>
      <c r="J628" t="s">
        <v>5323</v>
      </c>
      <c r="K628">
        <v>10029</v>
      </c>
      <c r="L628" t="s">
        <v>5355</v>
      </c>
      <c r="M628" t="s">
        <v>5355</v>
      </c>
      <c r="N628" t="s">
        <v>5538</v>
      </c>
      <c r="O628" t="s">
        <v>6492</v>
      </c>
      <c r="P628" t="s">
        <v>6525</v>
      </c>
      <c r="Q628" t="s">
        <v>6532</v>
      </c>
      <c r="R628" t="s">
        <v>6539</v>
      </c>
      <c r="S628" t="s">
        <v>5357</v>
      </c>
      <c r="U628" t="s">
        <v>6557</v>
      </c>
      <c r="V628" t="s">
        <v>6566</v>
      </c>
      <c r="W628" t="s">
        <v>280</v>
      </c>
      <c r="X628">
        <v>2000</v>
      </c>
      <c r="Y628" t="s">
        <v>6608</v>
      </c>
      <c r="Z628" t="s">
        <v>6493</v>
      </c>
      <c r="AA628" t="s">
        <v>6636</v>
      </c>
      <c r="AB628" t="s">
        <v>7236</v>
      </c>
      <c r="AD628" t="s">
        <v>9622</v>
      </c>
      <c r="AE628">
        <v>18</v>
      </c>
      <c r="AF628" t="s">
        <v>11005</v>
      </c>
      <c r="AG628" t="s">
        <v>5406</v>
      </c>
      <c r="AH628">
        <v>3</v>
      </c>
      <c r="AI628">
        <v>1</v>
      </c>
      <c r="AJ628">
        <v>2</v>
      </c>
      <c r="AK628">
        <v>199.81</v>
      </c>
      <c r="AN628" t="s">
        <v>11050</v>
      </c>
      <c r="AO628">
        <v>41520</v>
      </c>
      <c r="AU628">
        <v>3.5</v>
      </c>
      <c r="AV628" t="s">
        <v>722</v>
      </c>
      <c r="AW628" t="s">
        <v>11520</v>
      </c>
    </row>
    <row r="629" spans="1:49">
      <c r="A629" s="1">
        <f>HYPERLINK("https://cms.ls-nyc.org/matter/dynamic-profile/view/1862548","18-1862548")</f>
        <v>0</v>
      </c>
      <c r="B629" t="s">
        <v>83</v>
      </c>
      <c r="C629" t="s">
        <v>234</v>
      </c>
      <c r="D629" t="s">
        <v>408</v>
      </c>
      <c r="E629" t="s">
        <v>688</v>
      </c>
      <c r="F629" t="s">
        <v>903</v>
      </c>
      <c r="G629" t="s">
        <v>2547</v>
      </c>
      <c r="H629" t="s">
        <v>3890</v>
      </c>
      <c r="I629" t="s">
        <v>4752</v>
      </c>
      <c r="J629" t="s">
        <v>5323</v>
      </c>
      <c r="K629">
        <v>10029</v>
      </c>
      <c r="L629" t="s">
        <v>5355</v>
      </c>
      <c r="M629" t="s">
        <v>5355</v>
      </c>
      <c r="O629" t="s">
        <v>5393</v>
      </c>
      <c r="P629" t="s">
        <v>6525</v>
      </c>
      <c r="Q629" t="s">
        <v>6531</v>
      </c>
      <c r="R629" t="s">
        <v>6539</v>
      </c>
      <c r="S629" t="s">
        <v>5357</v>
      </c>
      <c r="U629" t="s">
        <v>6557</v>
      </c>
      <c r="V629" t="s">
        <v>6566</v>
      </c>
      <c r="W629" t="s">
        <v>369</v>
      </c>
      <c r="X629">
        <v>1353</v>
      </c>
      <c r="Y629" t="s">
        <v>6608</v>
      </c>
      <c r="Z629" t="s">
        <v>6493</v>
      </c>
      <c r="AA629" t="s">
        <v>6631</v>
      </c>
      <c r="AB629" t="s">
        <v>7225</v>
      </c>
      <c r="AD629" t="s">
        <v>9166</v>
      </c>
      <c r="AE629">
        <v>10</v>
      </c>
      <c r="AF629" t="s">
        <v>11005</v>
      </c>
      <c r="AG629" t="s">
        <v>5406</v>
      </c>
      <c r="AH629">
        <v>27</v>
      </c>
      <c r="AI629">
        <v>1</v>
      </c>
      <c r="AJ629">
        <v>1</v>
      </c>
      <c r="AK629">
        <v>202.19</v>
      </c>
      <c r="AL629" t="s">
        <v>11029</v>
      </c>
      <c r="AN629" t="s">
        <v>11050</v>
      </c>
      <c r="AO629">
        <v>33280</v>
      </c>
      <c r="AU629">
        <v>1.8</v>
      </c>
      <c r="AV629" t="s">
        <v>369</v>
      </c>
      <c r="AW629" t="s">
        <v>11514</v>
      </c>
    </row>
    <row r="630" spans="1:49">
      <c r="A630" s="1">
        <f>HYPERLINK("https://cms.ls-nyc.org/matter/dynamic-profile/view/1858491","18-1858491")</f>
        <v>0</v>
      </c>
      <c r="B630" t="s">
        <v>111</v>
      </c>
      <c r="C630" t="s">
        <v>234</v>
      </c>
      <c r="D630" t="s">
        <v>284</v>
      </c>
      <c r="E630" t="s">
        <v>701</v>
      </c>
      <c r="F630" t="s">
        <v>1291</v>
      </c>
      <c r="G630" t="s">
        <v>2314</v>
      </c>
      <c r="H630" t="s">
        <v>3877</v>
      </c>
      <c r="I630" t="s">
        <v>4849</v>
      </c>
      <c r="J630" t="s">
        <v>5323</v>
      </c>
      <c r="K630">
        <v>10034</v>
      </c>
      <c r="L630" t="s">
        <v>5355</v>
      </c>
      <c r="M630" t="s">
        <v>5355</v>
      </c>
      <c r="O630" t="s">
        <v>5393</v>
      </c>
      <c r="P630" t="s">
        <v>6525</v>
      </c>
      <c r="Q630" t="s">
        <v>6532</v>
      </c>
      <c r="R630" t="s">
        <v>6539</v>
      </c>
      <c r="S630" t="s">
        <v>5357</v>
      </c>
      <c r="U630" t="s">
        <v>6557</v>
      </c>
      <c r="W630" t="s">
        <v>330</v>
      </c>
      <c r="X630">
        <v>1700</v>
      </c>
      <c r="Y630" t="s">
        <v>6608</v>
      </c>
      <c r="Z630" t="s">
        <v>6623</v>
      </c>
      <c r="AA630" t="s">
        <v>6636</v>
      </c>
      <c r="AB630" t="s">
        <v>7237</v>
      </c>
      <c r="AD630" t="s">
        <v>9623</v>
      </c>
      <c r="AE630">
        <v>48</v>
      </c>
      <c r="AF630" t="s">
        <v>11005</v>
      </c>
      <c r="AG630" t="s">
        <v>5406</v>
      </c>
      <c r="AH630">
        <v>7</v>
      </c>
      <c r="AI630">
        <v>2</v>
      </c>
      <c r="AJ630">
        <v>0</v>
      </c>
      <c r="AK630">
        <v>202.92</v>
      </c>
      <c r="AN630" t="s">
        <v>11050</v>
      </c>
      <c r="AO630">
        <v>33400</v>
      </c>
      <c r="AU630">
        <v>3.4</v>
      </c>
      <c r="AV630" t="s">
        <v>701</v>
      </c>
      <c r="AW630" t="s">
        <v>11500</v>
      </c>
    </row>
    <row r="631" spans="1:49">
      <c r="A631" s="1">
        <f>HYPERLINK("https://cms.ls-nyc.org/matter/dynamic-profile/view/1848397","17-1848397")</f>
        <v>0</v>
      </c>
      <c r="B631" t="s">
        <v>77</v>
      </c>
      <c r="C631" t="s">
        <v>234</v>
      </c>
      <c r="D631" t="s">
        <v>465</v>
      </c>
      <c r="E631" t="s">
        <v>704</v>
      </c>
      <c r="F631" t="s">
        <v>1292</v>
      </c>
      <c r="G631" t="s">
        <v>2548</v>
      </c>
      <c r="H631" t="s">
        <v>3891</v>
      </c>
      <c r="I631">
        <v>6</v>
      </c>
      <c r="J631" t="s">
        <v>5320</v>
      </c>
      <c r="K631">
        <v>11219</v>
      </c>
      <c r="L631" t="s">
        <v>5355</v>
      </c>
      <c r="M631" t="s">
        <v>5356</v>
      </c>
      <c r="O631" t="s">
        <v>6500</v>
      </c>
      <c r="P631" t="s">
        <v>6525</v>
      </c>
      <c r="Q631" t="s">
        <v>6532</v>
      </c>
      <c r="R631" t="s">
        <v>6539</v>
      </c>
      <c r="S631" t="s">
        <v>5355</v>
      </c>
      <c r="T631" t="s">
        <v>6539</v>
      </c>
      <c r="U631" t="s">
        <v>6557</v>
      </c>
      <c r="W631" t="s">
        <v>411</v>
      </c>
      <c r="X631">
        <v>1014.22</v>
      </c>
      <c r="Y631" t="s">
        <v>6605</v>
      </c>
      <c r="AA631" t="s">
        <v>6637</v>
      </c>
      <c r="AB631" t="s">
        <v>7238</v>
      </c>
      <c r="AD631" t="s">
        <v>9624</v>
      </c>
      <c r="AE631">
        <v>14</v>
      </c>
      <c r="AF631" t="s">
        <v>11005</v>
      </c>
      <c r="AH631">
        <v>12</v>
      </c>
      <c r="AI631">
        <v>4</v>
      </c>
      <c r="AJ631">
        <v>1</v>
      </c>
      <c r="AK631">
        <v>209.52</v>
      </c>
      <c r="AL631" t="s">
        <v>366</v>
      </c>
      <c r="AN631" t="s">
        <v>11062</v>
      </c>
      <c r="AO631">
        <v>60300</v>
      </c>
      <c r="AU631">
        <v>26.55</v>
      </c>
      <c r="AV631" t="s">
        <v>704</v>
      </c>
      <c r="AW631" t="s">
        <v>11489</v>
      </c>
    </row>
    <row r="632" spans="1:49">
      <c r="A632" s="1">
        <f>HYPERLINK("https://cms.ls-nyc.org/matter/dynamic-profile/view/1871314","18-1871314")</f>
        <v>0</v>
      </c>
      <c r="B632" t="s">
        <v>135</v>
      </c>
      <c r="C632" t="s">
        <v>234</v>
      </c>
      <c r="D632" t="s">
        <v>401</v>
      </c>
      <c r="E632" t="s">
        <v>742</v>
      </c>
      <c r="F632" t="s">
        <v>973</v>
      </c>
      <c r="G632" t="s">
        <v>2549</v>
      </c>
      <c r="H632" t="s">
        <v>3739</v>
      </c>
      <c r="I632" t="s">
        <v>4744</v>
      </c>
      <c r="J632" t="s">
        <v>5320</v>
      </c>
      <c r="K632">
        <v>11212</v>
      </c>
      <c r="L632" t="s">
        <v>5355</v>
      </c>
      <c r="M632" t="s">
        <v>5356</v>
      </c>
      <c r="O632" t="s">
        <v>6499</v>
      </c>
      <c r="P632" t="s">
        <v>6525</v>
      </c>
      <c r="Q632" t="s">
        <v>6532</v>
      </c>
      <c r="R632" t="s">
        <v>6539</v>
      </c>
      <c r="S632" t="s">
        <v>5355</v>
      </c>
      <c r="U632" t="s">
        <v>6557</v>
      </c>
      <c r="W632" t="s">
        <v>349</v>
      </c>
      <c r="X632">
        <v>1201</v>
      </c>
      <c r="Y632" t="s">
        <v>6605</v>
      </c>
      <c r="Z632" t="s">
        <v>6614</v>
      </c>
      <c r="AA632" t="s">
        <v>6642</v>
      </c>
      <c r="AB632" t="s">
        <v>7239</v>
      </c>
      <c r="AD632" t="s">
        <v>9625</v>
      </c>
      <c r="AE632">
        <v>32</v>
      </c>
      <c r="AF632" t="s">
        <v>11005</v>
      </c>
      <c r="AG632" t="s">
        <v>5406</v>
      </c>
      <c r="AH632">
        <v>10</v>
      </c>
      <c r="AI632">
        <v>2</v>
      </c>
      <c r="AJ632">
        <v>0</v>
      </c>
      <c r="AK632">
        <v>212.64</v>
      </c>
      <c r="AN632" t="s">
        <v>11050</v>
      </c>
      <c r="AO632">
        <v>35000</v>
      </c>
      <c r="AU632">
        <v>0.08</v>
      </c>
      <c r="AV632" t="s">
        <v>726</v>
      </c>
      <c r="AW632" t="s">
        <v>11517</v>
      </c>
    </row>
    <row r="633" spans="1:49">
      <c r="A633" s="1">
        <f>HYPERLINK("https://cms.ls-nyc.org/matter/dynamic-profile/view/1871573","18-1871573")</f>
        <v>0</v>
      </c>
      <c r="B633" t="s">
        <v>135</v>
      </c>
      <c r="C633" t="s">
        <v>235</v>
      </c>
      <c r="D633" t="s">
        <v>402</v>
      </c>
      <c r="F633" t="s">
        <v>973</v>
      </c>
      <c r="G633" t="s">
        <v>2549</v>
      </c>
      <c r="H633" t="s">
        <v>3739</v>
      </c>
      <c r="I633" t="s">
        <v>4744</v>
      </c>
      <c r="J633" t="s">
        <v>5320</v>
      </c>
      <c r="K633">
        <v>11212</v>
      </c>
      <c r="L633" t="s">
        <v>5355</v>
      </c>
      <c r="M633" t="s">
        <v>5356</v>
      </c>
      <c r="O633" t="s">
        <v>5393</v>
      </c>
      <c r="P633" t="s">
        <v>6525</v>
      </c>
      <c r="R633" t="s">
        <v>6539</v>
      </c>
      <c r="S633" t="s">
        <v>5355</v>
      </c>
      <c r="U633" t="s">
        <v>6557</v>
      </c>
      <c r="W633" t="s">
        <v>6581</v>
      </c>
      <c r="X633">
        <v>1201</v>
      </c>
      <c r="Y633" t="s">
        <v>6605</v>
      </c>
      <c r="Z633" t="s">
        <v>6493</v>
      </c>
      <c r="AB633" t="s">
        <v>7239</v>
      </c>
      <c r="AD633" t="s">
        <v>9625</v>
      </c>
      <c r="AE633">
        <v>32</v>
      </c>
      <c r="AF633" t="s">
        <v>11005</v>
      </c>
      <c r="AH633">
        <v>10</v>
      </c>
      <c r="AI633">
        <v>2</v>
      </c>
      <c r="AJ633">
        <v>0</v>
      </c>
      <c r="AK633">
        <v>212.64</v>
      </c>
      <c r="AN633" t="s">
        <v>11050</v>
      </c>
      <c r="AO633">
        <v>35000</v>
      </c>
      <c r="AU633">
        <v>0</v>
      </c>
      <c r="AW633" t="s">
        <v>11517</v>
      </c>
    </row>
    <row r="634" spans="1:49">
      <c r="A634" s="1">
        <f>HYPERLINK("https://cms.ls-nyc.org/matter/dynamic-profile/view/1865969","18-1865969")</f>
        <v>0</v>
      </c>
      <c r="B634" t="s">
        <v>142</v>
      </c>
      <c r="C634" t="s">
        <v>234</v>
      </c>
      <c r="D634" t="s">
        <v>312</v>
      </c>
      <c r="E634" t="s">
        <v>583</v>
      </c>
      <c r="F634" t="s">
        <v>987</v>
      </c>
      <c r="G634" t="s">
        <v>1007</v>
      </c>
      <c r="H634" t="s">
        <v>3848</v>
      </c>
      <c r="I634" t="s">
        <v>4781</v>
      </c>
      <c r="J634" t="s">
        <v>5320</v>
      </c>
      <c r="K634">
        <v>11206</v>
      </c>
      <c r="L634" t="s">
        <v>5355</v>
      </c>
      <c r="M634" t="s">
        <v>5355</v>
      </c>
      <c r="O634" t="s">
        <v>6500</v>
      </c>
      <c r="P634" t="s">
        <v>6525</v>
      </c>
      <c r="Q634" t="s">
        <v>6532</v>
      </c>
      <c r="R634" t="s">
        <v>6539</v>
      </c>
      <c r="S634" t="s">
        <v>5355</v>
      </c>
      <c r="U634" t="s">
        <v>6557</v>
      </c>
      <c r="W634" t="s">
        <v>502</v>
      </c>
      <c r="X634">
        <v>0</v>
      </c>
      <c r="Y634" t="s">
        <v>6605</v>
      </c>
      <c r="AA634" t="s">
        <v>6632</v>
      </c>
      <c r="AB634" t="s">
        <v>7240</v>
      </c>
      <c r="AE634">
        <v>6</v>
      </c>
      <c r="AH634">
        <v>0</v>
      </c>
      <c r="AI634">
        <v>2</v>
      </c>
      <c r="AJ634">
        <v>0</v>
      </c>
      <c r="AK634">
        <v>212.64</v>
      </c>
      <c r="AL634" t="s">
        <v>11029</v>
      </c>
      <c r="AN634" t="s">
        <v>11050</v>
      </c>
      <c r="AO634">
        <v>35000</v>
      </c>
      <c r="AU634">
        <v>19.2</v>
      </c>
      <c r="AV634" t="s">
        <v>710</v>
      </c>
      <c r="AW634" t="s">
        <v>142</v>
      </c>
    </row>
    <row r="635" spans="1:49">
      <c r="A635" s="1">
        <f>HYPERLINK("https://cms.ls-nyc.org/matter/dynamic-profile/view/1845669","17-1845669")</f>
        <v>0</v>
      </c>
      <c r="B635" t="s">
        <v>97</v>
      </c>
      <c r="C635" t="s">
        <v>235</v>
      </c>
      <c r="D635" t="s">
        <v>466</v>
      </c>
      <c r="F635" t="s">
        <v>1208</v>
      </c>
      <c r="G635" t="s">
        <v>2550</v>
      </c>
      <c r="H635" t="s">
        <v>3815</v>
      </c>
      <c r="I635">
        <v>52</v>
      </c>
      <c r="J635" t="s">
        <v>5323</v>
      </c>
      <c r="K635">
        <v>10034</v>
      </c>
      <c r="L635" t="s">
        <v>5355</v>
      </c>
      <c r="M635" t="s">
        <v>5356</v>
      </c>
      <c r="N635" t="s">
        <v>5539</v>
      </c>
      <c r="O635" t="s">
        <v>6492</v>
      </c>
      <c r="P635" t="s">
        <v>6525</v>
      </c>
      <c r="R635" t="s">
        <v>6539</v>
      </c>
      <c r="S635" t="s">
        <v>5357</v>
      </c>
      <c r="U635" t="s">
        <v>6557</v>
      </c>
      <c r="W635" t="s">
        <v>346</v>
      </c>
      <c r="X635">
        <v>1050</v>
      </c>
      <c r="Y635" t="s">
        <v>6608</v>
      </c>
      <c r="Z635" t="s">
        <v>6616</v>
      </c>
      <c r="AB635" t="s">
        <v>7241</v>
      </c>
      <c r="AD635" t="s">
        <v>9626</v>
      </c>
      <c r="AE635">
        <v>1000</v>
      </c>
      <c r="AF635" t="s">
        <v>11005</v>
      </c>
      <c r="AG635" t="s">
        <v>5406</v>
      </c>
      <c r="AH635">
        <v>4</v>
      </c>
      <c r="AI635">
        <v>1</v>
      </c>
      <c r="AJ635">
        <v>0</v>
      </c>
      <c r="AK635">
        <v>218.91</v>
      </c>
      <c r="AL635" t="s">
        <v>11029</v>
      </c>
      <c r="AN635" t="s">
        <v>11050</v>
      </c>
      <c r="AO635">
        <v>26400</v>
      </c>
      <c r="AU635">
        <v>13.8</v>
      </c>
      <c r="AV635" t="s">
        <v>398</v>
      </c>
      <c r="AW635" t="s">
        <v>11515</v>
      </c>
    </row>
    <row r="636" spans="1:49">
      <c r="A636" s="1">
        <f>HYPERLINK("https://cms.ls-nyc.org/matter/dynamic-profile/view/1865186","18-1865186")</f>
        <v>0</v>
      </c>
      <c r="B636" t="s">
        <v>92</v>
      </c>
      <c r="C636" t="s">
        <v>235</v>
      </c>
      <c r="D636" t="s">
        <v>254</v>
      </c>
      <c r="F636" t="s">
        <v>1111</v>
      </c>
      <c r="G636" t="s">
        <v>2551</v>
      </c>
      <c r="H636" t="s">
        <v>3892</v>
      </c>
      <c r="I636" t="s">
        <v>4847</v>
      </c>
      <c r="J636" t="s">
        <v>5323</v>
      </c>
      <c r="K636">
        <v>10002</v>
      </c>
      <c r="L636" t="s">
        <v>5355</v>
      </c>
      <c r="M636" t="s">
        <v>5356</v>
      </c>
      <c r="O636" t="s">
        <v>5393</v>
      </c>
      <c r="P636" t="s">
        <v>6525</v>
      </c>
      <c r="R636" t="s">
        <v>6540</v>
      </c>
      <c r="S636" t="s">
        <v>5357</v>
      </c>
      <c r="U636" t="s">
        <v>6557</v>
      </c>
      <c r="W636" t="s">
        <v>328</v>
      </c>
      <c r="X636">
        <v>1254</v>
      </c>
      <c r="Y636" t="s">
        <v>6608</v>
      </c>
      <c r="Z636" t="s">
        <v>6610</v>
      </c>
      <c r="AB636" t="s">
        <v>7242</v>
      </c>
      <c r="AD636" t="s">
        <v>9627</v>
      </c>
      <c r="AE636">
        <v>200</v>
      </c>
      <c r="AF636" t="s">
        <v>11012</v>
      </c>
      <c r="AG636" t="s">
        <v>5406</v>
      </c>
      <c r="AH636">
        <v>10</v>
      </c>
      <c r="AI636">
        <v>2</v>
      </c>
      <c r="AJ636">
        <v>1</v>
      </c>
      <c r="AK636">
        <v>219.44</v>
      </c>
      <c r="AL636" t="s">
        <v>11028</v>
      </c>
      <c r="AN636" t="s">
        <v>11050</v>
      </c>
      <c r="AO636">
        <v>45600</v>
      </c>
      <c r="AU636">
        <v>20.35</v>
      </c>
      <c r="AV636" t="s">
        <v>751</v>
      </c>
      <c r="AW636" t="s">
        <v>11525</v>
      </c>
    </row>
    <row r="637" spans="1:49">
      <c r="A637" s="1">
        <f>HYPERLINK("https://cms.ls-nyc.org/matter/dynamic-profile/view/1867667","18-1867667")</f>
        <v>0</v>
      </c>
      <c r="B637" t="s">
        <v>101</v>
      </c>
      <c r="C637" t="s">
        <v>234</v>
      </c>
      <c r="D637" t="s">
        <v>382</v>
      </c>
      <c r="E637" t="s">
        <v>703</v>
      </c>
      <c r="F637" t="s">
        <v>1249</v>
      </c>
      <c r="G637" t="s">
        <v>2552</v>
      </c>
      <c r="H637" t="s">
        <v>3893</v>
      </c>
      <c r="I637" t="s">
        <v>4737</v>
      </c>
      <c r="J637" t="s">
        <v>5320</v>
      </c>
      <c r="K637">
        <v>11233</v>
      </c>
      <c r="L637" t="s">
        <v>5355</v>
      </c>
      <c r="M637" t="s">
        <v>5356</v>
      </c>
      <c r="P637" t="s">
        <v>6525</v>
      </c>
      <c r="Q637" t="s">
        <v>6531</v>
      </c>
      <c r="R637" t="s">
        <v>6539</v>
      </c>
      <c r="U637" t="s">
        <v>6557</v>
      </c>
      <c r="W637" t="s">
        <v>382</v>
      </c>
      <c r="X637">
        <v>2000</v>
      </c>
      <c r="Y637" t="s">
        <v>6605</v>
      </c>
      <c r="Z637" t="s">
        <v>6610</v>
      </c>
      <c r="AA637" t="s">
        <v>6631</v>
      </c>
      <c r="AB637" t="s">
        <v>7243</v>
      </c>
      <c r="AD637" t="s">
        <v>9628</v>
      </c>
      <c r="AE637">
        <v>2</v>
      </c>
      <c r="AF637" t="s">
        <v>11009</v>
      </c>
      <c r="AH637">
        <v>13</v>
      </c>
      <c r="AI637">
        <v>2</v>
      </c>
      <c r="AJ637">
        <v>0</v>
      </c>
      <c r="AK637">
        <v>224.79</v>
      </c>
      <c r="AL637" t="s">
        <v>11029</v>
      </c>
      <c r="AN637" t="s">
        <v>11050</v>
      </c>
      <c r="AO637">
        <v>37000</v>
      </c>
      <c r="AU637">
        <v>0.2</v>
      </c>
      <c r="AV637" t="s">
        <v>386</v>
      </c>
      <c r="AW637" t="s">
        <v>11488</v>
      </c>
    </row>
    <row r="638" spans="1:49">
      <c r="A638" s="1">
        <f>HYPERLINK("https://cms.ls-nyc.org/matter/dynamic-profile/view/1845620","17-1845620")</f>
        <v>0</v>
      </c>
      <c r="B638" t="s">
        <v>77</v>
      </c>
      <c r="C638" t="s">
        <v>234</v>
      </c>
      <c r="D638" t="s">
        <v>462</v>
      </c>
      <c r="E638" t="s">
        <v>704</v>
      </c>
      <c r="F638" t="s">
        <v>1000</v>
      </c>
      <c r="G638" t="s">
        <v>2215</v>
      </c>
      <c r="H638" t="s">
        <v>3480</v>
      </c>
      <c r="I638" t="s">
        <v>4738</v>
      </c>
      <c r="J638" t="s">
        <v>5320</v>
      </c>
      <c r="K638">
        <v>11213</v>
      </c>
      <c r="L638" t="s">
        <v>5355</v>
      </c>
      <c r="M638" t="s">
        <v>5356</v>
      </c>
      <c r="O638" t="s">
        <v>5393</v>
      </c>
      <c r="P638" t="s">
        <v>6525</v>
      </c>
      <c r="Q638" t="s">
        <v>6532</v>
      </c>
      <c r="R638" t="s">
        <v>6539</v>
      </c>
      <c r="S638" t="s">
        <v>5355</v>
      </c>
      <c r="U638" t="s">
        <v>6557</v>
      </c>
      <c r="W638" t="s">
        <v>417</v>
      </c>
      <c r="X638">
        <v>887</v>
      </c>
      <c r="Y638" t="s">
        <v>6605</v>
      </c>
      <c r="Z638" t="s">
        <v>6622</v>
      </c>
      <c r="AA638" t="s">
        <v>6634</v>
      </c>
      <c r="AB638" t="s">
        <v>7244</v>
      </c>
      <c r="AD638" t="s">
        <v>9629</v>
      </c>
      <c r="AE638">
        <v>107</v>
      </c>
      <c r="AF638" t="s">
        <v>11005</v>
      </c>
      <c r="AG638" t="s">
        <v>5406</v>
      </c>
      <c r="AH638">
        <v>25</v>
      </c>
      <c r="AI638">
        <v>4</v>
      </c>
      <c r="AJ638">
        <v>2</v>
      </c>
      <c r="AK638">
        <v>226.09</v>
      </c>
      <c r="AL638" t="s">
        <v>266</v>
      </c>
      <c r="AN638" t="s">
        <v>11050</v>
      </c>
      <c r="AO638">
        <v>74520</v>
      </c>
      <c r="AU638">
        <v>1.5</v>
      </c>
      <c r="AV638" t="s">
        <v>704</v>
      </c>
      <c r="AW638" t="s">
        <v>77</v>
      </c>
    </row>
    <row r="639" spans="1:49">
      <c r="A639" s="1">
        <f>HYPERLINK("https://cms.ls-nyc.org/matter/dynamic-profile/view/1845394","17-1845394")</f>
        <v>0</v>
      </c>
      <c r="B639" t="s">
        <v>106</v>
      </c>
      <c r="C639" t="s">
        <v>235</v>
      </c>
      <c r="D639" t="s">
        <v>457</v>
      </c>
      <c r="F639" t="s">
        <v>1293</v>
      </c>
      <c r="G639" t="s">
        <v>2553</v>
      </c>
      <c r="H639" t="s">
        <v>3894</v>
      </c>
      <c r="I639" t="s">
        <v>4765</v>
      </c>
      <c r="J639" t="s">
        <v>5321</v>
      </c>
      <c r="K639">
        <v>10453</v>
      </c>
      <c r="L639" t="s">
        <v>5355</v>
      </c>
      <c r="M639" t="s">
        <v>5356</v>
      </c>
      <c r="O639" t="s">
        <v>5393</v>
      </c>
      <c r="P639" t="s">
        <v>6525</v>
      </c>
      <c r="R639" t="s">
        <v>6539</v>
      </c>
      <c r="S639" t="s">
        <v>5355</v>
      </c>
      <c r="U639" t="s">
        <v>6557</v>
      </c>
      <c r="W639" t="s">
        <v>397</v>
      </c>
      <c r="X639">
        <v>478.96</v>
      </c>
      <c r="Y639" t="s">
        <v>6606</v>
      </c>
      <c r="Z639" t="s">
        <v>6612</v>
      </c>
      <c r="AB639" t="s">
        <v>7197</v>
      </c>
      <c r="AD639" t="s">
        <v>9630</v>
      </c>
      <c r="AE639">
        <v>57</v>
      </c>
      <c r="AF639" t="s">
        <v>8722</v>
      </c>
      <c r="AG639" t="s">
        <v>5406</v>
      </c>
      <c r="AH639">
        <v>31</v>
      </c>
      <c r="AI639">
        <v>1</v>
      </c>
      <c r="AJ639">
        <v>0</v>
      </c>
      <c r="AK639">
        <v>229.04</v>
      </c>
      <c r="AL639" t="s">
        <v>11029</v>
      </c>
      <c r="AN639" t="s">
        <v>11049</v>
      </c>
      <c r="AO639">
        <v>27622</v>
      </c>
      <c r="AU639">
        <v>1.5</v>
      </c>
      <c r="AV639" t="s">
        <v>525</v>
      </c>
      <c r="AW639" t="s">
        <v>11492</v>
      </c>
    </row>
    <row r="640" spans="1:49">
      <c r="A640" s="1">
        <f>HYPERLINK("https://cms.ls-nyc.org/matter/dynamic-profile/view/1882211","18-1882211")</f>
        <v>0</v>
      </c>
      <c r="B640" t="s">
        <v>138</v>
      </c>
      <c r="C640" t="s">
        <v>235</v>
      </c>
      <c r="D640" t="s">
        <v>437</v>
      </c>
      <c r="F640" t="s">
        <v>1294</v>
      </c>
      <c r="G640" t="s">
        <v>2525</v>
      </c>
      <c r="H640" t="s">
        <v>3826</v>
      </c>
      <c r="I640" t="s">
        <v>4739</v>
      </c>
      <c r="J640" t="s">
        <v>5320</v>
      </c>
      <c r="K640">
        <v>11233</v>
      </c>
      <c r="L640" t="s">
        <v>5355</v>
      </c>
      <c r="M640" t="s">
        <v>5355</v>
      </c>
      <c r="O640" t="s">
        <v>6500</v>
      </c>
      <c r="P640" t="s">
        <v>6525</v>
      </c>
      <c r="R640" t="s">
        <v>6539</v>
      </c>
      <c r="S640" t="s">
        <v>5355</v>
      </c>
      <c r="U640" t="s">
        <v>6557</v>
      </c>
      <c r="V640" t="s">
        <v>6566</v>
      </c>
      <c r="W640" t="s">
        <v>6590</v>
      </c>
      <c r="X640">
        <v>1328</v>
      </c>
      <c r="Y640" t="s">
        <v>6605</v>
      </c>
      <c r="Z640" t="s">
        <v>6614</v>
      </c>
      <c r="AB640" t="s">
        <v>7245</v>
      </c>
      <c r="AC640" t="s">
        <v>5406</v>
      </c>
      <c r="AD640" t="s">
        <v>9631</v>
      </c>
      <c r="AE640">
        <v>6</v>
      </c>
      <c r="AF640" t="s">
        <v>11005</v>
      </c>
      <c r="AG640" t="s">
        <v>5406</v>
      </c>
      <c r="AH640">
        <v>5</v>
      </c>
      <c r="AI640">
        <v>1</v>
      </c>
      <c r="AJ640">
        <v>0</v>
      </c>
      <c r="AK640">
        <v>234.3</v>
      </c>
      <c r="AN640" t="s">
        <v>11050</v>
      </c>
      <c r="AO640">
        <v>28444</v>
      </c>
      <c r="AP640" t="s">
        <v>11108</v>
      </c>
      <c r="AU640">
        <v>0</v>
      </c>
      <c r="AW640" t="s">
        <v>11512</v>
      </c>
    </row>
    <row r="641" spans="1:49">
      <c r="A641" s="1">
        <f>HYPERLINK("https://cms.ls-nyc.org/matter/dynamic-profile/view/1855759","18-1855759")</f>
        <v>0</v>
      </c>
      <c r="B641" t="s">
        <v>77</v>
      </c>
      <c r="C641" t="s">
        <v>234</v>
      </c>
      <c r="D641" t="s">
        <v>329</v>
      </c>
      <c r="E641" t="s">
        <v>704</v>
      </c>
      <c r="F641" t="s">
        <v>1096</v>
      </c>
      <c r="G641" t="s">
        <v>2554</v>
      </c>
      <c r="H641" t="s">
        <v>3480</v>
      </c>
      <c r="I641" t="s">
        <v>4947</v>
      </c>
      <c r="J641" t="s">
        <v>5320</v>
      </c>
      <c r="K641">
        <v>11213</v>
      </c>
      <c r="L641" t="s">
        <v>5355</v>
      </c>
      <c r="M641" t="s">
        <v>5356</v>
      </c>
      <c r="O641" t="s">
        <v>5393</v>
      </c>
      <c r="P641" t="s">
        <v>6525</v>
      </c>
      <c r="Q641" t="s">
        <v>6532</v>
      </c>
      <c r="R641" t="s">
        <v>6539</v>
      </c>
      <c r="S641" t="s">
        <v>5355</v>
      </c>
      <c r="U641" t="s">
        <v>6557</v>
      </c>
      <c r="W641" t="s">
        <v>302</v>
      </c>
      <c r="X641">
        <v>937</v>
      </c>
      <c r="Y641" t="s">
        <v>6605</v>
      </c>
      <c r="Z641" t="s">
        <v>6622</v>
      </c>
      <c r="AA641" t="s">
        <v>6634</v>
      </c>
      <c r="AB641" t="s">
        <v>7246</v>
      </c>
      <c r="AD641" t="s">
        <v>9632</v>
      </c>
      <c r="AE641">
        <v>107</v>
      </c>
      <c r="AF641" t="s">
        <v>11005</v>
      </c>
      <c r="AG641" t="s">
        <v>5406</v>
      </c>
      <c r="AH641">
        <v>37</v>
      </c>
      <c r="AI641">
        <v>2</v>
      </c>
      <c r="AJ641">
        <v>1</v>
      </c>
      <c r="AK641">
        <v>235.06</v>
      </c>
      <c r="AL641" t="s">
        <v>266</v>
      </c>
      <c r="AM641" t="s">
        <v>11045</v>
      </c>
      <c r="AN641" t="s">
        <v>11050</v>
      </c>
      <c r="AO641">
        <v>48000</v>
      </c>
      <c r="AU641">
        <v>0.3</v>
      </c>
      <c r="AV641" t="s">
        <v>704</v>
      </c>
      <c r="AW641" t="s">
        <v>77</v>
      </c>
    </row>
    <row r="642" spans="1:49">
      <c r="A642" s="1">
        <f>HYPERLINK("https://cms.ls-nyc.org/matter/dynamic-profile/view/1850279","17-1850279")</f>
        <v>0</v>
      </c>
      <c r="B642" t="s">
        <v>97</v>
      </c>
      <c r="C642" t="s">
        <v>234</v>
      </c>
      <c r="D642" t="s">
        <v>376</v>
      </c>
      <c r="E642" t="s">
        <v>703</v>
      </c>
      <c r="F642" t="s">
        <v>1295</v>
      </c>
      <c r="G642" t="s">
        <v>2146</v>
      </c>
      <c r="H642" t="s">
        <v>3644</v>
      </c>
      <c r="I642" t="s">
        <v>4948</v>
      </c>
      <c r="J642" t="s">
        <v>5323</v>
      </c>
      <c r="K642">
        <v>10034</v>
      </c>
      <c r="L642" t="s">
        <v>5355</v>
      </c>
      <c r="M642" t="s">
        <v>5355</v>
      </c>
      <c r="N642" t="s">
        <v>5540</v>
      </c>
      <c r="O642" t="s">
        <v>6491</v>
      </c>
      <c r="P642" t="s">
        <v>6525</v>
      </c>
      <c r="Q642" t="s">
        <v>6532</v>
      </c>
      <c r="R642" t="s">
        <v>6539</v>
      </c>
      <c r="S642" t="s">
        <v>5357</v>
      </c>
      <c r="U642" t="s">
        <v>6557</v>
      </c>
      <c r="W642" t="s">
        <v>376</v>
      </c>
      <c r="X642">
        <v>1100</v>
      </c>
      <c r="Y642" t="s">
        <v>6608</v>
      </c>
      <c r="Z642" t="s">
        <v>6616</v>
      </c>
      <c r="AA642" t="s">
        <v>6636</v>
      </c>
      <c r="AB642" t="s">
        <v>7247</v>
      </c>
      <c r="AD642" t="s">
        <v>9633</v>
      </c>
      <c r="AE642">
        <v>50</v>
      </c>
      <c r="AF642" t="s">
        <v>11005</v>
      </c>
      <c r="AG642" t="s">
        <v>5406</v>
      </c>
      <c r="AH642">
        <v>2</v>
      </c>
      <c r="AI642">
        <v>1</v>
      </c>
      <c r="AJ642">
        <v>0</v>
      </c>
      <c r="AK642">
        <v>238.81</v>
      </c>
      <c r="AL642" t="s">
        <v>11029</v>
      </c>
      <c r="AN642" t="s">
        <v>11050</v>
      </c>
      <c r="AO642">
        <v>28800</v>
      </c>
      <c r="AU642">
        <v>4.8</v>
      </c>
      <c r="AV642" t="s">
        <v>723</v>
      </c>
      <c r="AW642" t="s">
        <v>11495</v>
      </c>
    </row>
    <row r="643" spans="1:49">
      <c r="A643" s="1">
        <f>HYPERLINK("https://cms.ls-nyc.org/matter/dynamic-profile/view/1882200","18-1882200")</f>
        <v>0</v>
      </c>
      <c r="B643" t="s">
        <v>138</v>
      </c>
      <c r="C643" t="s">
        <v>235</v>
      </c>
      <c r="D643" t="s">
        <v>437</v>
      </c>
      <c r="F643" t="s">
        <v>1296</v>
      </c>
      <c r="G643" t="s">
        <v>2555</v>
      </c>
      <c r="H643" t="s">
        <v>3826</v>
      </c>
      <c r="I643" t="s">
        <v>4949</v>
      </c>
      <c r="J643" t="s">
        <v>5320</v>
      </c>
      <c r="K643">
        <v>11233</v>
      </c>
      <c r="L643" t="s">
        <v>5355</v>
      </c>
      <c r="M643" t="s">
        <v>5355</v>
      </c>
      <c r="N643" t="s">
        <v>5393</v>
      </c>
      <c r="O643" t="s">
        <v>6500</v>
      </c>
      <c r="P643" t="s">
        <v>6525</v>
      </c>
      <c r="R643" t="s">
        <v>6539</v>
      </c>
      <c r="S643" t="s">
        <v>5355</v>
      </c>
      <c r="U643" t="s">
        <v>6557</v>
      </c>
      <c r="V643" t="s">
        <v>6566</v>
      </c>
      <c r="W643" t="s">
        <v>6591</v>
      </c>
      <c r="X643">
        <v>594.33</v>
      </c>
      <c r="Y643" t="s">
        <v>6605</v>
      </c>
      <c r="Z643" t="s">
        <v>6614</v>
      </c>
      <c r="AB643" t="s">
        <v>7248</v>
      </c>
      <c r="AD643" t="s">
        <v>9634</v>
      </c>
      <c r="AE643">
        <v>6</v>
      </c>
      <c r="AF643" t="s">
        <v>11005</v>
      </c>
      <c r="AG643" t="s">
        <v>5406</v>
      </c>
      <c r="AH643">
        <v>42</v>
      </c>
      <c r="AI643">
        <v>2</v>
      </c>
      <c r="AJ643">
        <v>1</v>
      </c>
      <c r="AK643">
        <v>241.83</v>
      </c>
      <c r="AM643" t="s">
        <v>11047</v>
      </c>
      <c r="AN643" t="s">
        <v>11050</v>
      </c>
      <c r="AO643">
        <v>50252.28</v>
      </c>
      <c r="AU643">
        <v>0</v>
      </c>
      <c r="AW643" t="s">
        <v>11512</v>
      </c>
    </row>
    <row r="644" spans="1:49">
      <c r="A644" s="1">
        <f>HYPERLINK("https://cms.ls-nyc.org/matter/dynamic-profile/view/1855951","18-1855951")</f>
        <v>0</v>
      </c>
      <c r="B644" t="s">
        <v>77</v>
      </c>
      <c r="C644" t="s">
        <v>234</v>
      </c>
      <c r="D644" t="s">
        <v>380</v>
      </c>
      <c r="E644" t="s">
        <v>704</v>
      </c>
      <c r="F644" t="s">
        <v>1297</v>
      </c>
      <c r="G644" t="s">
        <v>2556</v>
      </c>
      <c r="H644" t="s">
        <v>3480</v>
      </c>
      <c r="I644" t="s">
        <v>4860</v>
      </c>
      <c r="J644" t="s">
        <v>5320</v>
      </c>
      <c r="K644">
        <v>11213</v>
      </c>
      <c r="L644" t="s">
        <v>5355</v>
      </c>
      <c r="M644" t="s">
        <v>5356</v>
      </c>
      <c r="O644" t="s">
        <v>5393</v>
      </c>
      <c r="P644" t="s">
        <v>6525</v>
      </c>
      <c r="Q644" t="s">
        <v>6532</v>
      </c>
      <c r="R644" t="s">
        <v>6539</v>
      </c>
      <c r="S644" t="s">
        <v>5355</v>
      </c>
      <c r="U644" t="s">
        <v>6557</v>
      </c>
      <c r="W644" t="s">
        <v>302</v>
      </c>
      <c r="X644">
        <v>1450</v>
      </c>
      <c r="Y644" t="s">
        <v>6605</v>
      </c>
      <c r="Z644" t="s">
        <v>6622</v>
      </c>
      <c r="AA644" t="s">
        <v>6634</v>
      </c>
      <c r="AB644" t="s">
        <v>7249</v>
      </c>
      <c r="AD644" t="s">
        <v>9635</v>
      </c>
      <c r="AE644">
        <v>107</v>
      </c>
      <c r="AF644" t="s">
        <v>11005</v>
      </c>
      <c r="AG644" t="s">
        <v>5406</v>
      </c>
      <c r="AH644">
        <v>1</v>
      </c>
      <c r="AI644">
        <v>2</v>
      </c>
      <c r="AJ644">
        <v>1</v>
      </c>
      <c r="AK644">
        <v>244.86</v>
      </c>
      <c r="AL644" t="s">
        <v>442</v>
      </c>
      <c r="AM644" t="s">
        <v>11045</v>
      </c>
      <c r="AN644" t="s">
        <v>11050</v>
      </c>
      <c r="AO644">
        <v>50000</v>
      </c>
      <c r="AU644">
        <v>0.5</v>
      </c>
      <c r="AV644" t="s">
        <v>704</v>
      </c>
      <c r="AW644" t="s">
        <v>77</v>
      </c>
    </row>
    <row r="645" spans="1:49">
      <c r="A645" s="1">
        <f>HYPERLINK("https://cms.ls-nyc.org/matter/dynamic-profile/view/1845082","17-1845082")</f>
        <v>0</v>
      </c>
      <c r="B645" t="s">
        <v>77</v>
      </c>
      <c r="C645" t="s">
        <v>234</v>
      </c>
      <c r="D645" t="s">
        <v>407</v>
      </c>
      <c r="E645" t="s">
        <v>704</v>
      </c>
      <c r="F645" t="s">
        <v>1297</v>
      </c>
      <c r="G645" t="s">
        <v>2556</v>
      </c>
      <c r="H645" t="s">
        <v>3480</v>
      </c>
      <c r="I645" t="s">
        <v>4860</v>
      </c>
      <c r="J645" t="s">
        <v>5320</v>
      </c>
      <c r="K645">
        <v>11213</v>
      </c>
      <c r="L645" t="s">
        <v>5355</v>
      </c>
      <c r="M645" t="s">
        <v>5356</v>
      </c>
      <c r="O645" t="s">
        <v>6500</v>
      </c>
      <c r="P645" t="s">
        <v>6525</v>
      </c>
      <c r="Q645" t="s">
        <v>6532</v>
      </c>
      <c r="R645" t="s">
        <v>6539</v>
      </c>
      <c r="S645" t="s">
        <v>5355</v>
      </c>
      <c r="U645" t="s">
        <v>6557</v>
      </c>
      <c r="W645" t="s">
        <v>574</v>
      </c>
      <c r="X645">
        <v>1450</v>
      </c>
      <c r="Y645" t="s">
        <v>6605</v>
      </c>
      <c r="Z645" t="s">
        <v>6622</v>
      </c>
      <c r="AA645" t="s">
        <v>6634</v>
      </c>
      <c r="AB645" t="s">
        <v>7249</v>
      </c>
      <c r="AC645" t="s">
        <v>8722</v>
      </c>
      <c r="AD645" t="s">
        <v>9635</v>
      </c>
      <c r="AE645">
        <v>107</v>
      </c>
      <c r="AF645" t="s">
        <v>11005</v>
      </c>
      <c r="AG645" t="s">
        <v>11023</v>
      </c>
      <c r="AH645">
        <v>1</v>
      </c>
      <c r="AI645">
        <v>2</v>
      </c>
      <c r="AJ645">
        <v>1</v>
      </c>
      <c r="AK645">
        <v>244.86</v>
      </c>
      <c r="AL645" t="s">
        <v>266</v>
      </c>
      <c r="AN645" t="s">
        <v>11050</v>
      </c>
      <c r="AO645">
        <v>50000</v>
      </c>
      <c r="AU645">
        <v>3.35</v>
      </c>
      <c r="AV645" t="s">
        <v>704</v>
      </c>
      <c r="AW645" t="s">
        <v>11512</v>
      </c>
    </row>
    <row r="646" spans="1:49">
      <c r="A646" s="1">
        <f>HYPERLINK("https://cms.ls-nyc.org/matter/dynamic-profile/view/1859105","18-1859105")</f>
        <v>0</v>
      </c>
      <c r="B646" t="s">
        <v>55</v>
      </c>
      <c r="C646" t="s">
        <v>234</v>
      </c>
      <c r="D646" t="s">
        <v>424</v>
      </c>
      <c r="E646" t="s">
        <v>762</v>
      </c>
      <c r="F646" t="s">
        <v>1298</v>
      </c>
      <c r="G646" t="s">
        <v>2557</v>
      </c>
      <c r="H646" t="s">
        <v>3895</v>
      </c>
      <c r="I646" t="s">
        <v>4950</v>
      </c>
      <c r="J646" t="s">
        <v>5320</v>
      </c>
      <c r="K646">
        <v>11203</v>
      </c>
      <c r="L646" t="s">
        <v>5355</v>
      </c>
      <c r="M646" t="s">
        <v>5356</v>
      </c>
      <c r="N646" t="s">
        <v>5541</v>
      </c>
      <c r="O646" t="s">
        <v>6494</v>
      </c>
      <c r="P646" t="s">
        <v>6525</v>
      </c>
      <c r="Q646" t="s">
        <v>6533</v>
      </c>
      <c r="R646" t="s">
        <v>6539</v>
      </c>
      <c r="S646" t="s">
        <v>5355</v>
      </c>
      <c r="T646" t="s">
        <v>6545</v>
      </c>
      <c r="U646" t="s">
        <v>6557</v>
      </c>
      <c r="W646" t="s">
        <v>6575</v>
      </c>
      <c r="X646">
        <v>0</v>
      </c>
      <c r="Y646" t="s">
        <v>6605</v>
      </c>
      <c r="Z646" t="s">
        <v>6612</v>
      </c>
      <c r="AA646" t="s">
        <v>6634</v>
      </c>
      <c r="AB646" t="s">
        <v>7250</v>
      </c>
      <c r="AE646">
        <v>50</v>
      </c>
      <c r="AF646" t="s">
        <v>11005</v>
      </c>
      <c r="AH646">
        <v>0</v>
      </c>
      <c r="AI646">
        <v>2</v>
      </c>
      <c r="AJ646">
        <v>1</v>
      </c>
      <c r="AK646">
        <v>244.86</v>
      </c>
      <c r="AL646" t="s">
        <v>11029</v>
      </c>
      <c r="AN646" t="s">
        <v>11050</v>
      </c>
      <c r="AO646">
        <v>50000</v>
      </c>
      <c r="AR646" t="s">
        <v>11203</v>
      </c>
      <c r="AU646">
        <v>0.5</v>
      </c>
      <c r="AV646" t="s">
        <v>522</v>
      </c>
      <c r="AW646" t="s">
        <v>11490</v>
      </c>
    </row>
    <row r="647" spans="1:49">
      <c r="A647" s="1">
        <f>HYPERLINK("https://cms.ls-nyc.org/matter/dynamic-profile/view/1859188","18-1859188")</f>
        <v>0</v>
      </c>
      <c r="B647" t="s">
        <v>113</v>
      </c>
      <c r="C647" t="s">
        <v>234</v>
      </c>
      <c r="D647" t="s">
        <v>467</v>
      </c>
      <c r="E647" t="s">
        <v>605</v>
      </c>
      <c r="F647" t="s">
        <v>892</v>
      </c>
      <c r="G647" t="s">
        <v>2558</v>
      </c>
      <c r="H647" t="s">
        <v>3896</v>
      </c>
      <c r="I647" t="s">
        <v>4951</v>
      </c>
      <c r="J647" t="s">
        <v>5323</v>
      </c>
      <c r="K647">
        <v>10029</v>
      </c>
      <c r="L647" t="s">
        <v>5355</v>
      </c>
      <c r="M647" t="s">
        <v>5355</v>
      </c>
      <c r="N647" t="s">
        <v>5542</v>
      </c>
      <c r="O647" t="s">
        <v>6492</v>
      </c>
      <c r="P647" t="s">
        <v>6525</v>
      </c>
      <c r="Q647" t="s">
        <v>6532</v>
      </c>
      <c r="R647" t="s">
        <v>6539</v>
      </c>
      <c r="S647" t="s">
        <v>5357</v>
      </c>
      <c r="U647" t="s">
        <v>6557</v>
      </c>
      <c r="V647" t="s">
        <v>6566</v>
      </c>
      <c r="W647" t="s">
        <v>362</v>
      </c>
      <c r="X647">
        <v>2335</v>
      </c>
      <c r="Y647" t="s">
        <v>6608</v>
      </c>
      <c r="Z647" t="s">
        <v>6616</v>
      </c>
      <c r="AA647" t="s">
        <v>6636</v>
      </c>
      <c r="AB647" t="s">
        <v>7251</v>
      </c>
      <c r="AD647" t="s">
        <v>9636</v>
      </c>
      <c r="AE647">
        <v>272</v>
      </c>
      <c r="AF647" t="s">
        <v>11004</v>
      </c>
      <c r="AG647" t="s">
        <v>5406</v>
      </c>
      <c r="AH647">
        <v>16</v>
      </c>
      <c r="AI647">
        <v>3</v>
      </c>
      <c r="AJ647">
        <v>0</v>
      </c>
      <c r="AK647">
        <v>245.99</v>
      </c>
      <c r="AL647" t="s">
        <v>11029</v>
      </c>
      <c r="AN647" t="s">
        <v>11050</v>
      </c>
      <c r="AO647">
        <v>50231</v>
      </c>
      <c r="AU647">
        <v>4</v>
      </c>
      <c r="AV647" t="s">
        <v>681</v>
      </c>
      <c r="AW647" t="s">
        <v>11494</v>
      </c>
    </row>
    <row r="648" spans="1:49">
      <c r="A648" s="1">
        <f>HYPERLINK("https://cms.ls-nyc.org/matter/dynamic-profile/view/1850856","17-1850856")</f>
        <v>0</v>
      </c>
      <c r="B648" t="s">
        <v>77</v>
      </c>
      <c r="C648" t="s">
        <v>234</v>
      </c>
      <c r="D648" t="s">
        <v>400</v>
      </c>
      <c r="E648" t="s">
        <v>723</v>
      </c>
      <c r="F648" t="s">
        <v>1299</v>
      </c>
      <c r="G648" t="s">
        <v>2559</v>
      </c>
      <c r="H648" t="s">
        <v>3897</v>
      </c>
      <c r="I648" t="s">
        <v>4753</v>
      </c>
      <c r="J648" t="s">
        <v>5320</v>
      </c>
      <c r="K648">
        <v>11233</v>
      </c>
      <c r="L648" t="s">
        <v>5355</v>
      </c>
      <c r="M648" t="s">
        <v>5356</v>
      </c>
      <c r="O648" t="s">
        <v>5393</v>
      </c>
      <c r="P648" t="s">
        <v>6525</v>
      </c>
      <c r="Q648" t="s">
        <v>6532</v>
      </c>
      <c r="R648" t="s">
        <v>6539</v>
      </c>
      <c r="S648" t="s">
        <v>5355</v>
      </c>
      <c r="U648" t="s">
        <v>6557</v>
      </c>
      <c r="W648" t="s">
        <v>400</v>
      </c>
      <c r="X648">
        <v>1800</v>
      </c>
      <c r="Y648" t="s">
        <v>6605</v>
      </c>
      <c r="Z648" t="s">
        <v>6622</v>
      </c>
      <c r="AA648" t="s">
        <v>6631</v>
      </c>
      <c r="AB648" t="s">
        <v>7252</v>
      </c>
      <c r="AD648" t="s">
        <v>9637</v>
      </c>
      <c r="AE648">
        <v>43</v>
      </c>
      <c r="AF648" t="s">
        <v>11005</v>
      </c>
      <c r="AG648" t="s">
        <v>5406</v>
      </c>
      <c r="AH648">
        <v>0</v>
      </c>
      <c r="AI648">
        <v>1</v>
      </c>
      <c r="AJ648">
        <v>1</v>
      </c>
      <c r="AK648">
        <v>246.31</v>
      </c>
      <c r="AM648" t="s">
        <v>11045</v>
      </c>
      <c r="AN648" t="s">
        <v>11050</v>
      </c>
      <c r="AO648">
        <v>40000</v>
      </c>
      <c r="AU648">
        <v>9.300000000000001</v>
      </c>
      <c r="AV648" t="s">
        <v>723</v>
      </c>
      <c r="AW648" t="s">
        <v>77</v>
      </c>
    </row>
    <row r="649" spans="1:49">
      <c r="A649" s="1">
        <f>HYPERLINK("https://cms.ls-nyc.org/matter/dynamic-profile/view/1852925","17-1852925")</f>
        <v>0</v>
      </c>
      <c r="B649" t="s">
        <v>77</v>
      </c>
      <c r="C649" t="s">
        <v>234</v>
      </c>
      <c r="D649" t="s">
        <v>353</v>
      </c>
      <c r="E649" t="s">
        <v>715</v>
      </c>
      <c r="F649" t="s">
        <v>941</v>
      </c>
      <c r="G649" t="s">
        <v>2560</v>
      </c>
      <c r="H649" t="s">
        <v>3773</v>
      </c>
      <c r="I649" t="s">
        <v>4905</v>
      </c>
      <c r="J649" t="s">
        <v>5320</v>
      </c>
      <c r="K649">
        <v>11213</v>
      </c>
      <c r="L649" t="s">
        <v>5355</v>
      </c>
      <c r="M649" t="s">
        <v>5356</v>
      </c>
      <c r="O649" t="s">
        <v>6500</v>
      </c>
      <c r="P649" t="s">
        <v>6525</v>
      </c>
      <c r="Q649" t="s">
        <v>6531</v>
      </c>
      <c r="R649" t="s">
        <v>6539</v>
      </c>
      <c r="S649" t="s">
        <v>5355</v>
      </c>
      <c r="U649" t="s">
        <v>6557</v>
      </c>
      <c r="W649" t="s">
        <v>481</v>
      </c>
      <c r="X649">
        <v>1355.55</v>
      </c>
      <c r="Y649" t="s">
        <v>6605</v>
      </c>
      <c r="Z649" t="s">
        <v>6622</v>
      </c>
      <c r="AA649" t="s">
        <v>6631</v>
      </c>
      <c r="AB649" t="s">
        <v>7253</v>
      </c>
      <c r="AD649" t="s">
        <v>9638</v>
      </c>
      <c r="AE649">
        <v>107</v>
      </c>
      <c r="AF649" t="s">
        <v>11005</v>
      </c>
      <c r="AH649">
        <v>7</v>
      </c>
      <c r="AI649">
        <v>2</v>
      </c>
      <c r="AJ649">
        <v>0</v>
      </c>
      <c r="AK649">
        <v>246.31</v>
      </c>
      <c r="AL649" t="s">
        <v>266</v>
      </c>
      <c r="AN649" t="s">
        <v>11050</v>
      </c>
      <c r="AO649">
        <v>40000</v>
      </c>
      <c r="AU649">
        <v>1.6</v>
      </c>
      <c r="AV649" t="s">
        <v>715</v>
      </c>
      <c r="AW649" t="s">
        <v>11489</v>
      </c>
    </row>
    <row r="650" spans="1:49">
      <c r="A650" s="1">
        <f>HYPERLINK("https://cms.ls-nyc.org/matter/dynamic-profile/view/1867969","18-1867969")</f>
        <v>0</v>
      </c>
      <c r="B650" t="s">
        <v>94</v>
      </c>
      <c r="C650" t="s">
        <v>234</v>
      </c>
      <c r="D650" t="s">
        <v>452</v>
      </c>
      <c r="E650" t="s">
        <v>703</v>
      </c>
      <c r="F650" t="s">
        <v>997</v>
      </c>
      <c r="G650" t="s">
        <v>1325</v>
      </c>
      <c r="H650" t="s">
        <v>3897</v>
      </c>
      <c r="I650" t="s">
        <v>4775</v>
      </c>
      <c r="J650" t="s">
        <v>5320</v>
      </c>
      <c r="K650">
        <v>11233</v>
      </c>
      <c r="L650" t="s">
        <v>5355</v>
      </c>
      <c r="M650" t="s">
        <v>5355</v>
      </c>
      <c r="N650" t="s">
        <v>5543</v>
      </c>
      <c r="O650" t="s">
        <v>6492</v>
      </c>
      <c r="P650" t="s">
        <v>6525</v>
      </c>
      <c r="Q650" t="s">
        <v>6532</v>
      </c>
      <c r="R650" t="s">
        <v>6539</v>
      </c>
      <c r="S650" t="s">
        <v>5357</v>
      </c>
      <c r="T650" t="s">
        <v>6539</v>
      </c>
      <c r="U650" t="s">
        <v>6558</v>
      </c>
      <c r="W650" t="s">
        <v>355</v>
      </c>
      <c r="X650">
        <v>1482.57</v>
      </c>
      <c r="Y650" t="s">
        <v>6605</v>
      </c>
      <c r="Z650" t="s">
        <v>6614</v>
      </c>
      <c r="AA650" t="s">
        <v>6635</v>
      </c>
      <c r="AB650" t="s">
        <v>7254</v>
      </c>
      <c r="AD650" t="s">
        <v>9639</v>
      </c>
      <c r="AE650">
        <v>0</v>
      </c>
      <c r="AF650" t="s">
        <v>11005</v>
      </c>
      <c r="AH650">
        <v>3</v>
      </c>
      <c r="AI650">
        <v>1</v>
      </c>
      <c r="AJ650">
        <v>0</v>
      </c>
      <c r="AK650">
        <v>249.99</v>
      </c>
      <c r="AN650" t="s">
        <v>11050</v>
      </c>
      <c r="AO650">
        <v>30349.2</v>
      </c>
      <c r="AU650">
        <v>4.7</v>
      </c>
      <c r="AV650" t="s">
        <v>364</v>
      </c>
      <c r="AW650" t="s">
        <v>94</v>
      </c>
    </row>
    <row r="651" spans="1:49">
      <c r="A651" s="1">
        <f>HYPERLINK("https://cms.ls-nyc.org/matter/dynamic-profile/view/1866427","18-1866427")</f>
        <v>0</v>
      </c>
      <c r="B651" t="s">
        <v>92</v>
      </c>
      <c r="C651" t="s">
        <v>235</v>
      </c>
      <c r="D651" t="s">
        <v>268</v>
      </c>
      <c r="F651" t="s">
        <v>1300</v>
      </c>
      <c r="G651" t="s">
        <v>1742</v>
      </c>
      <c r="H651" t="s">
        <v>3761</v>
      </c>
      <c r="I651" t="s">
        <v>4800</v>
      </c>
      <c r="J651" t="s">
        <v>5323</v>
      </c>
      <c r="K651">
        <v>10031</v>
      </c>
      <c r="L651" t="s">
        <v>5355</v>
      </c>
      <c r="M651" t="s">
        <v>5355</v>
      </c>
      <c r="O651" t="s">
        <v>6494</v>
      </c>
      <c r="P651" t="s">
        <v>6525</v>
      </c>
      <c r="R651" t="s">
        <v>6539</v>
      </c>
      <c r="S651" t="s">
        <v>5355</v>
      </c>
      <c r="U651" t="s">
        <v>6557</v>
      </c>
      <c r="V651" t="s">
        <v>6566</v>
      </c>
      <c r="W651" t="s">
        <v>268</v>
      </c>
      <c r="X651">
        <v>2126</v>
      </c>
      <c r="Y651" t="s">
        <v>6608</v>
      </c>
      <c r="Z651" t="s">
        <v>6622</v>
      </c>
      <c r="AB651" t="s">
        <v>7255</v>
      </c>
      <c r="AD651" t="s">
        <v>9640</v>
      </c>
      <c r="AE651">
        <v>42</v>
      </c>
      <c r="AF651" t="s">
        <v>11008</v>
      </c>
      <c r="AG651" t="s">
        <v>11020</v>
      </c>
      <c r="AH651">
        <v>17</v>
      </c>
      <c r="AI651">
        <v>2</v>
      </c>
      <c r="AJ651">
        <v>1</v>
      </c>
      <c r="AK651">
        <v>255.05</v>
      </c>
      <c r="AL651" t="s">
        <v>11029</v>
      </c>
      <c r="AN651" t="s">
        <v>11049</v>
      </c>
      <c r="AO651">
        <v>53000</v>
      </c>
      <c r="AU651">
        <v>0.75</v>
      </c>
      <c r="AV651" t="s">
        <v>693</v>
      </c>
      <c r="AW651" t="s">
        <v>11497</v>
      </c>
    </row>
    <row r="652" spans="1:49">
      <c r="A652" s="1">
        <f>HYPERLINK("https://cms.ls-nyc.org/matter/dynamic-profile/view/1849237","17-1849237")</f>
        <v>0</v>
      </c>
      <c r="B652" t="s">
        <v>64</v>
      </c>
      <c r="C652" t="s">
        <v>234</v>
      </c>
      <c r="D652" t="s">
        <v>392</v>
      </c>
      <c r="E652" t="s">
        <v>674</v>
      </c>
      <c r="F652" t="s">
        <v>1301</v>
      </c>
      <c r="G652" t="s">
        <v>2561</v>
      </c>
      <c r="H652" t="s">
        <v>3898</v>
      </c>
      <c r="I652" t="s">
        <v>4952</v>
      </c>
      <c r="J652" t="s">
        <v>5323</v>
      </c>
      <c r="K652">
        <v>10039</v>
      </c>
      <c r="L652" t="s">
        <v>5355</v>
      </c>
      <c r="M652" t="s">
        <v>5355</v>
      </c>
      <c r="N652" t="s">
        <v>5544</v>
      </c>
      <c r="O652" t="s">
        <v>6491</v>
      </c>
      <c r="P652" t="s">
        <v>6525</v>
      </c>
      <c r="Q652" t="s">
        <v>6531</v>
      </c>
      <c r="R652" t="s">
        <v>6539</v>
      </c>
      <c r="S652" t="s">
        <v>5357</v>
      </c>
      <c r="T652" t="s">
        <v>6542</v>
      </c>
      <c r="U652" t="s">
        <v>6557</v>
      </c>
      <c r="V652" t="s">
        <v>6566</v>
      </c>
      <c r="W652" t="s">
        <v>262</v>
      </c>
      <c r="X652">
        <v>840</v>
      </c>
      <c r="Y652" t="s">
        <v>6608</v>
      </c>
      <c r="Z652" t="s">
        <v>6614</v>
      </c>
      <c r="AA652" t="s">
        <v>6631</v>
      </c>
      <c r="AB652" t="s">
        <v>7256</v>
      </c>
      <c r="AD652" t="s">
        <v>9641</v>
      </c>
      <c r="AE652">
        <v>1229</v>
      </c>
      <c r="AF652" t="s">
        <v>11010</v>
      </c>
      <c r="AG652" t="s">
        <v>5406</v>
      </c>
      <c r="AH652">
        <v>22</v>
      </c>
      <c r="AI652">
        <v>3</v>
      </c>
      <c r="AJ652">
        <v>1</v>
      </c>
      <c r="AK652">
        <v>256.3</v>
      </c>
      <c r="AL652" t="s">
        <v>11029</v>
      </c>
      <c r="AN652" t="s">
        <v>11050</v>
      </c>
      <c r="AO652">
        <v>63050</v>
      </c>
      <c r="AU652">
        <v>0.4</v>
      </c>
      <c r="AV652" t="s">
        <v>284</v>
      </c>
      <c r="AW652" t="s">
        <v>11494</v>
      </c>
    </row>
    <row r="653" spans="1:49">
      <c r="A653" s="1">
        <f>HYPERLINK("https://cms.ls-nyc.org/matter/dynamic-profile/view/1872021","18-1872021")</f>
        <v>0</v>
      </c>
      <c r="B653" t="s">
        <v>135</v>
      </c>
      <c r="C653" t="s">
        <v>235</v>
      </c>
      <c r="D653" t="s">
        <v>468</v>
      </c>
      <c r="F653" t="s">
        <v>1302</v>
      </c>
      <c r="G653" t="s">
        <v>2562</v>
      </c>
      <c r="H653" t="s">
        <v>3735</v>
      </c>
      <c r="I653" t="s">
        <v>4953</v>
      </c>
      <c r="J653" t="s">
        <v>5320</v>
      </c>
      <c r="K653">
        <v>11225</v>
      </c>
      <c r="L653" t="s">
        <v>5355</v>
      </c>
      <c r="M653" t="s">
        <v>5356</v>
      </c>
      <c r="O653" t="s">
        <v>6500</v>
      </c>
      <c r="P653" t="s">
        <v>6525</v>
      </c>
      <c r="R653" t="s">
        <v>6539</v>
      </c>
      <c r="S653" t="s">
        <v>5355</v>
      </c>
      <c r="U653" t="s">
        <v>6557</v>
      </c>
      <c r="W653" t="s">
        <v>523</v>
      </c>
      <c r="X653">
        <v>911.14</v>
      </c>
      <c r="Y653" t="s">
        <v>6605</v>
      </c>
      <c r="AB653" t="s">
        <v>7257</v>
      </c>
      <c r="AD653" t="s">
        <v>9642</v>
      </c>
      <c r="AE653">
        <v>89</v>
      </c>
      <c r="AF653" t="s">
        <v>11005</v>
      </c>
      <c r="AG653" t="s">
        <v>5406</v>
      </c>
      <c r="AH653">
        <v>40</v>
      </c>
      <c r="AI653">
        <v>3</v>
      </c>
      <c r="AJ653">
        <v>0</v>
      </c>
      <c r="AK653">
        <v>258.5</v>
      </c>
      <c r="AN653" t="s">
        <v>11050</v>
      </c>
      <c r="AO653">
        <v>53716</v>
      </c>
      <c r="AU653">
        <v>0</v>
      </c>
      <c r="AW653" t="s">
        <v>11512</v>
      </c>
    </row>
    <row r="654" spans="1:49">
      <c r="A654" s="1">
        <f>HYPERLINK("https://cms.ls-nyc.org/matter/dynamic-profile/view/1865575","18-1865575")</f>
        <v>0</v>
      </c>
      <c r="B654" t="s">
        <v>60</v>
      </c>
      <c r="C654" t="s">
        <v>234</v>
      </c>
      <c r="D654" t="s">
        <v>239</v>
      </c>
      <c r="E654" t="s">
        <v>672</v>
      </c>
      <c r="F654" t="s">
        <v>1303</v>
      </c>
      <c r="G654" t="s">
        <v>2355</v>
      </c>
      <c r="H654" t="s">
        <v>3723</v>
      </c>
      <c r="I654" t="s">
        <v>4821</v>
      </c>
      <c r="J654" t="s">
        <v>5321</v>
      </c>
      <c r="K654">
        <v>10453</v>
      </c>
      <c r="L654" t="s">
        <v>5355</v>
      </c>
      <c r="M654" t="s">
        <v>5356</v>
      </c>
      <c r="O654" t="s">
        <v>6500</v>
      </c>
      <c r="P654" t="s">
        <v>6525</v>
      </c>
      <c r="Q654" t="s">
        <v>6531</v>
      </c>
      <c r="R654" t="s">
        <v>6539</v>
      </c>
      <c r="S654" t="s">
        <v>5357</v>
      </c>
      <c r="U654" t="s">
        <v>6557</v>
      </c>
      <c r="W654" t="s">
        <v>312</v>
      </c>
      <c r="X654">
        <v>950</v>
      </c>
      <c r="Y654" t="s">
        <v>6606</v>
      </c>
      <c r="Z654" t="s">
        <v>6619</v>
      </c>
      <c r="AA654" t="s">
        <v>6631</v>
      </c>
      <c r="AB654" t="s">
        <v>7258</v>
      </c>
      <c r="AD654" t="s">
        <v>9643</v>
      </c>
      <c r="AE654">
        <v>71</v>
      </c>
      <c r="AF654" t="s">
        <v>11005</v>
      </c>
      <c r="AG654" t="s">
        <v>5406</v>
      </c>
      <c r="AH654">
        <v>19</v>
      </c>
      <c r="AI654">
        <v>2</v>
      </c>
      <c r="AJ654">
        <v>0</v>
      </c>
      <c r="AK654">
        <v>258.74</v>
      </c>
      <c r="AL654" t="s">
        <v>11029</v>
      </c>
      <c r="AN654" t="s">
        <v>11049</v>
      </c>
      <c r="AO654">
        <v>42588</v>
      </c>
      <c r="AU654">
        <v>1.7</v>
      </c>
      <c r="AV654" t="s">
        <v>241</v>
      </c>
      <c r="AW654" t="s">
        <v>11504</v>
      </c>
    </row>
    <row r="655" spans="1:49">
      <c r="A655" s="1">
        <f>HYPERLINK("https://cms.ls-nyc.org/matter/dynamic-profile/view/1840621","17-1840621")</f>
        <v>0</v>
      </c>
      <c r="B655" t="s">
        <v>54</v>
      </c>
      <c r="C655" t="s">
        <v>234</v>
      </c>
      <c r="D655" t="s">
        <v>348</v>
      </c>
      <c r="E655" t="s">
        <v>673</v>
      </c>
      <c r="F655" t="s">
        <v>1304</v>
      </c>
      <c r="G655" t="s">
        <v>2563</v>
      </c>
      <c r="H655" t="s">
        <v>3899</v>
      </c>
      <c r="I655" t="s">
        <v>4758</v>
      </c>
      <c r="J655" t="s">
        <v>5320</v>
      </c>
      <c r="K655">
        <v>11233</v>
      </c>
      <c r="L655" t="s">
        <v>5355</v>
      </c>
      <c r="M655" t="s">
        <v>5355</v>
      </c>
      <c r="O655" t="s">
        <v>6500</v>
      </c>
      <c r="P655" t="s">
        <v>6525</v>
      </c>
      <c r="Q655" t="s">
        <v>6532</v>
      </c>
      <c r="R655" t="s">
        <v>6539</v>
      </c>
      <c r="S655" t="s">
        <v>5355</v>
      </c>
      <c r="U655" t="s">
        <v>6557</v>
      </c>
      <c r="W655" t="s">
        <v>404</v>
      </c>
      <c r="X655">
        <v>2400</v>
      </c>
      <c r="Y655" t="s">
        <v>6605</v>
      </c>
      <c r="Z655" t="s">
        <v>6609</v>
      </c>
      <c r="AA655" t="s">
        <v>6636</v>
      </c>
      <c r="AB655" t="s">
        <v>7259</v>
      </c>
      <c r="AD655" t="s">
        <v>9644</v>
      </c>
      <c r="AE655">
        <v>7</v>
      </c>
      <c r="AF655" t="s">
        <v>11005</v>
      </c>
      <c r="AH655">
        <v>1</v>
      </c>
      <c r="AI655">
        <v>2</v>
      </c>
      <c r="AJ655">
        <v>0</v>
      </c>
      <c r="AK655">
        <v>264.75</v>
      </c>
      <c r="AL655" t="s">
        <v>631</v>
      </c>
      <c r="AN655" t="s">
        <v>11050</v>
      </c>
      <c r="AO655">
        <v>42996</v>
      </c>
      <c r="AU655">
        <v>1.6</v>
      </c>
      <c r="AV655" t="s">
        <v>318</v>
      </c>
      <c r="AW655" t="s">
        <v>54</v>
      </c>
    </row>
    <row r="656" spans="1:49">
      <c r="A656" s="1">
        <f>HYPERLINK("https://cms.ls-nyc.org/matter/dynamic-profile/view/1871539","18-1871539")</f>
        <v>0</v>
      </c>
      <c r="B656" t="s">
        <v>135</v>
      </c>
      <c r="C656" t="s">
        <v>235</v>
      </c>
      <c r="D656" t="s">
        <v>402</v>
      </c>
      <c r="F656" t="s">
        <v>897</v>
      </c>
      <c r="G656" t="s">
        <v>2537</v>
      </c>
      <c r="H656" t="s">
        <v>3739</v>
      </c>
      <c r="I656" t="s">
        <v>4867</v>
      </c>
      <c r="J656" t="s">
        <v>5320</v>
      </c>
      <c r="K656">
        <v>11212</v>
      </c>
      <c r="L656" t="s">
        <v>5355</v>
      </c>
      <c r="M656" t="s">
        <v>5355</v>
      </c>
      <c r="O656" t="s">
        <v>5393</v>
      </c>
      <c r="P656" t="s">
        <v>6525</v>
      </c>
      <c r="R656" t="s">
        <v>6539</v>
      </c>
      <c r="S656" t="s">
        <v>5355</v>
      </c>
      <c r="U656" t="s">
        <v>6557</v>
      </c>
      <c r="W656" t="s">
        <v>6581</v>
      </c>
      <c r="X656">
        <v>893.61</v>
      </c>
      <c r="Y656" t="s">
        <v>6605</v>
      </c>
      <c r="Z656" t="s">
        <v>6493</v>
      </c>
      <c r="AB656" t="s">
        <v>7226</v>
      </c>
      <c r="AD656" t="s">
        <v>9614</v>
      </c>
      <c r="AE656">
        <v>32</v>
      </c>
      <c r="AF656" t="s">
        <v>11005</v>
      </c>
      <c r="AH656">
        <v>8</v>
      </c>
      <c r="AI656">
        <v>3</v>
      </c>
      <c r="AJ656">
        <v>0</v>
      </c>
      <c r="AK656">
        <v>275.26</v>
      </c>
      <c r="AN656" t="s">
        <v>11050</v>
      </c>
      <c r="AO656">
        <v>57200</v>
      </c>
      <c r="AP656" t="s">
        <v>11109</v>
      </c>
      <c r="AU656">
        <v>0</v>
      </c>
      <c r="AW656" t="s">
        <v>11517</v>
      </c>
    </row>
    <row r="657" spans="1:49">
      <c r="A657" s="1">
        <f>HYPERLINK("https://cms.ls-nyc.org/matter/dynamic-profile/view/1850100","17-1850100")</f>
        <v>0</v>
      </c>
      <c r="B657" t="s">
        <v>97</v>
      </c>
      <c r="C657" t="s">
        <v>235</v>
      </c>
      <c r="D657" t="s">
        <v>418</v>
      </c>
      <c r="F657" t="s">
        <v>1305</v>
      </c>
      <c r="G657" t="s">
        <v>2270</v>
      </c>
      <c r="H657" t="s">
        <v>3900</v>
      </c>
      <c r="I657" t="s">
        <v>4954</v>
      </c>
      <c r="J657" t="s">
        <v>5323</v>
      </c>
      <c r="K657">
        <v>10034</v>
      </c>
      <c r="L657" t="s">
        <v>5355</v>
      </c>
      <c r="M657" t="s">
        <v>5356</v>
      </c>
      <c r="N657" t="s">
        <v>5545</v>
      </c>
      <c r="O657" t="s">
        <v>6491</v>
      </c>
      <c r="P657" t="s">
        <v>6525</v>
      </c>
      <c r="R657" t="s">
        <v>6539</v>
      </c>
      <c r="S657" t="s">
        <v>5357</v>
      </c>
      <c r="U657" t="s">
        <v>6557</v>
      </c>
      <c r="W657" t="s">
        <v>262</v>
      </c>
      <c r="X657">
        <v>894</v>
      </c>
      <c r="Y657" t="s">
        <v>6608</v>
      </c>
      <c r="Z657" t="s">
        <v>6616</v>
      </c>
      <c r="AB657" t="s">
        <v>7260</v>
      </c>
      <c r="AD657" t="s">
        <v>9645</v>
      </c>
      <c r="AE657">
        <v>180</v>
      </c>
      <c r="AF657" t="s">
        <v>11010</v>
      </c>
      <c r="AG657" t="s">
        <v>5406</v>
      </c>
      <c r="AH657">
        <v>40</v>
      </c>
      <c r="AI657">
        <v>1</v>
      </c>
      <c r="AJ657">
        <v>0</v>
      </c>
      <c r="AK657">
        <v>279.6</v>
      </c>
      <c r="AL657" t="s">
        <v>373</v>
      </c>
      <c r="AN657" t="s">
        <v>11050</v>
      </c>
      <c r="AO657">
        <v>33720</v>
      </c>
      <c r="AU657">
        <v>14.7</v>
      </c>
      <c r="AV657" t="s">
        <v>259</v>
      </c>
      <c r="AW657" t="s">
        <v>11495</v>
      </c>
    </row>
    <row r="658" spans="1:49">
      <c r="A658" s="1">
        <f>HYPERLINK("https://cms.ls-nyc.org/matter/dynamic-profile/view/1869745","18-1869745")</f>
        <v>0</v>
      </c>
      <c r="B658" t="s">
        <v>65</v>
      </c>
      <c r="C658" t="s">
        <v>234</v>
      </c>
      <c r="D658" t="s">
        <v>275</v>
      </c>
      <c r="E658" t="s">
        <v>667</v>
      </c>
      <c r="F658" t="s">
        <v>1306</v>
      </c>
      <c r="G658" t="s">
        <v>2262</v>
      </c>
      <c r="H658" t="s">
        <v>3901</v>
      </c>
      <c r="I658" t="s">
        <v>4738</v>
      </c>
      <c r="J658" t="s">
        <v>5323</v>
      </c>
      <c r="K658">
        <v>10034</v>
      </c>
      <c r="L658" t="s">
        <v>5355</v>
      </c>
      <c r="M658" t="s">
        <v>5356</v>
      </c>
      <c r="O658" t="s">
        <v>6499</v>
      </c>
      <c r="P658" t="s">
        <v>6525</v>
      </c>
      <c r="Q658" t="s">
        <v>6532</v>
      </c>
      <c r="R658" t="s">
        <v>6539</v>
      </c>
      <c r="S658" t="s">
        <v>5357</v>
      </c>
      <c r="U658" t="s">
        <v>6557</v>
      </c>
      <c r="W658" t="s">
        <v>275</v>
      </c>
      <c r="X658">
        <v>1300</v>
      </c>
      <c r="Y658" t="s">
        <v>6608</v>
      </c>
      <c r="Z658" t="s">
        <v>6616</v>
      </c>
      <c r="AA658" t="s">
        <v>6631</v>
      </c>
      <c r="AB658" t="s">
        <v>7261</v>
      </c>
      <c r="AD658" t="s">
        <v>9646</v>
      </c>
      <c r="AE658">
        <v>0</v>
      </c>
      <c r="AF658" t="s">
        <v>11005</v>
      </c>
      <c r="AG658" t="s">
        <v>5406</v>
      </c>
      <c r="AH658">
        <v>6</v>
      </c>
      <c r="AI658">
        <v>2</v>
      </c>
      <c r="AJ658">
        <v>0</v>
      </c>
      <c r="AK658">
        <v>284.33</v>
      </c>
      <c r="AN658" t="s">
        <v>11049</v>
      </c>
      <c r="AO658">
        <v>46800</v>
      </c>
      <c r="AU658">
        <v>0.2</v>
      </c>
      <c r="AV658" t="s">
        <v>722</v>
      </c>
      <c r="AW658" t="s">
        <v>11495</v>
      </c>
    </row>
    <row r="659" spans="1:49">
      <c r="A659" s="1">
        <f>HYPERLINK("https://cms.ls-nyc.org/matter/dynamic-profile/view/1854865","17-1854865")</f>
        <v>0</v>
      </c>
      <c r="B659" t="s">
        <v>64</v>
      </c>
      <c r="C659" t="s">
        <v>234</v>
      </c>
      <c r="D659" t="s">
        <v>469</v>
      </c>
      <c r="E659" t="s">
        <v>763</v>
      </c>
      <c r="F659" t="s">
        <v>1132</v>
      </c>
      <c r="G659" t="s">
        <v>2564</v>
      </c>
      <c r="H659" t="s">
        <v>3902</v>
      </c>
      <c r="I659">
        <v>6</v>
      </c>
      <c r="J659" t="s">
        <v>5323</v>
      </c>
      <c r="K659">
        <v>10075</v>
      </c>
      <c r="L659" t="s">
        <v>5355</v>
      </c>
      <c r="M659" t="s">
        <v>5356</v>
      </c>
      <c r="N659" t="s">
        <v>5546</v>
      </c>
      <c r="O659" t="s">
        <v>6491</v>
      </c>
      <c r="P659" t="s">
        <v>6525</v>
      </c>
      <c r="Q659" t="s">
        <v>6531</v>
      </c>
      <c r="R659" t="s">
        <v>6539</v>
      </c>
      <c r="S659" t="s">
        <v>5357</v>
      </c>
      <c r="T659" t="s">
        <v>6542</v>
      </c>
      <c r="U659" t="s">
        <v>6557</v>
      </c>
      <c r="W659" t="s">
        <v>236</v>
      </c>
      <c r="X659">
        <v>1800</v>
      </c>
      <c r="Y659" t="s">
        <v>6608</v>
      </c>
      <c r="Z659" t="s">
        <v>6616</v>
      </c>
      <c r="AA659" t="s">
        <v>6631</v>
      </c>
      <c r="AB659" t="s">
        <v>7262</v>
      </c>
      <c r="AD659" t="s">
        <v>9647</v>
      </c>
      <c r="AE659">
        <v>30</v>
      </c>
      <c r="AF659" t="s">
        <v>11004</v>
      </c>
      <c r="AG659" t="s">
        <v>5406</v>
      </c>
      <c r="AH659">
        <v>8</v>
      </c>
      <c r="AI659">
        <v>1</v>
      </c>
      <c r="AJ659">
        <v>0</v>
      </c>
      <c r="AK659">
        <v>284.58</v>
      </c>
      <c r="AL659" t="s">
        <v>11029</v>
      </c>
      <c r="AN659" t="s">
        <v>11050</v>
      </c>
      <c r="AO659">
        <v>34320</v>
      </c>
      <c r="AU659">
        <v>0.4</v>
      </c>
      <c r="AV659" t="s">
        <v>329</v>
      </c>
      <c r="AW659" t="s">
        <v>11494</v>
      </c>
    </row>
    <row r="660" spans="1:49">
      <c r="A660" s="1">
        <f>HYPERLINK("https://cms.ls-nyc.org/matter/dynamic-profile/view/1864170","18-1864170")</f>
        <v>0</v>
      </c>
      <c r="B660" t="s">
        <v>124</v>
      </c>
      <c r="C660" t="s">
        <v>235</v>
      </c>
      <c r="D660" t="s">
        <v>357</v>
      </c>
      <c r="F660" t="s">
        <v>1307</v>
      </c>
      <c r="G660" t="s">
        <v>2565</v>
      </c>
      <c r="H660" t="s">
        <v>3903</v>
      </c>
      <c r="I660" t="s">
        <v>4953</v>
      </c>
      <c r="J660" t="s">
        <v>5323</v>
      </c>
      <c r="K660">
        <v>10034</v>
      </c>
      <c r="L660" t="s">
        <v>5355</v>
      </c>
      <c r="M660" t="s">
        <v>5356</v>
      </c>
      <c r="O660" t="s">
        <v>6494</v>
      </c>
      <c r="P660" t="s">
        <v>6525</v>
      </c>
      <c r="R660" t="s">
        <v>6539</v>
      </c>
      <c r="S660" t="s">
        <v>5357</v>
      </c>
      <c r="T660" t="s">
        <v>6542</v>
      </c>
      <c r="U660" t="s">
        <v>6557</v>
      </c>
      <c r="W660" t="s">
        <v>357</v>
      </c>
      <c r="X660">
        <v>960</v>
      </c>
      <c r="Y660" t="s">
        <v>6608</v>
      </c>
      <c r="Z660" t="s">
        <v>6616</v>
      </c>
      <c r="AB660" t="s">
        <v>7263</v>
      </c>
      <c r="AD660" t="s">
        <v>9648</v>
      </c>
      <c r="AE660">
        <v>228</v>
      </c>
      <c r="AF660" t="s">
        <v>11005</v>
      </c>
      <c r="AG660" t="s">
        <v>5406</v>
      </c>
      <c r="AH660">
        <v>18</v>
      </c>
      <c r="AI660">
        <v>1</v>
      </c>
      <c r="AJ660">
        <v>0</v>
      </c>
      <c r="AK660">
        <v>288.3</v>
      </c>
      <c r="AL660" t="s">
        <v>11029</v>
      </c>
      <c r="AN660" t="s">
        <v>11050</v>
      </c>
      <c r="AO660">
        <v>35000</v>
      </c>
      <c r="AU660">
        <v>12</v>
      </c>
      <c r="AV660" t="s">
        <v>434</v>
      </c>
      <c r="AW660" t="s">
        <v>11495</v>
      </c>
    </row>
    <row r="661" spans="1:49">
      <c r="A661" s="1">
        <f>HYPERLINK("https://cms.ls-nyc.org/matter/dynamic-profile/view/1870541","18-1870541")</f>
        <v>0</v>
      </c>
      <c r="B661" t="s">
        <v>65</v>
      </c>
      <c r="C661" t="s">
        <v>234</v>
      </c>
      <c r="D661" t="s">
        <v>255</v>
      </c>
      <c r="E661" t="s">
        <v>413</v>
      </c>
      <c r="F661" t="s">
        <v>1106</v>
      </c>
      <c r="G661" t="s">
        <v>2356</v>
      </c>
      <c r="H661" t="s">
        <v>3448</v>
      </c>
      <c r="I661" t="s">
        <v>4841</v>
      </c>
      <c r="J661" t="s">
        <v>5323</v>
      </c>
      <c r="K661">
        <v>10032</v>
      </c>
      <c r="L661" t="s">
        <v>5355</v>
      </c>
      <c r="M661" t="s">
        <v>5356</v>
      </c>
      <c r="O661" t="s">
        <v>6499</v>
      </c>
      <c r="P661" t="s">
        <v>6525</v>
      </c>
      <c r="Q661" t="s">
        <v>6531</v>
      </c>
      <c r="R661" t="s">
        <v>6539</v>
      </c>
      <c r="S661" t="s">
        <v>5355</v>
      </c>
      <c r="U661" t="s">
        <v>6557</v>
      </c>
      <c r="W661" t="s">
        <v>490</v>
      </c>
      <c r="X661">
        <v>913.63</v>
      </c>
      <c r="Y661" t="s">
        <v>6608</v>
      </c>
      <c r="Z661" t="s">
        <v>6616</v>
      </c>
      <c r="AA661" t="s">
        <v>6642</v>
      </c>
      <c r="AD661" t="s">
        <v>9375</v>
      </c>
      <c r="AE661">
        <v>49</v>
      </c>
      <c r="AF661" t="s">
        <v>11005</v>
      </c>
      <c r="AG661" t="s">
        <v>5406</v>
      </c>
      <c r="AH661">
        <v>17</v>
      </c>
      <c r="AI661">
        <v>1</v>
      </c>
      <c r="AJ661">
        <v>0</v>
      </c>
      <c r="AK661">
        <v>288.3</v>
      </c>
      <c r="AN661" t="s">
        <v>11049</v>
      </c>
      <c r="AO661">
        <v>35000</v>
      </c>
      <c r="AU661">
        <v>0</v>
      </c>
      <c r="AV661" t="s">
        <v>328</v>
      </c>
      <c r="AW661" t="s">
        <v>11495</v>
      </c>
    </row>
    <row r="662" spans="1:49">
      <c r="A662" s="1">
        <f>HYPERLINK("https://cms.ls-nyc.org/matter/dynamic-profile/view/1863746","18-1863746")</f>
        <v>0</v>
      </c>
      <c r="B662" t="s">
        <v>80</v>
      </c>
      <c r="C662" t="s">
        <v>234</v>
      </c>
      <c r="D662" t="s">
        <v>373</v>
      </c>
      <c r="E662" t="s">
        <v>652</v>
      </c>
      <c r="F662" t="s">
        <v>1308</v>
      </c>
      <c r="G662" t="s">
        <v>2566</v>
      </c>
      <c r="H662" t="s">
        <v>3904</v>
      </c>
      <c r="I662" t="s">
        <v>4765</v>
      </c>
      <c r="J662" t="s">
        <v>5321</v>
      </c>
      <c r="K662">
        <v>10468</v>
      </c>
      <c r="L662" t="s">
        <v>5355</v>
      </c>
      <c r="M662" t="s">
        <v>5356</v>
      </c>
      <c r="O662" t="s">
        <v>5393</v>
      </c>
      <c r="P662" t="s">
        <v>6525</v>
      </c>
      <c r="Q662" t="s">
        <v>6532</v>
      </c>
      <c r="R662" t="s">
        <v>6540</v>
      </c>
      <c r="S662" t="s">
        <v>5357</v>
      </c>
      <c r="U662" t="s">
        <v>6557</v>
      </c>
      <c r="W662" t="s">
        <v>326</v>
      </c>
      <c r="X662">
        <v>1795</v>
      </c>
      <c r="Y662" t="s">
        <v>6606</v>
      </c>
      <c r="Z662" t="s">
        <v>6610</v>
      </c>
      <c r="AA662" t="s">
        <v>6636</v>
      </c>
      <c r="AB662" t="s">
        <v>7264</v>
      </c>
      <c r="AD662" t="s">
        <v>9649</v>
      </c>
      <c r="AE662">
        <v>0</v>
      </c>
      <c r="AF662" t="s">
        <v>11005</v>
      </c>
      <c r="AG662" t="s">
        <v>5406</v>
      </c>
      <c r="AH662">
        <v>18</v>
      </c>
      <c r="AI662">
        <v>2</v>
      </c>
      <c r="AJ662">
        <v>0</v>
      </c>
      <c r="AK662">
        <v>297.69</v>
      </c>
      <c r="AL662" t="s">
        <v>11028</v>
      </c>
      <c r="AN662" t="s">
        <v>11050</v>
      </c>
      <c r="AO662">
        <v>49000</v>
      </c>
      <c r="AP662" t="s">
        <v>11110</v>
      </c>
      <c r="AU662">
        <v>14.95</v>
      </c>
      <c r="AV662" t="s">
        <v>652</v>
      </c>
      <c r="AW662" t="s">
        <v>57</v>
      </c>
    </row>
    <row r="663" spans="1:49">
      <c r="A663" s="1">
        <f>HYPERLINK("https://cms.ls-nyc.org/matter/dynamic-profile/view/1849238","17-1849238")</f>
        <v>0</v>
      </c>
      <c r="B663" t="s">
        <v>135</v>
      </c>
      <c r="C663" t="s">
        <v>234</v>
      </c>
      <c r="D663" t="s">
        <v>392</v>
      </c>
      <c r="E663" t="s">
        <v>665</v>
      </c>
      <c r="F663" t="s">
        <v>1309</v>
      </c>
      <c r="G663" t="s">
        <v>2567</v>
      </c>
      <c r="H663" t="s">
        <v>3775</v>
      </c>
      <c r="I663" t="s">
        <v>4925</v>
      </c>
      <c r="J663" t="s">
        <v>5320</v>
      </c>
      <c r="K663">
        <v>11206</v>
      </c>
      <c r="L663" t="s">
        <v>5355</v>
      </c>
      <c r="M663" t="s">
        <v>5356</v>
      </c>
      <c r="O663" t="s">
        <v>6500</v>
      </c>
      <c r="P663" t="s">
        <v>6525</v>
      </c>
      <c r="Q663" t="s">
        <v>6533</v>
      </c>
      <c r="R663" t="s">
        <v>6539</v>
      </c>
      <c r="S663" t="s">
        <v>5355</v>
      </c>
      <c r="U663" t="s">
        <v>6557</v>
      </c>
      <c r="W663" t="s">
        <v>575</v>
      </c>
      <c r="X663">
        <v>955</v>
      </c>
      <c r="Y663" t="s">
        <v>6605</v>
      </c>
      <c r="AA663" t="s">
        <v>6634</v>
      </c>
      <c r="AB663" t="s">
        <v>7243</v>
      </c>
      <c r="AE663">
        <v>29</v>
      </c>
      <c r="AF663" t="s">
        <v>11005</v>
      </c>
      <c r="AH663">
        <v>17</v>
      </c>
      <c r="AI663">
        <v>1</v>
      </c>
      <c r="AJ663">
        <v>0</v>
      </c>
      <c r="AK663">
        <v>306.8</v>
      </c>
      <c r="AN663" t="s">
        <v>11050</v>
      </c>
      <c r="AO663">
        <v>37000</v>
      </c>
      <c r="AU663">
        <v>0.1</v>
      </c>
      <c r="AV663" t="s">
        <v>399</v>
      </c>
      <c r="AW663" t="s">
        <v>11489</v>
      </c>
    </row>
    <row r="664" spans="1:49">
      <c r="A664" s="1">
        <f>HYPERLINK("https://cms.ls-nyc.org/matter/dynamic-profile/view/1866967","18-1866967")</f>
        <v>0</v>
      </c>
      <c r="B664" t="s">
        <v>92</v>
      </c>
      <c r="C664" t="s">
        <v>234</v>
      </c>
      <c r="D664" t="s">
        <v>244</v>
      </c>
      <c r="E664" t="s">
        <v>733</v>
      </c>
      <c r="F664" t="s">
        <v>1188</v>
      </c>
      <c r="G664" t="s">
        <v>2362</v>
      </c>
      <c r="H664" t="s">
        <v>3905</v>
      </c>
      <c r="I664" t="s">
        <v>4775</v>
      </c>
      <c r="J664" t="s">
        <v>5323</v>
      </c>
      <c r="K664">
        <v>10035</v>
      </c>
      <c r="L664" t="s">
        <v>5355</v>
      </c>
      <c r="M664" t="s">
        <v>5355</v>
      </c>
      <c r="O664" t="s">
        <v>5393</v>
      </c>
      <c r="P664" t="s">
        <v>6525</v>
      </c>
      <c r="Q664" t="s">
        <v>6532</v>
      </c>
      <c r="R664" t="s">
        <v>6539</v>
      </c>
      <c r="S664" t="s">
        <v>5357</v>
      </c>
      <c r="U664" t="s">
        <v>6557</v>
      </c>
      <c r="V664" t="s">
        <v>6566</v>
      </c>
      <c r="W664" t="s">
        <v>244</v>
      </c>
      <c r="X664">
        <v>849</v>
      </c>
      <c r="Y664" t="s">
        <v>6608</v>
      </c>
      <c r="Z664" t="s">
        <v>6616</v>
      </c>
      <c r="AA664" t="s">
        <v>6631</v>
      </c>
      <c r="AB664" t="s">
        <v>7265</v>
      </c>
      <c r="AD664" t="s">
        <v>9650</v>
      </c>
      <c r="AE664">
        <v>24</v>
      </c>
      <c r="AF664" t="s">
        <v>8722</v>
      </c>
      <c r="AG664" t="s">
        <v>5406</v>
      </c>
      <c r="AH664">
        <v>2</v>
      </c>
      <c r="AI664">
        <v>1</v>
      </c>
      <c r="AJ664">
        <v>0</v>
      </c>
      <c r="AK664">
        <v>321.25</v>
      </c>
      <c r="AL664" t="s">
        <v>11029</v>
      </c>
      <c r="AN664" t="s">
        <v>11050</v>
      </c>
      <c r="AO664">
        <v>39000</v>
      </c>
      <c r="AU664">
        <v>4.55</v>
      </c>
      <c r="AV664" t="s">
        <v>730</v>
      </c>
      <c r="AW664" t="s">
        <v>11497</v>
      </c>
    </row>
    <row r="665" spans="1:49">
      <c r="A665" s="1">
        <f>HYPERLINK("https://cms.ls-nyc.org/matter/dynamic-profile/view/1857577","18-1857577")</f>
        <v>0</v>
      </c>
      <c r="B665" t="s">
        <v>152</v>
      </c>
      <c r="C665" t="s">
        <v>234</v>
      </c>
      <c r="D665" t="s">
        <v>436</v>
      </c>
      <c r="E665" t="s">
        <v>722</v>
      </c>
      <c r="F665" t="s">
        <v>1310</v>
      </c>
      <c r="G665" t="s">
        <v>2480</v>
      </c>
      <c r="H665" t="s">
        <v>3836</v>
      </c>
      <c r="I665">
        <v>53</v>
      </c>
      <c r="J665" t="s">
        <v>5323</v>
      </c>
      <c r="K665">
        <v>10031</v>
      </c>
      <c r="L665" t="s">
        <v>5355</v>
      </c>
      <c r="M665" t="s">
        <v>5356</v>
      </c>
      <c r="O665" t="s">
        <v>6500</v>
      </c>
      <c r="P665" t="s">
        <v>6525</v>
      </c>
      <c r="Q665" t="s">
        <v>6531</v>
      </c>
      <c r="R665" t="s">
        <v>6539</v>
      </c>
      <c r="S665" t="s">
        <v>5357</v>
      </c>
      <c r="U665" t="s">
        <v>6557</v>
      </c>
      <c r="W665" t="s">
        <v>436</v>
      </c>
      <c r="X665">
        <v>566.6799999999999</v>
      </c>
      <c r="Y665" t="s">
        <v>6608</v>
      </c>
      <c r="Z665" t="s">
        <v>6616</v>
      </c>
      <c r="AA665" t="s">
        <v>6648</v>
      </c>
      <c r="AB665" t="s">
        <v>7266</v>
      </c>
      <c r="AD665" t="s">
        <v>9651</v>
      </c>
      <c r="AE665">
        <v>30</v>
      </c>
      <c r="AF665" t="s">
        <v>11005</v>
      </c>
      <c r="AG665" t="s">
        <v>5406</v>
      </c>
      <c r="AH665">
        <v>37</v>
      </c>
      <c r="AI665">
        <v>3</v>
      </c>
      <c r="AJ665">
        <v>0</v>
      </c>
      <c r="AK665">
        <v>325.87</v>
      </c>
      <c r="AL665" t="s">
        <v>658</v>
      </c>
      <c r="AN665" t="s">
        <v>11050</v>
      </c>
      <c r="AO665">
        <v>66542</v>
      </c>
      <c r="AU665">
        <v>2.25</v>
      </c>
      <c r="AV665" t="s">
        <v>427</v>
      </c>
      <c r="AW665" t="s">
        <v>11495</v>
      </c>
    </row>
    <row r="666" spans="1:49">
      <c r="A666" s="1">
        <f>HYPERLINK("https://cms.ls-nyc.org/matter/dynamic-profile/view/1833659","17-1833659")</f>
        <v>0</v>
      </c>
      <c r="B666" t="s">
        <v>77</v>
      </c>
      <c r="C666" t="s">
        <v>234</v>
      </c>
      <c r="D666" t="s">
        <v>470</v>
      </c>
      <c r="E666" t="s">
        <v>723</v>
      </c>
      <c r="F666" t="s">
        <v>1311</v>
      </c>
      <c r="G666" t="s">
        <v>2568</v>
      </c>
      <c r="H666" t="s">
        <v>3897</v>
      </c>
      <c r="I666" t="s">
        <v>4791</v>
      </c>
      <c r="J666" t="s">
        <v>5320</v>
      </c>
      <c r="K666">
        <v>11233</v>
      </c>
      <c r="L666" t="s">
        <v>5355</v>
      </c>
      <c r="M666" t="s">
        <v>5356</v>
      </c>
      <c r="O666" t="s">
        <v>6494</v>
      </c>
      <c r="P666" t="s">
        <v>6525</v>
      </c>
      <c r="Q666" t="s">
        <v>6532</v>
      </c>
      <c r="R666" t="s">
        <v>6539</v>
      </c>
      <c r="S666" t="s">
        <v>5355</v>
      </c>
      <c r="U666" t="s">
        <v>6557</v>
      </c>
      <c r="W666" t="s">
        <v>6575</v>
      </c>
      <c r="X666">
        <v>1525</v>
      </c>
      <c r="Y666" t="s">
        <v>6605</v>
      </c>
      <c r="AA666" t="s">
        <v>6631</v>
      </c>
      <c r="AB666" t="s">
        <v>7267</v>
      </c>
      <c r="AD666" t="s">
        <v>9652</v>
      </c>
      <c r="AE666">
        <v>43</v>
      </c>
      <c r="AF666" t="s">
        <v>11005</v>
      </c>
      <c r="AG666" t="s">
        <v>5406</v>
      </c>
      <c r="AH666">
        <v>-1</v>
      </c>
      <c r="AI666">
        <v>2</v>
      </c>
      <c r="AJ666">
        <v>1</v>
      </c>
      <c r="AK666">
        <v>328.11</v>
      </c>
      <c r="AL666" t="s">
        <v>11029</v>
      </c>
      <c r="AN666" t="s">
        <v>11050</v>
      </c>
      <c r="AO666">
        <v>67000</v>
      </c>
      <c r="AU666">
        <v>1.35</v>
      </c>
      <c r="AV666" t="s">
        <v>723</v>
      </c>
      <c r="AW666" t="s">
        <v>11489</v>
      </c>
    </row>
    <row r="667" spans="1:49">
      <c r="A667" s="1">
        <f>HYPERLINK("https://cms.ls-nyc.org/matter/dynamic-profile/view/1847797","17-1847797")</f>
        <v>0</v>
      </c>
      <c r="B667" t="s">
        <v>135</v>
      </c>
      <c r="C667" t="s">
        <v>234</v>
      </c>
      <c r="D667" t="s">
        <v>237</v>
      </c>
      <c r="E667" t="s">
        <v>665</v>
      </c>
      <c r="F667" t="s">
        <v>1297</v>
      </c>
      <c r="G667" t="s">
        <v>2569</v>
      </c>
      <c r="H667" t="s">
        <v>3775</v>
      </c>
      <c r="I667" t="s">
        <v>4823</v>
      </c>
      <c r="J667" t="s">
        <v>5320</v>
      </c>
      <c r="K667">
        <v>11206</v>
      </c>
      <c r="L667" t="s">
        <v>5355</v>
      </c>
      <c r="M667" t="s">
        <v>5356</v>
      </c>
      <c r="O667" t="s">
        <v>6500</v>
      </c>
      <c r="P667" t="s">
        <v>6525</v>
      </c>
      <c r="Q667" t="s">
        <v>6533</v>
      </c>
      <c r="R667" t="s">
        <v>6539</v>
      </c>
      <c r="S667" t="s">
        <v>5355</v>
      </c>
      <c r="U667" t="s">
        <v>6557</v>
      </c>
      <c r="W667" t="s">
        <v>575</v>
      </c>
      <c r="X667">
        <v>560</v>
      </c>
      <c r="Y667" t="s">
        <v>6605</v>
      </c>
      <c r="AA667" t="s">
        <v>6634</v>
      </c>
      <c r="AB667" t="s">
        <v>7268</v>
      </c>
      <c r="AD667" t="s">
        <v>9653</v>
      </c>
      <c r="AE667">
        <v>16</v>
      </c>
      <c r="AF667" t="s">
        <v>11005</v>
      </c>
      <c r="AG667" t="s">
        <v>5406</v>
      </c>
      <c r="AH667">
        <v>6</v>
      </c>
      <c r="AI667">
        <v>1</v>
      </c>
      <c r="AJ667">
        <v>0</v>
      </c>
      <c r="AK667">
        <v>331.67</v>
      </c>
      <c r="AL667" t="s">
        <v>11029</v>
      </c>
      <c r="AN667" t="s">
        <v>11050</v>
      </c>
      <c r="AO667">
        <v>40000</v>
      </c>
      <c r="AU667">
        <v>0.1</v>
      </c>
      <c r="AV667" t="s">
        <v>399</v>
      </c>
      <c r="AW667" t="s">
        <v>11512</v>
      </c>
    </row>
    <row r="668" spans="1:49">
      <c r="A668" s="1">
        <f>HYPERLINK("https://cms.ls-nyc.org/matter/dynamic-profile/view/1857985","18-1857985")</f>
        <v>0</v>
      </c>
      <c r="B668" t="s">
        <v>78</v>
      </c>
      <c r="C668" t="s">
        <v>234</v>
      </c>
      <c r="D668" t="s">
        <v>272</v>
      </c>
      <c r="E668" t="s">
        <v>734</v>
      </c>
      <c r="F668" t="s">
        <v>1312</v>
      </c>
      <c r="G668" t="s">
        <v>2570</v>
      </c>
      <c r="H668" t="s">
        <v>3906</v>
      </c>
      <c r="I668" t="s">
        <v>4955</v>
      </c>
      <c r="J668" t="s">
        <v>5323</v>
      </c>
      <c r="K668">
        <v>10002</v>
      </c>
      <c r="L668" t="s">
        <v>5355</v>
      </c>
      <c r="M668" t="s">
        <v>5356</v>
      </c>
      <c r="N668" t="s">
        <v>5547</v>
      </c>
      <c r="O668" t="s">
        <v>6492</v>
      </c>
      <c r="P668" t="s">
        <v>6525</v>
      </c>
      <c r="Q668" t="s">
        <v>6531</v>
      </c>
      <c r="R668" t="s">
        <v>6539</v>
      </c>
      <c r="S668" t="s">
        <v>5357</v>
      </c>
      <c r="T668" t="s">
        <v>6542</v>
      </c>
      <c r="U668" t="s">
        <v>6557</v>
      </c>
      <c r="W668" t="s">
        <v>236</v>
      </c>
      <c r="X668">
        <v>1460</v>
      </c>
      <c r="Y668" t="s">
        <v>6608</v>
      </c>
      <c r="Z668" t="s">
        <v>6614</v>
      </c>
      <c r="AA668" t="s">
        <v>6631</v>
      </c>
      <c r="AB668" t="s">
        <v>7269</v>
      </c>
      <c r="AD668" t="s">
        <v>9654</v>
      </c>
      <c r="AE668">
        <v>198</v>
      </c>
      <c r="AF668" t="s">
        <v>11005</v>
      </c>
      <c r="AG668" t="s">
        <v>5406</v>
      </c>
      <c r="AH668">
        <v>20</v>
      </c>
      <c r="AI668">
        <v>1</v>
      </c>
      <c r="AJ668">
        <v>0</v>
      </c>
      <c r="AK668">
        <v>331.67</v>
      </c>
      <c r="AL668" t="s">
        <v>11029</v>
      </c>
      <c r="AN668" t="s">
        <v>11050</v>
      </c>
      <c r="AO668">
        <v>40000</v>
      </c>
      <c r="AU668">
        <v>1</v>
      </c>
      <c r="AV668" t="s">
        <v>291</v>
      </c>
      <c r="AW668" t="s">
        <v>11494</v>
      </c>
    </row>
    <row r="669" spans="1:49">
      <c r="A669" s="1">
        <f>HYPERLINK("https://cms.ls-nyc.org/matter/dynamic-profile/view/1854249","17-1854249")</f>
        <v>0</v>
      </c>
      <c r="B669" t="s">
        <v>76</v>
      </c>
      <c r="C669" t="s">
        <v>234</v>
      </c>
      <c r="D669" t="s">
        <v>422</v>
      </c>
      <c r="E669" t="s">
        <v>726</v>
      </c>
      <c r="F669" t="s">
        <v>1313</v>
      </c>
      <c r="G669" t="s">
        <v>2571</v>
      </c>
      <c r="H669" t="s">
        <v>3907</v>
      </c>
      <c r="I669">
        <v>4</v>
      </c>
      <c r="J669" t="s">
        <v>5323</v>
      </c>
      <c r="K669">
        <v>10035</v>
      </c>
      <c r="L669" t="s">
        <v>5355</v>
      </c>
      <c r="M669" t="s">
        <v>5355</v>
      </c>
      <c r="O669" t="s">
        <v>5393</v>
      </c>
      <c r="P669" t="s">
        <v>6525</v>
      </c>
      <c r="Q669" t="s">
        <v>6532</v>
      </c>
      <c r="R669" t="s">
        <v>6539</v>
      </c>
      <c r="S669" t="s">
        <v>5357</v>
      </c>
      <c r="U669" t="s">
        <v>6557</v>
      </c>
      <c r="V669" t="s">
        <v>6566</v>
      </c>
      <c r="W669" t="s">
        <v>422</v>
      </c>
      <c r="X669">
        <v>1500</v>
      </c>
      <c r="Y669" t="s">
        <v>6608</v>
      </c>
      <c r="Z669" t="s">
        <v>6616</v>
      </c>
      <c r="AA669" t="s">
        <v>6636</v>
      </c>
      <c r="AB669" t="s">
        <v>7270</v>
      </c>
      <c r="AD669" t="s">
        <v>9655</v>
      </c>
      <c r="AE669">
        <v>3</v>
      </c>
      <c r="AF669" t="s">
        <v>8722</v>
      </c>
      <c r="AG669" t="s">
        <v>5406</v>
      </c>
      <c r="AH669">
        <v>19</v>
      </c>
      <c r="AI669">
        <v>3</v>
      </c>
      <c r="AJ669">
        <v>0</v>
      </c>
      <c r="AK669">
        <v>336.14</v>
      </c>
      <c r="AL669" t="s">
        <v>389</v>
      </c>
      <c r="AN669" t="s">
        <v>11049</v>
      </c>
      <c r="AO669">
        <v>68640</v>
      </c>
      <c r="AU669">
        <v>12.1</v>
      </c>
      <c r="AV669" t="s">
        <v>309</v>
      </c>
      <c r="AW669" t="s">
        <v>11497</v>
      </c>
    </row>
    <row r="670" spans="1:49">
      <c r="A670" s="1">
        <f>HYPERLINK("https://cms.ls-nyc.org/matter/dynamic-profile/view/1871306","18-1871306")</f>
        <v>0</v>
      </c>
      <c r="B670" t="s">
        <v>135</v>
      </c>
      <c r="C670" t="s">
        <v>234</v>
      </c>
      <c r="D670" t="s">
        <v>401</v>
      </c>
      <c r="E670" t="s">
        <v>742</v>
      </c>
      <c r="F670" t="s">
        <v>1190</v>
      </c>
      <c r="G670" t="s">
        <v>2572</v>
      </c>
      <c r="H670" t="s">
        <v>3739</v>
      </c>
      <c r="I670" t="s">
        <v>4879</v>
      </c>
      <c r="J670" t="s">
        <v>5320</v>
      </c>
      <c r="K670">
        <v>11212</v>
      </c>
      <c r="L670" t="s">
        <v>5355</v>
      </c>
      <c r="M670" t="s">
        <v>5356</v>
      </c>
      <c r="O670" t="s">
        <v>6499</v>
      </c>
      <c r="P670" t="s">
        <v>6525</v>
      </c>
      <c r="Q670" t="s">
        <v>6532</v>
      </c>
      <c r="R670" t="s">
        <v>6539</v>
      </c>
      <c r="S670" t="s">
        <v>5355</v>
      </c>
      <c r="U670" t="s">
        <v>6557</v>
      </c>
      <c r="W670" t="s">
        <v>349</v>
      </c>
      <c r="X670">
        <v>1248.12</v>
      </c>
      <c r="Y670" t="s">
        <v>6605</v>
      </c>
      <c r="Z670" t="s">
        <v>6614</v>
      </c>
      <c r="AA670" t="s">
        <v>6642</v>
      </c>
      <c r="AB670" t="s">
        <v>7271</v>
      </c>
      <c r="AD670" t="s">
        <v>9656</v>
      </c>
      <c r="AE670">
        <v>32</v>
      </c>
      <c r="AF670" t="s">
        <v>11005</v>
      </c>
      <c r="AG670" t="s">
        <v>5406</v>
      </c>
      <c r="AH670">
        <v>10</v>
      </c>
      <c r="AI670">
        <v>2</v>
      </c>
      <c r="AJ670">
        <v>0</v>
      </c>
      <c r="AK670">
        <v>364.52</v>
      </c>
      <c r="AL670" t="s">
        <v>11029</v>
      </c>
      <c r="AN670" t="s">
        <v>11050</v>
      </c>
      <c r="AO670">
        <v>60000</v>
      </c>
      <c r="AU670">
        <v>0.08</v>
      </c>
      <c r="AV670" t="s">
        <v>726</v>
      </c>
      <c r="AW670" t="s">
        <v>11517</v>
      </c>
    </row>
    <row r="671" spans="1:49">
      <c r="A671" s="1">
        <f>HYPERLINK("https://cms.ls-nyc.org/matter/dynamic-profile/view/1850766","17-1850766")</f>
        <v>0</v>
      </c>
      <c r="B671" t="s">
        <v>77</v>
      </c>
      <c r="C671" t="s">
        <v>234</v>
      </c>
      <c r="D671" t="s">
        <v>400</v>
      </c>
      <c r="E671" t="s">
        <v>693</v>
      </c>
      <c r="F671" t="s">
        <v>860</v>
      </c>
      <c r="G671" t="s">
        <v>2573</v>
      </c>
      <c r="H671" t="s">
        <v>3480</v>
      </c>
      <c r="I671" t="s">
        <v>4956</v>
      </c>
      <c r="J671" t="s">
        <v>5320</v>
      </c>
      <c r="K671">
        <v>11213</v>
      </c>
      <c r="L671" t="s">
        <v>5355</v>
      </c>
      <c r="M671" t="s">
        <v>5356</v>
      </c>
      <c r="O671" t="s">
        <v>6500</v>
      </c>
      <c r="P671" t="s">
        <v>6525</v>
      </c>
      <c r="Q671" t="s">
        <v>6531</v>
      </c>
      <c r="R671" t="s">
        <v>6539</v>
      </c>
      <c r="S671" t="s">
        <v>5355</v>
      </c>
      <c r="U671" t="s">
        <v>6557</v>
      </c>
      <c r="W671" t="s">
        <v>6580</v>
      </c>
      <c r="X671">
        <v>1129.43</v>
      </c>
      <c r="Y671" t="s">
        <v>6605</v>
      </c>
      <c r="Z671" t="s">
        <v>6622</v>
      </c>
      <c r="AA671" t="s">
        <v>6631</v>
      </c>
      <c r="AB671" t="s">
        <v>7272</v>
      </c>
      <c r="AD671" t="s">
        <v>9657</v>
      </c>
      <c r="AE671">
        <v>107</v>
      </c>
      <c r="AF671" t="s">
        <v>11005</v>
      </c>
      <c r="AG671" t="s">
        <v>5406</v>
      </c>
      <c r="AH671">
        <v>20</v>
      </c>
      <c r="AI671">
        <v>2</v>
      </c>
      <c r="AJ671">
        <v>0</v>
      </c>
      <c r="AK671">
        <v>375.62</v>
      </c>
      <c r="AL671" t="s">
        <v>266</v>
      </c>
      <c r="AN671" t="s">
        <v>11049</v>
      </c>
      <c r="AO671">
        <v>61000</v>
      </c>
      <c r="AU671">
        <v>15.95</v>
      </c>
      <c r="AV671" t="s">
        <v>693</v>
      </c>
      <c r="AW671" t="s">
        <v>11512</v>
      </c>
    </row>
    <row r="672" spans="1:49">
      <c r="A672" s="1">
        <f>HYPERLINK("https://cms.ls-nyc.org/matter/dynamic-profile/view/1850775","17-1850775")</f>
        <v>0</v>
      </c>
      <c r="B672" t="s">
        <v>77</v>
      </c>
      <c r="C672" t="s">
        <v>234</v>
      </c>
      <c r="D672" t="s">
        <v>400</v>
      </c>
      <c r="E672" t="s">
        <v>704</v>
      </c>
      <c r="F672" t="s">
        <v>1314</v>
      </c>
      <c r="G672" t="s">
        <v>2574</v>
      </c>
      <c r="H672" t="s">
        <v>3480</v>
      </c>
      <c r="I672" t="s">
        <v>4762</v>
      </c>
      <c r="J672" t="s">
        <v>5320</v>
      </c>
      <c r="K672">
        <v>11213</v>
      </c>
      <c r="L672" t="s">
        <v>5355</v>
      </c>
      <c r="M672" t="s">
        <v>5356</v>
      </c>
      <c r="O672" t="s">
        <v>6500</v>
      </c>
      <c r="P672" t="s">
        <v>6525</v>
      </c>
      <c r="Q672" t="s">
        <v>6532</v>
      </c>
      <c r="R672" t="s">
        <v>6539</v>
      </c>
      <c r="S672" t="s">
        <v>5355</v>
      </c>
      <c r="U672" t="s">
        <v>6557</v>
      </c>
      <c r="W672" t="s">
        <v>6580</v>
      </c>
      <c r="X672">
        <v>805.64</v>
      </c>
      <c r="Y672" t="s">
        <v>6605</v>
      </c>
      <c r="Z672" t="s">
        <v>6622</v>
      </c>
      <c r="AA672" t="s">
        <v>6634</v>
      </c>
      <c r="AB672" t="s">
        <v>7273</v>
      </c>
      <c r="AD672" t="s">
        <v>9658</v>
      </c>
      <c r="AE672">
        <v>107</v>
      </c>
      <c r="AF672" t="s">
        <v>11005</v>
      </c>
      <c r="AG672" t="s">
        <v>5406</v>
      </c>
      <c r="AH672">
        <v>21</v>
      </c>
      <c r="AI672">
        <v>2</v>
      </c>
      <c r="AJ672">
        <v>0</v>
      </c>
      <c r="AK672">
        <v>375.62</v>
      </c>
      <c r="AL672" t="s">
        <v>266</v>
      </c>
      <c r="AN672" t="s">
        <v>11050</v>
      </c>
      <c r="AO672">
        <v>61000</v>
      </c>
      <c r="AU672">
        <v>1.25</v>
      </c>
      <c r="AV672" t="s">
        <v>704</v>
      </c>
      <c r="AW672" t="s">
        <v>11512</v>
      </c>
    </row>
    <row r="673" spans="1:50">
      <c r="A673" s="1">
        <f>HYPERLINK("https://cms.ls-nyc.org/matter/dynamic-profile/view/1836966","17-1836966")</f>
        <v>0</v>
      </c>
      <c r="B673" t="s">
        <v>76</v>
      </c>
      <c r="C673" t="s">
        <v>234</v>
      </c>
      <c r="D673" t="s">
        <v>471</v>
      </c>
      <c r="E673" t="s">
        <v>665</v>
      </c>
      <c r="F673" t="s">
        <v>1040</v>
      </c>
      <c r="G673" t="s">
        <v>2575</v>
      </c>
      <c r="H673" t="s">
        <v>3908</v>
      </c>
      <c r="I673" t="s">
        <v>4752</v>
      </c>
      <c r="J673" t="s">
        <v>5323</v>
      </c>
      <c r="K673">
        <v>10029</v>
      </c>
      <c r="L673" t="s">
        <v>5355</v>
      </c>
      <c r="M673" t="s">
        <v>5355</v>
      </c>
      <c r="O673" t="s">
        <v>6494</v>
      </c>
      <c r="P673" t="s">
        <v>6525</v>
      </c>
      <c r="Q673" t="s">
        <v>6532</v>
      </c>
      <c r="R673" t="s">
        <v>6539</v>
      </c>
      <c r="S673" t="s">
        <v>5357</v>
      </c>
      <c r="T673" t="s">
        <v>6542</v>
      </c>
      <c r="U673" t="s">
        <v>6557</v>
      </c>
      <c r="V673" t="s">
        <v>6566</v>
      </c>
      <c r="W673" t="s">
        <v>236</v>
      </c>
      <c r="X673">
        <v>1700</v>
      </c>
      <c r="Y673" t="s">
        <v>6608</v>
      </c>
      <c r="Z673" t="s">
        <v>6617</v>
      </c>
      <c r="AA673" t="s">
        <v>6636</v>
      </c>
      <c r="AB673" t="s">
        <v>7274</v>
      </c>
      <c r="AD673" t="s">
        <v>9659</v>
      </c>
      <c r="AE673">
        <v>30</v>
      </c>
      <c r="AF673" t="s">
        <v>11005</v>
      </c>
      <c r="AG673" t="s">
        <v>5406</v>
      </c>
      <c r="AH673">
        <v>1</v>
      </c>
      <c r="AI673">
        <v>1</v>
      </c>
      <c r="AJ673">
        <v>0</v>
      </c>
      <c r="AK673">
        <v>380.02</v>
      </c>
      <c r="AL673" t="s">
        <v>11029</v>
      </c>
      <c r="AN673" t="s">
        <v>11050</v>
      </c>
      <c r="AO673">
        <v>45831</v>
      </c>
      <c r="AU673">
        <v>1.9</v>
      </c>
      <c r="AV673" t="s">
        <v>461</v>
      </c>
      <c r="AW673" t="s">
        <v>11527</v>
      </c>
    </row>
    <row r="674" spans="1:50">
      <c r="A674" s="1">
        <f>HYPERLINK("https://cms.ls-nyc.org/matter/dynamic-profile/view/1842889","17-1842889")</f>
        <v>0</v>
      </c>
      <c r="B674" t="s">
        <v>77</v>
      </c>
      <c r="C674" t="s">
        <v>234</v>
      </c>
      <c r="D674" t="s">
        <v>472</v>
      </c>
      <c r="E674" t="s">
        <v>723</v>
      </c>
      <c r="F674" t="s">
        <v>1282</v>
      </c>
      <c r="G674" t="s">
        <v>2120</v>
      </c>
      <c r="H674" t="s">
        <v>3827</v>
      </c>
      <c r="I674" t="s">
        <v>4868</v>
      </c>
      <c r="J674" t="s">
        <v>5320</v>
      </c>
      <c r="K674">
        <v>11233</v>
      </c>
      <c r="L674" t="s">
        <v>5355</v>
      </c>
      <c r="M674" t="s">
        <v>5356</v>
      </c>
      <c r="O674" t="s">
        <v>6500</v>
      </c>
      <c r="P674" t="s">
        <v>6525</v>
      </c>
      <c r="Q674" t="s">
        <v>6531</v>
      </c>
      <c r="R674" t="s">
        <v>6539</v>
      </c>
      <c r="S674" t="s">
        <v>5355</v>
      </c>
      <c r="U674" t="s">
        <v>6557</v>
      </c>
      <c r="W674" t="s">
        <v>472</v>
      </c>
      <c r="X674">
        <v>625.14</v>
      </c>
      <c r="Y674" t="s">
        <v>6605</v>
      </c>
      <c r="Z674" t="s">
        <v>6622</v>
      </c>
      <c r="AA674" t="s">
        <v>6631</v>
      </c>
      <c r="AB674" t="s">
        <v>7275</v>
      </c>
      <c r="AD674" t="s">
        <v>9660</v>
      </c>
      <c r="AE674">
        <v>36</v>
      </c>
      <c r="AF674" t="s">
        <v>11005</v>
      </c>
      <c r="AG674" t="s">
        <v>5406</v>
      </c>
      <c r="AH674">
        <v>3</v>
      </c>
      <c r="AI674">
        <v>1</v>
      </c>
      <c r="AJ674">
        <v>0</v>
      </c>
      <c r="AK674">
        <v>389.72</v>
      </c>
      <c r="AM674" t="s">
        <v>11045</v>
      </c>
      <c r="AN674" t="s">
        <v>11050</v>
      </c>
      <c r="AO674">
        <v>47000</v>
      </c>
      <c r="AU674">
        <v>0.61</v>
      </c>
      <c r="AV674" t="s">
        <v>723</v>
      </c>
      <c r="AW674" t="s">
        <v>77</v>
      </c>
    </row>
    <row r="675" spans="1:50">
      <c r="A675" s="1">
        <f>HYPERLINK("https://cms.ls-nyc.org/matter/dynamic-profile/view/1840992","17-1840992")</f>
        <v>0</v>
      </c>
      <c r="B675" t="s">
        <v>137</v>
      </c>
      <c r="C675" t="s">
        <v>235</v>
      </c>
      <c r="D675" t="s">
        <v>473</v>
      </c>
      <c r="F675" t="s">
        <v>1315</v>
      </c>
      <c r="G675" t="s">
        <v>2576</v>
      </c>
      <c r="H675" t="s">
        <v>3909</v>
      </c>
      <c r="I675" t="s">
        <v>4957</v>
      </c>
      <c r="J675" t="s">
        <v>5320</v>
      </c>
      <c r="K675">
        <v>11213</v>
      </c>
      <c r="L675" t="s">
        <v>5355</v>
      </c>
      <c r="M675" t="s">
        <v>5356</v>
      </c>
      <c r="O675" t="s">
        <v>6500</v>
      </c>
      <c r="P675" t="s">
        <v>6525</v>
      </c>
      <c r="R675" t="s">
        <v>6539</v>
      </c>
      <c r="S675" t="s">
        <v>5355</v>
      </c>
      <c r="U675" t="s">
        <v>6557</v>
      </c>
      <c r="W675" t="s">
        <v>404</v>
      </c>
      <c r="X675">
        <v>0</v>
      </c>
      <c r="Y675" t="s">
        <v>6605</v>
      </c>
      <c r="AB675" t="s">
        <v>7276</v>
      </c>
      <c r="AE675">
        <v>74</v>
      </c>
      <c r="AF675" t="s">
        <v>11005</v>
      </c>
      <c r="AH675">
        <v>0</v>
      </c>
      <c r="AI675">
        <v>2</v>
      </c>
      <c r="AJ675">
        <v>2</v>
      </c>
      <c r="AK675">
        <v>406.5</v>
      </c>
      <c r="AL675" t="s">
        <v>511</v>
      </c>
      <c r="AN675" t="s">
        <v>11050</v>
      </c>
      <c r="AO675">
        <v>100000</v>
      </c>
      <c r="AU675">
        <v>0</v>
      </c>
      <c r="AW675" t="s">
        <v>11489</v>
      </c>
    </row>
    <row r="676" spans="1:50">
      <c r="A676" s="1">
        <f>HYPERLINK("https://cms.ls-nyc.org/matter/dynamic-profile/view/0822327","16-0822327")</f>
        <v>0</v>
      </c>
      <c r="B676" t="s">
        <v>92</v>
      </c>
      <c r="C676" t="s">
        <v>235</v>
      </c>
      <c r="D676" t="s">
        <v>464</v>
      </c>
      <c r="F676" t="s">
        <v>872</v>
      </c>
      <c r="G676" t="s">
        <v>2577</v>
      </c>
      <c r="H676" t="s">
        <v>3910</v>
      </c>
      <c r="I676" t="s">
        <v>4868</v>
      </c>
      <c r="J676" t="s">
        <v>5323</v>
      </c>
      <c r="K676">
        <v>10034</v>
      </c>
      <c r="L676" t="s">
        <v>5355</v>
      </c>
      <c r="M676" t="s">
        <v>5356</v>
      </c>
      <c r="N676" t="s">
        <v>5548</v>
      </c>
      <c r="O676" t="s">
        <v>6499</v>
      </c>
      <c r="P676" t="s">
        <v>6525</v>
      </c>
      <c r="R676" t="s">
        <v>6539</v>
      </c>
      <c r="S676" t="s">
        <v>5355</v>
      </c>
      <c r="U676" t="s">
        <v>6557</v>
      </c>
      <c r="W676" t="s">
        <v>464</v>
      </c>
      <c r="X676">
        <v>1795</v>
      </c>
      <c r="Y676" t="s">
        <v>6608</v>
      </c>
      <c r="Z676" t="s">
        <v>6622</v>
      </c>
      <c r="AB676" t="s">
        <v>7277</v>
      </c>
      <c r="AE676">
        <v>22</v>
      </c>
      <c r="AF676" t="s">
        <v>11005</v>
      </c>
      <c r="AG676" t="s">
        <v>5406</v>
      </c>
      <c r="AH676">
        <v>3</v>
      </c>
      <c r="AI676">
        <v>3</v>
      </c>
      <c r="AJ676">
        <v>0</v>
      </c>
      <c r="AK676">
        <v>423.02</v>
      </c>
      <c r="AN676" t="s">
        <v>11050</v>
      </c>
      <c r="AO676">
        <v>128960</v>
      </c>
      <c r="AP676" t="s">
        <v>11111</v>
      </c>
      <c r="AU676">
        <v>0.1</v>
      </c>
      <c r="AV676" t="s">
        <v>464</v>
      </c>
      <c r="AW676" t="s">
        <v>11497</v>
      </c>
    </row>
    <row r="677" spans="1:50">
      <c r="A677" s="1">
        <f>HYPERLINK("https://cms.ls-nyc.org/matter/dynamic-profile/view/1847293","17-1847293")</f>
        <v>0</v>
      </c>
      <c r="B677" t="s">
        <v>92</v>
      </c>
      <c r="C677" t="s">
        <v>235</v>
      </c>
      <c r="D677" t="s">
        <v>283</v>
      </c>
      <c r="F677" t="s">
        <v>1316</v>
      </c>
      <c r="G677" t="s">
        <v>2578</v>
      </c>
      <c r="H677" t="s">
        <v>3575</v>
      </c>
      <c r="I677">
        <v>65</v>
      </c>
      <c r="J677" t="s">
        <v>5323</v>
      </c>
      <c r="K677">
        <v>10040</v>
      </c>
      <c r="L677" t="s">
        <v>5355</v>
      </c>
      <c r="M677" t="s">
        <v>5356</v>
      </c>
      <c r="N677" t="s">
        <v>5439</v>
      </c>
      <c r="O677" t="s">
        <v>6494</v>
      </c>
      <c r="P677" t="s">
        <v>6525</v>
      </c>
      <c r="R677" t="s">
        <v>6539</v>
      </c>
      <c r="S677" t="s">
        <v>5355</v>
      </c>
      <c r="U677" t="s">
        <v>6557</v>
      </c>
      <c r="W677" t="s">
        <v>283</v>
      </c>
      <c r="X677">
        <v>1850</v>
      </c>
      <c r="Y677" t="s">
        <v>6608</v>
      </c>
      <c r="Z677" t="s">
        <v>6616</v>
      </c>
      <c r="AB677" t="s">
        <v>7278</v>
      </c>
      <c r="AD677" t="s">
        <v>9661</v>
      </c>
      <c r="AE677">
        <v>45</v>
      </c>
      <c r="AF677" t="s">
        <v>11005</v>
      </c>
      <c r="AG677" t="s">
        <v>5406</v>
      </c>
      <c r="AH677">
        <v>1</v>
      </c>
      <c r="AI677">
        <v>2</v>
      </c>
      <c r="AJ677">
        <v>2</v>
      </c>
      <c r="AK677">
        <v>447.15</v>
      </c>
      <c r="AL677" t="s">
        <v>301</v>
      </c>
      <c r="AN677" t="s">
        <v>11050</v>
      </c>
      <c r="AO677">
        <v>220000</v>
      </c>
      <c r="AU677">
        <v>0.4</v>
      </c>
      <c r="AV677" t="s">
        <v>283</v>
      </c>
      <c r="AW677" t="s">
        <v>11495</v>
      </c>
    </row>
    <row r="678" spans="1:50">
      <c r="A678" s="1">
        <f>HYPERLINK("https://cms.ls-nyc.org/matter/dynamic-profile/view/1864874","18-1864874")</f>
        <v>0</v>
      </c>
      <c r="B678" t="s">
        <v>92</v>
      </c>
      <c r="C678" t="s">
        <v>235</v>
      </c>
      <c r="D678" t="s">
        <v>250</v>
      </c>
      <c r="F678" t="s">
        <v>1317</v>
      </c>
      <c r="G678" t="s">
        <v>2579</v>
      </c>
      <c r="H678" t="s">
        <v>3839</v>
      </c>
      <c r="I678" t="s">
        <v>4849</v>
      </c>
      <c r="J678" t="s">
        <v>5323</v>
      </c>
      <c r="K678">
        <v>10031</v>
      </c>
      <c r="L678" t="s">
        <v>5355</v>
      </c>
      <c r="M678" t="s">
        <v>5356</v>
      </c>
      <c r="O678" t="s">
        <v>5393</v>
      </c>
      <c r="P678" t="s">
        <v>6525</v>
      </c>
      <c r="R678" t="s">
        <v>6539</v>
      </c>
      <c r="S678" t="s">
        <v>5355</v>
      </c>
      <c r="U678" t="s">
        <v>6557</v>
      </c>
      <c r="W678" t="s">
        <v>250</v>
      </c>
      <c r="X678">
        <v>1600</v>
      </c>
      <c r="Y678" t="s">
        <v>6608</v>
      </c>
      <c r="Z678" t="s">
        <v>6622</v>
      </c>
      <c r="AB678" t="s">
        <v>7279</v>
      </c>
      <c r="AD678" t="s">
        <v>9662</v>
      </c>
      <c r="AE678">
        <v>48</v>
      </c>
      <c r="AF678" t="s">
        <v>8722</v>
      </c>
      <c r="AG678" t="s">
        <v>5406</v>
      </c>
      <c r="AH678">
        <v>1</v>
      </c>
      <c r="AI678">
        <v>1</v>
      </c>
      <c r="AJ678">
        <v>0</v>
      </c>
      <c r="AK678">
        <v>453.05</v>
      </c>
      <c r="AN678" t="s">
        <v>11050</v>
      </c>
      <c r="AO678">
        <v>55000</v>
      </c>
      <c r="AU678">
        <v>2.75</v>
      </c>
      <c r="AV678" t="s">
        <v>605</v>
      </c>
      <c r="AW678" t="s">
        <v>11497</v>
      </c>
      <c r="AX678" t="s">
        <v>11564</v>
      </c>
    </row>
    <row r="679" spans="1:50">
      <c r="A679" s="1">
        <f>HYPERLINK("https://cms.ls-nyc.org/matter/dynamic-profile/view/1866987","18-1866987")</f>
        <v>0</v>
      </c>
      <c r="B679" t="s">
        <v>103</v>
      </c>
      <c r="C679" t="s">
        <v>234</v>
      </c>
      <c r="D679" t="s">
        <v>244</v>
      </c>
      <c r="E679" t="s">
        <v>764</v>
      </c>
      <c r="F679" t="s">
        <v>1318</v>
      </c>
      <c r="G679" t="s">
        <v>1072</v>
      </c>
      <c r="H679" t="s">
        <v>3911</v>
      </c>
      <c r="I679" t="s">
        <v>4861</v>
      </c>
      <c r="J679" t="s">
        <v>5321</v>
      </c>
      <c r="K679">
        <v>10451</v>
      </c>
      <c r="L679" t="s">
        <v>5355</v>
      </c>
      <c r="M679" t="s">
        <v>5355</v>
      </c>
      <c r="O679" t="s">
        <v>5393</v>
      </c>
      <c r="P679" t="s">
        <v>6525</v>
      </c>
      <c r="Q679" t="s">
        <v>6532</v>
      </c>
      <c r="R679" t="s">
        <v>6539</v>
      </c>
      <c r="S679" t="s">
        <v>5357</v>
      </c>
      <c r="U679" t="s">
        <v>6557</v>
      </c>
      <c r="W679" t="s">
        <v>345</v>
      </c>
      <c r="X679">
        <v>1860</v>
      </c>
      <c r="Y679" t="s">
        <v>6606</v>
      </c>
      <c r="Z679" t="s">
        <v>6612</v>
      </c>
      <c r="AA679" t="s">
        <v>6631</v>
      </c>
      <c r="AB679" t="s">
        <v>7280</v>
      </c>
      <c r="AD679" t="s">
        <v>9663</v>
      </c>
      <c r="AE679">
        <v>85</v>
      </c>
      <c r="AF679" t="s">
        <v>11005</v>
      </c>
      <c r="AG679" t="s">
        <v>5406</v>
      </c>
      <c r="AH679">
        <v>35</v>
      </c>
      <c r="AI679">
        <v>1</v>
      </c>
      <c r="AJ679">
        <v>0</v>
      </c>
      <c r="AK679">
        <v>535.42</v>
      </c>
      <c r="AN679" t="s">
        <v>11050</v>
      </c>
      <c r="AO679">
        <v>65000</v>
      </c>
      <c r="AU679">
        <v>0.7</v>
      </c>
      <c r="AV679" t="s">
        <v>244</v>
      </c>
      <c r="AW679" t="s">
        <v>103</v>
      </c>
    </row>
    <row r="680" spans="1:50">
      <c r="A680" s="1">
        <f>HYPERLINK("https://cms.ls-nyc.org/matter/dynamic-profile/view/1869909","18-1869909")</f>
        <v>0</v>
      </c>
      <c r="B680" t="s">
        <v>111</v>
      </c>
      <c r="C680" t="s">
        <v>234</v>
      </c>
      <c r="D680" t="s">
        <v>313</v>
      </c>
      <c r="E680" t="s">
        <v>517</v>
      </c>
      <c r="F680" t="s">
        <v>1319</v>
      </c>
      <c r="G680" t="s">
        <v>2580</v>
      </c>
      <c r="H680" t="s">
        <v>3912</v>
      </c>
      <c r="I680" t="s">
        <v>4958</v>
      </c>
      <c r="J680" t="s">
        <v>5323</v>
      </c>
      <c r="K680">
        <v>10034</v>
      </c>
      <c r="L680" t="s">
        <v>5355</v>
      </c>
      <c r="M680" t="s">
        <v>5355</v>
      </c>
      <c r="O680" t="s">
        <v>6507</v>
      </c>
      <c r="P680" t="s">
        <v>6525</v>
      </c>
      <c r="Q680" t="s">
        <v>6531</v>
      </c>
      <c r="R680" t="s">
        <v>6539</v>
      </c>
      <c r="S680" t="s">
        <v>5355</v>
      </c>
      <c r="U680" t="s">
        <v>6557</v>
      </c>
      <c r="W680" t="s">
        <v>313</v>
      </c>
      <c r="X680">
        <v>2145</v>
      </c>
      <c r="Y680" t="s">
        <v>6608</v>
      </c>
      <c r="Z680" t="s">
        <v>6616</v>
      </c>
      <c r="AA680" t="s">
        <v>6631</v>
      </c>
      <c r="AB680" t="s">
        <v>7281</v>
      </c>
      <c r="AD680" t="s">
        <v>9664</v>
      </c>
      <c r="AE680">
        <v>228</v>
      </c>
      <c r="AF680" t="s">
        <v>11005</v>
      </c>
      <c r="AG680" t="s">
        <v>5406</v>
      </c>
      <c r="AH680">
        <v>2</v>
      </c>
      <c r="AI680">
        <v>2</v>
      </c>
      <c r="AJ680">
        <v>1</v>
      </c>
      <c r="AK680">
        <v>558.23</v>
      </c>
      <c r="AN680" t="s">
        <v>11050</v>
      </c>
      <c r="AO680">
        <v>116000</v>
      </c>
      <c r="AU680">
        <v>0.2</v>
      </c>
      <c r="AV680" t="s">
        <v>517</v>
      </c>
      <c r="AW680" t="s">
        <v>11495</v>
      </c>
    </row>
    <row r="681" spans="1:50">
      <c r="A681" s="1">
        <f>HYPERLINK("https://cms.ls-nyc.org/matter/dynamic-profile/view/1841949","17-1841949")</f>
        <v>0</v>
      </c>
      <c r="B681" t="s">
        <v>92</v>
      </c>
      <c r="C681" t="s">
        <v>234</v>
      </c>
      <c r="D681" t="s">
        <v>305</v>
      </c>
      <c r="E681" t="s">
        <v>680</v>
      </c>
      <c r="F681" t="s">
        <v>1320</v>
      </c>
      <c r="G681" t="s">
        <v>2581</v>
      </c>
      <c r="H681" t="s">
        <v>3574</v>
      </c>
      <c r="I681" t="s">
        <v>4959</v>
      </c>
      <c r="J681" t="s">
        <v>5323</v>
      </c>
      <c r="K681">
        <v>10034</v>
      </c>
      <c r="L681" t="s">
        <v>5355</v>
      </c>
      <c r="M681" t="s">
        <v>5355</v>
      </c>
      <c r="O681" t="s">
        <v>6494</v>
      </c>
      <c r="P681" t="s">
        <v>6525</v>
      </c>
      <c r="Q681" t="s">
        <v>6532</v>
      </c>
      <c r="R681" t="s">
        <v>6539</v>
      </c>
      <c r="S681" t="s">
        <v>5355</v>
      </c>
      <c r="U681" t="s">
        <v>6557</v>
      </c>
      <c r="W681" t="s">
        <v>404</v>
      </c>
      <c r="X681">
        <v>1734</v>
      </c>
      <c r="Y681" t="s">
        <v>6608</v>
      </c>
      <c r="Z681" t="s">
        <v>6616</v>
      </c>
      <c r="AA681" t="s">
        <v>6631</v>
      </c>
      <c r="AB681" t="s">
        <v>7282</v>
      </c>
      <c r="AD681" t="s">
        <v>9665</v>
      </c>
      <c r="AE681">
        <v>65</v>
      </c>
      <c r="AF681" t="s">
        <v>11005</v>
      </c>
      <c r="AG681" t="s">
        <v>5406</v>
      </c>
      <c r="AH681">
        <v>1</v>
      </c>
      <c r="AI681">
        <v>2</v>
      </c>
      <c r="AJ681">
        <v>0</v>
      </c>
      <c r="AK681">
        <v>584.98</v>
      </c>
      <c r="AN681" t="s">
        <v>11050</v>
      </c>
      <c r="AO681">
        <v>95000</v>
      </c>
      <c r="AU681">
        <v>0.3</v>
      </c>
      <c r="AV681" t="s">
        <v>680</v>
      </c>
      <c r="AW681" t="s">
        <v>11495</v>
      </c>
    </row>
    <row r="682" spans="1:50">
      <c r="A682" s="1">
        <f>HYPERLINK("https://cms.ls-nyc.org/matter/dynamic-profile/view/1869925","18-1869925")</f>
        <v>0</v>
      </c>
      <c r="B682" t="s">
        <v>111</v>
      </c>
      <c r="C682" t="s">
        <v>234</v>
      </c>
      <c r="D682" t="s">
        <v>313</v>
      </c>
      <c r="E682" t="s">
        <v>517</v>
      </c>
      <c r="F682" t="s">
        <v>1321</v>
      </c>
      <c r="G682" t="s">
        <v>2582</v>
      </c>
      <c r="H682" t="s">
        <v>3903</v>
      </c>
      <c r="I682" t="s">
        <v>4960</v>
      </c>
      <c r="J682" t="s">
        <v>5323</v>
      </c>
      <c r="K682">
        <v>10034</v>
      </c>
      <c r="L682" t="s">
        <v>5355</v>
      </c>
      <c r="M682" t="s">
        <v>5355</v>
      </c>
      <c r="O682" t="s">
        <v>6507</v>
      </c>
      <c r="P682" t="s">
        <v>6525</v>
      </c>
      <c r="Q682" t="s">
        <v>6531</v>
      </c>
      <c r="R682" t="s">
        <v>6539</v>
      </c>
      <c r="S682" t="s">
        <v>5355</v>
      </c>
      <c r="U682" t="s">
        <v>6557</v>
      </c>
      <c r="W682" t="s">
        <v>313</v>
      </c>
      <c r="X682">
        <v>2025</v>
      </c>
      <c r="Y682" t="s">
        <v>6608</v>
      </c>
      <c r="Z682" t="s">
        <v>6616</v>
      </c>
      <c r="AA682" t="s">
        <v>6631</v>
      </c>
      <c r="AB682" t="s">
        <v>7283</v>
      </c>
      <c r="AE682">
        <v>228</v>
      </c>
      <c r="AF682" t="s">
        <v>11005</v>
      </c>
      <c r="AG682" t="s">
        <v>5406</v>
      </c>
      <c r="AH682">
        <v>3</v>
      </c>
      <c r="AI682">
        <v>2</v>
      </c>
      <c r="AJ682">
        <v>3</v>
      </c>
      <c r="AK682">
        <v>590.84</v>
      </c>
      <c r="AN682" t="s">
        <v>11050</v>
      </c>
      <c r="AO682">
        <v>173826</v>
      </c>
      <c r="AU682">
        <v>0.2</v>
      </c>
      <c r="AV682" t="s">
        <v>517</v>
      </c>
      <c r="AW682" t="s">
        <v>11495</v>
      </c>
    </row>
    <row r="683" spans="1:50">
      <c r="A683" s="1">
        <f>HYPERLINK("https://cms.ls-nyc.org/matter/dynamic-profile/view/1847568","17-1847568")</f>
        <v>0</v>
      </c>
      <c r="B683" t="s">
        <v>76</v>
      </c>
      <c r="C683" t="s">
        <v>234</v>
      </c>
      <c r="D683" t="s">
        <v>390</v>
      </c>
      <c r="E683" t="s">
        <v>726</v>
      </c>
      <c r="F683" t="s">
        <v>871</v>
      </c>
      <c r="G683" t="s">
        <v>2583</v>
      </c>
      <c r="H683" t="s">
        <v>3913</v>
      </c>
      <c r="I683" t="s">
        <v>4849</v>
      </c>
      <c r="J683" t="s">
        <v>5323</v>
      </c>
      <c r="K683">
        <v>10035</v>
      </c>
      <c r="L683" t="s">
        <v>5355</v>
      </c>
      <c r="M683" t="s">
        <v>5355</v>
      </c>
      <c r="O683" t="s">
        <v>5393</v>
      </c>
      <c r="P683" t="s">
        <v>6525</v>
      </c>
      <c r="Q683" t="s">
        <v>6532</v>
      </c>
      <c r="R683" t="s">
        <v>6539</v>
      </c>
      <c r="S683" t="s">
        <v>5355</v>
      </c>
      <c r="U683" t="s">
        <v>6557</v>
      </c>
      <c r="V683" t="s">
        <v>6566</v>
      </c>
      <c r="W683" t="s">
        <v>390</v>
      </c>
      <c r="X683">
        <v>1650</v>
      </c>
      <c r="Y683" t="s">
        <v>6608</v>
      </c>
      <c r="Z683" t="s">
        <v>6615</v>
      </c>
      <c r="AA683" t="s">
        <v>6636</v>
      </c>
      <c r="AB683" t="s">
        <v>7284</v>
      </c>
      <c r="AD683" t="s">
        <v>9666</v>
      </c>
      <c r="AE683">
        <v>36</v>
      </c>
      <c r="AF683" t="s">
        <v>11005</v>
      </c>
      <c r="AG683" t="s">
        <v>5406</v>
      </c>
      <c r="AH683">
        <v>1</v>
      </c>
      <c r="AI683">
        <v>1</v>
      </c>
      <c r="AJ683">
        <v>0</v>
      </c>
      <c r="AK683">
        <v>621.89</v>
      </c>
      <c r="AN683" t="s">
        <v>11050</v>
      </c>
      <c r="AO683">
        <v>75000</v>
      </c>
      <c r="AU683">
        <v>1</v>
      </c>
      <c r="AV683" t="s">
        <v>390</v>
      </c>
      <c r="AW683" t="s">
        <v>107</v>
      </c>
    </row>
    <row r="684" spans="1:50">
      <c r="A684" s="1">
        <f>HYPERLINK("https://cms.ls-nyc.org/matter/dynamic-profile/view/1845615","17-1845615")</f>
        <v>0</v>
      </c>
      <c r="B684" t="s">
        <v>137</v>
      </c>
      <c r="C684" t="s">
        <v>235</v>
      </c>
      <c r="D684" t="s">
        <v>462</v>
      </c>
      <c r="F684" t="s">
        <v>1322</v>
      </c>
      <c r="G684" t="s">
        <v>2584</v>
      </c>
      <c r="H684" t="s">
        <v>3759</v>
      </c>
      <c r="J684" t="s">
        <v>5320</v>
      </c>
      <c r="K684">
        <v>11213</v>
      </c>
      <c r="L684" t="s">
        <v>5355</v>
      </c>
      <c r="M684" t="s">
        <v>5356</v>
      </c>
      <c r="O684" t="s">
        <v>6500</v>
      </c>
      <c r="P684" t="s">
        <v>6525</v>
      </c>
      <c r="R684" t="s">
        <v>6539</v>
      </c>
      <c r="S684" t="s">
        <v>5355</v>
      </c>
      <c r="U684" t="s">
        <v>6557</v>
      </c>
      <c r="W684" t="s">
        <v>404</v>
      </c>
      <c r="X684">
        <v>0</v>
      </c>
      <c r="Y684" t="s">
        <v>6605</v>
      </c>
      <c r="AB684" t="s">
        <v>7285</v>
      </c>
      <c r="AE684">
        <v>74</v>
      </c>
      <c r="AF684" t="s">
        <v>11005</v>
      </c>
      <c r="AH684">
        <v>0</v>
      </c>
      <c r="AI684">
        <v>2</v>
      </c>
      <c r="AJ684">
        <v>0</v>
      </c>
      <c r="AK684">
        <v>646.55</v>
      </c>
      <c r="AL684" t="s">
        <v>511</v>
      </c>
      <c r="AN684" t="s">
        <v>11050</v>
      </c>
      <c r="AO684">
        <v>145000</v>
      </c>
      <c r="AU684">
        <v>0</v>
      </c>
      <c r="AW684" t="s">
        <v>11489</v>
      </c>
    </row>
    <row r="685" spans="1:50">
      <c r="A685" s="1">
        <f>HYPERLINK("https://cms.ls-nyc.org/matter/dynamic-profile/view/1847787","17-1847787")</f>
        <v>0</v>
      </c>
      <c r="B685" t="s">
        <v>135</v>
      </c>
      <c r="C685" t="s">
        <v>234</v>
      </c>
      <c r="D685" t="s">
        <v>237</v>
      </c>
      <c r="E685" t="s">
        <v>665</v>
      </c>
      <c r="F685" t="s">
        <v>1323</v>
      </c>
      <c r="G685" t="s">
        <v>2585</v>
      </c>
      <c r="H685" t="s">
        <v>3785</v>
      </c>
      <c r="I685" t="s">
        <v>4957</v>
      </c>
      <c r="J685" t="s">
        <v>5320</v>
      </c>
      <c r="K685">
        <v>11214</v>
      </c>
      <c r="L685" t="s">
        <v>5355</v>
      </c>
      <c r="M685" t="s">
        <v>5356</v>
      </c>
      <c r="O685" t="s">
        <v>6500</v>
      </c>
      <c r="P685" t="s">
        <v>6525</v>
      </c>
      <c r="Q685" t="s">
        <v>6532</v>
      </c>
      <c r="R685" t="s">
        <v>6539</v>
      </c>
      <c r="S685" t="s">
        <v>5355</v>
      </c>
      <c r="U685" t="s">
        <v>6557</v>
      </c>
      <c r="W685" t="s">
        <v>6582</v>
      </c>
      <c r="X685">
        <v>1278</v>
      </c>
      <c r="Y685" t="s">
        <v>6605</v>
      </c>
      <c r="Z685" t="s">
        <v>6493</v>
      </c>
      <c r="AA685" t="s">
        <v>6634</v>
      </c>
      <c r="AB685" t="s">
        <v>7286</v>
      </c>
      <c r="AD685" t="s">
        <v>9667</v>
      </c>
      <c r="AE685">
        <v>15</v>
      </c>
      <c r="AF685" t="s">
        <v>11005</v>
      </c>
      <c r="AG685" t="s">
        <v>5406</v>
      </c>
      <c r="AH685">
        <v>2</v>
      </c>
      <c r="AI685">
        <v>1</v>
      </c>
      <c r="AJ685">
        <v>0</v>
      </c>
      <c r="AK685">
        <v>646.77</v>
      </c>
      <c r="AL685" t="s">
        <v>465</v>
      </c>
      <c r="AN685" t="s">
        <v>11050</v>
      </c>
      <c r="AO685">
        <v>78000</v>
      </c>
      <c r="AU685">
        <v>0.08</v>
      </c>
      <c r="AV685" t="s">
        <v>456</v>
      </c>
      <c r="AW685" t="s">
        <v>11512</v>
      </c>
    </row>
    <row r="686" spans="1:50">
      <c r="A686" s="1">
        <f>HYPERLINK("https://cms.ls-nyc.org/matter/dynamic-profile/view/1871234","18-1871234")</f>
        <v>0</v>
      </c>
      <c r="B686" t="s">
        <v>135</v>
      </c>
      <c r="C686" t="s">
        <v>234</v>
      </c>
      <c r="D686" t="s">
        <v>401</v>
      </c>
      <c r="E686" t="s">
        <v>742</v>
      </c>
      <c r="F686" t="s">
        <v>1131</v>
      </c>
      <c r="G686" t="s">
        <v>2586</v>
      </c>
      <c r="H686" t="s">
        <v>3739</v>
      </c>
      <c r="I686" t="s">
        <v>4824</v>
      </c>
      <c r="J686" t="s">
        <v>5320</v>
      </c>
      <c r="K686">
        <v>11212</v>
      </c>
      <c r="L686" t="s">
        <v>5355</v>
      </c>
      <c r="M686" t="s">
        <v>5356</v>
      </c>
      <c r="O686" t="s">
        <v>6499</v>
      </c>
      <c r="P686" t="s">
        <v>6525</v>
      </c>
      <c r="Q686" t="s">
        <v>6532</v>
      </c>
      <c r="R686" t="s">
        <v>6539</v>
      </c>
      <c r="S686" t="s">
        <v>5355</v>
      </c>
      <c r="U686" t="s">
        <v>6557</v>
      </c>
      <c r="W686" t="s">
        <v>349</v>
      </c>
      <c r="X686">
        <v>1377</v>
      </c>
      <c r="Y686" t="s">
        <v>6605</v>
      </c>
      <c r="Z686" t="s">
        <v>6622</v>
      </c>
      <c r="AA686" t="s">
        <v>6642</v>
      </c>
      <c r="AB686" t="s">
        <v>7287</v>
      </c>
      <c r="AE686">
        <v>0</v>
      </c>
      <c r="AF686" t="s">
        <v>11005</v>
      </c>
      <c r="AG686" t="s">
        <v>5406</v>
      </c>
      <c r="AH686">
        <v>2</v>
      </c>
      <c r="AI686">
        <v>1</v>
      </c>
      <c r="AJ686">
        <v>0</v>
      </c>
      <c r="AK686">
        <v>675.45</v>
      </c>
      <c r="AN686" t="s">
        <v>11050</v>
      </c>
      <c r="AO686">
        <v>81999.96000000001</v>
      </c>
      <c r="AU686">
        <v>0.08</v>
      </c>
      <c r="AV686" t="s">
        <v>726</v>
      </c>
      <c r="AW686" t="s">
        <v>11517</v>
      </c>
    </row>
    <row r="687" spans="1:50">
      <c r="A687" s="1">
        <f>HYPERLINK("https://cms.ls-nyc.org/matter/dynamic-profile/view/1869919","18-1869919")</f>
        <v>0</v>
      </c>
      <c r="B687" t="s">
        <v>111</v>
      </c>
      <c r="C687" t="s">
        <v>234</v>
      </c>
      <c r="D687" t="s">
        <v>313</v>
      </c>
      <c r="E687" t="s">
        <v>517</v>
      </c>
      <c r="F687" t="s">
        <v>1136</v>
      </c>
      <c r="G687" t="s">
        <v>2587</v>
      </c>
      <c r="H687" t="s">
        <v>3903</v>
      </c>
      <c r="I687" t="s">
        <v>4957</v>
      </c>
      <c r="J687" t="s">
        <v>5323</v>
      </c>
      <c r="K687">
        <v>10034</v>
      </c>
      <c r="L687" t="s">
        <v>5355</v>
      </c>
      <c r="M687" t="s">
        <v>5355</v>
      </c>
      <c r="O687" t="s">
        <v>6507</v>
      </c>
      <c r="P687" t="s">
        <v>6525</v>
      </c>
      <c r="Q687" t="s">
        <v>6531</v>
      </c>
      <c r="R687" t="s">
        <v>6539</v>
      </c>
      <c r="S687" t="s">
        <v>5355</v>
      </c>
      <c r="U687" t="s">
        <v>6557</v>
      </c>
      <c r="W687" t="s">
        <v>313</v>
      </c>
      <c r="X687">
        <v>2150</v>
      </c>
      <c r="Y687" t="s">
        <v>6608</v>
      </c>
      <c r="Z687" t="s">
        <v>6616</v>
      </c>
      <c r="AA687" t="s">
        <v>6631</v>
      </c>
      <c r="AB687" t="s">
        <v>7288</v>
      </c>
      <c r="AE687">
        <v>228</v>
      </c>
      <c r="AF687" t="s">
        <v>11005</v>
      </c>
      <c r="AG687" t="s">
        <v>5406</v>
      </c>
      <c r="AH687">
        <v>2</v>
      </c>
      <c r="AI687">
        <v>2</v>
      </c>
      <c r="AJ687">
        <v>1</v>
      </c>
      <c r="AK687">
        <v>794.03</v>
      </c>
      <c r="AN687" t="s">
        <v>11050</v>
      </c>
      <c r="AO687">
        <v>165000</v>
      </c>
      <c r="AU687">
        <v>0.2</v>
      </c>
      <c r="AV687" t="s">
        <v>517</v>
      </c>
      <c r="AW687" t="s">
        <v>11495</v>
      </c>
    </row>
    <row r="688" spans="1:50">
      <c r="A688" s="1">
        <f>HYPERLINK("https://cms.ls-nyc.org/matter/dynamic-profile/view/1863003","18-1863003")</f>
        <v>0</v>
      </c>
      <c r="B688" t="s">
        <v>129</v>
      </c>
      <c r="C688" t="s">
        <v>234</v>
      </c>
      <c r="D688" t="s">
        <v>369</v>
      </c>
      <c r="E688" t="s">
        <v>686</v>
      </c>
      <c r="F688" t="s">
        <v>1324</v>
      </c>
      <c r="G688" t="s">
        <v>2338</v>
      </c>
      <c r="H688" t="s">
        <v>3914</v>
      </c>
      <c r="I688" t="s">
        <v>4752</v>
      </c>
      <c r="J688" t="s">
        <v>5321</v>
      </c>
      <c r="K688">
        <v>10468</v>
      </c>
      <c r="L688" t="s">
        <v>5355</v>
      </c>
      <c r="M688" t="s">
        <v>5356</v>
      </c>
      <c r="O688" t="s">
        <v>6507</v>
      </c>
      <c r="P688" t="s">
        <v>6525</v>
      </c>
      <c r="Q688" t="s">
        <v>6532</v>
      </c>
      <c r="R688" t="s">
        <v>6539</v>
      </c>
      <c r="U688" t="s">
        <v>6557</v>
      </c>
      <c r="W688" t="s">
        <v>480</v>
      </c>
      <c r="X688">
        <v>1369</v>
      </c>
      <c r="Y688" t="s">
        <v>6606</v>
      </c>
      <c r="AA688" t="s">
        <v>6632</v>
      </c>
      <c r="AB688" t="s">
        <v>7289</v>
      </c>
      <c r="AD688" t="s">
        <v>9668</v>
      </c>
      <c r="AE688">
        <v>48</v>
      </c>
      <c r="AF688" t="s">
        <v>11005</v>
      </c>
      <c r="AH688">
        <v>39</v>
      </c>
      <c r="AI688">
        <v>2</v>
      </c>
      <c r="AJ688">
        <v>0</v>
      </c>
      <c r="AK688">
        <v>801.9400000000001</v>
      </c>
      <c r="AN688" t="s">
        <v>11050</v>
      </c>
      <c r="AO688">
        <v>132000</v>
      </c>
      <c r="AU688">
        <v>0.7</v>
      </c>
      <c r="AV688" t="s">
        <v>480</v>
      </c>
      <c r="AW688" t="s">
        <v>11499</v>
      </c>
    </row>
    <row r="689" spans="1:50">
      <c r="A689" s="1">
        <f>HYPERLINK("https://cms.ls-nyc.org/matter/dynamic-profile/view/1841930","17-1841930")</f>
        <v>0</v>
      </c>
      <c r="B689" t="s">
        <v>92</v>
      </c>
      <c r="C689" t="s">
        <v>234</v>
      </c>
      <c r="D689" t="s">
        <v>305</v>
      </c>
      <c r="E689" t="s">
        <v>680</v>
      </c>
      <c r="F689" t="s">
        <v>863</v>
      </c>
      <c r="G689" t="s">
        <v>2588</v>
      </c>
      <c r="H689" t="s">
        <v>3574</v>
      </c>
      <c r="I689" t="s">
        <v>4961</v>
      </c>
      <c r="J689" t="s">
        <v>5323</v>
      </c>
      <c r="K689">
        <v>10034</v>
      </c>
      <c r="L689" t="s">
        <v>5355</v>
      </c>
      <c r="M689" t="s">
        <v>5355</v>
      </c>
      <c r="O689" t="s">
        <v>6494</v>
      </c>
      <c r="P689" t="s">
        <v>6525</v>
      </c>
      <c r="Q689" t="s">
        <v>6532</v>
      </c>
      <c r="R689" t="s">
        <v>6539</v>
      </c>
      <c r="S689" t="s">
        <v>5355</v>
      </c>
      <c r="U689" t="s">
        <v>6557</v>
      </c>
      <c r="W689" t="s">
        <v>404</v>
      </c>
      <c r="X689">
        <v>2750</v>
      </c>
      <c r="Y689" t="s">
        <v>6608</v>
      </c>
      <c r="Z689" t="s">
        <v>6616</v>
      </c>
      <c r="AA689" t="s">
        <v>6631</v>
      </c>
      <c r="AB689" t="s">
        <v>7290</v>
      </c>
      <c r="AD689" t="s">
        <v>9669</v>
      </c>
      <c r="AE689">
        <v>65</v>
      </c>
      <c r="AF689" t="s">
        <v>11005</v>
      </c>
      <c r="AG689" t="s">
        <v>5406</v>
      </c>
      <c r="AH689">
        <v>2</v>
      </c>
      <c r="AI689">
        <v>3</v>
      </c>
      <c r="AJ689">
        <v>0</v>
      </c>
      <c r="AK689">
        <v>817.83</v>
      </c>
      <c r="AN689" t="s">
        <v>11050</v>
      </c>
      <c r="AO689">
        <v>167000</v>
      </c>
      <c r="AU689">
        <v>0.5</v>
      </c>
      <c r="AV689" t="s">
        <v>680</v>
      </c>
      <c r="AW689" t="s">
        <v>11495</v>
      </c>
    </row>
    <row r="690" spans="1:50">
      <c r="A690" s="1">
        <f>HYPERLINK("https://cms.ls-nyc.org/matter/dynamic-profile/view/1841939","17-1841939")</f>
        <v>0</v>
      </c>
      <c r="B690" t="s">
        <v>92</v>
      </c>
      <c r="C690" t="s">
        <v>234</v>
      </c>
      <c r="D690" t="s">
        <v>305</v>
      </c>
      <c r="E690" t="s">
        <v>680</v>
      </c>
      <c r="F690" t="s">
        <v>1325</v>
      </c>
      <c r="G690" t="s">
        <v>2589</v>
      </c>
      <c r="H690" t="s">
        <v>3574</v>
      </c>
      <c r="I690" t="s">
        <v>4962</v>
      </c>
      <c r="J690" t="s">
        <v>5323</v>
      </c>
      <c r="K690">
        <v>10034</v>
      </c>
      <c r="L690" t="s">
        <v>5355</v>
      </c>
      <c r="M690" t="s">
        <v>5355</v>
      </c>
      <c r="O690" t="s">
        <v>6494</v>
      </c>
      <c r="P690" t="s">
        <v>6525</v>
      </c>
      <c r="Q690" t="s">
        <v>6532</v>
      </c>
      <c r="R690" t="s">
        <v>6539</v>
      </c>
      <c r="S690" t="s">
        <v>5355</v>
      </c>
      <c r="U690" t="s">
        <v>6557</v>
      </c>
      <c r="W690" t="s">
        <v>404</v>
      </c>
      <c r="X690">
        <v>1650</v>
      </c>
      <c r="Y690" t="s">
        <v>6608</v>
      </c>
      <c r="Z690" t="s">
        <v>6616</v>
      </c>
      <c r="AA690" t="s">
        <v>6631</v>
      </c>
      <c r="AB690" t="s">
        <v>7291</v>
      </c>
      <c r="AD690" t="s">
        <v>9670</v>
      </c>
      <c r="AE690">
        <v>65</v>
      </c>
      <c r="AF690" t="s">
        <v>11005</v>
      </c>
      <c r="AG690" t="s">
        <v>5406</v>
      </c>
      <c r="AH690">
        <v>5</v>
      </c>
      <c r="AI690">
        <v>1</v>
      </c>
      <c r="AJ690">
        <v>0</v>
      </c>
      <c r="AK690">
        <v>829.1900000000001</v>
      </c>
      <c r="AN690" t="s">
        <v>11050</v>
      </c>
      <c r="AO690">
        <v>100000</v>
      </c>
      <c r="AU690">
        <v>0.5</v>
      </c>
      <c r="AV690" t="s">
        <v>680</v>
      </c>
      <c r="AW690" t="s">
        <v>11495</v>
      </c>
    </row>
    <row r="691" spans="1:50">
      <c r="A691" s="1">
        <f>HYPERLINK("https://cms.ls-nyc.org/matter/dynamic-profile/view/1869913","18-1869913")</f>
        <v>0</v>
      </c>
      <c r="B691" t="s">
        <v>111</v>
      </c>
      <c r="C691" t="s">
        <v>234</v>
      </c>
      <c r="D691" t="s">
        <v>313</v>
      </c>
      <c r="E691" t="s">
        <v>517</v>
      </c>
      <c r="F691" t="s">
        <v>876</v>
      </c>
      <c r="G691" t="s">
        <v>2590</v>
      </c>
      <c r="H691" t="s">
        <v>3915</v>
      </c>
      <c r="I691" t="s">
        <v>4897</v>
      </c>
      <c r="J691" t="s">
        <v>5323</v>
      </c>
      <c r="K691">
        <v>10034</v>
      </c>
      <c r="L691" t="s">
        <v>5355</v>
      </c>
      <c r="M691" t="s">
        <v>5355</v>
      </c>
      <c r="O691" t="s">
        <v>6507</v>
      </c>
      <c r="P691" t="s">
        <v>6525</v>
      </c>
      <c r="Q691" t="s">
        <v>6531</v>
      </c>
      <c r="R691" t="s">
        <v>6539</v>
      </c>
      <c r="S691" t="s">
        <v>5355</v>
      </c>
      <c r="U691" t="s">
        <v>6557</v>
      </c>
      <c r="W691" t="s">
        <v>313</v>
      </c>
      <c r="X691">
        <v>0</v>
      </c>
      <c r="Y691" t="s">
        <v>6608</v>
      </c>
      <c r="Z691" t="s">
        <v>6616</v>
      </c>
      <c r="AA691" t="s">
        <v>6631</v>
      </c>
      <c r="AB691" t="s">
        <v>7292</v>
      </c>
      <c r="AE691">
        <v>228</v>
      </c>
      <c r="AF691" t="s">
        <v>11005</v>
      </c>
      <c r="AG691" t="s">
        <v>5406</v>
      </c>
      <c r="AH691">
        <v>0</v>
      </c>
      <c r="AI691">
        <v>2</v>
      </c>
      <c r="AJ691">
        <v>0</v>
      </c>
      <c r="AK691">
        <v>972.05</v>
      </c>
      <c r="AN691" t="s">
        <v>11050</v>
      </c>
      <c r="AO691">
        <v>160000</v>
      </c>
      <c r="AU691">
        <v>0.2</v>
      </c>
      <c r="AV691" t="s">
        <v>517</v>
      </c>
      <c r="AW691" t="s">
        <v>11495</v>
      </c>
    </row>
    <row r="692" spans="1:50">
      <c r="A692" s="1">
        <f>HYPERLINK("https://cms.ls-nyc.org/matter/dynamic-profile/view/1841899","17-1841899")</f>
        <v>0</v>
      </c>
      <c r="B692" t="s">
        <v>92</v>
      </c>
      <c r="C692" t="s">
        <v>234</v>
      </c>
      <c r="D692" t="s">
        <v>305</v>
      </c>
      <c r="E692" t="s">
        <v>680</v>
      </c>
      <c r="F692" t="s">
        <v>1326</v>
      </c>
      <c r="G692" t="s">
        <v>2591</v>
      </c>
      <c r="H692" t="s">
        <v>3574</v>
      </c>
      <c r="I692" t="s">
        <v>4963</v>
      </c>
      <c r="J692" t="s">
        <v>5323</v>
      </c>
      <c r="K692">
        <v>10034</v>
      </c>
      <c r="L692" t="s">
        <v>5355</v>
      </c>
      <c r="M692" t="s">
        <v>5355</v>
      </c>
      <c r="O692" t="s">
        <v>6494</v>
      </c>
      <c r="P692" t="s">
        <v>6525</v>
      </c>
      <c r="Q692" t="s">
        <v>6532</v>
      </c>
      <c r="R692" t="s">
        <v>6539</v>
      </c>
      <c r="S692" t="s">
        <v>5355</v>
      </c>
      <c r="U692" t="s">
        <v>6557</v>
      </c>
      <c r="W692" t="s">
        <v>404</v>
      </c>
      <c r="X692">
        <v>1680</v>
      </c>
      <c r="Y692" t="s">
        <v>6608</v>
      </c>
      <c r="Z692" t="s">
        <v>6616</v>
      </c>
      <c r="AA692" t="s">
        <v>6631</v>
      </c>
      <c r="AB692" t="s">
        <v>7293</v>
      </c>
      <c r="AE692">
        <v>65</v>
      </c>
      <c r="AF692" t="s">
        <v>11005</v>
      </c>
      <c r="AG692" t="s">
        <v>5406</v>
      </c>
      <c r="AH692">
        <v>2</v>
      </c>
      <c r="AI692">
        <v>2</v>
      </c>
      <c r="AJ692">
        <v>0</v>
      </c>
      <c r="AK692">
        <v>1022.17</v>
      </c>
      <c r="AN692" t="s">
        <v>11050</v>
      </c>
      <c r="AO692">
        <v>166000</v>
      </c>
      <c r="AP692" t="s">
        <v>11112</v>
      </c>
      <c r="AU692">
        <v>0.3</v>
      </c>
      <c r="AV692" t="s">
        <v>680</v>
      </c>
      <c r="AW692" t="s">
        <v>11495</v>
      </c>
    </row>
    <row r="693" spans="1:50">
      <c r="A693" s="1">
        <f>HYPERLINK("https://cms.ls-nyc.org/matter/dynamic-profile/view/1870571","18-1870571")</f>
        <v>0</v>
      </c>
      <c r="B693" t="s">
        <v>65</v>
      </c>
      <c r="C693" t="s">
        <v>234</v>
      </c>
      <c r="D693" t="s">
        <v>474</v>
      </c>
      <c r="E693" t="s">
        <v>413</v>
      </c>
      <c r="F693" t="s">
        <v>1126</v>
      </c>
      <c r="G693" t="s">
        <v>2311</v>
      </c>
      <c r="H693" t="s">
        <v>3448</v>
      </c>
      <c r="I693" t="s">
        <v>4878</v>
      </c>
      <c r="J693" t="s">
        <v>5323</v>
      </c>
      <c r="K693">
        <v>10032</v>
      </c>
      <c r="L693" t="s">
        <v>5355</v>
      </c>
      <c r="M693" t="s">
        <v>5356</v>
      </c>
      <c r="O693" t="s">
        <v>6499</v>
      </c>
      <c r="P693" t="s">
        <v>6525</v>
      </c>
      <c r="Q693" t="s">
        <v>6531</v>
      </c>
      <c r="R693" t="s">
        <v>6539</v>
      </c>
      <c r="S693" t="s">
        <v>5355</v>
      </c>
      <c r="U693" t="s">
        <v>6557</v>
      </c>
      <c r="W693" t="s">
        <v>490</v>
      </c>
      <c r="X693">
        <v>837.88</v>
      </c>
      <c r="Y693" t="s">
        <v>6608</v>
      </c>
      <c r="Z693" t="s">
        <v>6616</v>
      </c>
      <c r="AA693" t="s">
        <v>6642</v>
      </c>
      <c r="AB693" t="s">
        <v>6990</v>
      </c>
      <c r="AD693" t="s">
        <v>9398</v>
      </c>
      <c r="AE693">
        <v>49</v>
      </c>
      <c r="AF693" t="s">
        <v>11005</v>
      </c>
      <c r="AG693" t="s">
        <v>5406</v>
      </c>
      <c r="AH693">
        <v>40</v>
      </c>
      <c r="AI693">
        <v>1</v>
      </c>
      <c r="AJ693">
        <v>0</v>
      </c>
      <c r="AK693">
        <v>1075.16</v>
      </c>
      <c r="AN693" t="s">
        <v>11049</v>
      </c>
      <c r="AO693">
        <v>130524</v>
      </c>
      <c r="AU693">
        <v>0</v>
      </c>
      <c r="AV693" t="s">
        <v>328</v>
      </c>
      <c r="AW693" t="s">
        <v>11495</v>
      </c>
    </row>
    <row r="694" spans="1:50">
      <c r="A694" s="1">
        <f>HYPERLINK("https://cms.ls-nyc.org/matter/dynamic-profile/view/1868719","18-1868719")</f>
        <v>0</v>
      </c>
      <c r="B694" t="s">
        <v>84</v>
      </c>
      <c r="C694" t="s">
        <v>234</v>
      </c>
      <c r="D694" t="s">
        <v>318</v>
      </c>
      <c r="E694" t="s">
        <v>736</v>
      </c>
      <c r="F694" t="s">
        <v>900</v>
      </c>
      <c r="G694" t="s">
        <v>2399</v>
      </c>
      <c r="H694" t="s">
        <v>3916</v>
      </c>
      <c r="I694" t="s">
        <v>4775</v>
      </c>
      <c r="J694" t="s">
        <v>5320</v>
      </c>
      <c r="K694">
        <v>11212</v>
      </c>
      <c r="L694" t="s">
        <v>5355</v>
      </c>
      <c r="M694" t="s">
        <v>5355</v>
      </c>
      <c r="P694" t="s">
        <v>6526</v>
      </c>
      <c r="Q694" t="s">
        <v>6531</v>
      </c>
      <c r="R694" t="s">
        <v>6539</v>
      </c>
      <c r="S694" t="s">
        <v>5355</v>
      </c>
      <c r="U694" t="s">
        <v>6557</v>
      </c>
      <c r="W694" t="s">
        <v>267</v>
      </c>
      <c r="X694">
        <v>722</v>
      </c>
      <c r="Y694" t="s">
        <v>6605</v>
      </c>
      <c r="Z694" t="s">
        <v>6617</v>
      </c>
      <c r="AA694" t="s">
        <v>6631</v>
      </c>
      <c r="AB694" t="s">
        <v>7294</v>
      </c>
      <c r="AD694" t="s">
        <v>9671</v>
      </c>
      <c r="AE694">
        <v>6</v>
      </c>
      <c r="AF694" t="s">
        <v>11005</v>
      </c>
      <c r="AG694" t="s">
        <v>11027</v>
      </c>
      <c r="AH694">
        <v>24</v>
      </c>
      <c r="AI694">
        <v>2</v>
      </c>
      <c r="AJ694">
        <v>0</v>
      </c>
      <c r="AK694">
        <v>0</v>
      </c>
      <c r="AN694" t="s">
        <v>11050</v>
      </c>
      <c r="AO694">
        <v>0</v>
      </c>
      <c r="AU694">
        <v>2.2</v>
      </c>
      <c r="AV694" t="s">
        <v>699</v>
      </c>
      <c r="AW694" t="s">
        <v>11488</v>
      </c>
    </row>
    <row r="695" spans="1:50">
      <c r="A695" s="1">
        <f>HYPERLINK("https://cms.ls-nyc.org/matter/dynamic-profile/view/1853991","17-1853991")</f>
        <v>0</v>
      </c>
      <c r="B695" t="s">
        <v>97</v>
      </c>
      <c r="C695" t="s">
        <v>234</v>
      </c>
      <c r="D695" t="s">
        <v>399</v>
      </c>
      <c r="E695" t="s">
        <v>703</v>
      </c>
      <c r="F695" t="s">
        <v>1327</v>
      </c>
      <c r="G695" t="s">
        <v>2397</v>
      </c>
      <c r="H695" t="s">
        <v>3917</v>
      </c>
      <c r="I695" t="s">
        <v>4765</v>
      </c>
      <c r="J695" t="s">
        <v>5323</v>
      </c>
      <c r="K695">
        <v>10034</v>
      </c>
      <c r="L695" t="s">
        <v>5355</v>
      </c>
      <c r="M695" t="s">
        <v>5355</v>
      </c>
      <c r="O695" t="s">
        <v>6492</v>
      </c>
      <c r="P695" t="s">
        <v>6526</v>
      </c>
      <c r="Q695" t="s">
        <v>6532</v>
      </c>
      <c r="R695" t="s">
        <v>6539</v>
      </c>
      <c r="S695" t="s">
        <v>5357</v>
      </c>
      <c r="U695" t="s">
        <v>6557</v>
      </c>
      <c r="W695" t="s">
        <v>399</v>
      </c>
      <c r="X695">
        <v>1623</v>
      </c>
      <c r="Y695" t="s">
        <v>6608</v>
      </c>
      <c r="Z695" t="s">
        <v>6616</v>
      </c>
      <c r="AA695" t="s">
        <v>6636</v>
      </c>
      <c r="AB695" t="s">
        <v>7295</v>
      </c>
      <c r="AE695">
        <v>47</v>
      </c>
      <c r="AF695" t="s">
        <v>11005</v>
      </c>
      <c r="AG695" t="s">
        <v>5406</v>
      </c>
      <c r="AH695">
        <v>6</v>
      </c>
      <c r="AI695">
        <v>2</v>
      </c>
      <c r="AJ695">
        <v>2</v>
      </c>
      <c r="AK695">
        <v>0</v>
      </c>
      <c r="AN695" t="s">
        <v>11060</v>
      </c>
      <c r="AO695">
        <v>0</v>
      </c>
      <c r="AU695">
        <v>4.6</v>
      </c>
      <c r="AV695" t="s">
        <v>394</v>
      </c>
      <c r="AW695" t="s">
        <v>11495</v>
      </c>
    </row>
    <row r="696" spans="1:50">
      <c r="A696" s="1">
        <f>HYPERLINK("https://cms.ls-nyc.org/matter/dynamic-profile/view/1871295","18-1871295")</f>
        <v>0</v>
      </c>
      <c r="B696" t="s">
        <v>100</v>
      </c>
      <c r="C696" t="s">
        <v>235</v>
      </c>
      <c r="D696" t="s">
        <v>401</v>
      </c>
      <c r="F696" t="s">
        <v>1328</v>
      </c>
      <c r="G696" t="s">
        <v>2592</v>
      </c>
      <c r="H696" t="s">
        <v>3565</v>
      </c>
      <c r="I696" t="s">
        <v>4964</v>
      </c>
      <c r="J696" t="s">
        <v>5320</v>
      </c>
      <c r="K696">
        <v>11212</v>
      </c>
      <c r="L696" t="s">
        <v>5355</v>
      </c>
      <c r="M696" t="s">
        <v>5356</v>
      </c>
      <c r="N696" t="s">
        <v>5549</v>
      </c>
      <c r="O696" t="s">
        <v>6491</v>
      </c>
      <c r="P696" t="s">
        <v>6526</v>
      </c>
      <c r="R696" t="s">
        <v>6539</v>
      </c>
      <c r="U696" t="s">
        <v>6557</v>
      </c>
      <c r="W696" t="s">
        <v>401</v>
      </c>
      <c r="X696">
        <v>1116</v>
      </c>
      <c r="Y696" t="s">
        <v>6605</v>
      </c>
      <c r="Z696" t="s">
        <v>6614</v>
      </c>
      <c r="AB696" t="s">
        <v>7296</v>
      </c>
      <c r="AD696" t="s">
        <v>9672</v>
      </c>
      <c r="AE696">
        <v>24</v>
      </c>
      <c r="AF696" t="s">
        <v>11005</v>
      </c>
      <c r="AG696" t="s">
        <v>11026</v>
      </c>
      <c r="AH696">
        <v>8</v>
      </c>
      <c r="AI696">
        <v>1</v>
      </c>
      <c r="AJ696">
        <v>0</v>
      </c>
      <c r="AK696">
        <v>19.77</v>
      </c>
      <c r="AN696" t="s">
        <v>11050</v>
      </c>
      <c r="AO696">
        <v>2400</v>
      </c>
      <c r="AU696">
        <v>20.8</v>
      </c>
      <c r="AV696" t="s">
        <v>449</v>
      </c>
      <c r="AW696" t="s">
        <v>11504</v>
      </c>
    </row>
    <row r="697" spans="1:50">
      <c r="A697" s="1">
        <f>HYPERLINK("https://cms.ls-nyc.org/matter/dynamic-profile/view/1870218","18-1870218")</f>
        <v>0</v>
      </c>
      <c r="B697" t="s">
        <v>125</v>
      </c>
      <c r="C697" t="s">
        <v>234</v>
      </c>
      <c r="D697" t="s">
        <v>337</v>
      </c>
      <c r="E697" t="s">
        <v>713</v>
      </c>
      <c r="F697" t="s">
        <v>855</v>
      </c>
      <c r="G697" t="s">
        <v>2593</v>
      </c>
      <c r="H697" t="s">
        <v>3918</v>
      </c>
      <c r="I697" t="s">
        <v>4965</v>
      </c>
      <c r="J697" t="s">
        <v>5326</v>
      </c>
      <c r="K697">
        <v>11691</v>
      </c>
      <c r="L697" t="s">
        <v>5355</v>
      </c>
      <c r="M697" t="s">
        <v>5355</v>
      </c>
      <c r="N697" t="s">
        <v>5550</v>
      </c>
      <c r="O697" t="s">
        <v>6492</v>
      </c>
      <c r="P697" t="s">
        <v>6526</v>
      </c>
      <c r="Q697" t="s">
        <v>6534</v>
      </c>
      <c r="R697" t="s">
        <v>6539</v>
      </c>
      <c r="S697" t="s">
        <v>5357</v>
      </c>
      <c r="U697" t="s">
        <v>6557</v>
      </c>
      <c r="W697" t="s">
        <v>337</v>
      </c>
      <c r="X697">
        <v>962</v>
      </c>
      <c r="Y697" t="s">
        <v>6604</v>
      </c>
      <c r="Z697" t="s">
        <v>6615</v>
      </c>
      <c r="AA697" t="s">
        <v>6637</v>
      </c>
      <c r="AB697" t="s">
        <v>7297</v>
      </c>
      <c r="AC697" t="s">
        <v>8775</v>
      </c>
      <c r="AD697" t="s">
        <v>9673</v>
      </c>
      <c r="AE697">
        <v>917</v>
      </c>
      <c r="AF697" t="s">
        <v>11010</v>
      </c>
      <c r="AG697" t="s">
        <v>11020</v>
      </c>
      <c r="AH697">
        <v>10</v>
      </c>
      <c r="AI697">
        <v>1</v>
      </c>
      <c r="AJ697">
        <v>0</v>
      </c>
      <c r="AK697">
        <v>38.48</v>
      </c>
      <c r="AM697" t="s">
        <v>11043</v>
      </c>
      <c r="AN697" t="s">
        <v>11050</v>
      </c>
      <c r="AO697">
        <v>4672</v>
      </c>
      <c r="AU697">
        <v>5.75</v>
      </c>
      <c r="AV697" t="s">
        <v>750</v>
      </c>
      <c r="AW697" t="s">
        <v>11506</v>
      </c>
    </row>
    <row r="698" spans="1:50">
      <c r="A698" s="1">
        <f>HYPERLINK("https://cms.ls-nyc.org/matter/dynamic-profile/view/1857586","18-1857586")</f>
        <v>0</v>
      </c>
      <c r="B698" t="s">
        <v>111</v>
      </c>
      <c r="C698" t="s">
        <v>234</v>
      </c>
      <c r="D698" t="s">
        <v>436</v>
      </c>
      <c r="E698" t="s">
        <v>517</v>
      </c>
      <c r="F698" t="s">
        <v>1033</v>
      </c>
      <c r="G698" t="s">
        <v>2594</v>
      </c>
      <c r="H698" t="s">
        <v>3919</v>
      </c>
      <c r="I698" t="s">
        <v>4854</v>
      </c>
      <c r="J698" t="s">
        <v>5323</v>
      </c>
      <c r="K698">
        <v>10034</v>
      </c>
      <c r="L698" t="s">
        <v>5355</v>
      </c>
      <c r="M698" t="s">
        <v>5355</v>
      </c>
      <c r="O698" t="s">
        <v>6499</v>
      </c>
      <c r="P698" t="s">
        <v>6526</v>
      </c>
      <c r="Q698" t="s">
        <v>6532</v>
      </c>
      <c r="R698" t="s">
        <v>6539</v>
      </c>
      <c r="S698" t="s">
        <v>5357</v>
      </c>
      <c r="U698" t="s">
        <v>6557</v>
      </c>
      <c r="W698" t="s">
        <v>436</v>
      </c>
      <c r="X698">
        <v>659.62</v>
      </c>
      <c r="Y698" t="s">
        <v>6608</v>
      </c>
      <c r="Z698" t="s">
        <v>6616</v>
      </c>
      <c r="AA698" t="s">
        <v>6636</v>
      </c>
      <c r="AB698" t="s">
        <v>7298</v>
      </c>
      <c r="AD698" t="s">
        <v>9674</v>
      </c>
      <c r="AE698">
        <v>121</v>
      </c>
      <c r="AF698" t="s">
        <v>11006</v>
      </c>
      <c r="AG698" t="s">
        <v>5406</v>
      </c>
      <c r="AH698">
        <v>43</v>
      </c>
      <c r="AI698">
        <v>1</v>
      </c>
      <c r="AJ698">
        <v>0</v>
      </c>
      <c r="AK698">
        <v>75.42</v>
      </c>
      <c r="AN698" t="s">
        <v>11049</v>
      </c>
      <c r="AO698">
        <v>9096</v>
      </c>
      <c r="AU698">
        <v>1.15</v>
      </c>
      <c r="AV698" t="s">
        <v>517</v>
      </c>
      <c r="AW698" t="s">
        <v>11495</v>
      </c>
    </row>
    <row r="699" spans="1:50">
      <c r="A699" s="1">
        <f>HYPERLINK("https://cms.ls-nyc.org/matter/dynamic-profile/view/1850542","17-1850542")</f>
        <v>0</v>
      </c>
      <c r="B699" t="s">
        <v>97</v>
      </c>
      <c r="C699" t="s">
        <v>235</v>
      </c>
      <c r="D699" t="s">
        <v>333</v>
      </c>
      <c r="F699" t="s">
        <v>1329</v>
      </c>
      <c r="G699" t="s">
        <v>2326</v>
      </c>
      <c r="H699" t="s">
        <v>3795</v>
      </c>
      <c r="I699">
        <v>23</v>
      </c>
      <c r="J699" t="s">
        <v>5323</v>
      </c>
      <c r="K699">
        <v>10034</v>
      </c>
      <c r="L699" t="s">
        <v>5355</v>
      </c>
      <c r="M699" t="s">
        <v>5356</v>
      </c>
      <c r="O699" t="s">
        <v>6494</v>
      </c>
      <c r="P699" t="s">
        <v>6526</v>
      </c>
      <c r="R699" t="s">
        <v>6539</v>
      </c>
      <c r="S699" t="s">
        <v>5355</v>
      </c>
      <c r="U699" t="s">
        <v>6557</v>
      </c>
      <c r="W699" t="s">
        <v>333</v>
      </c>
      <c r="X699">
        <v>850</v>
      </c>
      <c r="Y699" t="s">
        <v>6608</v>
      </c>
      <c r="Z699" t="s">
        <v>6616</v>
      </c>
      <c r="AB699" t="s">
        <v>7299</v>
      </c>
      <c r="AD699" t="s">
        <v>9675</v>
      </c>
      <c r="AE699">
        <v>25</v>
      </c>
      <c r="AF699" t="s">
        <v>11005</v>
      </c>
      <c r="AG699" t="s">
        <v>11024</v>
      </c>
      <c r="AH699">
        <v>35</v>
      </c>
      <c r="AI699">
        <v>1</v>
      </c>
      <c r="AJ699">
        <v>0</v>
      </c>
      <c r="AK699">
        <v>83.58</v>
      </c>
      <c r="AN699" t="s">
        <v>11049</v>
      </c>
      <c r="AO699">
        <v>10080</v>
      </c>
      <c r="AU699">
        <v>1.5</v>
      </c>
      <c r="AV699" t="s">
        <v>394</v>
      </c>
      <c r="AW699" t="s">
        <v>11495</v>
      </c>
    </row>
    <row r="700" spans="1:50">
      <c r="A700" s="1">
        <f>HYPERLINK("https://cms.ls-nyc.org/matter/dynamic-profile/view/1858470","18-1858470")</f>
        <v>0</v>
      </c>
      <c r="B700" t="s">
        <v>108</v>
      </c>
      <c r="C700" t="s">
        <v>235</v>
      </c>
      <c r="D700" t="s">
        <v>347</v>
      </c>
      <c r="F700" t="s">
        <v>1274</v>
      </c>
      <c r="G700" t="s">
        <v>2215</v>
      </c>
      <c r="H700" t="s">
        <v>3920</v>
      </c>
      <c r="I700">
        <v>32</v>
      </c>
      <c r="J700" t="s">
        <v>5323</v>
      </c>
      <c r="K700">
        <v>10034</v>
      </c>
      <c r="L700" t="s">
        <v>5355</v>
      </c>
      <c r="M700" t="s">
        <v>5356</v>
      </c>
      <c r="P700" t="s">
        <v>6526</v>
      </c>
      <c r="R700" t="s">
        <v>6539</v>
      </c>
      <c r="S700" t="s">
        <v>5357</v>
      </c>
      <c r="U700" t="s">
        <v>6557</v>
      </c>
      <c r="W700" t="s">
        <v>347</v>
      </c>
      <c r="X700">
        <v>1189</v>
      </c>
      <c r="Y700" t="s">
        <v>6608</v>
      </c>
      <c r="Z700" t="s">
        <v>6614</v>
      </c>
      <c r="AB700" t="s">
        <v>7300</v>
      </c>
      <c r="AD700" t="s">
        <v>9676</v>
      </c>
      <c r="AE700">
        <v>42</v>
      </c>
      <c r="AF700" t="s">
        <v>11005</v>
      </c>
      <c r="AG700" t="s">
        <v>5406</v>
      </c>
      <c r="AH700">
        <v>40</v>
      </c>
      <c r="AI700">
        <v>1</v>
      </c>
      <c r="AJ700">
        <v>0</v>
      </c>
      <c r="AK700">
        <v>85.67</v>
      </c>
      <c r="AN700" t="s">
        <v>11049</v>
      </c>
      <c r="AO700">
        <v>10400</v>
      </c>
      <c r="AU700">
        <v>0</v>
      </c>
      <c r="AW700" t="s">
        <v>11495</v>
      </c>
    </row>
    <row r="701" spans="1:50">
      <c r="A701" s="1">
        <f>HYPERLINK("https://cms.ls-nyc.org/matter/dynamic-profile/view/1860743","18-1860743")</f>
        <v>0</v>
      </c>
      <c r="B701" t="s">
        <v>97</v>
      </c>
      <c r="C701" t="s">
        <v>235</v>
      </c>
      <c r="D701" t="s">
        <v>306</v>
      </c>
      <c r="F701" t="s">
        <v>1330</v>
      </c>
      <c r="G701" t="s">
        <v>2595</v>
      </c>
      <c r="H701" t="s">
        <v>3921</v>
      </c>
      <c r="I701" t="s">
        <v>4776</v>
      </c>
      <c r="J701" t="s">
        <v>5323</v>
      </c>
      <c r="K701">
        <v>10040</v>
      </c>
      <c r="L701" t="s">
        <v>5355</v>
      </c>
      <c r="M701" t="s">
        <v>5356</v>
      </c>
      <c r="O701" t="s">
        <v>6492</v>
      </c>
      <c r="P701" t="s">
        <v>6526</v>
      </c>
      <c r="R701" t="s">
        <v>6539</v>
      </c>
      <c r="S701" t="s">
        <v>5357</v>
      </c>
      <c r="U701" t="s">
        <v>6557</v>
      </c>
      <c r="W701" t="s">
        <v>306</v>
      </c>
      <c r="X701">
        <v>1198.55</v>
      </c>
      <c r="Y701" t="s">
        <v>6608</v>
      </c>
      <c r="Z701" t="s">
        <v>6616</v>
      </c>
      <c r="AB701" t="s">
        <v>7301</v>
      </c>
      <c r="AD701" t="s">
        <v>9677</v>
      </c>
      <c r="AE701">
        <v>53</v>
      </c>
      <c r="AF701" t="s">
        <v>11005</v>
      </c>
      <c r="AG701" t="s">
        <v>5406</v>
      </c>
      <c r="AH701">
        <v>9</v>
      </c>
      <c r="AI701">
        <v>2</v>
      </c>
      <c r="AJ701">
        <v>1</v>
      </c>
      <c r="AK701">
        <v>100.1</v>
      </c>
      <c r="AN701" t="s">
        <v>11049</v>
      </c>
      <c r="AO701">
        <v>20800</v>
      </c>
      <c r="AU701">
        <v>80.34999999999999</v>
      </c>
      <c r="AV701" t="s">
        <v>583</v>
      </c>
      <c r="AW701" t="s">
        <v>11495</v>
      </c>
    </row>
    <row r="702" spans="1:50">
      <c r="A702" s="1">
        <f>HYPERLINK("https://cms.ls-nyc.org/matter/dynamic-profile/view/1863649","18-1863649")</f>
        <v>0</v>
      </c>
      <c r="B702" t="s">
        <v>63</v>
      </c>
      <c r="C702" t="s">
        <v>235</v>
      </c>
      <c r="D702" t="s">
        <v>328</v>
      </c>
      <c r="F702" t="s">
        <v>1331</v>
      </c>
      <c r="G702" t="s">
        <v>2596</v>
      </c>
      <c r="H702" t="s">
        <v>3922</v>
      </c>
      <c r="I702" t="s">
        <v>4775</v>
      </c>
      <c r="J702" t="s">
        <v>5322</v>
      </c>
      <c r="K702">
        <v>10301</v>
      </c>
      <c r="L702" t="s">
        <v>5355</v>
      </c>
      <c r="M702" t="s">
        <v>5356</v>
      </c>
      <c r="N702" t="s">
        <v>5406</v>
      </c>
      <c r="O702" t="s">
        <v>5393</v>
      </c>
      <c r="P702" t="s">
        <v>6526</v>
      </c>
      <c r="R702" t="s">
        <v>6539</v>
      </c>
      <c r="S702" t="s">
        <v>5357</v>
      </c>
      <c r="U702" t="s">
        <v>6557</v>
      </c>
      <c r="V702" t="s">
        <v>6566</v>
      </c>
      <c r="W702" t="s">
        <v>364</v>
      </c>
      <c r="X702">
        <v>1170</v>
      </c>
      <c r="Y702" t="s">
        <v>6607</v>
      </c>
      <c r="Z702" t="s">
        <v>6622</v>
      </c>
      <c r="AB702" t="s">
        <v>7302</v>
      </c>
      <c r="AC702" t="s">
        <v>5406</v>
      </c>
      <c r="AD702" t="s">
        <v>9678</v>
      </c>
      <c r="AE702">
        <v>21</v>
      </c>
      <c r="AF702" t="s">
        <v>8722</v>
      </c>
      <c r="AG702" t="s">
        <v>5406</v>
      </c>
      <c r="AH702">
        <v>10</v>
      </c>
      <c r="AI702">
        <v>4</v>
      </c>
      <c r="AJ702">
        <v>3</v>
      </c>
      <c r="AK702">
        <v>106.51</v>
      </c>
      <c r="AN702" t="s">
        <v>11050</v>
      </c>
      <c r="AO702">
        <v>40537.32</v>
      </c>
      <c r="AU702">
        <v>6.3</v>
      </c>
      <c r="AV702" t="s">
        <v>11448</v>
      </c>
      <c r="AW702" t="s">
        <v>11510</v>
      </c>
      <c r="AX702" t="s">
        <v>11564</v>
      </c>
    </row>
    <row r="703" spans="1:50">
      <c r="A703" s="1">
        <f>HYPERLINK("https://cms.ls-nyc.org/matter/dynamic-profile/view/1865603","18-1865603")</f>
        <v>0</v>
      </c>
      <c r="B703" t="s">
        <v>153</v>
      </c>
      <c r="C703" t="s">
        <v>235</v>
      </c>
      <c r="D703" t="s">
        <v>239</v>
      </c>
      <c r="F703" t="s">
        <v>914</v>
      </c>
      <c r="G703" t="s">
        <v>2597</v>
      </c>
      <c r="H703" t="s">
        <v>3923</v>
      </c>
      <c r="I703">
        <v>3015</v>
      </c>
      <c r="J703" t="s">
        <v>5322</v>
      </c>
      <c r="K703">
        <v>10304</v>
      </c>
      <c r="L703" t="s">
        <v>5355</v>
      </c>
      <c r="M703" t="s">
        <v>5356</v>
      </c>
      <c r="O703" t="s">
        <v>5393</v>
      </c>
      <c r="P703" t="s">
        <v>6526</v>
      </c>
      <c r="R703" t="s">
        <v>6540</v>
      </c>
      <c r="S703" t="s">
        <v>5357</v>
      </c>
      <c r="U703" t="s">
        <v>6557</v>
      </c>
      <c r="W703" t="s">
        <v>239</v>
      </c>
      <c r="X703">
        <v>867</v>
      </c>
      <c r="Y703" t="s">
        <v>6607</v>
      </c>
      <c r="Z703" t="s">
        <v>6610</v>
      </c>
      <c r="AB703" t="s">
        <v>7303</v>
      </c>
      <c r="AD703" t="s">
        <v>9679</v>
      </c>
      <c r="AE703">
        <v>467</v>
      </c>
      <c r="AF703" t="s">
        <v>11005</v>
      </c>
      <c r="AH703">
        <v>1</v>
      </c>
      <c r="AI703">
        <v>1</v>
      </c>
      <c r="AJ703">
        <v>1</v>
      </c>
      <c r="AK703">
        <v>111.73</v>
      </c>
      <c r="AL703" t="s">
        <v>11028</v>
      </c>
      <c r="AN703" t="s">
        <v>11049</v>
      </c>
      <c r="AO703">
        <v>18390</v>
      </c>
      <c r="AU703">
        <v>6.75</v>
      </c>
      <c r="AV703" t="s">
        <v>713</v>
      </c>
      <c r="AW703" t="s">
        <v>140</v>
      </c>
    </row>
    <row r="704" spans="1:50">
      <c r="A704" s="1">
        <f>HYPERLINK("https://cms.ls-nyc.org/matter/dynamic-profile/view/1841593","17-1841593")</f>
        <v>0</v>
      </c>
      <c r="B704" t="s">
        <v>154</v>
      </c>
      <c r="C704" t="s">
        <v>235</v>
      </c>
      <c r="D704" t="s">
        <v>410</v>
      </c>
      <c r="F704" t="s">
        <v>974</v>
      </c>
      <c r="G704" t="s">
        <v>2128</v>
      </c>
      <c r="H704" t="s">
        <v>3924</v>
      </c>
      <c r="I704" t="s">
        <v>4775</v>
      </c>
      <c r="J704" t="s">
        <v>5320</v>
      </c>
      <c r="K704">
        <v>11239</v>
      </c>
      <c r="L704" t="s">
        <v>5355</v>
      </c>
      <c r="M704" t="s">
        <v>5356</v>
      </c>
      <c r="P704" t="s">
        <v>6526</v>
      </c>
      <c r="R704" t="s">
        <v>6539</v>
      </c>
      <c r="S704" t="s">
        <v>5355</v>
      </c>
      <c r="U704" t="s">
        <v>6557</v>
      </c>
      <c r="W704" t="s">
        <v>410</v>
      </c>
      <c r="X704">
        <v>0</v>
      </c>
      <c r="Y704" t="s">
        <v>6605</v>
      </c>
      <c r="Z704" t="s">
        <v>6612</v>
      </c>
      <c r="AB704" t="s">
        <v>7304</v>
      </c>
      <c r="AE704">
        <v>1168</v>
      </c>
      <c r="AF704" t="s">
        <v>11005</v>
      </c>
      <c r="AG704" t="s">
        <v>11020</v>
      </c>
      <c r="AH704">
        <v>26</v>
      </c>
      <c r="AI704">
        <v>1</v>
      </c>
      <c r="AJ704">
        <v>0</v>
      </c>
      <c r="AK704">
        <v>117.11</v>
      </c>
      <c r="AL704" t="s">
        <v>555</v>
      </c>
      <c r="AN704" t="s">
        <v>11050</v>
      </c>
      <c r="AO704">
        <v>14124</v>
      </c>
      <c r="AU704">
        <v>1.1</v>
      </c>
      <c r="AV704" t="s">
        <v>497</v>
      </c>
      <c r="AW704" t="s">
        <v>211</v>
      </c>
    </row>
    <row r="705" spans="1:50">
      <c r="A705" s="1">
        <f>HYPERLINK("https://cms.ls-nyc.org/matter/dynamic-profile/view/1900479","19-1900479")</f>
        <v>0</v>
      </c>
      <c r="B705" t="s">
        <v>155</v>
      </c>
      <c r="C705" t="s">
        <v>235</v>
      </c>
      <c r="D705" t="s">
        <v>475</v>
      </c>
      <c r="F705" t="s">
        <v>942</v>
      </c>
      <c r="G705" t="s">
        <v>2598</v>
      </c>
      <c r="H705" t="s">
        <v>3925</v>
      </c>
      <c r="I705" t="s">
        <v>4752</v>
      </c>
      <c r="J705" t="s">
        <v>5323</v>
      </c>
      <c r="K705">
        <v>10029</v>
      </c>
      <c r="L705" t="s">
        <v>5355</v>
      </c>
      <c r="M705" t="s">
        <v>5356</v>
      </c>
      <c r="O705" t="s">
        <v>6501</v>
      </c>
      <c r="P705" t="s">
        <v>6526</v>
      </c>
      <c r="R705" t="s">
        <v>6539</v>
      </c>
      <c r="S705" t="s">
        <v>5357</v>
      </c>
      <c r="U705" t="s">
        <v>6563</v>
      </c>
      <c r="V705" t="s">
        <v>6566</v>
      </c>
      <c r="W705" t="s">
        <v>452</v>
      </c>
      <c r="X705">
        <v>1138</v>
      </c>
      <c r="Y705" t="s">
        <v>6608</v>
      </c>
      <c r="AB705" t="s">
        <v>7305</v>
      </c>
      <c r="AD705" t="s">
        <v>9680</v>
      </c>
      <c r="AE705">
        <v>10</v>
      </c>
      <c r="AF705" t="s">
        <v>11005</v>
      </c>
      <c r="AG705" t="s">
        <v>5406</v>
      </c>
      <c r="AH705">
        <v>15</v>
      </c>
      <c r="AI705">
        <v>1</v>
      </c>
      <c r="AJ705">
        <v>2</v>
      </c>
      <c r="AK705">
        <v>124.89</v>
      </c>
      <c r="AN705" t="s">
        <v>11050</v>
      </c>
      <c r="AO705">
        <v>26640</v>
      </c>
      <c r="AU705">
        <v>1.25</v>
      </c>
      <c r="AV705" t="s">
        <v>829</v>
      </c>
      <c r="AW705" t="s">
        <v>11497</v>
      </c>
      <c r="AX705" t="s">
        <v>11565</v>
      </c>
    </row>
    <row r="706" spans="1:50">
      <c r="A706" s="1">
        <f>HYPERLINK("https://cms.ls-nyc.org/matter/dynamic-profile/view/1862035","18-1862035")</f>
        <v>0</v>
      </c>
      <c r="B706" t="s">
        <v>97</v>
      </c>
      <c r="C706" t="s">
        <v>235</v>
      </c>
      <c r="D706" t="s">
        <v>325</v>
      </c>
      <c r="F706" t="s">
        <v>1332</v>
      </c>
      <c r="G706" t="s">
        <v>2599</v>
      </c>
      <c r="H706" t="s">
        <v>3926</v>
      </c>
      <c r="I706" t="s">
        <v>4744</v>
      </c>
      <c r="J706" t="s">
        <v>5323</v>
      </c>
      <c r="K706">
        <v>10032</v>
      </c>
      <c r="L706" t="s">
        <v>5355</v>
      </c>
      <c r="M706" t="s">
        <v>5356</v>
      </c>
      <c r="O706" t="s">
        <v>6496</v>
      </c>
      <c r="P706" t="s">
        <v>6526</v>
      </c>
      <c r="R706" t="s">
        <v>6539</v>
      </c>
      <c r="S706" t="s">
        <v>5357</v>
      </c>
      <c r="U706" t="s">
        <v>6557</v>
      </c>
      <c r="W706" t="s">
        <v>325</v>
      </c>
      <c r="X706">
        <v>247.5</v>
      </c>
      <c r="Y706" t="s">
        <v>6608</v>
      </c>
      <c r="Z706" t="s">
        <v>6616</v>
      </c>
      <c r="AB706" t="s">
        <v>7306</v>
      </c>
      <c r="AD706" t="s">
        <v>9681</v>
      </c>
      <c r="AE706">
        <v>28</v>
      </c>
      <c r="AF706" t="s">
        <v>11005</v>
      </c>
      <c r="AG706" t="s">
        <v>5406</v>
      </c>
      <c r="AH706">
        <v>30</v>
      </c>
      <c r="AI706">
        <v>1</v>
      </c>
      <c r="AJ706">
        <v>0</v>
      </c>
      <c r="AK706">
        <v>154</v>
      </c>
      <c r="AN706" t="s">
        <v>11049</v>
      </c>
      <c r="AO706">
        <v>18696</v>
      </c>
      <c r="AU706">
        <v>5.1</v>
      </c>
      <c r="AV706" t="s">
        <v>394</v>
      </c>
      <c r="AW706" t="s">
        <v>11495</v>
      </c>
    </row>
    <row r="707" spans="1:50">
      <c r="A707" s="1">
        <f>HYPERLINK("https://cms.ls-nyc.org/matter/dynamic-profile/view/1853641","17-1853641")</f>
        <v>0</v>
      </c>
      <c r="B707" t="s">
        <v>114</v>
      </c>
      <c r="C707" t="s">
        <v>234</v>
      </c>
      <c r="D707" t="s">
        <v>327</v>
      </c>
      <c r="E707" t="s">
        <v>694</v>
      </c>
      <c r="F707" t="s">
        <v>1223</v>
      </c>
      <c r="G707" t="s">
        <v>2600</v>
      </c>
      <c r="H707" t="s">
        <v>3927</v>
      </c>
      <c r="I707" t="s">
        <v>4778</v>
      </c>
      <c r="J707" t="s">
        <v>5320</v>
      </c>
      <c r="K707">
        <v>11212</v>
      </c>
      <c r="L707" t="s">
        <v>5355</v>
      </c>
      <c r="M707" t="s">
        <v>5355</v>
      </c>
      <c r="O707" t="s">
        <v>6494</v>
      </c>
      <c r="P707" t="s">
        <v>6526</v>
      </c>
      <c r="Q707" t="s">
        <v>6532</v>
      </c>
      <c r="R707" t="s">
        <v>6539</v>
      </c>
      <c r="S707" t="s">
        <v>6541</v>
      </c>
      <c r="U707" t="s">
        <v>6557</v>
      </c>
      <c r="W707" t="s">
        <v>327</v>
      </c>
      <c r="X707">
        <v>1180</v>
      </c>
      <c r="Y707" t="s">
        <v>6605</v>
      </c>
      <c r="Z707" t="s">
        <v>6614</v>
      </c>
      <c r="AA707" t="s">
        <v>6632</v>
      </c>
      <c r="AB707" t="s">
        <v>7307</v>
      </c>
      <c r="AC707" t="s">
        <v>8776</v>
      </c>
      <c r="AD707" t="s">
        <v>9682</v>
      </c>
      <c r="AE707">
        <v>8</v>
      </c>
      <c r="AF707" t="s">
        <v>11005</v>
      </c>
      <c r="AG707" t="s">
        <v>5406</v>
      </c>
      <c r="AH707">
        <v>4</v>
      </c>
      <c r="AI707">
        <v>1</v>
      </c>
      <c r="AJ707">
        <v>1</v>
      </c>
      <c r="AK707">
        <v>160.1</v>
      </c>
      <c r="AN707" t="s">
        <v>11050</v>
      </c>
      <c r="AO707">
        <v>26000</v>
      </c>
      <c r="AU707">
        <v>5.2</v>
      </c>
      <c r="AV707" t="s">
        <v>770</v>
      </c>
      <c r="AW707" t="s">
        <v>11512</v>
      </c>
    </row>
    <row r="708" spans="1:50">
      <c r="A708" s="1">
        <f>HYPERLINK("https://cms.ls-nyc.org/matter/dynamic-profile/view/0805337","16-0805337")</f>
        <v>0</v>
      </c>
      <c r="B708" t="s">
        <v>90</v>
      </c>
      <c r="C708" t="s">
        <v>235</v>
      </c>
      <c r="D708" t="s">
        <v>476</v>
      </c>
      <c r="F708" t="s">
        <v>1333</v>
      </c>
      <c r="G708" t="s">
        <v>2133</v>
      </c>
      <c r="H708" t="s">
        <v>3928</v>
      </c>
      <c r="I708" t="s">
        <v>4966</v>
      </c>
      <c r="J708" t="s">
        <v>5321</v>
      </c>
      <c r="K708">
        <v>10452</v>
      </c>
      <c r="L708" t="s">
        <v>5355</v>
      </c>
      <c r="M708" t="s">
        <v>5356</v>
      </c>
      <c r="O708" t="s">
        <v>6508</v>
      </c>
      <c r="P708" t="s">
        <v>6526</v>
      </c>
      <c r="R708" t="s">
        <v>6539</v>
      </c>
      <c r="S708" t="s">
        <v>5355</v>
      </c>
      <c r="U708" t="s">
        <v>6557</v>
      </c>
      <c r="W708" t="s">
        <v>6592</v>
      </c>
      <c r="X708">
        <v>1495</v>
      </c>
      <c r="Y708" t="s">
        <v>6606</v>
      </c>
      <c r="Z708" t="s">
        <v>6612</v>
      </c>
      <c r="AB708" t="s">
        <v>7308</v>
      </c>
      <c r="AD708" t="s">
        <v>9683</v>
      </c>
      <c r="AE708">
        <v>130</v>
      </c>
      <c r="AF708" t="s">
        <v>11005</v>
      </c>
      <c r="AG708" t="s">
        <v>11020</v>
      </c>
      <c r="AH708">
        <v>8</v>
      </c>
      <c r="AI708">
        <v>2</v>
      </c>
      <c r="AJ708">
        <v>0</v>
      </c>
      <c r="AK708">
        <v>168.54</v>
      </c>
      <c r="AN708" t="s">
        <v>11050</v>
      </c>
      <c r="AO708">
        <v>27000</v>
      </c>
      <c r="AU708">
        <v>460.5</v>
      </c>
      <c r="AV708" t="s">
        <v>698</v>
      </c>
      <c r="AW708" t="s">
        <v>11491</v>
      </c>
    </row>
    <row r="709" spans="1:50">
      <c r="A709" s="1">
        <f>HYPERLINK("https://cms.ls-nyc.org/matter/dynamic-profile/view/1841736","17-1841736")</f>
        <v>0</v>
      </c>
      <c r="B709" t="s">
        <v>65</v>
      </c>
      <c r="C709" t="s">
        <v>234</v>
      </c>
      <c r="D709" t="s">
        <v>323</v>
      </c>
      <c r="E709" t="s">
        <v>413</v>
      </c>
      <c r="F709" t="s">
        <v>911</v>
      </c>
      <c r="G709" t="s">
        <v>2326</v>
      </c>
      <c r="H709" t="s">
        <v>3448</v>
      </c>
      <c r="I709" t="s">
        <v>4814</v>
      </c>
      <c r="J709" t="s">
        <v>5323</v>
      </c>
      <c r="K709">
        <v>10032</v>
      </c>
      <c r="L709" t="s">
        <v>5355</v>
      </c>
      <c r="M709" t="s">
        <v>5356</v>
      </c>
      <c r="P709" t="s">
        <v>6526</v>
      </c>
      <c r="Q709" t="s">
        <v>6531</v>
      </c>
      <c r="R709" t="s">
        <v>6539</v>
      </c>
      <c r="S709" t="s">
        <v>5357</v>
      </c>
      <c r="U709" t="s">
        <v>6557</v>
      </c>
      <c r="W709" t="s">
        <v>404</v>
      </c>
      <c r="X709">
        <v>1217</v>
      </c>
      <c r="Y709" t="s">
        <v>6608</v>
      </c>
      <c r="Z709" t="s">
        <v>6616</v>
      </c>
      <c r="AA709" t="s">
        <v>6642</v>
      </c>
      <c r="AB709" t="s">
        <v>6925</v>
      </c>
      <c r="AE709">
        <v>49</v>
      </c>
      <c r="AF709" t="s">
        <v>11005</v>
      </c>
      <c r="AG709" t="s">
        <v>5406</v>
      </c>
      <c r="AH709">
        <v>19</v>
      </c>
      <c r="AI709">
        <v>1</v>
      </c>
      <c r="AJ709">
        <v>0</v>
      </c>
      <c r="AK709">
        <v>189.05</v>
      </c>
      <c r="AN709" t="s">
        <v>11050</v>
      </c>
      <c r="AO709">
        <v>22800</v>
      </c>
      <c r="AU709">
        <v>15.7</v>
      </c>
      <c r="AV709" t="s">
        <v>338</v>
      </c>
      <c r="AW709" t="s">
        <v>11495</v>
      </c>
    </row>
    <row r="710" spans="1:50">
      <c r="A710" s="1">
        <f>HYPERLINK("https://cms.ls-nyc.org/matter/dynamic-profile/view/0826082","17-0826082")</f>
        <v>0</v>
      </c>
      <c r="B710" t="s">
        <v>90</v>
      </c>
      <c r="C710" t="s">
        <v>235</v>
      </c>
      <c r="D710" t="s">
        <v>477</v>
      </c>
      <c r="F710" t="s">
        <v>1334</v>
      </c>
      <c r="G710" t="s">
        <v>2601</v>
      </c>
      <c r="H710" t="s">
        <v>3928</v>
      </c>
      <c r="I710" t="s">
        <v>4967</v>
      </c>
      <c r="J710" t="s">
        <v>5321</v>
      </c>
      <c r="K710">
        <v>10452</v>
      </c>
      <c r="L710" t="s">
        <v>5355</v>
      </c>
      <c r="M710" t="s">
        <v>5356</v>
      </c>
      <c r="O710" t="s">
        <v>6508</v>
      </c>
      <c r="P710" t="s">
        <v>6526</v>
      </c>
      <c r="R710" t="s">
        <v>6539</v>
      </c>
      <c r="S710" t="s">
        <v>5355</v>
      </c>
      <c r="U710" t="s">
        <v>6557</v>
      </c>
      <c r="W710" t="s">
        <v>6592</v>
      </c>
      <c r="X710">
        <v>0</v>
      </c>
      <c r="Y710" t="s">
        <v>6606</v>
      </c>
      <c r="AB710" t="s">
        <v>7309</v>
      </c>
      <c r="AD710" t="s">
        <v>9684</v>
      </c>
      <c r="AE710">
        <v>130</v>
      </c>
      <c r="AF710" t="s">
        <v>11005</v>
      </c>
      <c r="AG710" t="s">
        <v>11020</v>
      </c>
      <c r="AH710">
        <v>9</v>
      </c>
      <c r="AI710">
        <v>1</v>
      </c>
      <c r="AJ710">
        <v>0</v>
      </c>
      <c r="AK710">
        <v>220.13</v>
      </c>
      <c r="AN710" t="s">
        <v>11050</v>
      </c>
      <c r="AO710">
        <v>26152</v>
      </c>
      <c r="AU710">
        <v>6.3</v>
      </c>
      <c r="AV710" t="s">
        <v>690</v>
      </c>
      <c r="AW710" t="s">
        <v>11509</v>
      </c>
    </row>
    <row r="711" spans="1:50">
      <c r="A711" s="1">
        <f>HYPERLINK("https://cms.ls-nyc.org/matter/dynamic-profile/view/1858154","18-1858154")</f>
        <v>0</v>
      </c>
      <c r="B711" t="s">
        <v>75</v>
      </c>
      <c r="C711" t="s">
        <v>235</v>
      </c>
      <c r="D711" t="s">
        <v>433</v>
      </c>
      <c r="F711" t="s">
        <v>1335</v>
      </c>
      <c r="G711" t="s">
        <v>2132</v>
      </c>
      <c r="H711" t="s">
        <v>3929</v>
      </c>
      <c r="I711" t="s">
        <v>4781</v>
      </c>
      <c r="J711" t="s">
        <v>5320</v>
      </c>
      <c r="K711">
        <v>11237</v>
      </c>
      <c r="L711" t="s">
        <v>5355</v>
      </c>
      <c r="M711" t="s">
        <v>5356</v>
      </c>
      <c r="P711" t="s">
        <v>6526</v>
      </c>
      <c r="R711" t="s">
        <v>6539</v>
      </c>
      <c r="S711" t="s">
        <v>5355</v>
      </c>
      <c r="U711" t="s">
        <v>6557</v>
      </c>
      <c r="W711" t="s">
        <v>262</v>
      </c>
      <c r="X711">
        <v>1570</v>
      </c>
      <c r="Y711" t="s">
        <v>6605</v>
      </c>
      <c r="AB711" t="s">
        <v>7310</v>
      </c>
      <c r="AD711" t="s">
        <v>9685</v>
      </c>
      <c r="AE711">
        <v>8</v>
      </c>
      <c r="AF711" t="s">
        <v>11005</v>
      </c>
      <c r="AH711">
        <v>8</v>
      </c>
      <c r="AI711">
        <v>1</v>
      </c>
      <c r="AJ711">
        <v>0</v>
      </c>
      <c r="AK711">
        <v>247.12</v>
      </c>
      <c r="AL711" t="s">
        <v>11029</v>
      </c>
      <c r="AN711" t="s">
        <v>11050</v>
      </c>
      <c r="AO711">
        <v>30000</v>
      </c>
      <c r="AU711">
        <v>0</v>
      </c>
      <c r="AW711" t="s">
        <v>11489</v>
      </c>
    </row>
    <row r="712" spans="1:50">
      <c r="A712" s="1">
        <f>HYPERLINK("https://cms.ls-nyc.org/matter/dynamic-profile/view/1866650","18-1866650")</f>
        <v>0</v>
      </c>
      <c r="B712" t="s">
        <v>97</v>
      </c>
      <c r="C712" t="s">
        <v>234</v>
      </c>
      <c r="D712" t="s">
        <v>335</v>
      </c>
      <c r="E712" t="s">
        <v>665</v>
      </c>
      <c r="F712" t="s">
        <v>1336</v>
      </c>
      <c r="G712" t="s">
        <v>2422</v>
      </c>
      <c r="H712" t="s">
        <v>3930</v>
      </c>
      <c r="I712" t="s">
        <v>4854</v>
      </c>
      <c r="J712" t="s">
        <v>5323</v>
      </c>
      <c r="K712">
        <v>10040</v>
      </c>
      <c r="L712" t="s">
        <v>5355</v>
      </c>
      <c r="M712" t="s">
        <v>5356</v>
      </c>
      <c r="O712" t="s">
        <v>6496</v>
      </c>
      <c r="P712" t="s">
        <v>6526</v>
      </c>
      <c r="Q712" t="s">
        <v>6532</v>
      </c>
      <c r="R712" t="s">
        <v>6539</v>
      </c>
      <c r="S712" t="s">
        <v>5357</v>
      </c>
      <c r="U712" t="s">
        <v>6557</v>
      </c>
      <c r="W712" t="s">
        <v>335</v>
      </c>
      <c r="X712">
        <v>1475</v>
      </c>
      <c r="Y712" t="s">
        <v>6608</v>
      </c>
      <c r="Z712" t="s">
        <v>6620</v>
      </c>
      <c r="AA712" t="s">
        <v>6636</v>
      </c>
      <c r="AB712" t="s">
        <v>7311</v>
      </c>
      <c r="AD712" t="s">
        <v>9686</v>
      </c>
      <c r="AE712">
        <v>0</v>
      </c>
      <c r="AF712" t="s">
        <v>11005</v>
      </c>
      <c r="AG712" t="s">
        <v>5406</v>
      </c>
      <c r="AH712">
        <v>5</v>
      </c>
      <c r="AI712">
        <v>2</v>
      </c>
      <c r="AJ712">
        <v>0</v>
      </c>
      <c r="AK712">
        <v>286.34</v>
      </c>
      <c r="AL712" t="s">
        <v>11029</v>
      </c>
      <c r="AN712" t="s">
        <v>11049</v>
      </c>
      <c r="AO712">
        <v>47132</v>
      </c>
      <c r="AU712">
        <v>3.3</v>
      </c>
      <c r="AV712" t="s">
        <v>459</v>
      </c>
      <c r="AW712" t="s">
        <v>11495</v>
      </c>
    </row>
    <row r="713" spans="1:50">
      <c r="A713" s="1">
        <f>HYPERLINK("https://cms.ls-nyc.org/matter/dynamic-profile/view/1840965","17-1840965")</f>
        <v>0</v>
      </c>
      <c r="B713" t="s">
        <v>71</v>
      </c>
      <c r="C713" t="s">
        <v>235</v>
      </c>
      <c r="D713" t="s">
        <v>473</v>
      </c>
      <c r="F713" t="s">
        <v>1337</v>
      </c>
      <c r="G713" t="s">
        <v>2101</v>
      </c>
      <c r="H713" t="s">
        <v>3931</v>
      </c>
      <c r="I713" t="s">
        <v>4891</v>
      </c>
      <c r="J713" t="s">
        <v>5321</v>
      </c>
      <c r="K713">
        <v>10453</v>
      </c>
      <c r="L713" t="s">
        <v>5355</v>
      </c>
      <c r="M713" t="s">
        <v>5356</v>
      </c>
      <c r="N713" t="s">
        <v>5413</v>
      </c>
      <c r="O713" t="s">
        <v>6492</v>
      </c>
      <c r="P713" t="s">
        <v>6527</v>
      </c>
      <c r="R713" t="s">
        <v>6539</v>
      </c>
      <c r="U713" t="s">
        <v>6557</v>
      </c>
      <c r="W713" t="s">
        <v>406</v>
      </c>
      <c r="X713">
        <v>1086</v>
      </c>
      <c r="Y713" t="s">
        <v>6606</v>
      </c>
      <c r="AB713" t="s">
        <v>7312</v>
      </c>
      <c r="AD713" t="s">
        <v>9687</v>
      </c>
      <c r="AE713">
        <v>20</v>
      </c>
      <c r="AF713" t="s">
        <v>11006</v>
      </c>
      <c r="AH713">
        <v>16</v>
      </c>
      <c r="AI713">
        <v>1</v>
      </c>
      <c r="AJ713">
        <v>0</v>
      </c>
      <c r="AK713">
        <v>0</v>
      </c>
      <c r="AN713" t="s">
        <v>11049</v>
      </c>
      <c r="AO713">
        <v>0</v>
      </c>
      <c r="AU713">
        <v>7.9</v>
      </c>
      <c r="AV713" t="s">
        <v>490</v>
      </c>
      <c r="AW713" t="s">
        <v>11511</v>
      </c>
    </row>
    <row r="714" spans="1:50">
      <c r="A714" s="1">
        <f>HYPERLINK("https://cms.ls-nyc.org/matter/dynamic-profile/view/1863801","18-1863801")</f>
        <v>0</v>
      </c>
      <c r="B714" t="s">
        <v>156</v>
      </c>
      <c r="C714" t="s">
        <v>234</v>
      </c>
      <c r="D714" t="s">
        <v>263</v>
      </c>
      <c r="E714" t="s">
        <v>765</v>
      </c>
      <c r="F714" t="s">
        <v>1338</v>
      </c>
      <c r="G714" t="s">
        <v>2602</v>
      </c>
      <c r="H714" t="s">
        <v>3932</v>
      </c>
      <c r="I714" t="s">
        <v>4772</v>
      </c>
      <c r="J714" t="s">
        <v>5322</v>
      </c>
      <c r="K714">
        <v>10304</v>
      </c>
      <c r="L714" t="s">
        <v>5355</v>
      </c>
      <c r="M714" t="s">
        <v>5356</v>
      </c>
      <c r="N714" t="s">
        <v>5366</v>
      </c>
      <c r="O714" t="s">
        <v>6500</v>
      </c>
      <c r="P714" t="s">
        <v>6527</v>
      </c>
      <c r="Q714" t="s">
        <v>6533</v>
      </c>
      <c r="R714" t="s">
        <v>6539</v>
      </c>
      <c r="S714" t="s">
        <v>5357</v>
      </c>
      <c r="U714" t="s">
        <v>6559</v>
      </c>
      <c r="W714" t="s">
        <v>263</v>
      </c>
      <c r="X714">
        <v>800</v>
      </c>
      <c r="Y714" t="s">
        <v>6607</v>
      </c>
      <c r="Z714" t="s">
        <v>6614</v>
      </c>
      <c r="AA714" t="s">
        <v>6632</v>
      </c>
      <c r="AB714" t="s">
        <v>7313</v>
      </c>
      <c r="AD714" t="s">
        <v>9688</v>
      </c>
      <c r="AE714">
        <v>7</v>
      </c>
      <c r="AF714" t="s">
        <v>11005</v>
      </c>
      <c r="AG714" t="s">
        <v>11019</v>
      </c>
      <c r="AH714">
        <v>3</v>
      </c>
      <c r="AI714">
        <v>2</v>
      </c>
      <c r="AJ714">
        <v>0</v>
      </c>
      <c r="AK714">
        <v>0</v>
      </c>
      <c r="AN714" t="s">
        <v>11050</v>
      </c>
      <c r="AO714">
        <v>0</v>
      </c>
      <c r="AU714">
        <v>11.1</v>
      </c>
      <c r="AV714" t="s">
        <v>745</v>
      </c>
      <c r="AW714" t="s">
        <v>11510</v>
      </c>
    </row>
    <row r="715" spans="1:50">
      <c r="A715" s="1">
        <f>HYPERLINK("https://cms.ls-nyc.org/matter/dynamic-profile/view/1844342","17-1844342")</f>
        <v>0</v>
      </c>
      <c r="B715" t="s">
        <v>156</v>
      </c>
      <c r="C715" t="s">
        <v>234</v>
      </c>
      <c r="D715" t="s">
        <v>478</v>
      </c>
      <c r="E715" t="s">
        <v>676</v>
      </c>
      <c r="F715" t="s">
        <v>1339</v>
      </c>
      <c r="G715" t="s">
        <v>2375</v>
      </c>
      <c r="H715" t="s">
        <v>3933</v>
      </c>
      <c r="I715" t="s">
        <v>4968</v>
      </c>
      <c r="J715" t="s">
        <v>5322</v>
      </c>
      <c r="K715">
        <v>10304</v>
      </c>
      <c r="L715" t="s">
        <v>5355</v>
      </c>
      <c r="M715" t="s">
        <v>5356</v>
      </c>
      <c r="N715" t="s">
        <v>5366</v>
      </c>
      <c r="O715" t="s">
        <v>6496</v>
      </c>
      <c r="P715" t="s">
        <v>6527</v>
      </c>
      <c r="Q715" t="s">
        <v>6533</v>
      </c>
      <c r="R715" t="s">
        <v>6539</v>
      </c>
      <c r="S715" t="s">
        <v>5357</v>
      </c>
      <c r="U715" t="s">
        <v>6557</v>
      </c>
      <c r="W715" t="s">
        <v>478</v>
      </c>
      <c r="X715">
        <v>918</v>
      </c>
      <c r="Y715" t="s">
        <v>6607</v>
      </c>
      <c r="Z715" t="s">
        <v>6619</v>
      </c>
      <c r="AA715" t="s">
        <v>6634</v>
      </c>
      <c r="AB715" t="s">
        <v>7314</v>
      </c>
      <c r="AC715" t="s">
        <v>8777</v>
      </c>
      <c r="AD715" t="s">
        <v>9689</v>
      </c>
      <c r="AE715">
        <v>16</v>
      </c>
      <c r="AF715" t="s">
        <v>11005</v>
      </c>
      <c r="AG715" t="s">
        <v>5406</v>
      </c>
      <c r="AH715">
        <v>8</v>
      </c>
      <c r="AI715">
        <v>2</v>
      </c>
      <c r="AJ715">
        <v>0</v>
      </c>
      <c r="AK715">
        <v>0</v>
      </c>
      <c r="AN715" t="s">
        <v>11050</v>
      </c>
      <c r="AO715">
        <v>0</v>
      </c>
      <c r="AU715">
        <v>42.3</v>
      </c>
      <c r="AV715" t="s">
        <v>11449</v>
      </c>
      <c r="AW715" t="s">
        <v>11500</v>
      </c>
    </row>
    <row r="716" spans="1:50">
      <c r="A716" s="1">
        <f>HYPERLINK("https://cms.ls-nyc.org/matter/dynamic-profile/view/1860266","18-1860266")</f>
        <v>0</v>
      </c>
      <c r="B716" t="s">
        <v>65</v>
      </c>
      <c r="C716" t="s">
        <v>234</v>
      </c>
      <c r="D716" t="s">
        <v>428</v>
      </c>
      <c r="E716" t="s">
        <v>738</v>
      </c>
      <c r="F716" t="s">
        <v>1340</v>
      </c>
      <c r="G716" t="s">
        <v>2135</v>
      </c>
      <c r="H716" t="s">
        <v>3934</v>
      </c>
      <c r="I716" t="s">
        <v>4862</v>
      </c>
      <c r="J716" t="s">
        <v>5323</v>
      </c>
      <c r="K716">
        <v>10034</v>
      </c>
      <c r="L716" t="s">
        <v>5355</v>
      </c>
      <c r="M716" t="s">
        <v>5355</v>
      </c>
      <c r="O716" t="s">
        <v>6505</v>
      </c>
      <c r="P716" t="s">
        <v>6527</v>
      </c>
      <c r="Q716" t="s">
        <v>6532</v>
      </c>
      <c r="R716" t="s">
        <v>6539</v>
      </c>
      <c r="S716" t="s">
        <v>5357</v>
      </c>
      <c r="U716" t="s">
        <v>6557</v>
      </c>
      <c r="W716" t="s">
        <v>428</v>
      </c>
      <c r="X716">
        <v>1625</v>
      </c>
      <c r="Y716" t="s">
        <v>6608</v>
      </c>
      <c r="Z716" t="s">
        <v>6614</v>
      </c>
      <c r="AA716" t="s">
        <v>6636</v>
      </c>
      <c r="AB716" t="s">
        <v>7315</v>
      </c>
      <c r="AD716" t="s">
        <v>9690</v>
      </c>
      <c r="AE716">
        <v>40</v>
      </c>
      <c r="AF716" t="s">
        <v>11005</v>
      </c>
      <c r="AG716" t="s">
        <v>5406</v>
      </c>
      <c r="AH716">
        <v>4</v>
      </c>
      <c r="AI716">
        <v>2</v>
      </c>
      <c r="AJ716">
        <v>1</v>
      </c>
      <c r="AK716">
        <v>0</v>
      </c>
      <c r="AN716" t="s">
        <v>11049</v>
      </c>
      <c r="AO716">
        <v>0</v>
      </c>
      <c r="AU716">
        <v>25.1</v>
      </c>
      <c r="AV716" t="s">
        <v>716</v>
      </c>
      <c r="AW716" t="s">
        <v>11495</v>
      </c>
    </row>
    <row r="717" spans="1:50">
      <c r="A717" s="1">
        <f>HYPERLINK("https://cms.ls-nyc.org/matter/dynamic-profile/view/1860229","18-1860229")</f>
        <v>0</v>
      </c>
      <c r="B717" t="s">
        <v>68</v>
      </c>
      <c r="C717" t="s">
        <v>234</v>
      </c>
      <c r="D717" t="s">
        <v>428</v>
      </c>
      <c r="E717" t="s">
        <v>678</v>
      </c>
      <c r="F717" t="s">
        <v>903</v>
      </c>
      <c r="G717" t="s">
        <v>2422</v>
      </c>
      <c r="H717" t="s">
        <v>3935</v>
      </c>
      <c r="I717" t="s">
        <v>4777</v>
      </c>
      <c r="J717" t="s">
        <v>5323</v>
      </c>
      <c r="K717">
        <v>10029</v>
      </c>
      <c r="L717" t="s">
        <v>5355</v>
      </c>
      <c r="M717" t="s">
        <v>5356</v>
      </c>
      <c r="O717" t="s">
        <v>5393</v>
      </c>
      <c r="P717" t="s">
        <v>6527</v>
      </c>
      <c r="Q717" t="s">
        <v>6532</v>
      </c>
      <c r="R717" t="s">
        <v>6539</v>
      </c>
      <c r="S717" t="s">
        <v>5357</v>
      </c>
      <c r="U717" t="s">
        <v>6557</v>
      </c>
      <c r="V717" t="s">
        <v>6566</v>
      </c>
      <c r="W717" t="s">
        <v>428</v>
      </c>
      <c r="X717">
        <v>711</v>
      </c>
      <c r="Y717" t="s">
        <v>6608</v>
      </c>
      <c r="Z717" t="s">
        <v>6616</v>
      </c>
      <c r="AA717" t="s">
        <v>6636</v>
      </c>
      <c r="AB717" t="s">
        <v>7316</v>
      </c>
      <c r="AD717" t="s">
        <v>9691</v>
      </c>
      <c r="AE717">
        <v>15</v>
      </c>
      <c r="AF717" t="s">
        <v>11005</v>
      </c>
      <c r="AG717" t="s">
        <v>11020</v>
      </c>
      <c r="AH717">
        <v>3</v>
      </c>
      <c r="AI717">
        <v>1</v>
      </c>
      <c r="AJ717">
        <v>0</v>
      </c>
      <c r="AK717">
        <v>0</v>
      </c>
      <c r="AN717" t="s">
        <v>11050</v>
      </c>
      <c r="AO717">
        <v>0</v>
      </c>
      <c r="AU717">
        <v>17.9</v>
      </c>
      <c r="AV717" t="s">
        <v>11450</v>
      </c>
      <c r="AW717" t="s">
        <v>11497</v>
      </c>
    </row>
    <row r="718" spans="1:50">
      <c r="A718" s="1">
        <f>HYPERLINK("https://cms.ls-nyc.org/matter/dynamic-profile/view/1846070","17-1846070")</f>
        <v>0</v>
      </c>
      <c r="B718" t="s">
        <v>131</v>
      </c>
      <c r="C718" t="s">
        <v>234</v>
      </c>
      <c r="D718" t="s">
        <v>371</v>
      </c>
      <c r="E718" t="s">
        <v>713</v>
      </c>
      <c r="F718" t="s">
        <v>1341</v>
      </c>
      <c r="G718" t="s">
        <v>2355</v>
      </c>
      <c r="H718" t="s">
        <v>3936</v>
      </c>
      <c r="I718" t="s">
        <v>4829</v>
      </c>
      <c r="J718" t="s">
        <v>5323</v>
      </c>
      <c r="K718">
        <v>10009</v>
      </c>
      <c r="L718" t="s">
        <v>5355</v>
      </c>
      <c r="M718" t="s">
        <v>5356</v>
      </c>
      <c r="O718" t="s">
        <v>6500</v>
      </c>
      <c r="P718" t="s">
        <v>6527</v>
      </c>
      <c r="Q718" t="s">
        <v>6532</v>
      </c>
      <c r="R718" t="s">
        <v>6540</v>
      </c>
      <c r="S718" t="s">
        <v>5357</v>
      </c>
      <c r="U718" t="s">
        <v>6564</v>
      </c>
      <c r="W718" t="s">
        <v>301</v>
      </c>
      <c r="X718">
        <v>1411</v>
      </c>
      <c r="Y718" t="s">
        <v>6608</v>
      </c>
      <c r="Z718" t="s">
        <v>6610</v>
      </c>
      <c r="AA718" t="s">
        <v>6631</v>
      </c>
      <c r="AB718" t="s">
        <v>7317</v>
      </c>
      <c r="AD718" t="s">
        <v>9692</v>
      </c>
      <c r="AE718">
        <v>743</v>
      </c>
      <c r="AF718" t="s">
        <v>11007</v>
      </c>
      <c r="AG718" t="s">
        <v>5406</v>
      </c>
      <c r="AH718">
        <v>21</v>
      </c>
      <c r="AI718">
        <v>1</v>
      </c>
      <c r="AJ718">
        <v>0</v>
      </c>
      <c r="AK718">
        <v>0</v>
      </c>
      <c r="AL718" t="s">
        <v>11028</v>
      </c>
      <c r="AN718" t="s">
        <v>11050</v>
      </c>
      <c r="AO718">
        <v>0</v>
      </c>
      <c r="AU718">
        <v>4.05</v>
      </c>
      <c r="AV718" t="s">
        <v>525</v>
      </c>
      <c r="AW718" t="s">
        <v>11498</v>
      </c>
    </row>
    <row r="719" spans="1:50">
      <c r="A719" s="1">
        <f>HYPERLINK("https://cms.ls-nyc.org/matter/dynamic-profile/view/1836982","17-1836982")</f>
        <v>0</v>
      </c>
      <c r="B719" t="s">
        <v>58</v>
      </c>
      <c r="C719" t="s">
        <v>234</v>
      </c>
      <c r="D719" t="s">
        <v>471</v>
      </c>
      <c r="E719" t="s">
        <v>674</v>
      </c>
      <c r="F719" t="s">
        <v>1342</v>
      </c>
      <c r="G719" t="s">
        <v>2270</v>
      </c>
      <c r="H719" t="s">
        <v>3937</v>
      </c>
      <c r="I719" t="s">
        <v>4969</v>
      </c>
      <c r="J719" t="s">
        <v>5321</v>
      </c>
      <c r="K719">
        <v>10453</v>
      </c>
      <c r="L719" t="s">
        <v>5355</v>
      </c>
      <c r="M719" t="s">
        <v>5356</v>
      </c>
      <c r="O719" t="s">
        <v>5393</v>
      </c>
      <c r="P719" t="s">
        <v>6527</v>
      </c>
      <c r="Q719" t="s">
        <v>6532</v>
      </c>
      <c r="R719" t="s">
        <v>6539</v>
      </c>
      <c r="S719" t="s">
        <v>5355</v>
      </c>
      <c r="U719" t="s">
        <v>6557</v>
      </c>
      <c r="W719" t="s">
        <v>372</v>
      </c>
      <c r="X719">
        <v>74</v>
      </c>
      <c r="Y719" t="s">
        <v>6606</v>
      </c>
      <c r="Z719" t="s">
        <v>6617</v>
      </c>
      <c r="AA719" t="s">
        <v>6636</v>
      </c>
      <c r="AB719" t="s">
        <v>6954</v>
      </c>
      <c r="AC719">
        <v>37230470</v>
      </c>
      <c r="AD719" t="s">
        <v>9693</v>
      </c>
      <c r="AE719">
        <v>766</v>
      </c>
      <c r="AF719" t="s">
        <v>11005</v>
      </c>
      <c r="AH719">
        <v>34</v>
      </c>
      <c r="AI719">
        <v>1</v>
      </c>
      <c r="AJ719">
        <v>1</v>
      </c>
      <c r="AK719">
        <v>8.869999999999999</v>
      </c>
      <c r="AN719" t="s">
        <v>11050</v>
      </c>
      <c r="AO719">
        <v>1440</v>
      </c>
      <c r="AU719">
        <v>0.5</v>
      </c>
      <c r="AV719" t="s">
        <v>674</v>
      </c>
      <c r="AW719" t="s">
        <v>11523</v>
      </c>
    </row>
    <row r="720" spans="1:50">
      <c r="A720" s="1">
        <f>HYPERLINK("https://cms.ls-nyc.org/matter/dynamic-profile/view/1853736","17-1853736")</f>
        <v>0</v>
      </c>
      <c r="B720" t="s">
        <v>107</v>
      </c>
      <c r="C720" t="s">
        <v>235</v>
      </c>
      <c r="D720" t="s">
        <v>332</v>
      </c>
      <c r="F720" t="s">
        <v>914</v>
      </c>
      <c r="G720" t="s">
        <v>2603</v>
      </c>
      <c r="H720" t="s">
        <v>3938</v>
      </c>
      <c r="I720" t="s">
        <v>4781</v>
      </c>
      <c r="J720" t="s">
        <v>5323</v>
      </c>
      <c r="K720">
        <v>10035</v>
      </c>
      <c r="L720" t="s">
        <v>5355</v>
      </c>
      <c r="M720" t="s">
        <v>5356</v>
      </c>
      <c r="O720" t="s">
        <v>6501</v>
      </c>
      <c r="P720" t="s">
        <v>6527</v>
      </c>
      <c r="R720" t="s">
        <v>6539</v>
      </c>
      <c r="S720" t="s">
        <v>5357</v>
      </c>
      <c r="U720" t="s">
        <v>6563</v>
      </c>
      <c r="W720" t="s">
        <v>332</v>
      </c>
      <c r="X720">
        <v>645</v>
      </c>
      <c r="Y720" t="s">
        <v>6608</v>
      </c>
      <c r="Z720" t="s">
        <v>6625</v>
      </c>
      <c r="AB720" t="s">
        <v>7318</v>
      </c>
      <c r="AE720">
        <v>8</v>
      </c>
      <c r="AF720" t="s">
        <v>11005</v>
      </c>
      <c r="AG720" t="s">
        <v>5406</v>
      </c>
      <c r="AH720">
        <v>20</v>
      </c>
      <c r="AI720">
        <v>1</v>
      </c>
      <c r="AJ720">
        <v>2</v>
      </c>
      <c r="AK720">
        <v>11.75</v>
      </c>
      <c r="AN720" t="s">
        <v>11049</v>
      </c>
      <c r="AO720">
        <v>2400</v>
      </c>
      <c r="AP720" t="s">
        <v>11113</v>
      </c>
      <c r="AU720">
        <v>29.2</v>
      </c>
      <c r="AV720" t="s">
        <v>698</v>
      </c>
      <c r="AW720" t="s">
        <v>11497</v>
      </c>
    </row>
    <row r="721" spans="1:49">
      <c r="A721" s="1">
        <f>HYPERLINK("https://cms.ls-nyc.org/matter/dynamic-profile/view/0824707","17-0824707")</f>
        <v>0</v>
      </c>
      <c r="B721" t="s">
        <v>68</v>
      </c>
      <c r="C721" t="s">
        <v>235</v>
      </c>
      <c r="D721" t="s">
        <v>479</v>
      </c>
      <c r="F721" t="s">
        <v>914</v>
      </c>
      <c r="G721" t="s">
        <v>2603</v>
      </c>
      <c r="H721" t="s">
        <v>3938</v>
      </c>
      <c r="I721" t="s">
        <v>4781</v>
      </c>
      <c r="J721" t="s">
        <v>5323</v>
      </c>
      <c r="K721">
        <v>10035</v>
      </c>
      <c r="L721" t="s">
        <v>5355</v>
      </c>
      <c r="M721" t="s">
        <v>5356</v>
      </c>
      <c r="O721" t="s">
        <v>5393</v>
      </c>
      <c r="P721" t="s">
        <v>6527</v>
      </c>
      <c r="R721" t="s">
        <v>6539</v>
      </c>
      <c r="S721" t="s">
        <v>5357</v>
      </c>
      <c r="U721" t="s">
        <v>6557</v>
      </c>
      <c r="W721" t="s">
        <v>6583</v>
      </c>
      <c r="X721">
        <v>645</v>
      </c>
      <c r="Y721" t="s">
        <v>6608</v>
      </c>
      <c r="Z721" t="s">
        <v>6617</v>
      </c>
      <c r="AB721" t="s">
        <v>7318</v>
      </c>
      <c r="AE721">
        <v>8</v>
      </c>
      <c r="AF721" t="s">
        <v>11005</v>
      </c>
      <c r="AG721" t="s">
        <v>5406</v>
      </c>
      <c r="AH721">
        <v>20</v>
      </c>
      <c r="AI721">
        <v>1</v>
      </c>
      <c r="AJ721">
        <v>2</v>
      </c>
      <c r="AK721">
        <v>11.9</v>
      </c>
      <c r="AN721" t="s">
        <v>11049</v>
      </c>
      <c r="AO721">
        <v>2400</v>
      </c>
      <c r="AP721" t="s">
        <v>11114</v>
      </c>
      <c r="AU721">
        <v>52.65</v>
      </c>
      <c r="AV721" t="s">
        <v>11438</v>
      </c>
      <c r="AW721" t="s">
        <v>11527</v>
      </c>
    </row>
    <row r="722" spans="1:49">
      <c r="A722" s="1">
        <f>HYPERLINK("https://cms.ls-nyc.org/matter/dynamic-profile/view/1844128","17-1844128")</f>
        <v>0</v>
      </c>
      <c r="B722" t="s">
        <v>92</v>
      </c>
      <c r="C722" t="s">
        <v>234</v>
      </c>
      <c r="D722" t="s">
        <v>461</v>
      </c>
      <c r="E722" t="s">
        <v>695</v>
      </c>
      <c r="F722" t="s">
        <v>1343</v>
      </c>
      <c r="G722" t="s">
        <v>2189</v>
      </c>
      <c r="H722" t="s">
        <v>3939</v>
      </c>
      <c r="I722" t="s">
        <v>4868</v>
      </c>
      <c r="J722" t="s">
        <v>5323</v>
      </c>
      <c r="K722">
        <v>10034</v>
      </c>
      <c r="L722" t="s">
        <v>5355</v>
      </c>
      <c r="M722" t="s">
        <v>5356</v>
      </c>
      <c r="O722" t="s">
        <v>5393</v>
      </c>
      <c r="P722" t="s">
        <v>6527</v>
      </c>
      <c r="Q722" t="s">
        <v>6535</v>
      </c>
      <c r="R722" t="s">
        <v>6539</v>
      </c>
      <c r="S722" t="s">
        <v>5357</v>
      </c>
      <c r="T722" t="s">
        <v>6539</v>
      </c>
      <c r="U722" t="s">
        <v>6557</v>
      </c>
      <c r="W722" t="s">
        <v>262</v>
      </c>
      <c r="X722">
        <v>215</v>
      </c>
      <c r="Y722" t="s">
        <v>6608</v>
      </c>
      <c r="Z722" t="s">
        <v>6616</v>
      </c>
      <c r="AA722" t="s">
        <v>6645</v>
      </c>
      <c r="AB722" t="s">
        <v>7319</v>
      </c>
      <c r="AC722">
        <v>9609676</v>
      </c>
      <c r="AD722" t="s">
        <v>9694</v>
      </c>
      <c r="AE722">
        <v>33</v>
      </c>
      <c r="AF722" t="s">
        <v>8722</v>
      </c>
      <c r="AG722" t="s">
        <v>5406</v>
      </c>
      <c r="AH722">
        <v>2</v>
      </c>
      <c r="AI722">
        <v>1</v>
      </c>
      <c r="AJ722">
        <v>0</v>
      </c>
      <c r="AK722">
        <v>15.52</v>
      </c>
      <c r="AN722" t="s">
        <v>11050</v>
      </c>
      <c r="AO722">
        <v>1872</v>
      </c>
      <c r="AU722">
        <v>6.72</v>
      </c>
      <c r="AV722" t="s">
        <v>310</v>
      </c>
      <c r="AW722" t="s">
        <v>11533</v>
      </c>
    </row>
    <row r="723" spans="1:49">
      <c r="A723" s="1">
        <f>HYPERLINK("https://cms.ls-nyc.org/matter/dynamic-profile/view/1863821","18-1863821")</f>
        <v>0</v>
      </c>
      <c r="B723" t="s">
        <v>97</v>
      </c>
      <c r="C723" t="s">
        <v>235</v>
      </c>
      <c r="D723" t="s">
        <v>288</v>
      </c>
      <c r="F723" t="s">
        <v>1344</v>
      </c>
      <c r="G723" t="s">
        <v>2222</v>
      </c>
      <c r="H723" t="s">
        <v>3940</v>
      </c>
      <c r="I723">
        <v>10</v>
      </c>
      <c r="J723" t="s">
        <v>5323</v>
      </c>
      <c r="K723">
        <v>10031</v>
      </c>
      <c r="L723" t="s">
        <v>5355</v>
      </c>
      <c r="M723" t="s">
        <v>5356</v>
      </c>
      <c r="O723" t="s">
        <v>5393</v>
      </c>
      <c r="P723" t="s">
        <v>6527</v>
      </c>
      <c r="R723" t="s">
        <v>6540</v>
      </c>
      <c r="U723" t="s">
        <v>6557</v>
      </c>
      <c r="W723" t="s">
        <v>252</v>
      </c>
      <c r="X723">
        <v>1681</v>
      </c>
      <c r="Y723" t="s">
        <v>6608</v>
      </c>
      <c r="Z723" t="s">
        <v>6610</v>
      </c>
      <c r="AB723" t="s">
        <v>7320</v>
      </c>
      <c r="AC723" t="s">
        <v>8778</v>
      </c>
      <c r="AE723">
        <v>25</v>
      </c>
      <c r="AF723" t="s">
        <v>11005</v>
      </c>
      <c r="AG723" t="s">
        <v>5406</v>
      </c>
      <c r="AH723">
        <v>14</v>
      </c>
      <c r="AI723">
        <v>1</v>
      </c>
      <c r="AJ723">
        <v>2</v>
      </c>
      <c r="AK723">
        <v>16.75</v>
      </c>
      <c r="AL723" t="s">
        <v>11028</v>
      </c>
      <c r="AN723" t="s">
        <v>11049</v>
      </c>
      <c r="AO723">
        <v>3480</v>
      </c>
      <c r="AU723">
        <v>108.05</v>
      </c>
      <c r="AV723" t="s">
        <v>11451</v>
      </c>
      <c r="AW723" t="s">
        <v>11525</v>
      </c>
    </row>
    <row r="724" spans="1:49">
      <c r="A724" s="1">
        <f>HYPERLINK("https://cms.ls-nyc.org/matter/dynamic-profile/view/1862376","18-1862376")</f>
        <v>0</v>
      </c>
      <c r="B724" t="s">
        <v>157</v>
      </c>
      <c r="C724" t="s">
        <v>235</v>
      </c>
      <c r="D724" t="s">
        <v>336</v>
      </c>
      <c r="F724" t="s">
        <v>900</v>
      </c>
      <c r="G724" t="s">
        <v>2604</v>
      </c>
      <c r="H724" t="s">
        <v>3941</v>
      </c>
      <c r="I724" t="s">
        <v>4811</v>
      </c>
      <c r="J724" t="s">
        <v>5321</v>
      </c>
      <c r="K724">
        <v>10457</v>
      </c>
      <c r="L724" t="s">
        <v>5355</v>
      </c>
      <c r="M724" t="s">
        <v>5356</v>
      </c>
      <c r="O724" t="s">
        <v>6503</v>
      </c>
      <c r="P724" t="s">
        <v>6527</v>
      </c>
      <c r="R724" t="s">
        <v>6539</v>
      </c>
      <c r="S724" t="s">
        <v>5357</v>
      </c>
      <c r="U724" t="s">
        <v>6560</v>
      </c>
      <c r="W724" t="s">
        <v>336</v>
      </c>
      <c r="X724">
        <v>1521</v>
      </c>
      <c r="Y724" t="s">
        <v>6606</v>
      </c>
      <c r="Z724" t="s">
        <v>6493</v>
      </c>
      <c r="AB724" t="s">
        <v>7321</v>
      </c>
      <c r="AD724" t="s">
        <v>9695</v>
      </c>
      <c r="AE724">
        <v>32</v>
      </c>
      <c r="AF724" t="s">
        <v>11005</v>
      </c>
      <c r="AG724" t="s">
        <v>11020</v>
      </c>
      <c r="AH724">
        <v>3</v>
      </c>
      <c r="AI724">
        <v>1</v>
      </c>
      <c r="AJ724">
        <v>1</v>
      </c>
      <c r="AK724">
        <v>16.99</v>
      </c>
      <c r="AN724" t="s">
        <v>11050</v>
      </c>
      <c r="AO724">
        <v>2796</v>
      </c>
      <c r="AU724">
        <v>1</v>
      </c>
      <c r="AV724" t="s">
        <v>336</v>
      </c>
      <c r="AW724" t="s">
        <v>11522</v>
      </c>
    </row>
    <row r="725" spans="1:49">
      <c r="A725" s="1">
        <f>HYPERLINK("https://cms.ls-nyc.org/matter/dynamic-profile/view/1863407","18-1863407")</f>
        <v>0</v>
      </c>
      <c r="B725" t="s">
        <v>158</v>
      </c>
      <c r="C725" t="s">
        <v>234</v>
      </c>
      <c r="D725" t="s">
        <v>480</v>
      </c>
      <c r="E725" t="s">
        <v>434</v>
      </c>
      <c r="F725" t="s">
        <v>1345</v>
      </c>
      <c r="G725" t="s">
        <v>1367</v>
      </c>
      <c r="H725" t="s">
        <v>3942</v>
      </c>
      <c r="I725" t="s">
        <v>4886</v>
      </c>
      <c r="J725" t="s">
        <v>5321</v>
      </c>
      <c r="K725">
        <v>10459</v>
      </c>
      <c r="L725" t="s">
        <v>5355</v>
      </c>
      <c r="M725" t="s">
        <v>5356</v>
      </c>
      <c r="O725" t="s">
        <v>5393</v>
      </c>
      <c r="P725" t="s">
        <v>6527</v>
      </c>
      <c r="Q725" t="s">
        <v>6532</v>
      </c>
      <c r="R725" t="s">
        <v>6539</v>
      </c>
      <c r="S725" t="s">
        <v>5355</v>
      </c>
      <c r="U725" t="s">
        <v>6557</v>
      </c>
      <c r="W725" t="s">
        <v>480</v>
      </c>
      <c r="X725">
        <v>1000</v>
      </c>
      <c r="Y725" t="s">
        <v>6606</v>
      </c>
      <c r="Z725" t="s">
        <v>6622</v>
      </c>
      <c r="AA725" t="s">
        <v>6636</v>
      </c>
      <c r="AB725" t="s">
        <v>7322</v>
      </c>
      <c r="AD725" t="s">
        <v>9696</v>
      </c>
      <c r="AE725">
        <v>48</v>
      </c>
      <c r="AF725" t="s">
        <v>11005</v>
      </c>
      <c r="AG725" t="s">
        <v>11027</v>
      </c>
      <c r="AH725">
        <v>15</v>
      </c>
      <c r="AI725">
        <v>1</v>
      </c>
      <c r="AJ725">
        <v>0</v>
      </c>
      <c r="AK725">
        <v>17.79</v>
      </c>
      <c r="AN725" t="s">
        <v>11050</v>
      </c>
      <c r="AO725">
        <v>2160</v>
      </c>
      <c r="AU725">
        <v>2</v>
      </c>
      <c r="AV725" t="s">
        <v>727</v>
      </c>
      <c r="AW725" t="s">
        <v>11499</v>
      </c>
    </row>
    <row r="726" spans="1:49">
      <c r="A726" s="1">
        <f>HYPERLINK("https://cms.ls-nyc.org/matter/dynamic-profile/view/1844363","17-1844363")</f>
        <v>0</v>
      </c>
      <c r="B726" t="s">
        <v>156</v>
      </c>
      <c r="C726" t="s">
        <v>234</v>
      </c>
      <c r="D726" t="s">
        <v>453</v>
      </c>
      <c r="E726" t="s">
        <v>766</v>
      </c>
      <c r="F726" t="s">
        <v>1346</v>
      </c>
      <c r="G726" t="s">
        <v>2605</v>
      </c>
      <c r="H726" t="s">
        <v>3943</v>
      </c>
      <c r="I726" t="s">
        <v>4766</v>
      </c>
      <c r="J726" t="s">
        <v>5322</v>
      </c>
      <c r="K726">
        <v>10304</v>
      </c>
      <c r="L726" t="s">
        <v>5355</v>
      </c>
      <c r="M726" t="s">
        <v>5356</v>
      </c>
      <c r="N726" t="s">
        <v>5366</v>
      </c>
      <c r="O726" t="s">
        <v>6509</v>
      </c>
      <c r="P726" t="s">
        <v>6527</v>
      </c>
      <c r="Q726" t="s">
        <v>6533</v>
      </c>
      <c r="R726" t="s">
        <v>6539</v>
      </c>
      <c r="S726" t="s">
        <v>5357</v>
      </c>
      <c r="U726" t="s">
        <v>6559</v>
      </c>
      <c r="W726" t="s">
        <v>453</v>
      </c>
      <c r="X726">
        <v>1050</v>
      </c>
      <c r="Y726" t="s">
        <v>6607</v>
      </c>
      <c r="Z726" t="s">
        <v>6615</v>
      </c>
      <c r="AA726" t="s">
        <v>6636</v>
      </c>
      <c r="AB726" t="s">
        <v>7323</v>
      </c>
      <c r="AC726" t="s">
        <v>8779</v>
      </c>
      <c r="AE726">
        <v>3</v>
      </c>
      <c r="AF726" t="s">
        <v>11004</v>
      </c>
      <c r="AG726" t="s">
        <v>11023</v>
      </c>
      <c r="AH726">
        <v>2</v>
      </c>
      <c r="AI726">
        <v>1</v>
      </c>
      <c r="AJ726">
        <v>2</v>
      </c>
      <c r="AK726">
        <v>18.91</v>
      </c>
      <c r="AN726" t="s">
        <v>11050</v>
      </c>
      <c r="AO726">
        <v>3861</v>
      </c>
      <c r="AU726">
        <v>10.2</v>
      </c>
      <c r="AV726" t="s">
        <v>766</v>
      </c>
      <c r="AW726" t="s">
        <v>11510</v>
      </c>
    </row>
    <row r="727" spans="1:49">
      <c r="A727" s="1">
        <f>HYPERLINK("https://cms.ls-nyc.org/matter/dynamic-profile/view/1870536","18-1870536")</f>
        <v>0</v>
      </c>
      <c r="B727" t="s">
        <v>50</v>
      </c>
      <c r="C727" t="s">
        <v>234</v>
      </c>
      <c r="D727" t="s">
        <v>255</v>
      </c>
      <c r="E727" t="s">
        <v>732</v>
      </c>
      <c r="F727" t="s">
        <v>842</v>
      </c>
      <c r="G727" t="s">
        <v>2606</v>
      </c>
      <c r="H727" t="s">
        <v>3944</v>
      </c>
      <c r="I727" t="s">
        <v>4817</v>
      </c>
      <c r="J727" t="s">
        <v>5326</v>
      </c>
      <c r="K727">
        <v>11691</v>
      </c>
      <c r="L727" t="s">
        <v>5355</v>
      </c>
      <c r="M727" t="s">
        <v>5356</v>
      </c>
      <c r="N727" t="s">
        <v>5392</v>
      </c>
      <c r="O727" t="s">
        <v>6510</v>
      </c>
      <c r="P727" t="s">
        <v>6527</v>
      </c>
      <c r="Q727" t="s">
        <v>6531</v>
      </c>
      <c r="R727" t="s">
        <v>6539</v>
      </c>
      <c r="S727" t="s">
        <v>5357</v>
      </c>
      <c r="U727" t="s">
        <v>6557</v>
      </c>
      <c r="W727" t="s">
        <v>255</v>
      </c>
      <c r="X727">
        <v>380</v>
      </c>
      <c r="Y727" t="s">
        <v>6604</v>
      </c>
      <c r="Z727" t="s">
        <v>6614</v>
      </c>
      <c r="AA727" t="s">
        <v>6631</v>
      </c>
      <c r="AB727" t="s">
        <v>7324</v>
      </c>
      <c r="AC727" t="s">
        <v>8780</v>
      </c>
      <c r="AD727" t="s">
        <v>9697</v>
      </c>
      <c r="AE727">
        <v>231</v>
      </c>
      <c r="AF727" t="s">
        <v>11010</v>
      </c>
      <c r="AG727" t="s">
        <v>5406</v>
      </c>
      <c r="AH727">
        <v>19</v>
      </c>
      <c r="AI727">
        <v>3</v>
      </c>
      <c r="AJ727">
        <v>0</v>
      </c>
      <c r="AK727">
        <v>23.77</v>
      </c>
      <c r="AN727" t="s">
        <v>11050</v>
      </c>
      <c r="AO727">
        <v>4940</v>
      </c>
      <c r="AU727">
        <v>8.43</v>
      </c>
      <c r="AV727" t="s">
        <v>786</v>
      </c>
      <c r="AW727" t="s">
        <v>11506</v>
      </c>
    </row>
    <row r="728" spans="1:49">
      <c r="A728" s="1">
        <f>HYPERLINK("https://cms.ls-nyc.org/matter/dynamic-profile/view/1868258","18-1868258")</f>
        <v>0</v>
      </c>
      <c r="B728" t="s">
        <v>146</v>
      </c>
      <c r="C728" t="s">
        <v>234</v>
      </c>
      <c r="D728" t="s">
        <v>280</v>
      </c>
      <c r="E728" t="s">
        <v>758</v>
      </c>
      <c r="F728" t="s">
        <v>1347</v>
      </c>
      <c r="G728" t="s">
        <v>2299</v>
      </c>
      <c r="H728" t="s">
        <v>3945</v>
      </c>
      <c r="I728" t="s">
        <v>4775</v>
      </c>
      <c r="J728" t="s">
        <v>5321</v>
      </c>
      <c r="K728">
        <v>10473</v>
      </c>
      <c r="L728" t="s">
        <v>5355</v>
      </c>
      <c r="M728" t="s">
        <v>5356</v>
      </c>
      <c r="O728" t="s">
        <v>6503</v>
      </c>
      <c r="P728" t="s">
        <v>6527</v>
      </c>
      <c r="Q728" t="s">
        <v>6532</v>
      </c>
      <c r="R728" t="s">
        <v>6539</v>
      </c>
      <c r="S728" t="s">
        <v>5357</v>
      </c>
      <c r="U728" t="s">
        <v>6560</v>
      </c>
      <c r="W728" t="s">
        <v>516</v>
      </c>
      <c r="X728">
        <v>2037</v>
      </c>
      <c r="Y728" t="s">
        <v>6606</v>
      </c>
      <c r="Z728" t="s">
        <v>6625</v>
      </c>
      <c r="AA728" t="s">
        <v>6631</v>
      </c>
      <c r="AB728" t="s">
        <v>7325</v>
      </c>
      <c r="AC728" t="s">
        <v>8781</v>
      </c>
      <c r="AD728" t="s">
        <v>9698</v>
      </c>
      <c r="AE728">
        <v>0</v>
      </c>
      <c r="AF728" t="s">
        <v>8722</v>
      </c>
      <c r="AG728" t="s">
        <v>11020</v>
      </c>
      <c r="AH728">
        <v>30</v>
      </c>
      <c r="AI728">
        <v>2</v>
      </c>
      <c r="AJ728">
        <v>2</v>
      </c>
      <c r="AK728">
        <v>25.9</v>
      </c>
      <c r="AN728" t="s">
        <v>11050</v>
      </c>
      <c r="AO728">
        <v>6500</v>
      </c>
      <c r="AU728">
        <v>0.1</v>
      </c>
      <c r="AV728" t="s">
        <v>401</v>
      </c>
      <c r="AW728" t="s">
        <v>11492</v>
      </c>
    </row>
    <row r="729" spans="1:49">
      <c r="A729" s="1">
        <f>HYPERLINK("https://cms.ls-nyc.org/matter/dynamic-profile/view/1863421","18-1863421")</f>
        <v>0</v>
      </c>
      <c r="B729" t="s">
        <v>158</v>
      </c>
      <c r="C729" t="s">
        <v>234</v>
      </c>
      <c r="D729" t="s">
        <v>480</v>
      </c>
      <c r="E729" t="s">
        <v>434</v>
      </c>
      <c r="F729" t="s">
        <v>1348</v>
      </c>
      <c r="G729" t="s">
        <v>1322</v>
      </c>
      <c r="H729" t="s">
        <v>3942</v>
      </c>
      <c r="I729" t="s">
        <v>4923</v>
      </c>
      <c r="J729" t="s">
        <v>5321</v>
      </c>
      <c r="K729">
        <v>10459</v>
      </c>
      <c r="L729" t="s">
        <v>5355</v>
      </c>
      <c r="M729" t="s">
        <v>5356</v>
      </c>
      <c r="O729" t="s">
        <v>5393</v>
      </c>
      <c r="P729" t="s">
        <v>6527</v>
      </c>
      <c r="Q729" t="s">
        <v>6532</v>
      </c>
      <c r="R729" t="s">
        <v>6539</v>
      </c>
      <c r="S729" t="s">
        <v>5355</v>
      </c>
      <c r="U729" t="s">
        <v>6557</v>
      </c>
      <c r="W729" t="s">
        <v>480</v>
      </c>
      <c r="X729">
        <v>461</v>
      </c>
      <c r="Y729" t="s">
        <v>6606</v>
      </c>
      <c r="Z729" t="s">
        <v>6622</v>
      </c>
      <c r="AA729" t="s">
        <v>6636</v>
      </c>
      <c r="AB729" t="s">
        <v>7326</v>
      </c>
      <c r="AD729" t="s">
        <v>9699</v>
      </c>
      <c r="AE729">
        <v>48</v>
      </c>
      <c r="AF729" t="s">
        <v>11005</v>
      </c>
      <c r="AH729">
        <v>7</v>
      </c>
      <c r="AI729">
        <v>1</v>
      </c>
      <c r="AJ729">
        <v>6</v>
      </c>
      <c r="AK729">
        <v>27.48</v>
      </c>
      <c r="AO729">
        <v>10460</v>
      </c>
      <c r="AU729">
        <v>2.65</v>
      </c>
      <c r="AV729" t="s">
        <v>727</v>
      </c>
      <c r="AW729" t="s">
        <v>11499</v>
      </c>
    </row>
    <row r="730" spans="1:49">
      <c r="A730" s="1">
        <f>HYPERLINK("https://cms.ls-nyc.org/matter/dynamic-profile/view/1867148","18-1867148")</f>
        <v>0</v>
      </c>
      <c r="B730" t="s">
        <v>67</v>
      </c>
      <c r="C730" t="s">
        <v>234</v>
      </c>
      <c r="D730" t="s">
        <v>391</v>
      </c>
      <c r="E730" t="s">
        <v>677</v>
      </c>
      <c r="F730" t="s">
        <v>1349</v>
      </c>
      <c r="G730" t="s">
        <v>2607</v>
      </c>
      <c r="H730" t="s">
        <v>3946</v>
      </c>
      <c r="I730" t="s">
        <v>4970</v>
      </c>
      <c r="J730" t="s">
        <v>5323</v>
      </c>
      <c r="K730">
        <v>10128</v>
      </c>
      <c r="L730" t="s">
        <v>5355</v>
      </c>
      <c r="M730" t="s">
        <v>5356</v>
      </c>
      <c r="O730" t="s">
        <v>5393</v>
      </c>
      <c r="P730" t="s">
        <v>6527</v>
      </c>
      <c r="Q730" t="s">
        <v>6531</v>
      </c>
      <c r="R730" t="s">
        <v>6540</v>
      </c>
      <c r="S730" t="s">
        <v>5357</v>
      </c>
      <c r="U730" t="s">
        <v>6564</v>
      </c>
      <c r="V730" t="s">
        <v>6566</v>
      </c>
      <c r="W730" t="s">
        <v>299</v>
      </c>
      <c r="X730">
        <v>741</v>
      </c>
      <c r="Y730" t="s">
        <v>6608</v>
      </c>
      <c r="Z730" t="s">
        <v>6610</v>
      </c>
      <c r="AA730" t="s">
        <v>6631</v>
      </c>
      <c r="AB730" t="s">
        <v>7327</v>
      </c>
      <c r="AD730" t="s">
        <v>9700</v>
      </c>
      <c r="AE730">
        <v>0</v>
      </c>
      <c r="AF730" t="s">
        <v>11016</v>
      </c>
      <c r="AG730" t="s">
        <v>5406</v>
      </c>
      <c r="AH730">
        <v>30</v>
      </c>
      <c r="AI730">
        <v>3</v>
      </c>
      <c r="AJ730">
        <v>2</v>
      </c>
      <c r="AK730">
        <v>29.78</v>
      </c>
      <c r="AO730">
        <v>8760</v>
      </c>
      <c r="AU730">
        <v>1.7</v>
      </c>
      <c r="AV730" t="s">
        <v>270</v>
      </c>
      <c r="AW730" t="s">
        <v>11525</v>
      </c>
    </row>
    <row r="731" spans="1:49">
      <c r="A731" s="1">
        <f>HYPERLINK("https://cms.ls-nyc.org/matter/dynamic-profile/view/1857829","18-1857829")</f>
        <v>0</v>
      </c>
      <c r="B731" t="s">
        <v>159</v>
      </c>
      <c r="C731" t="s">
        <v>234</v>
      </c>
      <c r="D731" t="s">
        <v>247</v>
      </c>
      <c r="E731" t="s">
        <v>707</v>
      </c>
      <c r="F731" t="s">
        <v>1350</v>
      </c>
      <c r="G731" t="s">
        <v>2608</v>
      </c>
      <c r="H731" t="s">
        <v>3947</v>
      </c>
      <c r="I731">
        <v>23</v>
      </c>
      <c r="J731" t="s">
        <v>5321</v>
      </c>
      <c r="K731">
        <v>10458</v>
      </c>
      <c r="L731" t="s">
        <v>5355</v>
      </c>
      <c r="M731" t="s">
        <v>5356</v>
      </c>
      <c r="O731" t="s">
        <v>6504</v>
      </c>
      <c r="P731" t="s">
        <v>6527</v>
      </c>
      <c r="Q731" t="s">
        <v>6536</v>
      </c>
      <c r="R731" t="s">
        <v>6539</v>
      </c>
      <c r="S731" t="s">
        <v>5357</v>
      </c>
      <c r="U731" t="s">
        <v>6560</v>
      </c>
      <c r="W731" t="s">
        <v>362</v>
      </c>
      <c r="X731">
        <v>1350</v>
      </c>
      <c r="Y731" t="s">
        <v>6606</v>
      </c>
      <c r="Z731" t="s">
        <v>6613</v>
      </c>
      <c r="AA731" t="s">
        <v>6636</v>
      </c>
      <c r="AB731" t="s">
        <v>7328</v>
      </c>
      <c r="AD731" t="s">
        <v>9701</v>
      </c>
      <c r="AE731">
        <v>27</v>
      </c>
      <c r="AF731" t="s">
        <v>11005</v>
      </c>
      <c r="AG731" t="s">
        <v>11020</v>
      </c>
      <c r="AH731">
        <v>6</v>
      </c>
      <c r="AI731">
        <v>1</v>
      </c>
      <c r="AJ731">
        <v>0</v>
      </c>
      <c r="AK731">
        <v>32.92</v>
      </c>
      <c r="AN731" t="s">
        <v>11050</v>
      </c>
      <c r="AO731">
        <v>3996</v>
      </c>
      <c r="AR731" t="s">
        <v>11204</v>
      </c>
      <c r="AS731" t="s">
        <v>11253</v>
      </c>
      <c r="AT731" t="s">
        <v>11261</v>
      </c>
      <c r="AU731">
        <v>7.75</v>
      </c>
      <c r="AV731" t="s">
        <v>695</v>
      </c>
      <c r="AW731" t="s">
        <v>11505</v>
      </c>
    </row>
    <row r="732" spans="1:49">
      <c r="A732" s="1">
        <f>HYPERLINK("https://cms.ls-nyc.org/matter/dynamic-profile/view/1864790","18-1864790")</f>
        <v>0</v>
      </c>
      <c r="B732" t="s">
        <v>160</v>
      </c>
      <c r="C732" t="s">
        <v>234</v>
      </c>
      <c r="D732" t="s">
        <v>395</v>
      </c>
      <c r="E732" t="s">
        <v>694</v>
      </c>
      <c r="F732" t="s">
        <v>1351</v>
      </c>
      <c r="G732" t="s">
        <v>2609</v>
      </c>
      <c r="H732" t="s">
        <v>3948</v>
      </c>
      <c r="I732">
        <v>3</v>
      </c>
      <c r="J732" t="s">
        <v>5321</v>
      </c>
      <c r="K732">
        <v>10458</v>
      </c>
      <c r="L732" t="s">
        <v>5355</v>
      </c>
      <c r="M732" t="s">
        <v>5356</v>
      </c>
      <c r="O732" t="s">
        <v>6503</v>
      </c>
      <c r="P732" t="s">
        <v>6527</v>
      </c>
      <c r="Q732" t="s">
        <v>6531</v>
      </c>
      <c r="R732" t="s">
        <v>6539</v>
      </c>
      <c r="U732" t="s">
        <v>6560</v>
      </c>
      <c r="W732" t="s">
        <v>395</v>
      </c>
      <c r="X732">
        <v>1900</v>
      </c>
      <c r="Y732" t="s">
        <v>6606</v>
      </c>
      <c r="Z732" t="s">
        <v>6625</v>
      </c>
      <c r="AA732" t="s">
        <v>6631</v>
      </c>
      <c r="AB732" t="s">
        <v>7329</v>
      </c>
      <c r="AC732" t="s">
        <v>8782</v>
      </c>
      <c r="AD732" t="s">
        <v>9702</v>
      </c>
      <c r="AE732">
        <v>3</v>
      </c>
      <c r="AF732" t="s">
        <v>11004</v>
      </c>
      <c r="AG732" t="s">
        <v>11020</v>
      </c>
      <c r="AH732">
        <v>5</v>
      </c>
      <c r="AI732">
        <v>2</v>
      </c>
      <c r="AJ732">
        <v>2</v>
      </c>
      <c r="AK732">
        <v>36.24</v>
      </c>
      <c r="AN732" t="s">
        <v>11049</v>
      </c>
      <c r="AO732">
        <v>9096</v>
      </c>
      <c r="AU732">
        <v>0.9</v>
      </c>
      <c r="AV732" t="s">
        <v>671</v>
      </c>
      <c r="AW732" t="s">
        <v>11499</v>
      </c>
    </row>
    <row r="733" spans="1:49">
      <c r="A733" s="1">
        <f>HYPERLINK("https://cms.ls-nyc.org/matter/dynamic-profile/view/1868750","18-1868750")</f>
        <v>0</v>
      </c>
      <c r="B733" t="s">
        <v>90</v>
      </c>
      <c r="C733" t="s">
        <v>235</v>
      </c>
      <c r="D733" t="s">
        <v>318</v>
      </c>
      <c r="F733" t="s">
        <v>1138</v>
      </c>
      <c r="G733" t="s">
        <v>2610</v>
      </c>
      <c r="H733" t="s">
        <v>3949</v>
      </c>
      <c r="I733" t="s">
        <v>4971</v>
      </c>
      <c r="J733" t="s">
        <v>5321</v>
      </c>
      <c r="K733">
        <v>10452</v>
      </c>
      <c r="L733" t="s">
        <v>5355</v>
      </c>
      <c r="M733" t="s">
        <v>5356</v>
      </c>
      <c r="O733" t="s">
        <v>5393</v>
      </c>
      <c r="P733" t="s">
        <v>6527</v>
      </c>
      <c r="R733" t="s">
        <v>6539</v>
      </c>
      <c r="S733" t="s">
        <v>5355</v>
      </c>
      <c r="U733" t="s">
        <v>6557</v>
      </c>
      <c r="W733" t="s">
        <v>516</v>
      </c>
      <c r="X733">
        <v>810</v>
      </c>
      <c r="Y733" t="s">
        <v>6606</v>
      </c>
      <c r="Z733" t="s">
        <v>6625</v>
      </c>
      <c r="AB733" t="s">
        <v>7330</v>
      </c>
      <c r="AC733" t="s">
        <v>8783</v>
      </c>
      <c r="AD733" t="s">
        <v>9703</v>
      </c>
      <c r="AE733">
        <v>60</v>
      </c>
      <c r="AF733" t="s">
        <v>11005</v>
      </c>
      <c r="AG733" t="s">
        <v>6493</v>
      </c>
      <c r="AH733">
        <v>25</v>
      </c>
      <c r="AI733">
        <v>1</v>
      </c>
      <c r="AJ733">
        <v>1</v>
      </c>
      <c r="AK733">
        <v>36.45</v>
      </c>
      <c r="AN733" t="s">
        <v>11049</v>
      </c>
      <c r="AO733">
        <v>6000</v>
      </c>
      <c r="AU733">
        <v>0.2</v>
      </c>
      <c r="AV733" t="s">
        <v>691</v>
      </c>
      <c r="AW733" t="s">
        <v>11492</v>
      </c>
    </row>
    <row r="734" spans="1:49">
      <c r="A734" s="1">
        <f>HYPERLINK("https://cms.ls-nyc.org/matter/dynamic-profile/view/1858274","18-1858274")</f>
        <v>0</v>
      </c>
      <c r="B734" t="s">
        <v>85</v>
      </c>
      <c r="C734" t="s">
        <v>235</v>
      </c>
      <c r="D734" t="s">
        <v>238</v>
      </c>
      <c r="F734" t="s">
        <v>1352</v>
      </c>
      <c r="G734" t="s">
        <v>2611</v>
      </c>
      <c r="H734" t="s">
        <v>3950</v>
      </c>
      <c r="I734" t="s">
        <v>4746</v>
      </c>
      <c r="J734" t="s">
        <v>5329</v>
      </c>
      <c r="K734">
        <v>11365</v>
      </c>
      <c r="L734" t="s">
        <v>5355</v>
      </c>
      <c r="M734" t="s">
        <v>5355</v>
      </c>
      <c r="N734" t="s">
        <v>5393</v>
      </c>
      <c r="O734" t="s">
        <v>6496</v>
      </c>
      <c r="P734" t="s">
        <v>6527</v>
      </c>
      <c r="R734" t="s">
        <v>6540</v>
      </c>
      <c r="S734" t="s">
        <v>5357</v>
      </c>
      <c r="U734" t="s">
        <v>6557</v>
      </c>
      <c r="W734" t="s">
        <v>238</v>
      </c>
      <c r="X734">
        <v>521</v>
      </c>
      <c r="Y734" t="s">
        <v>6604</v>
      </c>
      <c r="Z734" t="s">
        <v>6610</v>
      </c>
      <c r="AB734" t="s">
        <v>7331</v>
      </c>
      <c r="AC734" t="s">
        <v>8784</v>
      </c>
      <c r="AD734" t="s">
        <v>9704</v>
      </c>
      <c r="AE734">
        <v>100</v>
      </c>
      <c r="AF734" t="s">
        <v>11016</v>
      </c>
      <c r="AG734" t="s">
        <v>5406</v>
      </c>
      <c r="AH734">
        <v>13</v>
      </c>
      <c r="AI734">
        <v>1</v>
      </c>
      <c r="AJ734">
        <v>2</v>
      </c>
      <c r="AK734">
        <v>37.02</v>
      </c>
      <c r="AL734" t="s">
        <v>11028</v>
      </c>
      <c r="AN734" t="s">
        <v>11050</v>
      </c>
      <c r="AO734">
        <v>7560</v>
      </c>
      <c r="AU734">
        <v>30.96</v>
      </c>
      <c r="AV734" t="s">
        <v>833</v>
      </c>
      <c r="AW734" t="s">
        <v>11506</v>
      </c>
    </row>
    <row r="735" spans="1:49">
      <c r="A735" s="1">
        <f>HYPERLINK("https://cms.ls-nyc.org/matter/dynamic-profile/view/1852018","17-1852018")</f>
        <v>0</v>
      </c>
      <c r="B735" t="s">
        <v>102</v>
      </c>
      <c r="C735" t="s">
        <v>234</v>
      </c>
      <c r="D735" t="s">
        <v>481</v>
      </c>
      <c r="E735" t="s">
        <v>427</v>
      </c>
      <c r="F735" t="s">
        <v>1045</v>
      </c>
      <c r="G735" t="s">
        <v>2215</v>
      </c>
      <c r="H735" t="s">
        <v>3951</v>
      </c>
      <c r="I735" t="s">
        <v>4972</v>
      </c>
      <c r="J735" t="s">
        <v>5321</v>
      </c>
      <c r="K735">
        <v>10453</v>
      </c>
      <c r="L735" t="s">
        <v>5355</v>
      </c>
      <c r="M735" t="s">
        <v>5356</v>
      </c>
      <c r="O735" t="s">
        <v>6500</v>
      </c>
      <c r="P735" t="s">
        <v>6527</v>
      </c>
      <c r="Q735" t="s">
        <v>6532</v>
      </c>
      <c r="R735" t="s">
        <v>6539</v>
      </c>
      <c r="U735" t="s">
        <v>6557</v>
      </c>
      <c r="W735" t="s">
        <v>424</v>
      </c>
      <c r="X735">
        <v>812.91</v>
      </c>
      <c r="Y735" t="s">
        <v>6606</v>
      </c>
      <c r="Z735" t="s">
        <v>6616</v>
      </c>
      <c r="AA735" t="s">
        <v>6636</v>
      </c>
      <c r="AB735" t="s">
        <v>7332</v>
      </c>
      <c r="AD735" t="s">
        <v>9705</v>
      </c>
      <c r="AE735">
        <v>67</v>
      </c>
      <c r="AF735" t="s">
        <v>11005</v>
      </c>
      <c r="AG735" t="s">
        <v>5406</v>
      </c>
      <c r="AH735">
        <v>20</v>
      </c>
      <c r="AI735">
        <v>2</v>
      </c>
      <c r="AJ735">
        <v>0</v>
      </c>
      <c r="AK735">
        <v>40.02</v>
      </c>
      <c r="AN735" t="s">
        <v>11049</v>
      </c>
      <c r="AO735">
        <v>6500</v>
      </c>
      <c r="AU735">
        <v>1.5</v>
      </c>
      <c r="AV735" t="s">
        <v>240</v>
      </c>
      <c r="AW735" t="s">
        <v>11505</v>
      </c>
    </row>
    <row r="736" spans="1:49">
      <c r="A736" s="1">
        <f>HYPERLINK("https://cms.ls-nyc.org/matter/dynamic-profile/view/0822474","16-0822474")</f>
        <v>0</v>
      </c>
      <c r="B736" t="s">
        <v>131</v>
      </c>
      <c r="C736" t="s">
        <v>234</v>
      </c>
      <c r="D736" t="s">
        <v>482</v>
      </c>
      <c r="E736" t="s">
        <v>721</v>
      </c>
      <c r="F736" t="s">
        <v>1353</v>
      </c>
      <c r="G736" t="s">
        <v>2612</v>
      </c>
      <c r="H736" t="s">
        <v>3952</v>
      </c>
      <c r="I736">
        <v>63</v>
      </c>
      <c r="J736" t="s">
        <v>5323</v>
      </c>
      <c r="K736">
        <v>10032</v>
      </c>
      <c r="L736" t="s">
        <v>5355</v>
      </c>
      <c r="M736" t="s">
        <v>5356</v>
      </c>
      <c r="P736" t="s">
        <v>6527</v>
      </c>
      <c r="Q736" t="s">
        <v>6533</v>
      </c>
      <c r="R736" t="s">
        <v>6539</v>
      </c>
      <c r="S736" t="s">
        <v>5355</v>
      </c>
      <c r="U736" t="s">
        <v>6557</v>
      </c>
      <c r="W736" t="s">
        <v>273</v>
      </c>
      <c r="X736">
        <v>333.87</v>
      </c>
      <c r="Y736" t="s">
        <v>6608</v>
      </c>
      <c r="Z736" t="s">
        <v>6622</v>
      </c>
      <c r="AA736" t="s">
        <v>6636</v>
      </c>
      <c r="AB736" t="s">
        <v>6937</v>
      </c>
      <c r="AD736" t="s">
        <v>9706</v>
      </c>
      <c r="AE736">
        <v>35</v>
      </c>
      <c r="AF736" t="s">
        <v>11006</v>
      </c>
      <c r="AG736" t="s">
        <v>5406</v>
      </c>
      <c r="AH736">
        <v>53</v>
      </c>
      <c r="AI736">
        <v>1</v>
      </c>
      <c r="AJ736">
        <v>0</v>
      </c>
      <c r="AK736">
        <v>40.4</v>
      </c>
      <c r="AL736" t="s">
        <v>11032</v>
      </c>
      <c r="AN736" t="s">
        <v>11050</v>
      </c>
      <c r="AO736">
        <v>4800</v>
      </c>
      <c r="AU736">
        <v>26.4</v>
      </c>
      <c r="AV736" t="s">
        <v>11452</v>
      </c>
      <c r="AW736" t="s">
        <v>131</v>
      </c>
    </row>
    <row r="737" spans="1:49">
      <c r="A737" s="1">
        <f>HYPERLINK("https://cms.ls-nyc.org/matter/dynamic-profile/view/1870999","18-1870999")</f>
        <v>0</v>
      </c>
      <c r="B737" t="s">
        <v>133</v>
      </c>
      <c r="C737" t="s">
        <v>234</v>
      </c>
      <c r="D737" t="s">
        <v>338</v>
      </c>
      <c r="E737" t="s">
        <v>767</v>
      </c>
      <c r="F737" t="s">
        <v>1208</v>
      </c>
      <c r="G737" t="s">
        <v>2613</v>
      </c>
      <c r="H737" t="s">
        <v>3727</v>
      </c>
      <c r="I737" t="s">
        <v>4973</v>
      </c>
      <c r="J737" t="s">
        <v>5337</v>
      </c>
      <c r="K737">
        <v>11372</v>
      </c>
      <c r="L737" t="s">
        <v>5355</v>
      </c>
      <c r="M737" t="s">
        <v>5355</v>
      </c>
      <c r="N737" t="s">
        <v>5406</v>
      </c>
      <c r="O737" t="s">
        <v>6496</v>
      </c>
      <c r="P737" t="s">
        <v>6527</v>
      </c>
      <c r="Q737" t="s">
        <v>6533</v>
      </c>
      <c r="R737" t="s">
        <v>6539</v>
      </c>
      <c r="S737" t="s">
        <v>5355</v>
      </c>
      <c r="U737" t="s">
        <v>6559</v>
      </c>
      <c r="V737" t="s">
        <v>6566</v>
      </c>
      <c r="W737" t="s">
        <v>338</v>
      </c>
      <c r="X737">
        <v>1596.4</v>
      </c>
      <c r="Y737" t="s">
        <v>6604</v>
      </c>
      <c r="Z737" t="s">
        <v>6615</v>
      </c>
      <c r="AA737" t="s">
        <v>6645</v>
      </c>
      <c r="AB737" t="s">
        <v>7333</v>
      </c>
      <c r="AD737" t="s">
        <v>9707</v>
      </c>
      <c r="AE737">
        <v>64</v>
      </c>
      <c r="AF737" t="s">
        <v>11005</v>
      </c>
      <c r="AG737" t="s">
        <v>5406</v>
      </c>
      <c r="AH737">
        <v>24</v>
      </c>
      <c r="AI737">
        <v>4</v>
      </c>
      <c r="AJ737">
        <v>0</v>
      </c>
      <c r="AK737">
        <v>41.07</v>
      </c>
      <c r="AN737" t="s">
        <v>11050</v>
      </c>
      <c r="AO737">
        <v>10308</v>
      </c>
      <c r="AU737">
        <v>0.9</v>
      </c>
      <c r="AV737" t="s">
        <v>767</v>
      </c>
      <c r="AW737" t="s">
        <v>93</v>
      </c>
    </row>
    <row r="738" spans="1:49">
      <c r="A738" s="1">
        <f>HYPERLINK("https://cms.ls-nyc.org/matter/dynamic-profile/view/1849586","17-1849586")</f>
        <v>0</v>
      </c>
      <c r="B738" t="s">
        <v>159</v>
      </c>
      <c r="C738" t="s">
        <v>234</v>
      </c>
      <c r="D738" t="s">
        <v>483</v>
      </c>
      <c r="E738" t="s">
        <v>748</v>
      </c>
      <c r="F738" t="s">
        <v>1354</v>
      </c>
      <c r="G738" t="s">
        <v>2614</v>
      </c>
      <c r="H738" t="s">
        <v>3953</v>
      </c>
      <c r="I738">
        <v>2</v>
      </c>
      <c r="J738" t="s">
        <v>5321</v>
      </c>
      <c r="K738">
        <v>10467</v>
      </c>
      <c r="L738" t="s">
        <v>5355</v>
      </c>
      <c r="M738" t="s">
        <v>5356</v>
      </c>
      <c r="O738" t="s">
        <v>6503</v>
      </c>
      <c r="P738" t="s">
        <v>6527</v>
      </c>
      <c r="Q738" t="s">
        <v>6536</v>
      </c>
      <c r="R738" t="s">
        <v>6539</v>
      </c>
      <c r="S738" t="s">
        <v>5357</v>
      </c>
      <c r="U738" t="s">
        <v>6560</v>
      </c>
      <c r="W738" t="s">
        <v>340</v>
      </c>
      <c r="X738">
        <v>2122</v>
      </c>
      <c r="Y738" t="s">
        <v>6606</v>
      </c>
      <c r="Z738" t="s">
        <v>6611</v>
      </c>
      <c r="AA738" t="s">
        <v>6649</v>
      </c>
      <c r="AB738" t="s">
        <v>7334</v>
      </c>
      <c r="AC738" t="s">
        <v>8785</v>
      </c>
      <c r="AD738" t="s">
        <v>9708</v>
      </c>
      <c r="AE738">
        <v>2</v>
      </c>
      <c r="AF738" t="s">
        <v>11004</v>
      </c>
      <c r="AG738" t="s">
        <v>11020</v>
      </c>
      <c r="AH738">
        <v>9</v>
      </c>
      <c r="AI738">
        <v>3</v>
      </c>
      <c r="AJ738">
        <v>3</v>
      </c>
      <c r="AK738">
        <v>42.48</v>
      </c>
      <c r="AN738" t="s">
        <v>11050</v>
      </c>
      <c r="AO738">
        <v>28000</v>
      </c>
      <c r="AU738">
        <v>3.75</v>
      </c>
      <c r="AV738" t="s">
        <v>284</v>
      </c>
      <c r="AW738" t="s">
        <v>11499</v>
      </c>
    </row>
    <row r="739" spans="1:49">
      <c r="A739" s="1">
        <f>HYPERLINK("https://cms.ls-nyc.org/matter/dynamic-profile/view/1854382","17-1854382")</f>
        <v>0</v>
      </c>
      <c r="B739" t="s">
        <v>142</v>
      </c>
      <c r="C739" t="s">
        <v>234</v>
      </c>
      <c r="D739" t="s">
        <v>378</v>
      </c>
      <c r="E739" t="s">
        <v>750</v>
      </c>
      <c r="F739" t="s">
        <v>1355</v>
      </c>
      <c r="G739" t="s">
        <v>2120</v>
      </c>
      <c r="H739" t="s">
        <v>3954</v>
      </c>
      <c r="I739" t="s">
        <v>4881</v>
      </c>
      <c r="J739" t="s">
        <v>5320</v>
      </c>
      <c r="K739">
        <v>11212</v>
      </c>
      <c r="L739" t="s">
        <v>5355</v>
      </c>
      <c r="M739" t="s">
        <v>5356</v>
      </c>
      <c r="O739" t="s">
        <v>6497</v>
      </c>
      <c r="P739" t="s">
        <v>6527</v>
      </c>
      <c r="Q739" t="s">
        <v>6532</v>
      </c>
      <c r="R739" t="s">
        <v>6539</v>
      </c>
      <c r="S739" t="s">
        <v>5357</v>
      </c>
      <c r="U739" t="s">
        <v>6558</v>
      </c>
      <c r="W739" t="s">
        <v>6593</v>
      </c>
      <c r="X739">
        <v>1075</v>
      </c>
      <c r="Y739" t="s">
        <v>6605</v>
      </c>
      <c r="Z739" t="s">
        <v>6614</v>
      </c>
      <c r="AA739" t="s">
        <v>6650</v>
      </c>
      <c r="AB739" t="s">
        <v>7335</v>
      </c>
      <c r="AD739" t="s">
        <v>9709</v>
      </c>
      <c r="AE739">
        <v>16</v>
      </c>
      <c r="AF739" t="s">
        <v>11005</v>
      </c>
      <c r="AH739">
        <v>5</v>
      </c>
      <c r="AI739">
        <v>1</v>
      </c>
      <c r="AJ739">
        <v>1</v>
      </c>
      <c r="AK739">
        <v>45.89</v>
      </c>
      <c r="AN739" t="s">
        <v>11050</v>
      </c>
      <c r="AO739">
        <v>7452</v>
      </c>
      <c r="AU739">
        <v>20.2</v>
      </c>
      <c r="AV739" t="s">
        <v>750</v>
      </c>
      <c r="AW739" t="s">
        <v>142</v>
      </c>
    </row>
    <row r="740" spans="1:49">
      <c r="A740" s="1">
        <f>HYPERLINK("https://cms.ls-nyc.org/matter/dynamic-profile/view/1848526","17-1848526")</f>
        <v>0</v>
      </c>
      <c r="B740" t="s">
        <v>161</v>
      </c>
      <c r="C740" t="s">
        <v>234</v>
      </c>
      <c r="D740" t="s">
        <v>354</v>
      </c>
      <c r="E740" t="s">
        <v>682</v>
      </c>
      <c r="F740" t="s">
        <v>1356</v>
      </c>
      <c r="G740" t="s">
        <v>1686</v>
      </c>
      <c r="H740" t="s">
        <v>3955</v>
      </c>
      <c r="I740">
        <v>203</v>
      </c>
      <c r="J740" t="s">
        <v>5321</v>
      </c>
      <c r="K740">
        <v>10457</v>
      </c>
      <c r="L740" t="s">
        <v>5355</v>
      </c>
      <c r="M740" t="s">
        <v>5356</v>
      </c>
      <c r="O740" t="s">
        <v>6503</v>
      </c>
      <c r="P740" t="s">
        <v>6527</v>
      </c>
      <c r="Q740" t="s">
        <v>6532</v>
      </c>
      <c r="R740" t="s">
        <v>6539</v>
      </c>
      <c r="S740" t="s">
        <v>5357</v>
      </c>
      <c r="U740" t="s">
        <v>6560</v>
      </c>
      <c r="W740" t="s">
        <v>362</v>
      </c>
      <c r="X740">
        <v>2300</v>
      </c>
      <c r="Y740" t="s">
        <v>6606</v>
      </c>
      <c r="Z740" t="s">
        <v>6615</v>
      </c>
      <c r="AA740" t="s">
        <v>6636</v>
      </c>
      <c r="AB740" t="s">
        <v>7336</v>
      </c>
      <c r="AD740" t="s">
        <v>9710</v>
      </c>
      <c r="AE740">
        <v>84</v>
      </c>
      <c r="AF740" t="s">
        <v>11008</v>
      </c>
      <c r="AH740">
        <v>4</v>
      </c>
      <c r="AI740">
        <v>2</v>
      </c>
      <c r="AJ740">
        <v>5</v>
      </c>
      <c r="AK740">
        <v>46.2</v>
      </c>
      <c r="AN740" t="s">
        <v>6493</v>
      </c>
      <c r="AO740">
        <v>17160</v>
      </c>
      <c r="AP740" t="s">
        <v>11115</v>
      </c>
      <c r="AU740">
        <v>17.7</v>
      </c>
      <c r="AV740" t="s">
        <v>342</v>
      </c>
      <c r="AW740" t="s">
        <v>11499</v>
      </c>
    </row>
    <row r="741" spans="1:49">
      <c r="A741" s="1">
        <f>HYPERLINK("https://cms.ls-nyc.org/matter/dynamic-profile/view/1832951","17-1832951")</f>
        <v>0</v>
      </c>
      <c r="B741" t="s">
        <v>58</v>
      </c>
      <c r="C741" t="s">
        <v>234</v>
      </c>
      <c r="D741" t="s">
        <v>484</v>
      </c>
      <c r="E741" t="s">
        <v>674</v>
      </c>
      <c r="F741" t="s">
        <v>1357</v>
      </c>
      <c r="G741" t="s">
        <v>2615</v>
      </c>
      <c r="H741" t="s">
        <v>3937</v>
      </c>
      <c r="I741" t="s">
        <v>4974</v>
      </c>
      <c r="J741" t="s">
        <v>5321</v>
      </c>
      <c r="K741">
        <v>10453</v>
      </c>
      <c r="L741" t="s">
        <v>5355</v>
      </c>
      <c r="M741" t="s">
        <v>5356</v>
      </c>
      <c r="O741" t="s">
        <v>5393</v>
      </c>
      <c r="P741" t="s">
        <v>6527</v>
      </c>
      <c r="Q741" t="s">
        <v>6532</v>
      </c>
      <c r="R741" t="s">
        <v>6539</v>
      </c>
      <c r="S741" t="s">
        <v>5355</v>
      </c>
      <c r="U741" t="s">
        <v>6557</v>
      </c>
      <c r="W741" t="s">
        <v>372</v>
      </c>
      <c r="X741">
        <v>1620</v>
      </c>
      <c r="Y741" t="s">
        <v>6606</v>
      </c>
      <c r="Z741" t="s">
        <v>6612</v>
      </c>
      <c r="AA741" t="s">
        <v>6636</v>
      </c>
      <c r="AB741" t="s">
        <v>7337</v>
      </c>
      <c r="AC741" t="s">
        <v>8786</v>
      </c>
      <c r="AD741" t="s">
        <v>9711</v>
      </c>
      <c r="AE741">
        <v>766</v>
      </c>
      <c r="AF741" t="s">
        <v>11008</v>
      </c>
      <c r="AG741" t="s">
        <v>11020</v>
      </c>
      <c r="AH741">
        <v>4</v>
      </c>
      <c r="AI741">
        <v>2</v>
      </c>
      <c r="AJ741">
        <v>2</v>
      </c>
      <c r="AK741">
        <v>47.35</v>
      </c>
      <c r="AN741" t="s">
        <v>11049</v>
      </c>
      <c r="AO741">
        <v>11648</v>
      </c>
      <c r="AU741">
        <v>0.75</v>
      </c>
      <c r="AV741" t="s">
        <v>674</v>
      </c>
      <c r="AW741" t="s">
        <v>11509</v>
      </c>
    </row>
    <row r="742" spans="1:49">
      <c r="A742" s="1">
        <f>HYPERLINK("https://cms.ls-nyc.org/matter/dynamic-profile/view/1859387","18-1859387")</f>
        <v>0</v>
      </c>
      <c r="B742" t="s">
        <v>107</v>
      </c>
      <c r="C742" t="s">
        <v>235</v>
      </c>
      <c r="D742" t="s">
        <v>284</v>
      </c>
      <c r="F742" t="s">
        <v>1106</v>
      </c>
      <c r="G742" t="s">
        <v>2590</v>
      </c>
      <c r="H742" t="s">
        <v>3844</v>
      </c>
      <c r="I742" t="s">
        <v>4740</v>
      </c>
      <c r="J742" t="s">
        <v>5323</v>
      </c>
      <c r="K742">
        <v>10034</v>
      </c>
      <c r="L742" t="s">
        <v>5355</v>
      </c>
      <c r="M742" t="s">
        <v>5356</v>
      </c>
      <c r="O742" t="s">
        <v>6501</v>
      </c>
      <c r="P742" t="s">
        <v>6527</v>
      </c>
      <c r="R742" t="s">
        <v>6539</v>
      </c>
      <c r="S742" t="s">
        <v>5357</v>
      </c>
      <c r="U742" t="s">
        <v>6563</v>
      </c>
      <c r="W742" t="s">
        <v>284</v>
      </c>
      <c r="X742">
        <v>980.67</v>
      </c>
      <c r="Y742" t="s">
        <v>6608</v>
      </c>
      <c r="Z742" t="s">
        <v>6625</v>
      </c>
      <c r="AB742" t="s">
        <v>7338</v>
      </c>
      <c r="AD742" t="s">
        <v>9712</v>
      </c>
      <c r="AE742">
        <v>26</v>
      </c>
      <c r="AF742" t="s">
        <v>11005</v>
      </c>
      <c r="AG742" t="s">
        <v>11024</v>
      </c>
      <c r="AH742">
        <v>8</v>
      </c>
      <c r="AI742">
        <v>2</v>
      </c>
      <c r="AJ742">
        <v>1</v>
      </c>
      <c r="AK742">
        <v>47.37</v>
      </c>
      <c r="AN742" t="s">
        <v>11049</v>
      </c>
      <c r="AO742">
        <v>19344</v>
      </c>
      <c r="AU742">
        <v>26.5</v>
      </c>
      <c r="AV742" t="s">
        <v>685</v>
      </c>
      <c r="AW742" t="s">
        <v>11497</v>
      </c>
    </row>
    <row r="743" spans="1:49">
      <c r="A743" s="1">
        <f>HYPERLINK("https://cms.ls-nyc.org/matter/dynamic-profile/view/1871173","18-1871173")</f>
        <v>0</v>
      </c>
      <c r="B743" t="s">
        <v>90</v>
      </c>
      <c r="C743" t="s">
        <v>234</v>
      </c>
      <c r="D743" t="s">
        <v>287</v>
      </c>
      <c r="E743" t="s">
        <v>394</v>
      </c>
      <c r="F743" t="s">
        <v>1358</v>
      </c>
      <c r="G743" t="s">
        <v>2239</v>
      </c>
      <c r="H743" t="s">
        <v>3956</v>
      </c>
      <c r="I743" t="s">
        <v>4868</v>
      </c>
      <c r="J743" t="s">
        <v>5321</v>
      </c>
      <c r="K743">
        <v>10456</v>
      </c>
      <c r="L743" t="s">
        <v>5355</v>
      </c>
      <c r="M743" t="s">
        <v>5356</v>
      </c>
      <c r="P743" t="s">
        <v>6527</v>
      </c>
      <c r="Q743" t="s">
        <v>6533</v>
      </c>
      <c r="R743" t="s">
        <v>6539</v>
      </c>
      <c r="S743" t="s">
        <v>5357</v>
      </c>
      <c r="U743" t="s">
        <v>6557</v>
      </c>
      <c r="W743" t="s">
        <v>338</v>
      </c>
      <c r="X743">
        <v>1374.25</v>
      </c>
      <c r="Y743" t="s">
        <v>6606</v>
      </c>
      <c r="Z743" t="s">
        <v>6616</v>
      </c>
      <c r="AA743" t="s">
        <v>6636</v>
      </c>
      <c r="AB743" t="s">
        <v>7339</v>
      </c>
      <c r="AE743">
        <v>0</v>
      </c>
      <c r="AF743" t="s">
        <v>11005</v>
      </c>
      <c r="AH743">
        <v>12</v>
      </c>
      <c r="AI743">
        <v>2</v>
      </c>
      <c r="AJ743">
        <v>0</v>
      </c>
      <c r="AK743">
        <v>47.39</v>
      </c>
      <c r="AN743" t="s">
        <v>11049</v>
      </c>
      <c r="AO743">
        <v>7800</v>
      </c>
      <c r="AU743">
        <v>1.3</v>
      </c>
      <c r="AV743" t="s">
        <v>394</v>
      </c>
      <c r="AW743" t="s">
        <v>90</v>
      </c>
    </row>
    <row r="744" spans="1:49">
      <c r="A744" s="1">
        <f>HYPERLINK("https://cms.ls-nyc.org/matter/dynamic-profile/view/1840577","17-1840577")</f>
        <v>0</v>
      </c>
      <c r="B744" t="s">
        <v>97</v>
      </c>
      <c r="C744" t="s">
        <v>235</v>
      </c>
      <c r="D744" t="s">
        <v>441</v>
      </c>
      <c r="F744" t="s">
        <v>1359</v>
      </c>
      <c r="G744" t="s">
        <v>2239</v>
      </c>
      <c r="H744" t="s">
        <v>3957</v>
      </c>
      <c r="I744">
        <v>35</v>
      </c>
      <c r="J744" t="s">
        <v>5323</v>
      </c>
      <c r="K744">
        <v>10034</v>
      </c>
      <c r="L744" t="s">
        <v>5355</v>
      </c>
      <c r="M744" t="s">
        <v>5356</v>
      </c>
      <c r="O744" t="s">
        <v>6493</v>
      </c>
      <c r="P744" t="s">
        <v>6527</v>
      </c>
      <c r="R744" t="s">
        <v>6539</v>
      </c>
      <c r="S744" t="s">
        <v>5357</v>
      </c>
      <c r="T744" t="s">
        <v>6539</v>
      </c>
      <c r="U744" t="s">
        <v>6557</v>
      </c>
      <c r="W744" t="s">
        <v>404</v>
      </c>
      <c r="X744">
        <v>900</v>
      </c>
      <c r="Y744" t="s">
        <v>6608</v>
      </c>
      <c r="Z744" t="s">
        <v>6493</v>
      </c>
      <c r="AB744" t="s">
        <v>7340</v>
      </c>
      <c r="AD744" t="s">
        <v>9713</v>
      </c>
      <c r="AE744">
        <v>60</v>
      </c>
      <c r="AF744" t="s">
        <v>8722</v>
      </c>
      <c r="AG744" t="s">
        <v>5406</v>
      </c>
      <c r="AH744">
        <v>23</v>
      </c>
      <c r="AI744">
        <v>2</v>
      </c>
      <c r="AJ744">
        <v>2</v>
      </c>
      <c r="AK744">
        <v>48.29</v>
      </c>
      <c r="AN744" t="s">
        <v>11050</v>
      </c>
      <c r="AO744">
        <v>11880</v>
      </c>
      <c r="AU744">
        <v>30.5</v>
      </c>
      <c r="AV744" t="s">
        <v>11453</v>
      </c>
      <c r="AW744" t="s">
        <v>11507</v>
      </c>
    </row>
    <row r="745" spans="1:49">
      <c r="A745" s="1">
        <f>HYPERLINK("https://cms.ls-nyc.org/matter/dynamic-profile/view/1865719","18-1865719")</f>
        <v>0</v>
      </c>
      <c r="B745" t="s">
        <v>162</v>
      </c>
      <c r="C745" t="s">
        <v>234</v>
      </c>
      <c r="D745" t="s">
        <v>385</v>
      </c>
      <c r="E745" t="s">
        <v>768</v>
      </c>
      <c r="F745" t="s">
        <v>1173</v>
      </c>
      <c r="G745" t="s">
        <v>2294</v>
      </c>
      <c r="H745" t="s">
        <v>3958</v>
      </c>
      <c r="I745" t="s">
        <v>4868</v>
      </c>
      <c r="J745" t="s">
        <v>5321</v>
      </c>
      <c r="K745">
        <v>10467</v>
      </c>
      <c r="L745" t="s">
        <v>5355</v>
      </c>
      <c r="M745" t="s">
        <v>5356</v>
      </c>
      <c r="O745" t="s">
        <v>6503</v>
      </c>
      <c r="P745" t="s">
        <v>6527</v>
      </c>
      <c r="Q745" t="s">
        <v>6534</v>
      </c>
      <c r="R745" t="s">
        <v>6539</v>
      </c>
      <c r="U745" t="s">
        <v>6560</v>
      </c>
      <c r="W745" t="s">
        <v>338</v>
      </c>
      <c r="X745">
        <v>1202</v>
      </c>
      <c r="Y745" t="s">
        <v>6606</v>
      </c>
      <c r="AA745" t="s">
        <v>6637</v>
      </c>
      <c r="AB745" t="s">
        <v>7341</v>
      </c>
      <c r="AD745" t="s">
        <v>9714</v>
      </c>
      <c r="AE745">
        <v>27</v>
      </c>
      <c r="AF745" t="s">
        <v>11005</v>
      </c>
      <c r="AG745" t="s">
        <v>11020</v>
      </c>
      <c r="AH745">
        <v>17</v>
      </c>
      <c r="AI745">
        <v>1</v>
      </c>
      <c r="AJ745">
        <v>1</v>
      </c>
      <c r="AK745">
        <v>48.6</v>
      </c>
      <c r="AN745" t="s">
        <v>11050</v>
      </c>
      <c r="AO745">
        <v>16000</v>
      </c>
      <c r="AU745">
        <v>0.8</v>
      </c>
      <c r="AV745" t="s">
        <v>502</v>
      </c>
      <c r="AW745" t="s">
        <v>11499</v>
      </c>
    </row>
    <row r="746" spans="1:49">
      <c r="A746" s="1">
        <f>HYPERLINK("https://cms.ls-nyc.org/matter/dynamic-profile/view/1849559","17-1849559")</f>
        <v>0</v>
      </c>
      <c r="B746" t="s">
        <v>85</v>
      </c>
      <c r="C746" t="s">
        <v>234</v>
      </c>
      <c r="D746" t="s">
        <v>483</v>
      </c>
      <c r="E746" t="s">
        <v>689</v>
      </c>
      <c r="F746" t="s">
        <v>914</v>
      </c>
      <c r="G746" t="s">
        <v>2616</v>
      </c>
      <c r="H746" t="s">
        <v>3959</v>
      </c>
      <c r="I746" t="s">
        <v>4975</v>
      </c>
      <c r="J746" t="s">
        <v>5334</v>
      </c>
      <c r="K746">
        <v>11368</v>
      </c>
      <c r="L746" t="s">
        <v>5355</v>
      </c>
      <c r="M746" t="s">
        <v>5356</v>
      </c>
      <c r="N746" t="s">
        <v>5392</v>
      </c>
      <c r="O746" t="s">
        <v>6496</v>
      </c>
      <c r="P746" t="s">
        <v>6527</v>
      </c>
      <c r="Q746" t="s">
        <v>6532</v>
      </c>
      <c r="R746" t="s">
        <v>6540</v>
      </c>
      <c r="S746" t="s">
        <v>5357</v>
      </c>
      <c r="U746" t="s">
        <v>6557</v>
      </c>
      <c r="W746" t="s">
        <v>483</v>
      </c>
      <c r="X746">
        <v>1829.95</v>
      </c>
      <c r="Y746" t="s">
        <v>6604</v>
      </c>
      <c r="Z746" t="s">
        <v>6610</v>
      </c>
      <c r="AA746" t="s">
        <v>6637</v>
      </c>
      <c r="AB746" t="s">
        <v>7342</v>
      </c>
      <c r="AC746" t="s">
        <v>5392</v>
      </c>
      <c r="AD746" t="s">
        <v>9715</v>
      </c>
      <c r="AE746">
        <v>45</v>
      </c>
      <c r="AF746" t="s">
        <v>11005</v>
      </c>
      <c r="AG746" t="s">
        <v>5406</v>
      </c>
      <c r="AH746">
        <v>14</v>
      </c>
      <c r="AI746">
        <v>1</v>
      </c>
      <c r="AJ746">
        <v>3</v>
      </c>
      <c r="AK746">
        <v>52.85</v>
      </c>
      <c r="AL746" t="s">
        <v>11028</v>
      </c>
      <c r="AN746" t="s">
        <v>11049</v>
      </c>
      <c r="AO746">
        <v>13000</v>
      </c>
      <c r="AU746">
        <v>13.5</v>
      </c>
      <c r="AV746" t="s">
        <v>771</v>
      </c>
      <c r="AW746" t="s">
        <v>52</v>
      </c>
    </row>
    <row r="747" spans="1:49">
      <c r="A747" s="1">
        <f>HYPERLINK("https://cms.ls-nyc.org/matter/dynamic-profile/view/1857641","18-1857641")</f>
        <v>0</v>
      </c>
      <c r="B747" t="s">
        <v>63</v>
      </c>
      <c r="C747" t="s">
        <v>235</v>
      </c>
      <c r="D747" t="s">
        <v>436</v>
      </c>
      <c r="F747" t="s">
        <v>1360</v>
      </c>
      <c r="G747" t="s">
        <v>2617</v>
      </c>
      <c r="H747" t="s">
        <v>3960</v>
      </c>
      <c r="I747" t="s">
        <v>4972</v>
      </c>
      <c r="J747" t="s">
        <v>5322</v>
      </c>
      <c r="K747">
        <v>10304</v>
      </c>
      <c r="L747" t="s">
        <v>5355</v>
      </c>
      <c r="M747" t="s">
        <v>5356</v>
      </c>
      <c r="O747" t="s">
        <v>6500</v>
      </c>
      <c r="P747" t="s">
        <v>6527</v>
      </c>
      <c r="R747" t="s">
        <v>6539</v>
      </c>
      <c r="S747" t="s">
        <v>5355</v>
      </c>
      <c r="U747" t="s">
        <v>6557</v>
      </c>
      <c r="V747" t="s">
        <v>6566</v>
      </c>
      <c r="W747" t="s">
        <v>436</v>
      </c>
      <c r="X747">
        <v>0</v>
      </c>
      <c r="Y747" t="s">
        <v>6607</v>
      </c>
      <c r="AB747" t="s">
        <v>7343</v>
      </c>
      <c r="AE747">
        <v>86</v>
      </c>
      <c r="AH747">
        <v>1</v>
      </c>
      <c r="AI747">
        <v>2</v>
      </c>
      <c r="AJ747">
        <v>0</v>
      </c>
      <c r="AK747">
        <v>53.2</v>
      </c>
      <c r="AO747">
        <v>8640</v>
      </c>
      <c r="AU747">
        <v>0.1</v>
      </c>
      <c r="AV747" t="s">
        <v>474</v>
      </c>
      <c r="AW747" t="s">
        <v>62</v>
      </c>
    </row>
    <row r="748" spans="1:49">
      <c r="A748" s="1">
        <f>HYPERLINK("https://cms.ls-nyc.org/matter/dynamic-profile/view/1845504","17-1845504")</f>
        <v>0</v>
      </c>
      <c r="B748" t="s">
        <v>53</v>
      </c>
      <c r="C748" t="s">
        <v>234</v>
      </c>
      <c r="D748" t="s">
        <v>462</v>
      </c>
      <c r="E748" t="s">
        <v>445</v>
      </c>
      <c r="F748" t="s">
        <v>854</v>
      </c>
      <c r="G748" t="s">
        <v>2618</v>
      </c>
      <c r="H748" t="s">
        <v>3961</v>
      </c>
      <c r="I748" t="s">
        <v>4738</v>
      </c>
      <c r="J748" t="s">
        <v>5320</v>
      </c>
      <c r="K748">
        <v>11233</v>
      </c>
      <c r="L748" t="s">
        <v>5355</v>
      </c>
      <c r="M748" t="s">
        <v>5356</v>
      </c>
      <c r="P748" t="s">
        <v>6527</v>
      </c>
      <c r="Q748" t="s">
        <v>6536</v>
      </c>
      <c r="R748" t="s">
        <v>6539</v>
      </c>
      <c r="U748" t="s">
        <v>6558</v>
      </c>
      <c r="W748" t="s">
        <v>419</v>
      </c>
      <c r="X748">
        <v>1851</v>
      </c>
      <c r="Y748" t="s">
        <v>6605</v>
      </c>
      <c r="Z748" t="s">
        <v>6611</v>
      </c>
      <c r="AA748" t="s">
        <v>6635</v>
      </c>
      <c r="AB748" t="s">
        <v>7344</v>
      </c>
      <c r="AD748" t="s">
        <v>9716</v>
      </c>
      <c r="AE748">
        <v>71</v>
      </c>
      <c r="AF748" t="s">
        <v>11005</v>
      </c>
      <c r="AG748" t="s">
        <v>11020</v>
      </c>
      <c r="AH748">
        <v>0</v>
      </c>
      <c r="AI748">
        <v>1</v>
      </c>
      <c r="AJ748">
        <v>3</v>
      </c>
      <c r="AK748">
        <v>53.66</v>
      </c>
      <c r="AN748" t="s">
        <v>11050</v>
      </c>
      <c r="AO748">
        <v>13200</v>
      </c>
      <c r="AU748">
        <v>4.75</v>
      </c>
      <c r="AV748" t="s">
        <v>445</v>
      </c>
      <c r="AW748" t="s">
        <v>53</v>
      </c>
    </row>
    <row r="749" spans="1:49">
      <c r="A749" s="1">
        <f>HYPERLINK("https://cms.ls-nyc.org/matter/dynamic-profile/view/1868766","18-1868766")</f>
        <v>0</v>
      </c>
      <c r="B749" t="s">
        <v>90</v>
      </c>
      <c r="C749" t="s">
        <v>235</v>
      </c>
      <c r="D749" t="s">
        <v>318</v>
      </c>
      <c r="F749" t="s">
        <v>1361</v>
      </c>
      <c r="G749" t="s">
        <v>2188</v>
      </c>
      <c r="H749" t="s">
        <v>3589</v>
      </c>
      <c r="I749" t="s">
        <v>4911</v>
      </c>
      <c r="J749" t="s">
        <v>5321</v>
      </c>
      <c r="K749">
        <v>10452</v>
      </c>
      <c r="L749" t="s">
        <v>5355</v>
      </c>
      <c r="M749" t="s">
        <v>5356</v>
      </c>
      <c r="O749" t="s">
        <v>5393</v>
      </c>
      <c r="P749" t="s">
        <v>6527</v>
      </c>
      <c r="R749" t="s">
        <v>6539</v>
      </c>
      <c r="S749" t="s">
        <v>5355</v>
      </c>
      <c r="U749" t="s">
        <v>6557</v>
      </c>
      <c r="W749" t="s">
        <v>516</v>
      </c>
      <c r="X749">
        <v>774</v>
      </c>
      <c r="Y749" t="s">
        <v>6606</v>
      </c>
      <c r="Z749" t="s">
        <v>6625</v>
      </c>
      <c r="AB749" t="s">
        <v>7345</v>
      </c>
      <c r="AC749">
        <v>88211106016</v>
      </c>
      <c r="AD749" t="s">
        <v>9717</v>
      </c>
      <c r="AE749">
        <v>60</v>
      </c>
      <c r="AF749" t="s">
        <v>11005</v>
      </c>
      <c r="AG749" t="s">
        <v>5406</v>
      </c>
      <c r="AH749">
        <v>15</v>
      </c>
      <c r="AI749">
        <v>2</v>
      </c>
      <c r="AJ749">
        <v>0</v>
      </c>
      <c r="AK749">
        <v>55.12</v>
      </c>
      <c r="AN749" t="s">
        <v>11049</v>
      </c>
      <c r="AO749">
        <v>9072</v>
      </c>
      <c r="AU749">
        <v>0</v>
      </c>
      <c r="AW749" t="s">
        <v>11492</v>
      </c>
    </row>
    <row r="750" spans="1:49">
      <c r="A750" s="1">
        <f>HYPERLINK("https://cms.ls-nyc.org/matter/dynamic-profile/view/1863109","18-1863109")</f>
        <v>0</v>
      </c>
      <c r="B750" t="s">
        <v>97</v>
      </c>
      <c r="C750" t="s">
        <v>234</v>
      </c>
      <c r="D750" t="s">
        <v>369</v>
      </c>
      <c r="E750" t="s">
        <v>665</v>
      </c>
      <c r="F750" t="s">
        <v>1069</v>
      </c>
      <c r="G750" t="s">
        <v>2390</v>
      </c>
      <c r="H750" t="s">
        <v>3621</v>
      </c>
      <c r="I750" t="s">
        <v>4885</v>
      </c>
      <c r="J750" t="s">
        <v>5323</v>
      </c>
      <c r="K750">
        <v>10034</v>
      </c>
      <c r="L750" t="s">
        <v>5355</v>
      </c>
      <c r="M750" t="s">
        <v>5356</v>
      </c>
      <c r="O750" t="s">
        <v>6496</v>
      </c>
      <c r="P750" t="s">
        <v>6527</v>
      </c>
      <c r="Q750" t="s">
        <v>6532</v>
      </c>
      <c r="R750" t="s">
        <v>6539</v>
      </c>
      <c r="S750" t="s">
        <v>5357</v>
      </c>
      <c r="U750" t="s">
        <v>6557</v>
      </c>
      <c r="W750" t="s">
        <v>369</v>
      </c>
      <c r="X750">
        <v>913.12</v>
      </c>
      <c r="Y750" t="s">
        <v>6608</v>
      </c>
      <c r="Z750" t="s">
        <v>6616</v>
      </c>
      <c r="AA750" t="s">
        <v>6636</v>
      </c>
      <c r="AB750" t="s">
        <v>7013</v>
      </c>
      <c r="AC750" t="s">
        <v>8747</v>
      </c>
      <c r="AD750" t="s">
        <v>9417</v>
      </c>
      <c r="AE750">
        <v>65</v>
      </c>
      <c r="AF750" t="s">
        <v>11005</v>
      </c>
      <c r="AG750" t="s">
        <v>5406</v>
      </c>
      <c r="AH750">
        <v>44</v>
      </c>
      <c r="AI750">
        <v>1</v>
      </c>
      <c r="AJ750">
        <v>0</v>
      </c>
      <c r="AK750">
        <v>55.19</v>
      </c>
      <c r="AN750" t="s">
        <v>11050</v>
      </c>
      <c r="AO750">
        <v>6700</v>
      </c>
      <c r="AU750">
        <v>7.1</v>
      </c>
      <c r="AV750" t="s">
        <v>414</v>
      </c>
      <c r="AW750" t="s">
        <v>11495</v>
      </c>
    </row>
    <row r="751" spans="1:49">
      <c r="A751" s="1">
        <f>HYPERLINK("https://cms.ls-nyc.org/matter/dynamic-profile/view/1858227","18-1858227")</f>
        <v>0</v>
      </c>
      <c r="B751" t="s">
        <v>124</v>
      </c>
      <c r="C751" t="s">
        <v>235</v>
      </c>
      <c r="D751" t="s">
        <v>238</v>
      </c>
      <c r="F751" t="s">
        <v>972</v>
      </c>
      <c r="G751" t="s">
        <v>2472</v>
      </c>
      <c r="H751" t="s">
        <v>3962</v>
      </c>
      <c r="J751" t="s">
        <v>5323</v>
      </c>
      <c r="K751">
        <v>10034</v>
      </c>
      <c r="L751" t="s">
        <v>5355</v>
      </c>
      <c r="M751" t="s">
        <v>5356</v>
      </c>
      <c r="O751" t="s">
        <v>5393</v>
      </c>
      <c r="P751" t="s">
        <v>6527</v>
      </c>
      <c r="R751" t="s">
        <v>6539</v>
      </c>
      <c r="S751" t="s">
        <v>5357</v>
      </c>
      <c r="U751" t="s">
        <v>6557</v>
      </c>
      <c r="W751" t="s">
        <v>238</v>
      </c>
      <c r="X751">
        <v>1589.22</v>
      </c>
      <c r="Y751" t="s">
        <v>6608</v>
      </c>
      <c r="Z751" t="s">
        <v>6616</v>
      </c>
      <c r="AB751" t="s">
        <v>7346</v>
      </c>
      <c r="AE751">
        <v>20</v>
      </c>
      <c r="AF751" t="s">
        <v>11005</v>
      </c>
      <c r="AG751" t="s">
        <v>11020</v>
      </c>
      <c r="AH751">
        <v>15</v>
      </c>
      <c r="AI751">
        <v>1</v>
      </c>
      <c r="AJ751">
        <v>1</v>
      </c>
      <c r="AK751">
        <v>55.42</v>
      </c>
      <c r="AN751" t="s">
        <v>11049</v>
      </c>
      <c r="AO751">
        <v>9000</v>
      </c>
      <c r="AP751" t="s">
        <v>11089</v>
      </c>
      <c r="AU751">
        <v>30.85</v>
      </c>
      <c r="AV751" t="s">
        <v>434</v>
      </c>
      <c r="AW751" t="s">
        <v>11495</v>
      </c>
    </row>
    <row r="752" spans="1:49">
      <c r="A752" s="1">
        <f>HYPERLINK("https://cms.ls-nyc.org/matter/dynamic-profile/view/1870428","18-1870428")</f>
        <v>0</v>
      </c>
      <c r="B752" t="s">
        <v>72</v>
      </c>
      <c r="C752" t="s">
        <v>234</v>
      </c>
      <c r="D752" t="s">
        <v>255</v>
      </c>
      <c r="E752" t="s">
        <v>675</v>
      </c>
      <c r="F752" t="s">
        <v>1362</v>
      </c>
      <c r="G752" t="s">
        <v>2619</v>
      </c>
      <c r="H752" t="s">
        <v>3963</v>
      </c>
      <c r="I752" t="s">
        <v>4911</v>
      </c>
      <c r="J752" t="s">
        <v>5320</v>
      </c>
      <c r="K752">
        <v>11207</v>
      </c>
      <c r="L752" t="s">
        <v>5355</v>
      </c>
      <c r="M752" t="s">
        <v>5356</v>
      </c>
      <c r="N752" t="s">
        <v>5551</v>
      </c>
      <c r="O752" t="s">
        <v>6492</v>
      </c>
      <c r="P752" t="s">
        <v>6527</v>
      </c>
      <c r="Q752" t="s">
        <v>6532</v>
      </c>
      <c r="R752" t="s">
        <v>6539</v>
      </c>
      <c r="S752" t="s">
        <v>5357</v>
      </c>
      <c r="U752" t="s">
        <v>6557</v>
      </c>
      <c r="W752" t="s">
        <v>401</v>
      </c>
      <c r="X752">
        <v>1301.75</v>
      </c>
      <c r="Y752" t="s">
        <v>6605</v>
      </c>
      <c r="Z752" t="s">
        <v>6609</v>
      </c>
      <c r="AA752" t="s">
        <v>6636</v>
      </c>
      <c r="AB752" t="s">
        <v>7347</v>
      </c>
      <c r="AC752" t="s">
        <v>8787</v>
      </c>
      <c r="AD752" t="s">
        <v>9718</v>
      </c>
      <c r="AE752">
        <v>6</v>
      </c>
      <c r="AF752" t="s">
        <v>11005</v>
      </c>
      <c r="AG752" t="s">
        <v>11026</v>
      </c>
      <c r="AH752">
        <v>11</v>
      </c>
      <c r="AI752">
        <v>2</v>
      </c>
      <c r="AJ752">
        <v>0</v>
      </c>
      <c r="AK752">
        <v>56.72</v>
      </c>
      <c r="AN752" t="s">
        <v>11050</v>
      </c>
      <c r="AO752">
        <v>9336</v>
      </c>
      <c r="AU752">
        <v>4.1</v>
      </c>
      <c r="AV752" t="s">
        <v>748</v>
      </c>
      <c r="AW752" t="s">
        <v>11518</v>
      </c>
    </row>
    <row r="753" spans="1:49">
      <c r="A753" s="1">
        <f>HYPERLINK("https://cms.ls-nyc.org/matter/dynamic-profile/view/1862026","18-1862026")</f>
        <v>0</v>
      </c>
      <c r="B753" t="s">
        <v>156</v>
      </c>
      <c r="C753" t="s">
        <v>235</v>
      </c>
      <c r="D753" t="s">
        <v>358</v>
      </c>
      <c r="F753" t="s">
        <v>1193</v>
      </c>
      <c r="G753" t="s">
        <v>2620</v>
      </c>
      <c r="H753" t="s">
        <v>3964</v>
      </c>
      <c r="I753" t="s">
        <v>4976</v>
      </c>
      <c r="J753" t="s">
        <v>5322</v>
      </c>
      <c r="K753">
        <v>10302</v>
      </c>
      <c r="L753" t="s">
        <v>5355</v>
      </c>
      <c r="M753" t="s">
        <v>5356</v>
      </c>
      <c r="N753" t="s">
        <v>5366</v>
      </c>
      <c r="O753" t="s">
        <v>6505</v>
      </c>
      <c r="P753" t="s">
        <v>6527</v>
      </c>
      <c r="R753" t="s">
        <v>6539</v>
      </c>
      <c r="S753" t="s">
        <v>5357</v>
      </c>
      <c r="U753" t="s">
        <v>6559</v>
      </c>
      <c r="W753" t="s">
        <v>358</v>
      </c>
      <c r="X753">
        <v>1202.69</v>
      </c>
      <c r="Y753" t="s">
        <v>6607</v>
      </c>
      <c r="Z753" t="s">
        <v>6614</v>
      </c>
      <c r="AB753" t="s">
        <v>7348</v>
      </c>
      <c r="AD753" t="s">
        <v>9719</v>
      </c>
      <c r="AE753">
        <v>93</v>
      </c>
      <c r="AF753" t="s">
        <v>11005</v>
      </c>
      <c r="AG753" t="s">
        <v>5406</v>
      </c>
      <c r="AH753">
        <v>16</v>
      </c>
      <c r="AI753">
        <v>2</v>
      </c>
      <c r="AJ753">
        <v>0</v>
      </c>
      <c r="AK753">
        <v>57.08</v>
      </c>
      <c r="AO753">
        <v>17196</v>
      </c>
      <c r="AU753">
        <v>23.55</v>
      </c>
      <c r="AV753" t="s">
        <v>763</v>
      </c>
      <c r="AW753" t="s">
        <v>156</v>
      </c>
    </row>
    <row r="754" spans="1:49">
      <c r="A754" s="1">
        <f>HYPERLINK("https://cms.ls-nyc.org/matter/dynamic-profile/view/1866266","18-1866266")</f>
        <v>0</v>
      </c>
      <c r="B754" t="s">
        <v>153</v>
      </c>
      <c r="C754" t="s">
        <v>234</v>
      </c>
      <c r="D754" t="s">
        <v>274</v>
      </c>
      <c r="E754" t="s">
        <v>769</v>
      </c>
      <c r="F754" t="s">
        <v>1363</v>
      </c>
      <c r="G754" t="s">
        <v>2621</v>
      </c>
      <c r="H754" t="s">
        <v>3965</v>
      </c>
      <c r="I754" t="s">
        <v>4977</v>
      </c>
      <c r="J754" t="s">
        <v>5321</v>
      </c>
      <c r="K754">
        <v>10453</v>
      </c>
      <c r="L754" t="s">
        <v>5355</v>
      </c>
      <c r="M754" t="s">
        <v>5355</v>
      </c>
      <c r="O754" t="s">
        <v>6498</v>
      </c>
      <c r="P754" t="s">
        <v>6527</v>
      </c>
      <c r="Q754" t="s">
        <v>6532</v>
      </c>
      <c r="R754" t="s">
        <v>6539</v>
      </c>
      <c r="S754" t="s">
        <v>5357</v>
      </c>
      <c r="U754" t="s">
        <v>6559</v>
      </c>
      <c r="W754" t="s">
        <v>349</v>
      </c>
      <c r="X754">
        <v>1075</v>
      </c>
      <c r="Y754" t="s">
        <v>6606</v>
      </c>
      <c r="Z754" t="s">
        <v>6614</v>
      </c>
      <c r="AA754" t="s">
        <v>6631</v>
      </c>
      <c r="AB754" t="s">
        <v>7335</v>
      </c>
      <c r="AC754" t="s">
        <v>8788</v>
      </c>
      <c r="AD754" t="s">
        <v>9720</v>
      </c>
      <c r="AE754">
        <v>1655</v>
      </c>
      <c r="AF754" t="s">
        <v>11005</v>
      </c>
      <c r="AG754" t="s">
        <v>11023</v>
      </c>
      <c r="AH754">
        <v>31</v>
      </c>
      <c r="AI754">
        <v>1</v>
      </c>
      <c r="AJ754">
        <v>1</v>
      </c>
      <c r="AK754">
        <v>57.59</v>
      </c>
      <c r="AN754" t="s">
        <v>11050</v>
      </c>
      <c r="AO754">
        <v>9480</v>
      </c>
      <c r="AP754" t="s">
        <v>11075</v>
      </c>
      <c r="AU754">
        <v>6.5</v>
      </c>
      <c r="AV754" t="s">
        <v>694</v>
      </c>
      <c r="AW754" t="s">
        <v>11499</v>
      </c>
    </row>
    <row r="755" spans="1:49">
      <c r="A755" s="1">
        <f>HYPERLINK("https://cms.ls-nyc.org/matter/dynamic-profile/view/1871005","18-1871005")</f>
        <v>0</v>
      </c>
      <c r="B755" t="s">
        <v>112</v>
      </c>
      <c r="C755" t="s">
        <v>235</v>
      </c>
      <c r="D755" t="s">
        <v>338</v>
      </c>
      <c r="F755" t="s">
        <v>1364</v>
      </c>
      <c r="G755" t="s">
        <v>2622</v>
      </c>
      <c r="H755" t="s">
        <v>3966</v>
      </c>
      <c r="I755" t="s">
        <v>4978</v>
      </c>
      <c r="J755" t="s">
        <v>5337</v>
      </c>
      <c r="K755">
        <v>11372</v>
      </c>
      <c r="L755" t="s">
        <v>5355</v>
      </c>
      <c r="M755" t="s">
        <v>5356</v>
      </c>
      <c r="N755" t="s">
        <v>5406</v>
      </c>
      <c r="O755" t="s">
        <v>6496</v>
      </c>
      <c r="P755" t="s">
        <v>6527</v>
      </c>
      <c r="R755" t="s">
        <v>6539</v>
      </c>
      <c r="U755" t="s">
        <v>6559</v>
      </c>
      <c r="W755" t="s">
        <v>338</v>
      </c>
      <c r="X755">
        <v>1724.69</v>
      </c>
      <c r="Y755" t="s">
        <v>6604</v>
      </c>
      <c r="Z755" t="s">
        <v>6615</v>
      </c>
      <c r="AB755" t="s">
        <v>7349</v>
      </c>
      <c r="AC755" t="s">
        <v>5392</v>
      </c>
      <c r="AD755" t="s">
        <v>9721</v>
      </c>
      <c r="AE755">
        <v>60</v>
      </c>
      <c r="AF755" t="s">
        <v>8722</v>
      </c>
      <c r="AG755" t="s">
        <v>5406</v>
      </c>
      <c r="AH755">
        <v>60</v>
      </c>
      <c r="AI755">
        <v>2</v>
      </c>
      <c r="AJ755">
        <v>1</v>
      </c>
      <c r="AK755">
        <v>57.75</v>
      </c>
      <c r="AO755">
        <v>12000</v>
      </c>
      <c r="AU755">
        <v>0</v>
      </c>
      <c r="AW755" t="s">
        <v>93</v>
      </c>
    </row>
    <row r="756" spans="1:49">
      <c r="A756" s="1">
        <f>HYPERLINK("https://cms.ls-nyc.org/matter/dynamic-profile/view/0832749","17-0832749")</f>
        <v>0</v>
      </c>
      <c r="B756" t="s">
        <v>58</v>
      </c>
      <c r="C756" t="s">
        <v>234</v>
      </c>
      <c r="D756" t="s">
        <v>485</v>
      </c>
      <c r="E756" t="s">
        <v>674</v>
      </c>
      <c r="F756" t="s">
        <v>1365</v>
      </c>
      <c r="G756" t="s">
        <v>2623</v>
      </c>
      <c r="H756" t="s">
        <v>3937</v>
      </c>
      <c r="I756" t="s">
        <v>4883</v>
      </c>
      <c r="J756" t="s">
        <v>5321</v>
      </c>
      <c r="K756">
        <v>10453</v>
      </c>
      <c r="L756" t="s">
        <v>5355</v>
      </c>
      <c r="M756" t="s">
        <v>5356</v>
      </c>
      <c r="O756" t="s">
        <v>5393</v>
      </c>
      <c r="P756" t="s">
        <v>6527</v>
      </c>
      <c r="Q756" t="s">
        <v>6532</v>
      </c>
      <c r="R756" t="s">
        <v>6539</v>
      </c>
      <c r="S756" t="s">
        <v>5355</v>
      </c>
      <c r="U756" t="s">
        <v>6557</v>
      </c>
      <c r="W756" t="s">
        <v>372</v>
      </c>
      <c r="X756">
        <v>159</v>
      </c>
      <c r="Y756" t="s">
        <v>6606</v>
      </c>
      <c r="Z756" t="s">
        <v>6612</v>
      </c>
      <c r="AA756" t="s">
        <v>6636</v>
      </c>
      <c r="AB756" t="s">
        <v>7350</v>
      </c>
      <c r="AC756">
        <v>15456849</v>
      </c>
      <c r="AD756" t="s">
        <v>9722</v>
      </c>
      <c r="AE756">
        <v>766</v>
      </c>
      <c r="AF756" t="s">
        <v>11008</v>
      </c>
      <c r="AH756">
        <v>17</v>
      </c>
      <c r="AI756">
        <v>1</v>
      </c>
      <c r="AJ756">
        <v>1</v>
      </c>
      <c r="AK756">
        <v>58.45</v>
      </c>
      <c r="AN756" t="s">
        <v>11050</v>
      </c>
      <c r="AO756">
        <v>9492</v>
      </c>
      <c r="AU756">
        <v>0.75</v>
      </c>
      <c r="AV756" t="s">
        <v>674</v>
      </c>
      <c r="AW756" t="s">
        <v>11509</v>
      </c>
    </row>
    <row r="757" spans="1:49">
      <c r="A757" s="1">
        <f>HYPERLINK("https://cms.ls-nyc.org/matter/dynamic-profile/view/1834794","17-1834794")</f>
        <v>0</v>
      </c>
      <c r="B757" t="s">
        <v>163</v>
      </c>
      <c r="C757" t="s">
        <v>234</v>
      </c>
      <c r="D757" t="s">
        <v>486</v>
      </c>
      <c r="E757" t="s">
        <v>440</v>
      </c>
      <c r="F757" t="s">
        <v>1249</v>
      </c>
      <c r="G757" t="s">
        <v>2106</v>
      </c>
      <c r="H757" t="s">
        <v>3551</v>
      </c>
      <c r="I757" t="s">
        <v>4752</v>
      </c>
      <c r="J757" t="s">
        <v>5321</v>
      </c>
      <c r="K757">
        <v>10454</v>
      </c>
      <c r="L757" t="s">
        <v>5355</v>
      </c>
      <c r="M757" t="s">
        <v>5356</v>
      </c>
      <c r="O757" t="s">
        <v>6511</v>
      </c>
      <c r="P757" t="s">
        <v>6527</v>
      </c>
      <c r="Q757" t="s">
        <v>6532</v>
      </c>
      <c r="R757" t="s">
        <v>6539</v>
      </c>
      <c r="S757" t="s">
        <v>5357</v>
      </c>
      <c r="U757" t="s">
        <v>6560</v>
      </c>
      <c r="W757" t="s">
        <v>236</v>
      </c>
      <c r="X757">
        <v>1900</v>
      </c>
      <c r="Y757" t="s">
        <v>6606</v>
      </c>
      <c r="Z757" t="s">
        <v>6614</v>
      </c>
      <c r="AA757" t="s">
        <v>6636</v>
      </c>
      <c r="AB757" t="s">
        <v>7351</v>
      </c>
      <c r="AD757" t="s">
        <v>9723</v>
      </c>
      <c r="AE757">
        <v>173</v>
      </c>
      <c r="AF757" t="s">
        <v>11010</v>
      </c>
      <c r="AG757" t="s">
        <v>11020</v>
      </c>
      <c r="AH757">
        <v>3</v>
      </c>
      <c r="AI757">
        <v>1</v>
      </c>
      <c r="AJ757">
        <v>6</v>
      </c>
      <c r="AK757">
        <v>60.2</v>
      </c>
      <c r="AN757" t="s">
        <v>11050</v>
      </c>
      <c r="AO757">
        <v>22360</v>
      </c>
      <c r="AP757" t="s">
        <v>11116</v>
      </c>
      <c r="AU757">
        <v>9.4</v>
      </c>
      <c r="AV757" t="s">
        <v>462</v>
      </c>
      <c r="AW757" t="s">
        <v>11522</v>
      </c>
    </row>
    <row r="758" spans="1:49">
      <c r="A758" s="1">
        <f>HYPERLINK("https://cms.ls-nyc.org/matter/dynamic-profile/view/1847819","17-1847819")</f>
        <v>0</v>
      </c>
      <c r="B758" t="s">
        <v>93</v>
      </c>
      <c r="C758" t="s">
        <v>235</v>
      </c>
      <c r="D758" t="s">
        <v>426</v>
      </c>
      <c r="F758" t="s">
        <v>906</v>
      </c>
      <c r="G758" t="s">
        <v>2624</v>
      </c>
      <c r="H758" t="s">
        <v>3967</v>
      </c>
      <c r="I758" t="s">
        <v>4979</v>
      </c>
      <c r="J758" t="s">
        <v>5324</v>
      </c>
      <c r="K758">
        <v>11355</v>
      </c>
      <c r="L758" t="s">
        <v>5355</v>
      </c>
      <c r="M758" t="s">
        <v>5356</v>
      </c>
      <c r="N758" t="s">
        <v>5392</v>
      </c>
      <c r="O758" t="s">
        <v>6496</v>
      </c>
      <c r="P758" t="s">
        <v>6527</v>
      </c>
      <c r="R758" t="s">
        <v>6539</v>
      </c>
      <c r="S758" t="s">
        <v>5357</v>
      </c>
      <c r="U758" t="s">
        <v>6557</v>
      </c>
      <c r="W758" t="s">
        <v>426</v>
      </c>
      <c r="X758">
        <v>1262.63</v>
      </c>
      <c r="Y758" t="s">
        <v>6604</v>
      </c>
      <c r="Z758" t="s">
        <v>6614</v>
      </c>
      <c r="AB758" t="s">
        <v>7352</v>
      </c>
      <c r="AC758" t="s">
        <v>5392</v>
      </c>
      <c r="AD758" t="s">
        <v>9724</v>
      </c>
      <c r="AE758">
        <v>53</v>
      </c>
      <c r="AF758" t="s">
        <v>11005</v>
      </c>
      <c r="AG758" t="s">
        <v>5406</v>
      </c>
      <c r="AH758">
        <v>7</v>
      </c>
      <c r="AI758">
        <v>1</v>
      </c>
      <c r="AJ758">
        <v>0</v>
      </c>
      <c r="AK758">
        <v>60.36</v>
      </c>
      <c r="AL758" t="s">
        <v>632</v>
      </c>
      <c r="AN758" t="s">
        <v>11054</v>
      </c>
      <c r="AO758">
        <v>7280</v>
      </c>
      <c r="AU758">
        <v>6.1</v>
      </c>
      <c r="AV758" t="s">
        <v>11447</v>
      </c>
      <c r="AW758" t="s">
        <v>93</v>
      </c>
    </row>
    <row r="759" spans="1:49">
      <c r="A759" s="1">
        <f>HYPERLINK("https://cms.ls-nyc.org/matter/dynamic-profile/view/1856971","18-1856971")</f>
        <v>0</v>
      </c>
      <c r="B759" t="s">
        <v>97</v>
      </c>
      <c r="C759" t="s">
        <v>235</v>
      </c>
      <c r="D759" t="s">
        <v>249</v>
      </c>
      <c r="F759" t="s">
        <v>1366</v>
      </c>
      <c r="G759" t="s">
        <v>1491</v>
      </c>
      <c r="H759" t="s">
        <v>3968</v>
      </c>
      <c r="I759" t="s">
        <v>4814</v>
      </c>
      <c r="J759" t="s">
        <v>5323</v>
      </c>
      <c r="K759">
        <v>10034</v>
      </c>
      <c r="L759" t="s">
        <v>5355</v>
      </c>
      <c r="M759" t="s">
        <v>5356</v>
      </c>
      <c r="O759" t="s">
        <v>6500</v>
      </c>
      <c r="P759" t="s">
        <v>6527</v>
      </c>
      <c r="R759" t="s">
        <v>6539</v>
      </c>
      <c r="S759" t="s">
        <v>5357</v>
      </c>
      <c r="U759" t="s">
        <v>6557</v>
      </c>
      <c r="W759" t="s">
        <v>249</v>
      </c>
      <c r="X759">
        <v>767.38</v>
      </c>
      <c r="Y759" t="s">
        <v>6608</v>
      </c>
      <c r="Z759" t="s">
        <v>6616</v>
      </c>
      <c r="AB759" t="s">
        <v>7353</v>
      </c>
      <c r="AD759" t="s">
        <v>9725</v>
      </c>
      <c r="AE759">
        <v>48</v>
      </c>
      <c r="AF759" t="s">
        <v>11005</v>
      </c>
      <c r="AG759" t="s">
        <v>5406</v>
      </c>
      <c r="AH759">
        <v>14</v>
      </c>
      <c r="AI759">
        <v>2</v>
      </c>
      <c r="AJ759">
        <v>2</v>
      </c>
      <c r="AK759">
        <v>60.98</v>
      </c>
      <c r="AN759" t="s">
        <v>11050</v>
      </c>
      <c r="AO759">
        <v>15000</v>
      </c>
      <c r="AU759">
        <v>15.9</v>
      </c>
      <c r="AV759" t="s">
        <v>11454</v>
      </c>
      <c r="AW759" t="s">
        <v>11495</v>
      </c>
    </row>
    <row r="760" spans="1:49">
      <c r="A760" s="1">
        <f>HYPERLINK("https://cms.ls-nyc.org/matter/dynamic-profile/view/1863294","18-1863294")</f>
        <v>0</v>
      </c>
      <c r="B760" t="s">
        <v>148</v>
      </c>
      <c r="C760" t="s">
        <v>234</v>
      </c>
      <c r="D760" t="s">
        <v>257</v>
      </c>
      <c r="E760" t="s">
        <v>695</v>
      </c>
      <c r="F760" t="s">
        <v>1367</v>
      </c>
      <c r="G760" t="s">
        <v>2625</v>
      </c>
      <c r="H760" t="s">
        <v>3969</v>
      </c>
      <c r="I760">
        <v>126</v>
      </c>
      <c r="J760" t="s">
        <v>5322</v>
      </c>
      <c r="K760">
        <v>10314</v>
      </c>
      <c r="L760" t="s">
        <v>5355</v>
      </c>
      <c r="M760" t="s">
        <v>5356</v>
      </c>
      <c r="N760" t="s">
        <v>5383</v>
      </c>
      <c r="O760" t="s">
        <v>6505</v>
      </c>
      <c r="P760" t="s">
        <v>6527</v>
      </c>
      <c r="Q760" t="s">
        <v>6533</v>
      </c>
      <c r="R760" t="s">
        <v>6539</v>
      </c>
      <c r="S760" t="s">
        <v>5357</v>
      </c>
      <c r="U760" t="s">
        <v>6557</v>
      </c>
      <c r="W760" t="s">
        <v>257</v>
      </c>
      <c r="X760">
        <v>1213</v>
      </c>
      <c r="Y760" t="s">
        <v>6607</v>
      </c>
      <c r="Z760" t="s">
        <v>6614</v>
      </c>
      <c r="AA760" t="s">
        <v>6636</v>
      </c>
      <c r="AB760" t="s">
        <v>7354</v>
      </c>
      <c r="AC760" t="s">
        <v>8789</v>
      </c>
      <c r="AD760" t="s">
        <v>9726</v>
      </c>
      <c r="AE760">
        <v>177</v>
      </c>
      <c r="AF760" t="s">
        <v>11004</v>
      </c>
      <c r="AG760" t="s">
        <v>11021</v>
      </c>
      <c r="AH760">
        <v>1</v>
      </c>
      <c r="AI760">
        <v>1</v>
      </c>
      <c r="AJ760">
        <v>0</v>
      </c>
      <c r="AK760">
        <v>61.69</v>
      </c>
      <c r="AN760" t="s">
        <v>11050</v>
      </c>
      <c r="AO760">
        <v>7488.72</v>
      </c>
      <c r="AU760">
        <v>4.1</v>
      </c>
      <c r="AV760" t="s">
        <v>695</v>
      </c>
      <c r="AW760" t="s">
        <v>148</v>
      </c>
    </row>
    <row r="761" spans="1:49">
      <c r="A761" s="1">
        <f>HYPERLINK("https://cms.ls-nyc.org/matter/dynamic-profile/view/0832587","17-0832587")</f>
        <v>0</v>
      </c>
      <c r="B761" t="s">
        <v>131</v>
      </c>
      <c r="C761" t="s">
        <v>235</v>
      </c>
      <c r="D761" t="s">
        <v>487</v>
      </c>
      <c r="F761" t="s">
        <v>1072</v>
      </c>
      <c r="G761" t="s">
        <v>2168</v>
      </c>
      <c r="H761" t="s">
        <v>3952</v>
      </c>
      <c r="I761">
        <v>52</v>
      </c>
      <c r="J761" t="s">
        <v>5323</v>
      </c>
      <c r="K761">
        <v>10032</v>
      </c>
      <c r="L761" t="s">
        <v>5355</v>
      </c>
      <c r="M761" t="s">
        <v>5356</v>
      </c>
      <c r="O761" t="s">
        <v>5393</v>
      </c>
      <c r="P761" t="s">
        <v>6527</v>
      </c>
      <c r="R761" t="s">
        <v>6539</v>
      </c>
      <c r="S761" t="s">
        <v>5355</v>
      </c>
      <c r="U761" t="s">
        <v>6557</v>
      </c>
      <c r="W761" t="s">
        <v>6583</v>
      </c>
      <c r="X761">
        <v>120</v>
      </c>
      <c r="Y761" t="s">
        <v>6608</v>
      </c>
      <c r="Z761" t="s">
        <v>6622</v>
      </c>
      <c r="AB761" t="s">
        <v>7355</v>
      </c>
      <c r="AD761" t="s">
        <v>9727</v>
      </c>
      <c r="AE761">
        <v>44</v>
      </c>
      <c r="AF761" t="s">
        <v>11005</v>
      </c>
      <c r="AG761" t="s">
        <v>5406</v>
      </c>
      <c r="AH761">
        <v>8</v>
      </c>
      <c r="AI761">
        <v>2</v>
      </c>
      <c r="AJ761">
        <v>0</v>
      </c>
      <c r="AK761">
        <v>62.14</v>
      </c>
      <c r="AL761" t="s">
        <v>11032</v>
      </c>
      <c r="AN761" t="s">
        <v>11049</v>
      </c>
      <c r="AO761">
        <v>10092</v>
      </c>
      <c r="AU761">
        <v>0</v>
      </c>
      <c r="AW761" t="s">
        <v>11497</v>
      </c>
    </row>
    <row r="762" spans="1:49">
      <c r="A762" s="1">
        <f>HYPERLINK("https://cms.ls-nyc.org/matter/dynamic-profile/view/1862962","18-1862962")</f>
        <v>0</v>
      </c>
      <c r="B762" t="s">
        <v>164</v>
      </c>
      <c r="C762" t="s">
        <v>234</v>
      </c>
      <c r="D762" t="s">
        <v>293</v>
      </c>
      <c r="E762" t="s">
        <v>731</v>
      </c>
      <c r="F762" t="s">
        <v>1368</v>
      </c>
      <c r="G762" t="s">
        <v>2626</v>
      </c>
      <c r="H762" t="s">
        <v>3970</v>
      </c>
      <c r="I762" t="s">
        <v>4752</v>
      </c>
      <c r="J762" t="s">
        <v>5321</v>
      </c>
      <c r="K762">
        <v>10457</v>
      </c>
      <c r="L762" t="s">
        <v>5355</v>
      </c>
      <c r="M762" t="s">
        <v>5356</v>
      </c>
      <c r="O762" t="s">
        <v>6512</v>
      </c>
      <c r="P762" t="s">
        <v>6527</v>
      </c>
      <c r="Q762" t="s">
        <v>6536</v>
      </c>
      <c r="R762" t="s">
        <v>6539</v>
      </c>
      <c r="U762" t="s">
        <v>6560</v>
      </c>
      <c r="W762" t="s">
        <v>6575</v>
      </c>
      <c r="X762">
        <v>1112.01</v>
      </c>
      <c r="Y762" t="s">
        <v>6606</v>
      </c>
      <c r="Z762" t="s">
        <v>6614</v>
      </c>
      <c r="AA762" t="s">
        <v>6636</v>
      </c>
      <c r="AB762" t="s">
        <v>7356</v>
      </c>
      <c r="AC762" t="s">
        <v>8790</v>
      </c>
      <c r="AD762" t="s">
        <v>9728</v>
      </c>
      <c r="AE762">
        <v>88</v>
      </c>
      <c r="AF762" t="s">
        <v>11005</v>
      </c>
      <c r="AG762" t="s">
        <v>11020</v>
      </c>
      <c r="AH762">
        <v>7</v>
      </c>
      <c r="AI762">
        <v>2</v>
      </c>
      <c r="AJ762">
        <v>1</v>
      </c>
      <c r="AK762">
        <v>62.48</v>
      </c>
      <c r="AN762" t="s">
        <v>11050</v>
      </c>
      <c r="AO762">
        <v>24415.2</v>
      </c>
      <c r="AU762">
        <v>0.4</v>
      </c>
      <c r="AV762" t="s">
        <v>369</v>
      </c>
      <c r="AW762" t="s">
        <v>11491</v>
      </c>
    </row>
    <row r="763" spans="1:49">
      <c r="A763" s="1">
        <f>HYPERLINK("https://cms.ls-nyc.org/matter/dynamic-profile/view/1849935","17-1849935")</f>
        <v>0</v>
      </c>
      <c r="B763" t="s">
        <v>52</v>
      </c>
      <c r="C763" t="s">
        <v>234</v>
      </c>
      <c r="D763" t="s">
        <v>341</v>
      </c>
      <c r="E763" t="s">
        <v>770</v>
      </c>
      <c r="F763" t="s">
        <v>1369</v>
      </c>
      <c r="G763" t="s">
        <v>2163</v>
      </c>
      <c r="H763" t="s">
        <v>3971</v>
      </c>
      <c r="I763" t="s">
        <v>4980</v>
      </c>
      <c r="J763" t="s">
        <v>5327</v>
      </c>
      <c r="K763">
        <v>11101</v>
      </c>
      <c r="L763" t="s">
        <v>5355</v>
      </c>
      <c r="M763" t="s">
        <v>5355</v>
      </c>
      <c r="N763" t="s">
        <v>5392</v>
      </c>
      <c r="O763" t="s">
        <v>6500</v>
      </c>
      <c r="P763" t="s">
        <v>6527</v>
      </c>
      <c r="Q763" t="s">
        <v>6533</v>
      </c>
      <c r="R763" t="s">
        <v>6539</v>
      </c>
      <c r="S763" t="s">
        <v>5357</v>
      </c>
      <c r="U763" t="s">
        <v>6557</v>
      </c>
      <c r="V763" t="s">
        <v>6566</v>
      </c>
      <c r="W763" t="s">
        <v>341</v>
      </c>
      <c r="X763">
        <v>959</v>
      </c>
      <c r="Y763" t="s">
        <v>6604</v>
      </c>
      <c r="Z763" t="s">
        <v>6620</v>
      </c>
      <c r="AA763" t="s">
        <v>6636</v>
      </c>
      <c r="AB763" t="s">
        <v>7357</v>
      </c>
      <c r="AC763" t="s">
        <v>8791</v>
      </c>
      <c r="AD763" t="s">
        <v>9729</v>
      </c>
      <c r="AE763">
        <v>600</v>
      </c>
      <c r="AF763" t="s">
        <v>11005</v>
      </c>
      <c r="AG763" t="s">
        <v>11020</v>
      </c>
      <c r="AH763">
        <v>2</v>
      </c>
      <c r="AI763">
        <v>1</v>
      </c>
      <c r="AJ763">
        <v>1</v>
      </c>
      <c r="AK763">
        <v>64.66</v>
      </c>
      <c r="AN763" t="s">
        <v>11050</v>
      </c>
      <c r="AO763">
        <v>10500</v>
      </c>
      <c r="AU763">
        <v>4.45</v>
      </c>
      <c r="AV763" t="s">
        <v>11455</v>
      </c>
      <c r="AW763" t="s">
        <v>52</v>
      </c>
    </row>
    <row r="764" spans="1:49">
      <c r="A764" s="1">
        <f>HYPERLINK("https://cms.ls-nyc.org/matter/dynamic-profile/view/1837357","17-1837357")</f>
        <v>0</v>
      </c>
      <c r="B764" t="s">
        <v>97</v>
      </c>
      <c r="C764" t="s">
        <v>234</v>
      </c>
      <c r="D764" t="s">
        <v>488</v>
      </c>
      <c r="E764" t="s">
        <v>711</v>
      </c>
      <c r="F764" t="s">
        <v>1370</v>
      </c>
      <c r="G764" t="s">
        <v>2252</v>
      </c>
      <c r="H764" t="s">
        <v>3807</v>
      </c>
      <c r="I764">
        <v>2</v>
      </c>
      <c r="J764" t="s">
        <v>5323</v>
      </c>
      <c r="K764">
        <v>10034</v>
      </c>
      <c r="L764" t="s">
        <v>5355</v>
      </c>
      <c r="M764" t="s">
        <v>5356</v>
      </c>
      <c r="O764" t="s">
        <v>6498</v>
      </c>
      <c r="P764" t="s">
        <v>6527</v>
      </c>
      <c r="Q764" t="s">
        <v>6532</v>
      </c>
      <c r="R764" t="s">
        <v>6539</v>
      </c>
      <c r="S764" t="s">
        <v>5357</v>
      </c>
      <c r="U764" t="s">
        <v>6559</v>
      </c>
      <c r="W764" t="s">
        <v>6583</v>
      </c>
      <c r="X764">
        <v>871.5700000000001</v>
      </c>
      <c r="Y764" t="s">
        <v>6608</v>
      </c>
      <c r="Z764" t="s">
        <v>6622</v>
      </c>
      <c r="AA764" t="s">
        <v>6632</v>
      </c>
      <c r="AB764" t="s">
        <v>7241</v>
      </c>
      <c r="AC764" t="s">
        <v>8792</v>
      </c>
      <c r="AD764" t="s">
        <v>9730</v>
      </c>
      <c r="AE764">
        <v>25</v>
      </c>
      <c r="AF764" t="s">
        <v>11005</v>
      </c>
      <c r="AG764" t="s">
        <v>11024</v>
      </c>
      <c r="AH764">
        <v>12</v>
      </c>
      <c r="AI764">
        <v>1</v>
      </c>
      <c r="AJ764">
        <v>1</v>
      </c>
      <c r="AK764">
        <v>65.91</v>
      </c>
      <c r="AN764" t="s">
        <v>11049</v>
      </c>
      <c r="AO764">
        <v>10704</v>
      </c>
      <c r="AU764">
        <v>2.7</v>
      </c>
      <c r="AV764" t="s">
        <v>711</v>
      </c>
      <c r="AW764" t="s">
        <v>11495</v>
      </c>
    </row>
    <row r="765" spans="1:49">
      <c r="A765" s="1">
        <f>HYPERLINK("https://cms.ls-nyc.org/matter/dynamic-profile/view/1837029","17-1837029")</f>
        <v>0</v>
      </c>
      <c r="B765" t="s">
        <v>58</v>
      </c>
      <c r="C765" t="s">
        <v>234</v>
      </c>
      <c r="D765" t="s">
        <v>489</v>
      </c>
      <c r="E765" t="s">
        <v>674</v>
      </c>
      <c r="F765" t="s">
        <v>1174</v>
      </c>
      <c r="G765" t="s">
        <v>2627</v>
      </c>
      <c r="H765" t="s">
        <v>3937</v>
      </c>
      <c r="I765" t="s">
        <v>4981</v>
      </c>
      <c r="J765" t="s">
        <v>5321</v>
      </c>
      <c r="K765">
        <v>10453</v>
      </c>
      <c r="L765" t="s">
        <v>5355</v>
      </c>
      <c r="M765" t="s">
        <v>5356</v>
      </c>
      <c r="O765" t="s">
        <v>5393</v>
      </c>
      <c r="P765" t="s">
        <v>6527</v>
      </c>
      <c r="Q765" t="s">
        <v>6532</v>
      </c>
      <c r="R765" t="s">
        <v>6539</v>
      </c>
      <c r="S765" t="s">
        <v>5355</v>
      </c>
      <c r="U765" t="s">
        <v>6557</v>
      </c>
      <c r="W765" t="s">
        <v>372</v>
      </c>
      <c r="X765">
        <v>1272</v>
      </c>
      <c r="Y765" t="s">
        <v>6606</v>
      </c>
      <c r="Z765" t="s">
        <v>6616</v>
      </c>
      <c r="AA765" t="s">
        <v>6636</v>
      </c>
      <c r="AB765" t="s">
        <v>7358</v>
      </c>
      <c r="AD765" t="s">
        <v>9731</v>
      </c>
      <c r="AE765">
        <v>766</v>
      </c>
      <c r="AF765" t="s">
        <v>11008</v>
      </c>
      <c r="AH765">
        <v>1</v>
      </c>
      <c r="AI765">
        <v>1</v>
      </c>
      <c r="AJ765">
        <v>0</v>
      </c>
      <c r="AK765">
        <v>66.33</v>
      </c>
      <c r="AN765" t="s">
        <v>11050</v>
      </c>
      <c r="AO765">
        <v>8000</v>
      </c>
      <c r="AU765">
        <v>0.25</v>
      </c>
      <c r="AV765" t="s">
        <v>674</v>
      </c>
      <c r="AW765" t="s">
        <v>11523</v>
      </c>
    </row>
    <row r="766" spans="1:49">
      <c r="A766" s="1">
        <f>HYPERLINK("https://cms.ls-nyc.org/matter/dynamic-profile/view/1855203","18-1855203")</f>
        <v>0</v>
      </c>
      <c r="B766" t="s">
        <v>145</v>
      </c>
      <c r="C766" t="s">
        <v>234</v>
      </c>
      <c r="D766" t="s">
        <v>490</v>
      </c>
      <c r="E766" t="s">
        <v>771</v>
      </c>
      <c r="F766" t="s">
        <v>1371</v>
      </c>
      <c r="G766" t="s">
        <v>2452</v>
      </c>
      <c r="H766" t="s">
        <v>3972</v>
      </c>
      <c r="I766" t="s">
        <v>4879</v>
      </c>
      <c r="J766" t="s">
        <v>5321</v>
      </c>
      <c r="K766">
        <v>10457</v>
      </c>
      <c r="L766" t="s">
        <v>5355</v>
      </c>
      <c r="M766" t="s">
        <v>5356</v>
      </c>
      <c r="O766" t="s">
        <v>6498</v>
      </c>
      <c r="P766" t="s">
        <v>6527</v>
      </c>
      <c r="Q766" t="s">
        <v>6532</v>
      </c>
      <c r="R766" t="s">
        <v>6539</v>
      </c>
      <c r="U766" t="s">
        <v>6559</v>
      </c>
      <c r="W766" t="s">
        <v>330</v>
      </c>
      <c r="X766">
        <v>726.84</v>
      </c>
      <c r="Y766" t="s">
        <v>6606</v>
      </c>
      <c r="Z766" t="s">
        <v>6613</v>
      </c>
      <c r="AA766" t="s">
        <v>6636</v>
      </c>
      <c r="AB766" t="s">
        <v>7359</v>
      </c>
      <c r="AD766" t="s">
        <v>9732</v>
      </c>
      <c r="AE766">
        <v>61</v>
      </c>
      <c r="AF766" t="s">
        <v>11005</v>
      </c>
      <c r="AG766" t="s">
        <v>5406</v>
      </c>
      <c r="AH766">
        <v>38</v>
      </c>
      <c r="AI766">
        <v>2</v>
      </c>
      <c r="AJ766">
        <v>0</v>
      </c>
      <c r="AK766">
        <v>66.5</v>
      </c>
      <c r="AN766" t="s">
        <v>11049</v>
      </c>
      <c r="AO766">
        <v>10800</v>
      </c>
      <c r="AP766" t="s">
        <v>11117</v>
      </c>
      <c r="AU766">
        <v>0.6</v>
      </c>
      <c r="AV766" t="s">
        <v>771</v>
      </c>
      <c r="AW766" t="s">
        <v>11534</v>
      </c>
    </row>
    <row r="767" spans="1:49">
      <c r="A767" s="1">
        <f>HYPERLINK("https://cms.ls-nyc.org/matter/dynamic-profile/view/1860927","18-1860927")</f>
        <v>0</v>
      </c>
      <c r="B767" t="s">
        <v>106</v>
      </c>
      <c r="C767" t="s">
        <v>235</v>
      </c>
      <c r="D767" t="s">
        <v>296</v>
      </c>
      <c r="F767" t="s">
        <v>897</v>
      </c>
      <c r="G767" t="s">
        <v>2628</v>
      </c>
      <c r="H767" t="s">
        <v>3973</v>
      </c>
      <c r="I767" t="s">
        <v>4740</v>
      </c>
      <c r="J767" t="s">
        <v>5321</v>
      </c>
      <c r="K767">
        <v>10453</v>
      </c>
      <c r="L767" t="s">
        <v>5355</v>
      </c>
      <c r="M767" t="s">
        <v>5356</v>
      </c>
      <c r="O767" t="s">
        <v>6513</v>
      </c>
      <c r="P767" t="s">
        <v>6527</v>
      </c>
      <c r="R767" t="s">
        <v>6539</v>
      </c>
      <c r="U767" t="s">
        <v>6558</v>
      </c>
      <c r="W767" t="s">
        <v>326</v>
      </c>
      <c r="X767">
        <v>0</v>
      </c>
      <c r="Y767" t="s">
        <v>6606</v>
      </c>
      <c r="AB767" t="s">
        <v>7360</v>
      </c>
      <c r="AC767" t="s">
        <v>8793</v>
      </c>
      <c r="AE767">
        <v>0</v>
      </c>
      <c r="AF767" t="s">
        <v>11005</v>
      </c>
      <c r="AH767">
        <v>15</v>
      </c>
      <c r="AI767">
        <v>1</v>
      </c>
      <c r="AJ767">
        <v>3</v>
      </c>
      <c r="AK767">
        <v>66.5</v>
      </c>
      <c r="AN767" t="s">
        <v>11050</v>
      </c>
      <c r="AO767">
        <v>25488</v>
      </c>
      <c r="AU767">
        <v>18.9</v>
      </c>
      <c r="AV767" t="s">
        <v>449</v>
      </c>
      <c r="AW767" t="s">
        <v>11499</v>
      </c>
    </row>
    <row r="768" spans="1:49">
      <c r="A768" s="1">
        <f>HYPERLINK("https://cms.ls-nyc.org/matter/dynamic-profile/view/1861059","18-1861059")</f>
        <v>0</v>
      </c>
      <c r="B768" t="s">
        <v>63</v>
      </c>
      <c r="C768" t="s">
        <v>234</v>
      </c>
      <c r="D768" t="s">
        <v>362</v>
      </c>
      <c r="E768" t="s">
        <v>697</v>
      </c>
      <c r="F768" t="s">
        <v>966</v>
      </c>
      <c r="G768" t="s">
        <v>2629</v>
      </c>
      <c r="H768" t="s">
        <v>3974</v>
      </c>
      <c r="I768" t="s">
        <v>4749</v>
      </c>
      <c r="J768" t="s">
        <v>5322</v>
      </c>
      <c r="K768">
        <v>10304</v>
      </c>
      <c r="L768" t="s">
        <v>5355</v>
      </c>
      <c r="M768" t="s">
        <v>5356</v>
      </c>
      <c r="N768" t="s">
        <v>5406</v>
      </c>
      <c r="O768" t="s">
        <v>6505</v>
      </c>
      <c r="P768" t="s">
        <v>6527</v>
      </c>
      <c r="Q768" t="s">
        <v>6536</v>
      </c>
      <c r="R768" t="s">
        <v>6539</v>
      </c>
      <c r="S768" t="s">
        <v>5357</v>
      </c>
      <c r="U768" t="s">
        <v>6557</v>
      </c>
      <c r="V768" t="s">
        <v>6566</v>
      </c>
      <c r="W768" t="s">
        <v>362</v>
      </c>
      <c r="X768">
        <v>1268</v>
      </c>
      <c r="Y768" t="s">
        <v>6607</v>
      </c>
      <c r="Z768" t="s">
        <v>6614</v>
      </c>
      <c r="AA768" t="s">
        <v>6632</v>
      </c>
      <c r="AB768" t="s">
        <v>7361</v>
      </c>
      <c r="AC768" t="s">
        <v>8794</v>
      </c>
      <c r="AD768" t="s">
        <v>9733</v>
      </c>
      <c r="AE768">
        <v>92</v>
      </c>
      <c r="AF768" t="s">
        <v>11005</v>
      </c>
      <c r="AG768" t="s">
        <v>11021</v>
      </c>
      <c r="AH768">
        <v>7</v>
      </c>
      <c r="AI768">
        <v>2</v>
      </c>
      <c r="AJ768">
        <v>0</v>
      </c>
      <c r="AK768">
        <v>68.31</v>
      </c>
      <c r="AN768" t="s">
        <v>11050</v>
      </c>
      <c r="AO768">
        <v>11244</v>
      </c>
      <c r="AU768">
        <v>11.4</v>
      </c>
      <c r="AV768" t="s">
        <v>697</v>
      </c>
      <c r="AW768" t="s">
        <v>148</v>
      </c>
    </row>
    <row r="769" spans="1:50">
      <c r="A769" s="1">
        <f>HYPERLINK("https://cms.ls-nyc.org/matter/dynamic-profile/view/1852023","17-1852023")</f>
        <v>0</v>
      </c>
      <c r="B769" t="s">
        <v>165</v>
      </c>
      <c r="C769" t="s">
        <v>234</v>
      </c>
      <c r="D769" t="s">
        <v>481</v>
      </c>
      <c r="E769" t="s">
        <v>713</v>
      </c>
      <c r="F769" t="s">
        <v>914</v>
      </c>
      <c r="G769" t="s">
        <v>2630</v>
      </c>
      <c r="H769" t="s">
        <v>3975</v>
      </c>
      <c r="I769" t="s">
        <v>4982</v>
      </c>
      <c r="J769" t="s">
        <v>5321</v>
      </c>
      <c r="K769">
        <v>10458</v>
      </c>
      <c r="L769" t="s">
        <v>5355</v>
      </c>
      <c r="M769" t="s">
        <v>5356</v>
      </c>
      <c r="N769" t="s">
        <v>5552</v>
      </c>
      <c r="O769" t="s">
        <v>6498</v>
      </c>
      <c r="P769" t="s">
        <v>6527</v>
      </c>
      <c r="Q769" t="s">
        <v>6536</v>
      </c>
      <c r="R769" t="s">
        <v>6539</v>
      </c>
      <c r="S769" t="s">
        <v>5357</v>
      </c>
      <c r="U769" t="s">
        <v>6559</v>
      </c>
      <c r="W769" t="s">
        <v>362</v>
      </c>
      <c r="X769">
        <v>957.58</v>
      </c>
      <c r="Y769" t="s">
        <v>6606</v>
      </c>
      <c r="Z769" t="s">
        <v>6614</v>
      </c>
      <c r="AA769" t="s">
        <v>6636</v>
      </c>
      <c r="AB769" t="s">
        <v>7362</v>
      </c>
      <c r="AD769" t="s">
        <v>9734</v>
      </c>
      <c r="AE769">
        <v>46</v>
      </c>
      <c r="AF769" t="s">
        <v>11005</v>
      </c>
      <c r="AG769" t="s">
        <v>5406</v>
      </c>
      <c r="AH769">
        <v>12</v>
      </c>
      <c r="AI769">
        <v>2</v>
      </c>
      <c r="AJ769">
        <v>0</v>
      </c>
      <c r="AK769">
        <v>68.84999999999999</v>
      </c>
      <c r="AO769">
        <v>13028</v>
      </c>
      <c r="AU769">
        <v>9.1</v>
      </c>
      <c r="AV769" t="s">
        <v>814</v>
      </c>
      <c r="AW769" t="s">
        <v>11535</v>
      </c>
    </row>
    <row r="770" spans="1:50">
      <c r="A770" s="1">
        <f>HYPERLINK("https://cms.ls-nyc.org/matter/dynamic-profile/view/1855202","18-1855202")</f>
        <v>0</v>
      </c>
      <c r="B770" t="s">
        <v>159</v>
      </c>
      <c r="C770" t="s">
        <v>234</v>
      </c>
      <c r="D770" t="s">
        <v>490</v>
      </c>
      <c r="E770" t="s">
        <v>667</v>
      </c>
      <c r="F770" t="s">
        <v>1372</v>
      </c>
      <c r="G770" t="s">
        <v>2631</v>
      </c>
      <c r="H770" t="s">
        <v>3976</v>
      </c>
      <c r="I770" t="s">
        <v>4777</v>
      </c>
      <c r="J770" t="s">
        <v>5321</v>
      </c>
      <c r="K770">
        <v>10457</v>
      </c>
      <c r="L770" t="s">
        <v>5355</v>
      </c>
      <c r="M770" t="s">
        <v>5356</v>
      </c>
      <c r="O770" t="s">
        <v>6512</v>
      </c>
      <c r="P770" t="s">
        <v>6527</v>
      </c>
      <c r="Q770" t="s">
        <v>6532</v>
      </c>
      <c r="R770" t="s">
        <v>6539</v>
      </c>
      <c r="S770" t="s">
        <v>5357</v>
      </c>
      <c r="U770" t="s">
        <v>6560</v>
      </c>
      <c r="W770" t="s">
        <v>516</v>
      </c>
      <c r="X770">
        <v>1600</v>
      </c>
      <c r="Y770" t="s">
        <v>6606</v>
      </c>
      <c r="Z770" t="s">
        <v>6615</v>
      </c>
      <c r="AA770" t="s">
        <v>6642</v>
      </c>
      <c r="AB770" t="s">
        <v>7363</v>
      </c>
      <c r="AD770" t="s">
        <v>9735</v>
      </c>
      <c r="AE770">
        <v>166</v>
      </c>
      <c r="AF770" t="s">
        <v>11010</v>
      </c>
      <c r="AG770" t="s">
        <v>11020</v>
      </c>
      <c r="AH770">
        <v>10</v>
      </c>
      <c r="AI770">
        <v>2</v>
      </c>
      <c r="AJ770">
        <v>0</v>
      </c>
      <c r="AK770">
        <v>69</v>
      </c>
      <c r="AN770" t="s">
        <v>11050</v>
      </c>
      <c r="AO770">
        <v>20306</v>
      </c>
      <c r="AP770" t="s">
        <v>11118</v>
      </c>
      <c r="AU770">
        <v>2</v>
      </c>
      <c r="AV770" t="s">
        <v>382</v>
      </c>
      <c r="AW770" t="s">
        <v>11534</v>
      </c>
    </row>
    <row r="771" spans="1:50">
      <c r="A771" s="1">
        <f>HYPERLINK("https://cms.ls-nyc.org/matter/dynamic-profile/view/1845691","17-1845691")</f>
        <v>0</v>
      </c>
      <c r="B771" t="s">
        <v>68</v>
      </c>
      <c r="C771" t="s">
        <v>235</v>
      </c>
      <c r="D771" t="s">
        <v>466</v>
      </c>
      <c r="F771" t="s">
        <v>1373</v>
      </c>
      <c r="G771" t="s">
        <v>2133</v>
      </c>
      <c r="H771" t="s">
        <v>3977</v>
      </c>
      <c r="I771" t="s">
        <v>4891</v>
      </c>
      <c r="J771" t="s">
        <v>5323</v>
      </c>
      <c r="K771">
        <v>10029</v>
      </c>
      <c r="L771" t="s">
        <v>5355</v>
      </c>
      <c r="M771" t="s">
        <v>5356</v>
      </c>
      <c r="O771" t="s">
        <v>5393</v>
      </c>
      <c r="P771" t="s">
        <v>6527</v>
      </c>
      <c r="R771" t="s">
        <v>6539</v>
      </c>
      <c r="S771" t="s">
        <v>5357</v>
      </c>
      <c r="U771" t="s">
        <v>6557</v>
      </c>
      <c r="V771" t="s">
        <v>6566</v>
      </c>
      <c r="W771" t="s">
        <v>376</v>
      </c>
      <c r="X771">
        <v>404.29</v>
      </c>
      <c r="Y771" t="s">
        <v>6608</v>
      </c>
      <c r="Z771" t="s">
        <v>6612</v>
      </c>
      <c r="AA771" t="s">
        <v>6643</v>
      </c>
      <c r="AB771" t="s">
        <v>7364</v>
      </c>
      <c r="AD771" t="s">
        <v>9736</v>
      </c>
      <c r="AE771">
        <v>13</v>
      </c>
      <c r="AF771" t="s">
        <v>11005</v>
      </c>
      <c r="AG771" t="s">
        <v>5406</v>
      </c>
      <c r="AH771">
        <v>14</v>
      </c>
      <c r="AI771">
        <v>1</v>
      </c>
      <c r="AJ771">
        <v>1</v>
      </c>
      <c r="AK771">
        <v>70.44</v>
      </c>
      <c r="AN771" t="s">
        <v>11050</v>
      </c>
      <c r="AO771">
        <v>11440</v>
      </c>
      <c r="AU771">
        <v>91.15000000000001</v>
      </c>
      <c r="AV771" t="s">
        <v>11451</v>
      </c>
      <c r="AW771" t="s">
        <v>11507</v>
      </c>
      <c r="AX771" t="s">
        <v>11564</v>
      </c>
    </row>
    <row r="772" spans="1:50">
      <c r="A772" s="1">
        <f>HYPERLINK("https://cms.ls-nyc.org/matter/dynamic-profile/view/1866239","18-1866239")</f>
        <v>0</v>
      </c>
      <c r="B772" t="s">
        <v>52</v>
      </c>
      <c r="C772" t="s">
        <v>234</v>
      </c>
      <c r="D772" t="s">
        <v>274</v>
      </c>
      <c r="E772" t="s">
        <v>665</v>
      </c>
      <c r="F772" t="s">
        <v>1374</v>
      </c>
      <c r="G772" t="s">
        <v>2632</v>
      </c>
      <c r="H772" t="s">
        <v>3978</v>
      </c>
      <c r="J772" t="s">
        <v>5326</v>
      </c>
      <c r="K772">
        <v>11691</v>
      </c>
      <c r="L772" t="s">
        <v>5355</v>
      </c>
      <c r="M772" t="s">
        <v>5355</v>
      </c>
      <c r="N772" t="s">
        <v>5392</v>
      </c>
      <c r="O772" t="s">
        <v>6503</v>
      </c>
      <c r="P772" t="s">
        <v>6527</v>
      </c>
      <c r="Q772" t="s">
        <v>6533</v>
      </c>
      <c r="R772" t="s">
        <v>6540</v>
      </c>
      <c r="S772" t="s">
        <v>5357</v>
      </c>
      <c r="U772" t="s">
        <v>6560</v>
      </c>
      <c r="V772" t="s">
        <v>6566</v>
      </c>
      <c r="W772" t="s">
        <v>274</v>
      </c>
      <c r="X772">
        <v>1184</v>
      </c>
      <c r="Y772" t="s">
        <v>6604</v>
      </c>
      <c r="Z772" t="s">
        <v>6610</v>
      </c>
      <c r="AA772" t="s">
        <v>6632</v>
      </c>
      <c r="AB772" t="s">
        <v>7365</v>
      </c>
      <c r="AC772" t="s">
        <v>8795</v>
      </c>
      <c r="AD772" t="s">
        <v>9737</v>
      </c>
      <c r="AE772">
        <v>284</v>
      </c>
      <c r="AF772" t="s">
        <v>11008</v>
      </c>
      <c r="AG772" t="s">
        <v>11020</v>
      </c>
      <c r="AH772">
        <v>2</v>
      </c>
      <c r="AI772">
        <v>1</v>
      </c>
      <c r="AJ772">
        <v>2</v>
      </c>
      <c r="AK772">
        <v>71.2</v>
      </c>
      <c r="AL772" t="s">
        <v>11028</v>
      </c>
      <c r="AM772" t="s">
        <v>11044</v>
      </c>
      <c r="AN772" t="s">
        <v>11050</v>
      </c>
      <c r="AO772">
        <v>14796</v>
      </c>
      <c r="AU772">
        <v>10.82</v>
      </c>
      <c r="AV772" t="s">
        <v>684</v>
      </c>
      <c r="AW772" t="s">
        <v>51</v>
      </c>
    </row>
    <row r="773" spans="1:50">
      <c r="A773" s="1">
        <f>HYPERLINK("https://cms.ls-nyc.org/matter/dynamic-profile/view/1857890","18-1857890")</f>
        <v>0</v>
      </c>
      <c r="B773" t="s">
        <v>92</v>
      </c>
      <c r="C773" t="s">
        <v>235</v>
      </c>
      <c r="D773" t="s">
        <v>262</v>
      </c>
      <c r="F773" t="s">
        <v>1347</v>
      </c>
      <c r="G773" t="s">
        <v>2633</v>
      </c>
      <c r="H773" t="s">
        <v>3979</v>
      </c>
      <c r="I773" t="s">
        <v>4749</v>
      </c>
      <c r="J773" t="s">
        <v>5323</v>
      </c>
      <c r="K773">
        <v>10034</v>
      </c>
      <c r="L773" t="s">
        <v>5355</v>
      </c>
      <c r="M773" t="s">
        <v>5356</v>
      </c>
      <c r="N773" t="s">
        <v>5553</v>
      </c>
      <c r="O773" t="s">
        <v>6500</v>
      </c>
      <c r="P773" t="s">
        <v>6527</v>
      </c>
      <c r="R773" t="s">
        <v>6539</v>
      </c>
      <c r="S773" t="s">
        <v>5357</v>
      </c>
      <c r="U773" t="s">
        <v>6557</v>
      </c>
      <c r="W773" t="s">
        <v>262</v>
      </c>
      <c r="X773">
        <v>810.92</v>
      </c>
      <c r="Y773" t="s">
        <v>6608</v>
      </c>
      <c r="Z773" t="s">
        <v>6614</v>
      </c>
      <c r="AB773" t="s">
        <v>7366</v>
      </c>
      <c r="AD773" t="s">
        <v>9738</v>
      </c>
      <c r="AE773">
        <v>40</v>
      </c>
      <c r="AF773" t="s">
        <v>11005</v>
      </c>
      <c r="AG773" t="s">
        <v>11020</v>
      </c>
      <c r="AH773">
        <v>37</v>
      </c>
      <c r="AI773">
        <v>1</v>
      </c>
      <c r="AJ773">
        <v>0</v>
      </c>
      <c r="AK773">
        <v>72.65000000000001</v>
      </c>
      <c r="AN773" t="s">
        <v>11049</v>
      </c>
      <c r="AO773">
        <v>8820</v>
      </c>
      <c r="AU773">
        <v>0.3</v>
      </c>
      <c r="AV773" t="s">
        <v>680</v>
      </c>
      <c r="AW773" t="s">
        <v>11495</v>
      </c>
    </row>
    <row r="774" spans="1:50">
      <c r="A774" s="1">
        <f>HYPERLINK("https://cms.ls-nyc.org/matter/dynamic-profile/view/1856867","18-1856867")</f>
        <v>0</v>
      </c>
      <c r="B774" t="s">
        <v>97</v>
      </c>
      <c r="C774" t="s">
        <v>235</v>
      </c>
      <c r="D774" t="s">
        <v>310</v>
      </c>
      <c r="F774" t="s">
        <v>1375</v>
      </c>
      <c r="G774" t="s">
        <v>2634</v>
      </c>
      <c r="H774" t="s">
        <v>3980</v>
      </c>
      <c r="I774" t="s">
        <v>4788</v>
      </c>
      <c r="J774" t="s">
        <v>5323</v>
      </c>
      <c r="K774">
        <v>10034</v>
      </c>
      <c r="L774" t="s">
        <v>5355</v>
      </c>
      <c r="M774" t="s">
        <v>5356</v>
      </c>
      <c r="O774" t="s">
        <v>6494</v>
      </c>
      <c r="P774" t="s">
        <v>6527</v>
      </c>
      <c r="R774" t="s">
        <v>6539</v>
      </c>
      <c r="S774" t="s">
        <v>5355</v>
      </c>
      <c r="U774" t="s">
        <v>6557</v>
      </c>
      <c r="W774" t="s">
        <v>310</v>
      </c>
      <c r="X774">
        <v>774.26</v>
      </c>
      <c r="Y774" t="s">
        <v>6608</v>
      </c>
      <c r="Z774" t="s">
        <v>6614</v>
      </c>
      <c r="AB774" t="s">
        <v>7367</v>
      </c>
      <c r="AD774" t="s">
        <v>9739</v>
      </c>
      <c r="AE774">
        <v>65</v>
      </c>
      <c r="AF774" t="s">
        <v>11005</v>
      </c>
      <c r="AG774" t="s">
        <v>5406</v>
      </c>
      <c r="AH774">
        <v>39</v>
      </c>
      <c r="AI774">
        <v>3</v>
      </c>
      <c r="AJ774">
        <v>1</v>
      </c>
      <c r="AK774">
        <v>72.73</v>
      </c>
      <c r="AN774" t="s">
        <v>11049</v>
      </c>
      <c r="AO774">
        <v>26892</v>
      </c>
      <c r="AU774">
        <v>64.59999999999999</v>
      </c>
      <c r="AV774" t="s">
        <v>814</v>
      </c>
      <c r="AW774" t="s">
        <v>11495</v>
      </c>
    </row>
    <row r="775" spans="1:50">
      <c r="A775" s="1">
        <f>HYPERLINK("https://cms.ls-nyc.org/matter/dynamic-profile/view/0832923","17-0832923")</f>
        <v>0</v>
      </c>
      <c r="B775" t="s">
        <v>58</v>
      </c>
      <c r="C775" t="s">
        <v>234</v>
      </c>
      <c r="D775" t="s">
        <v>491</v>
      </c>
      <c r="E775" t="s">
        <v>674</v>
      </c>
      <c r="F775" t="s">
        <v>1144</v>
      </c>
      <c r="G775" t="s">
        <v>2635</v>
      </c>
      <c r="H775" t="s">
        <v>3937</v>
      </c>
      <c r="I775" t="s">
        <v>4983</v>
      </c>
      <c r="J775" t="s">
        <v>5321</v>
      </c>
      <c r="K775">
        <v>10453</v>
      </c>
      <c r="L775" t="s">
        <v>5355</v>
      </c>
      <c r="M775" t="s">
        <v>5356</v>
      </c>
      <c r="O775" t="s">
        <v>5393</v>
      </c>
      <c r="P775" t="s">
        <v>6527</v>
      </c>
      <c r="Q775" t="s">
        <v>6532</v>
      </c>
      <c r="R775" t="s">
        <v>6539</v>
      </c>
      <c r="S775" t="s">
        <v>5355</v>
      </c>
      <c r="U775" t="s">
        <v>6557</v>
      </c>
      <c r="W775" t="s">
        <v>372</v>
      </c>
      <c r="X775">
        <v>747</v>
      </c>
      <c r="Y775" t="s">
        <v>6606</v>
      </c>
      <c r="Z775" t="s">
        <v>6612</v>
      </c>
      <c r="AA775" t="s">
        <v>6636</v>
      </c>
      <c r="AB775" t="s">
        <v>7368</v>
      </c>
      <c r="AD775" t="s">
        <v>9740</v>
      </c>
      <c r="AE775">
        <v>766</v>
      </c>
      <c r="AF775" t="s">
        <v>11008</v>
      </c>
      <c r="AG775" t="s">
        <v>11020</v>
      </c>
      <c r="AH775">
        <v>30</v>
      </c>
      <c r="AI775">
        <v>1</v>
      </c>
      <c r="AJ775">
        <v>0</v>
      </c>
      <c r="AK775">
        <v>73.13</v>
      </c>
      <c r="AN775" t="s">
        <v>11050</v>
      </c>
      <c r="AO775">
        <v>8820</v>
      </c>
      <c r="AU775">
        <v>0.75</v>
      </c>
      <c r="AV775" t="s">
        <v>674</v>
      </c>
      <c r="AW775" t="s">
        <v>11509</v>
      </c>
    </row>
    <row r="776" spans="1:50">
      <c r="A776" s="1">
        <f>HYPERLINK("https://cms.ls-nyc.org/matter/dynamic-profile/view/1844116","17-1844116")</f>
        <v>0</v>
      </c>
      <c r="B776" t="s">
        <v>131</v>
      </c>
      <c r="C776" t="s">
        <v>235</v>
      </c>
      <c r="D776" t="s">
        <v>461</v>
      </c>
      <c r="F776" t="s">
        <v>1376</v>
      </c>
      <c r="G776" t="s">
        <v>2188</v>
      </c>
      <c r="H776" t="s">
        <v>3981</v>
      </c>
      <c r="J776" t="s">
        <v>5323</v>
      </c>
      <c r="K776">
        <v>10032</v>
      </c>
      <c r="L776" t="s">
        <v>5355</v>
      </c>
      <c r="M776" t="s">
        <v>5356</v>
      </c>
      <c r="N776" t="s">
        <v>5554</v>
      </c>
      <c r="O776" t="s">
        <v>5393</v>
      </c>
      <c r="P776" t="s">
        <v>6527</v>
      </c>
      <c r="R776" t="s">
        <v>6539</v>
      </c>
      <c r="S776" t="s">
        <v>5357</v>
      </c>
      <c r="U776" t="s">
        <v>6557</v>
      </c>
      <c r="W776" t="s">
        <v>461</v>
      </c>
      <c r="X776">
        <v>531</v>
      </c>
      <c r="Y776" t="s">
        <v>6608</v>
      </c>
      <c r="Z776" t="s">
        <v>6614</v>
      </c>
      <c r="AB776" t="s">
        <v>7369</v>
      </c>
      <c r="AD776" t="s">
        <v>9741</v>
      </c>
      <c r="AE776">
        <v>32</v>
      </c>
      <c r="AF776" t="s">
        <v>11005</v>
      </c>
      <c r="AG776" t="s">
        <v>5406</v>
      </c>
      <c r="AH776">
        <v>0</v>
      </c>
      <c r="AI776">
        <v>1</v>
      </c>
      <c r="AJ776">
        <v>0</v>
      </c>
      <c r="AK776">
        <v>73.13</v>
      </c>
      <c r="AL776" t="s">
        <v>582</v>
      </c>
      <c r="AN776" t="s">
        <v>11050</v>
      </c>
      <c r="AO776">
        <v>8820</v>
      </c>
      <c r="AU776">
        <v>53.5</v>
      </c>
      <c r="AV776" t="s">
        <v>702</v>
      </c>
      <c r="AW776" t="s">
        <v>11495</v>
      </c>
    </row>
    <row r="777" spans="1:50">
      <c r="A777" s="1">
        <f>HYPERLINK("https://cms.ls-nyc.org/matter/dynamic-profile/view/1868700","18-1868700")</f>
        <v>0</v>
      </c>
      <c r="B777" t="s">
        <v>90</v>
      </c>
      <c r="C777" t="s">
        <v>235</v>
      </c>
      <c r="D777" t="s">
        <v>318</v>
      </c>
      <c r="F777" t="s">
        <v>1377</v>
      </c>
      <c r="G777" t="s">
        <v>2448</v>
      </c>
      <c r="H777" t="s">
        <v>3949</v>
      </c>
      <c r="I777" t="s">
        <v>4814</v>
      </c>
      <c r="J777" t="s">
        <v>5321</v>
      </c>
      <c r="K777">
        <v>10452</v>
      </c>
      <c r="L777" t="s">
        <v>5355</v>
      </c>
      <c r="M777" t="s">
        <v>5356</v>
      </c>
      <c r="O777" t="s">
        <v>6500</v>
      </c>
      <c r="P777" t="s">
        <v>6527</v>
      </c>
      <c r="R777" t="s">
        <v>6539</v>
      </c>
      <c r="S777" t="s">
        <v>5355</v>
      </c>
      <c r="U777" t="s">
        <v>6557</v>
      </c>
      <c r="W777" t="s">
        <v>516</v>
      </c>
      <c r="X777">
        <v>1005</v>
      </c>
      <c r="Y777" t="s">
        <v>6606</v>
      </c>
      <c r="Z777" t="s">
        <v>6625</v>
      </c>
      <c r="AB777" t="s">
        <v>7370</v>
      </c>
      <c r="AD777" t="s">
        <v>9742</v>
      </c>
      <c r="AE777">
        <v>60</v>
      </c>
      <c r="AF777" t="s">
        <v>11005</v>
      </c>
      <c r="AG777" t="s">
        <v>11024</v>
      </c>
      <c r="AH777">
        <v>30</v>
      </c>
      <c r="AI777">
        <v>1</v>
      </c>
      <c r="AJ777">
        <v>0</v>
      </c>
      <c r="AK777">
        <v>73.73999999999999</v>
      </c>
      <c r="AN777" t="s">
        <v>11049</v>
      </c>
      <c r="AO777">
        <v>8952</v>
      </c>
      <c r="AU777">
        <v>0</v>
      </c>
      <c r="AW777" t="s">
        <v>11492</v>
      </c>
    </row>
    <row r="778" spans="1:50">
      <c r="A778" s="1">
        <f>HYPERLINK("https://cms.ls-nyc.org/matter/dynamic-profile/view/1864233","18-1864233")</f>
        <v>0</v>
      </c>
      <c r="B778" t="s">
        <v>71</v>
      </c>
      <c r="C778" t="s">
        <v>235</v>
      </c>
      <c r="D778" t="s">
        <v>480</v>
      </c>
      <c r="F778" t="s">
        <v>1378</v>
      </c>
      <c r="G778" t="s">
        <v>2239</v>
      </c>
      <c r="H778" t="s">
        <v>3982</v>
      </c>
      <c r="I778" t="s">
        <v>4817</v>
      </c>
      <c r="J778" t="s">
        <v>5321</v>
      </c>
      <c r="K778">
        <v>10470</v>
      </c>
      <c r="L778" t="s">
        <v>5355</v>
      </c>
      <c r="M778" t="s">
        <v>5356</v>
      </c>
      <c r="P778" t="s">
        <v>6527</v>
      </c>
      <c r="R778" t="s">
        <v>6539</v>
      </c>
      <c r="S778" t="s">
        <v>5357</v>
      </c>
      <c r="U778" t="s">
        <v>6560</v>
      </c>
      <c r="W778" t="s">
        <v>480</v>
      </c>
      <c r="X778">
        <v>1190.04</v>
      </c>
      <c r="Y778" t="s">
        <v>6606</v>
      </c>
      <c r="Z778" t="s">
        <v>6610</v>
      </c>
      <c r="AB778" t="s">
        <v>7371</v>
      </c>
      <c r="AC778" t="s">
        <v>8796</v>
      </c>
      <c r="AD778" t="s">
        <v>9743</v>
      </c>
      <c r="AE778">
        <v>6</v>
      </c>
      <c r="AF778" t="s">
        <v>11005</v>
      </c>
      <c r="AG778" t="s">
        <v>11020</v>
      </c>
      <c r="AH778">
        <v>5</v>
      </c>
      <c r="AI778">
        <v>1</v>
      </c>
      <c r="AJ778">
        <v>0</v>
      </c>
      <c r="AK778">
        <v>74.23</v>
      </c>
      <c r="AN778" t="s">
        <v>11050</v>
      </c>
      <c r="AO778">
        <v>9012</v>
      </c>
      <c r="AP778" t="s">
        <v>11119</v>
      </c>
      <c r="AU778">
        <v>0</v>
      </c>
      <c r="AW778" t="s">
        <v>103</v>
      </c>
    </row>
    <row r="779" spans="1:50">
      <c r="A779" s="1">
        <f>HYPERLINK("https://cms.ls-nyc.org/matter/dynamic-profile/view/1837027","17-1837027")</f>
        <v>0</v>
      </c>
      <c r="B779" t="s">
        <v>54</v>
      </c>
      <c r="C779" t="s">
        <v>235</v>
      </c>
      <c r="D779" t="s">
        <v>489</v>
      </c>
      <c r="F779" t="s">
        <v>1379</v>
      </c>
      <c r="G779" t="s">
        <v>2636</v>
      </c>
      <c r="H779" t="s">
        <v>3983</v>
      </c>
      <c r="I779" t="s">
        <v>4740</v>
      </c>
      <c r="J779" t="s">
        <v>5320</v>
      </c>
      <c r="K779">
        <v>11212</v>
      </c>
      <c r="L779" t="s">
        <v>5355</v>
      </c>
      <c r="M779" t="s">
        <v>5355</v>
      </c>
      <c r="O779" t="s">
        <v>5393</v>
      </c>
      <c r="P779" t="s">
        <v>6527</v>
      </c>
      <c r="R779" t="s">
        <v>6539</v>
      </c>
      <c r="S779" t="s">
        <v>5355</v>
      </c>
      <c r="U779" t="s">
        <v>6557</v>
      </c>
      <c r="W779" t="s">
        <v>404</v>
      </c>
      <c r="X779">
        <v>1577</v>
      </c>
      <c r="Y779" t="s">
        <v>6605</v>
      </c>
      <c r="AB779" t="s">
        <v>7372</v>
      </c>
      <c r="AC779" t="s">
        <v>8797</v>
      </c>
      <c r="AD779" t="s">
        <v>9744</v>
      </c>
      <c r="AE779">
        <v>6</v>
      </c>
      <c r="AF779" t="s">
        <v>11005</v>
      </c>
      <c r="AG779" t="s">
        <v>6493</v>
      </c>
      <c r="AH779">
        <v>18</v>
      </c>
      <c r="AI779">
        <v>1</v>
      </c>
      <c r="AJ779">
        <v>0</v>
      </c>
      <c r="AK779">
        <v>74.53</v>
      </c>
      <c r="AN779" t="s">
        <v>11050</v>
      </c>
      <c r="AO779">
        <v>8988</v>
      </c>
      <c r="AR779" t="s">
        <v>11205</v>
      </c>
      <c r="AU779">
        <v>7.15</v>
      </c>
      <c r="AV779" t="s">
        <v>756</v>
      </c>
      <c r="AW779" t="s">
        <v>11514</v>
      </c>
    </row>
    <row r="780" spans="1:50">
      <c r="A780" s="1">
        <f>HYPERLINK("https://cms.ls-nyc.org/matter/dynamic-profile/view/1843552","17-1843552")</f>
        <v>0</v>
      </c>
      <c r="B780" t="s">
        <v>164</v>
      </c>
      <c r="C780" t="s">
        <v>234</v>
      </c>
      <c r="D780" t="s">
        <v>460</v>
      </c>
      <c r="E780" t="s">
        <v>772</v>
      </c>
      <c r="F780" t="s">
        <v>1380</v>
      </c>
      <c r="G780" t="s">
        <v>2637</v>
      </c>
      <c r="H780" t="s">
        <v>3984</v>
      </c>
      <c r="I780" t="s">
        <v>4781</v>
      </c>
      <c r="J780" t="s">
        <v>5321</v>
      </c>
      <c r="K780">
        <v>10467</v>
      </c>
      <c r="L780" t="s">
        <v>5355</v>
      </c>
      <c r="M780" t="s">
        <v>5356</v>
      </c>
      <c r="O780" t="s">
        <v>6503</v>
      </c>
      <c r="P780" t="s">
        <v>6527</v>
      </c>
      <c r="Q780" t="s">
        <v>6536</v>
      </c>
      <c r="R780" t="s">
        <v>6539</v>
      </c>
      <c r="U780" t="s">
        <v>6560</v>
      </c>
      <c r="W780" t="s">
        <v>516</v>
      </c>
      <c r="X780">
        <v>1388.25</v>
      </c>
      <c r="Y780" t="s">
        <v>6606</v>
      </c>
      <c r="Z780" t="s">
        <v>6616</v>
      </c>
      <c r="AA780" t="s">
        <v>6636</v>
      </c>
      <c r="AB780" t="s">
        <v>7373</v>
      </c>
      <c r="AC780" t="s">
        <v>8798</v>
      </c>
      <c r="AD780" t="s">
        <v>9745</v>
      </c>
      <c r="AE780">
        <v>5</v>
      </c>
      <c r="AG780" t="s">
        <v>11020</v>
      </c>
      <c r="AH780">
        <v>4</v>
      </c>
      <c r="AI780">
        <v>2</v>
      </c>
      <c r="AJ780">
        <v>0</v>
      </c>
      <c r="AK780">
        <v>75.59</v>
      </c>
      <c r="AN780" t="s">
        <v>11050</v>
      </c>
      <c r="AO780">
        <v>22356</v>
      </c>
      <c r="AU780">
        <v>2.3</v>
      </c>
      <c r="AV780" t="s">
        <v>413</v>
      </c>
      <c r="AW780" t="s">
        <v>11491</v>
      </c>
    </row>
    <row r="781" spans="1:50">
      <c r="A781" s="1">
        <f>HYPERLINK("https://cms.ls-nyc.org/matter/dynamic-profile/view/1857608","18-1857608")</f>
        <v>0</v>
      </c>
      <c r="B781" t="s">
        <v>63</v>
      </c>
      <c r="C781" t="s">
        <v>235</v>
      </c>
      <c r="D781" t="s">
        <v>436</v>
      </c>
      <c r="F781" t="s">
        <v>1381</v>
      </c>
      <c r="G781" t="s">
        <v>2638</v>
      </c>
      <c r="H781" t="s">
        <v>3960</v>
      </c>
      <c r="I781" t="s">
        <v>4768</v>
      </c>
      <c r="J781" t="s">
        <v>5322</v>
      </c>
      <c r="K781">
        <v>10304</v>
      </c>
      <c r="L781" t="s">
        <v>5355</v>
      </c>
      <c r="M781" t="s">
        <v>5356</v>
      </c>
      <c r="N781" t="s">
        <v>5392</v>
      </c>
      <c r="O781" t="s">
        <v>6500</v>
      </c>
      <c r="P781" t="s">
        <v>6527</v>
      </c>
      <c r="R781" t="s">
        <v>6539</v>
      </c>
      <c r="S781" t="s">
        <v>5355</v>
      </c>
      <c r="U781" t="s">
        <v>6557</v>
      </c>
      <c r="W781" t="s">
        <v>436</v>
      </c>
      <c r="X781">
        <v>1155</v>
      </c>
      <c r="Y781" t="s">
        <v>6607</v>
      </c>
      <c r="Z781" t="s">
        <v>6612</v>
      </c>
      <c r="AB781" t="s">
        <v>7374</v>
      </c>
      <c r="AC781" t="s">
        <v>5406</v>
      </c>
      <c r="AD781" t="s">
        <v>9746</v>
      </c>
      <c r="AE781">
        <v>86</v>
      </c>
      <c r="AF781" t="s">
        <v>11005</v>
      </c>
      <c r="AG781" t="s">
        <v>5406</v>
      </c>
      <c r="AH781">
        <v>3</v>
      </c>
      <c r="AI781">
        <v>2</v>
      </c>
      <c r="AJ781">
        <v>2</v>
      </c>
      <c r="AK781">
        <v>75.90000000000001</v>
      </c>
      <c r="AO781">
        <v>18672</v>
      </c>
      <c r="AU781">
        <v>2.2</v>
      </c>
      <c r="AV781" t="s">
        <v>696</v>
      </c>
      <c r="AW781" t="s">
        <v>62</v>
      </c>
    </row>
    <row r="782" spans="1:50">
      <c r="A782" s="1">
        <f>HYPERLINK("https://cms.ls-nyc.org/matter/dynamic-profile/view/1863071","18-1863071")</f>
        <v>0</v>
      </c>
      <c r="B782" t="s">
        <v>121</v>
      </c>
      <c r="C782" t="s">
        <v>234</v>
      </c>
      <c r="D782" t="s">
        <v>369</v>
      </c>
      <c r="E782" t="s">
        <v>680</v>
      </c>
      <c r="F782" t="s">
        <v>1382</v>
      </c>
      <c r="G782" t="s">
        <v>2500</v>
      </c>
      <c r="H782" t="s">
        <v>3985</v>
      </c>
      <c r="I782" t="s">
        <v>4738</v>
      </c>
      <c r="J782" t="s">
        <v>5321</v>
      </c>
      <c r="K782">
        <v>10452</v>
      </c>
      <c r="L782" t="s">
        <v>5355</v>
      </c>
      <c r="M782" t="s">
        <v>5355</v>
      </c>
      <c r="O782" t="s">
        <v>5393</v>
      </c>
      <c r="P782" t="s">
        <v>6527</v>
      </c>
      <c r="Q782" t="s">
        <v>6532</v>
      </c>
      <c r="R782" t="s">
        <v>6539</v>
      </c>
      <c r="S782" t="s">
        <v>5357</v>
      </c>
      <c r="U782" t="s">
        <v>6557</v>
      </c>
      <c r="W782" t="s">
        <v>516</v>
      </c>
      <c r="X782">
        <v>471</v>
      </c>
      <c r="Y782" t="s">
        <v>6606</v>
      </c>
      <c r="Z782" t="s">
        <v>6493</v>
      </c>
      <c r="AA782" t="s">
        <v>6636</v>
      </c>
      <c r="AB782" t="s">
        <v>7375</v>
      </c>
      <c r="AC782" t="s">
        <v>8799</v>
      </c>
      <c r="AD782" t="s">
        <v>9747</v>
      </c>
      <c r="AE782">
        <v>15</v>
      </c>
      <c r="AF782" t="s">
        <v>11005</v>
      </c>
      <c r="AH782">
        <v>41</v>
      </c>
      <c r="AI782">
        <v>1</v>
      </c>
      <c r="AJ782">
        <v>1</v>
      </c>
      <c r="AK782">
        <v>77.89</v>
      </c>
      <c r="AN782" t="s">
        <v>11050</v>
      </c>
      <c r="AO782">
        <v>12820</v>
      </c>
      <c r="AU782">
        <v>2.2</v>
      </c>
      <c r="AV782" t="s">
        <v>263</v>
      </c>
      <c r="AW782" t="s">
        <v>11493</v>
      </c>
    </row>
    <row r="783" spans="1:50">
      <c r="A783" s="1">
        <f>HYPERLINK("https://cms.ls-nyc.org/matter/dynamic-profile/view/1833090","17-1833090")</f>
        <v>0</v>
      </c>
      <c r="B783" t="s">
        <v>97</v>
      </c>
      <c r="C783" t="s">
        <v>235</v>
      </c>
      <c r="D783" t="s">
        <v>492</v>
      </c>
      <c r="F783" t="s">
        <v>1383</v>
      </c>
      <c r="G783" t="s">
        <v>2639</v>
      </c>
      <c r="H783" t="s">
        <v>3986</v>
      </c>
      <c r="I783">
        <v>41</v>
      </c>
      <c r="J783" t="s">
        <v>5323</v>
      </c>
      <c r="K783">
        <v>10040</v>
      </c>
      <c r="L783" t="s">
        <v>5355</v>
      </c>
      <c r="M783" t="s">
        <v>5356</v>
      </c>
      <c r="O783" t="s">
        <v>5393</v>
      </c>
      <c r="P783" t="s">
        <v>6527</v>
      </c>
      <c r="R783" t="s">
        <v>6539</v>
      </c>
      <c r="S783" t="s">
        <v>5357</v>
      </c>
      <c r="U783" t="s">
        <v>6557</v>
      </c>
      <c r="W783" t="s">
        <v>404</v>
      </c>
      <c r="X783">
        <v>1194</v>
      </c>
      <c r="Y783" t="s">
        <v>6608</v>
      </c>
      <c r="Z783" t="s">
        <v>6493</v>
      </c>
      <c r="AB783" t="s">
        <v>7376</v>
      </c>
      <c r="AD783" t="s">
        <v>9748</v>
      </c>
      <c r="AE783">
        <v>21</v>
      </c>
      <c r="AF783" t="s">
        <v>11005</v>
      </c>
      <c r="AG783" t="s">
        <v>5406</v>
      </c>
      <c r="AH783">
        <v>20</v>
      </c>
      <c r="AI783">
        <v>1</v>
      </c>
      <c r="AJ783">
        <v>0</v>
      </c>
      <c r="AK783">
        <v>78.81</v>
      </c>
      <c r="AL783" t="s">
        <v>578</v>
      </c>
      <c r="AN783" t="s">
        <v>11049</v>
      </c>
      <c r="AO783">
        <v>9504</v>
      </c>
      <c r="AU783">
        <v>62.9</v>
      </c>
      <c r="AV783" t="s">
        <v>394</v>
      </c>
      <c r="AW783" t="s">
        <v>11497</v>
      </c>
    </row>
    <row r="784" spans="1:50">
      <c r="A784" s="1">
        <f>HYPERLINK("https://cms.ls-nyc.org/matter/dynamic-profile/view/1867150","18-1867150")</f>
        <v>0</v>
      </c>
      <c r="B784" t="s">
        <v>66</v>
      </c>
      <c r="C784" t="s">
        <v>234</v>
      </c>
      <c r="D784" t="s">
        <v>391</v>
      </c>
      <c r="E784" t="s">
        <v>686</v>
      </c>
      <c r="F784" t="s">
        <v>1171</v>
      </c>
      <c r="G784" t="s">
        <v>2311</v>
      </c>
      <c r="H784" t="s">
        <v>3987</v>
      </c>
      <c r="I784" t="s">
        <v>4772</v>
      </c>
      <c r="J784" t="s">
        <v>5323</v>
      </c>
      <c r="K784">
        <v>10040</v>
      </c>
      <c r="L784" t="s">
        <v>5355</v>
      </c>
      <c r="M784" t="s">
        <v>5356</v>
      </c>
      <c r="O784" t="s">
        <v>6498</v>
      </c>
      <c r="P784" t="s">
        <v>6527</v>
      </c>
      <c r="Q784" t="s">
        <v>6533</v>
      </c>
      <c r="R784" t="s">
        <v>6539</v>
      </c>
      <c r="S784" t="s">
        <v>5357</v>
      </c>
      <c r="U784" t="s">
        <v>6557</v>
      </c>
      <c r="W784" t="s">
        <v>391</v>
      </c>
      <c r="X784">
        <v>1145.72</v>
      </c>
      <c r="Y784" t="s">
        <v>6608</v>
      </c>
      <c r="Z784" t="s">
        <v>6616</v>
      </c>
      <c r="AA784" t="s">
        <v>6636</v>
      </c>
      <c r="AB784" t="s">
        <v>7377</v>
      </c>
      <c r="AD784" t="s">
        <v>9749</v>
      </c>
      <c r="AE784">
        <v>0</v>
      </c>
      <c r="AF784" t="s">
        <v>11005</v>
      </c>
      <c r="AG784" t="s">
        <v>11024</v>
      </c>
      <c r="AH784">
        <v>53</v>
      </c>
      <c r="AI784">
        <v>1</v>
      </c>
      <c r="AJ784">
        <v>0</v>
      </c>
      <c r="AK784">
        <v>79.08</v>
      </c>
      <c r="AN784" t="s">
        <v>11049</v>
      </c>
      <c r="AO784">
        <v>9600</v>
      </c>
      <c r="AU784">
        <v>1.9</v>
      </c>
      <c r="AV784" t="s">
        <v>686</v>
      </c>
      <c r="AW784" t="s">
        <v>11495</v>
      </c>
    </row>
    <row r="785" spans="1:49">
      <c r="A785" s="1">
        <f>HYPERLINK("https://cms.ls-nyc.org/matter/dynamic-profile/view/1838021","17-1838021")</f>
        <v>0</v>
      </c>
      <c r="B785" t="s">
        <v>81</v>
      </c>
      <c r="C785" t="s">
        <v>234</v>
      </c>
      <c r="D785" t="s">
        <v>493</v>
      </c>
      <c r="E785" t="s">
        <v>743</v>
      </c>
      <c r="F785" t="s">
        <v>1384</v>
      </c>
      <c r="G785" t="s">
        <v>1502</v>
      </c>
      <c r="H785" t="s">
        <v>3988</v>
      </c>
      <c r="I785" t="s">
        <v>4775</v>
      </c>
      <c r="J785" t="s">
        <v>5324</v>
      </c>
      <c r="K785">
        <v>11354</v>
      </c>
      <c r="L785" t="s">
        <v>5355</v>
      </c>
      <c r="M785" t="s">
        <v>5355</v>
      </c>
      <c r="N785" t="s">
        <v>5392</v>
      </c>
      <c r="O785" t="s">
        <v>6496</v>
      </c>
      <c r="P785" t="s">
        <v>6527</v>
      </c>
      <c r="Q785" t="s">
        <v>6533</v>
      </c>
      <c r="R785" t="s">
        <v>6539</v>
      </c>
      <c r="S785" t="s">
        <v>5357</v>
      </c>
      <c r="U785" t="s">
        <v>6557</v>
      </c>
      <c r="V785" t="s">
        <v>6566</v>
      </c>
      <c r="W785" t="s">
        <v>596</v>
      </c>
      <c r="X785">
        <v>1172.78</v>
      </c>
      <c r="Y785" t="s">
        <v>6604</v>
      </c>
      <c r="Z785" t="s">
        <v>6614</v>
      </c>
      <c r="AA785" t="s">
        <v>6634</v>
      </c>
      <c r="AB785" t="s">
        <v>7378</v>
      </c>
      <c r="AC785" t="s">
        <v>8800</v>
      </c>
      <c r="AD785" t="s">
        <v>9750</v>
      </c>
      <c r="AE785">
        <v>54</v>
      </c>
      <c r="AF785" t="s">
        <v>11005</v>
      </c>
      <c r="AG785" t="s">
        <v>11020</v>
      </c>
      <c r="AH785">
        <v>21</v>
      </c>
      <c r="AI785">
        <v>1</v>
      </c>
      <c r="AJ785">
        <v>0</v>
      </c>
      <c r="AK785">
        <v>79.09999999999999</v>
      </c>
      <c r="AN785" t="s">
        <v>11052</v>
      </c>
      <c r="AO785">
        <v>9540</v>
      </c>
      <c r="AR785" t="s">
        <v>6493</v>
      </c>
      <c r="AS785" t="s">
        <v>11253</v>
      </c>
      <c r="AT785" t="s">
        <v>11262</v>
      </c>
      <c r="AU785">
        <v>13.35</v>
      </c>
      <c r="AV785" t="s">
        <v>743</v>
      </c>
      <c r="AW785" t="s">
        <v>120</v>
      </c>
    </row>
    <row r="786" spans="1:49">
      <c r="A786" s="1">
        <f>HYPERLINK("https://cms.ls-nyc.org/matter/dynamic-profile/view/1855305","18-1855305")</f>
        <v>0</v>
      </c>
      <c r="B786" t="s">
        <v>63</v>
      </c>
      <c r="C786" t="s">
        <v>234</v>
      </c>
      <c r="D786" t="s">
        <v>389</v>
      </c>
      <c r="E786" t="s">
        <v>675</v>
      </c>
      <c r="F786" t="s">
        <v>1133</v>
      </c>
      <c r="G786" t="s">
        <v>2640</v>
      </c>
      <c r="H786" t="s">
        <v>3989</v>
      </c>
      <c r="I786">
        <v>1</v>
      </c>
      <c r="J786" t="s">
        <v>5322</v>
      </c>
      <c r="K786">
        <v>10301</v>
      </c>
      <c r="L786" t="s">
        <v>5355</v>
      </c>
      <c r="M786" t="s">
        <v>5356</v>
      </c>
      <c r="N786" t="s">
        <v>5555</v>
      </c>
      <c r="O786" t="s">
        <v>6491</v>
      </c>
      <c r="P786" t="s">
        <v>6527</v>
      </c>
      <c r="Q786" t="s">
        <v>6533</v>
      </c>
      <c r="R786" t="s">
        <v>6539</v>
      </c>
      <c r="S786" t="s">
        <v>5355</v>
      </c>
      <c r="U786" t="s">
        <v>6557</v>
      </c>
      <c r="W786" t="s">
        <v>551</v>
      </c>
      <c r="X786">
        <v>1540</v>
      </c>
      <c r="Y786" t="s">
        <v>6607</v>
      </c>
      <c r="Z786" t="s">
        <v>6493</v>
      </c>
      <c r="AA786" t="s">
        <v>6631</v>
      </c>
      <c r="AB786" t="s">
        <v>7379</v>
      </c>
      <c r="AD786" t="s">
        <v>9751</v>
      </c>
      <c r="AE786">
        <v>3</v>
      </c>
      <c r="AF786" t="s">
        <v>11004</v>
      </c>
      <c r="AG786" t="s">
        <v>11019</v>
      </c>
      <c r="AH786">
        <v>3</v>
      </c>
      <c r="AI786">
        <v>1</v>
      </c>
      <c r="AJ786">
        <v>0</v>
      </c>
      <c r="AK786">
        <v>79.59999999999999</v>
      </c>
      <c r="AN786" t="s">
        <v>11050</v>
      </c>
      <c r="AO786">
        <v>9600</v>
      </c>
      <c r="AU786">
        <v>5.1</v>
      </c>
      <c r="AV786" t="s">
        <v>675</v>
      </c>
      <c r="AW786" t="s">
        <v>11536</v>
      </c>
    </row>
    <row r="787" spans="1:49">
      <c r="A787" s="1">
        <f>HYPERLINK("https://cms.ls-nyc.org/matter/dynamic-profile/view/1850274","17-1850274")</f>
        <v>0</v>
      </c>
      <c r="B787" t="s">
        <v>97</v>
      </c>
      <c r="C787" t="s">
        <v>235</v>
      </c>
      <c r="D787" t="s">
        <v>376</v>
      </c>
      <c r="F787" t="s">
        <v>1371</v>
      </c>
      <c r="G787" t="s">
        <v>2641</v>
      </c>
      <c r="H787" t="s">
        <v>3990</v>
      </c>
      <c r="I787" t="s">
        <v>4891</v>
      </c>
      <c r="J787" t="s">
        <v>5323</v>
      </c>
      <c r="K787">
        <v>10034</v>
      </c>
      <c r="L787" t="s">
        <v>5355</v>
      </c>
      <c r="M787" t="s">
        <v>5356</v>
      </c>
      <c r="P787" t="s">
        <v>6527</v>
      </c>
      <c r="R787" t="s">
        <v>6539</v>
      </c>
      <c r="S787" t="s">
        <v>5357</v>
      </c>
      <c r="U787" t="s">
        <v>6557</v>
      </c>
      <c r="W787" t="s">
        <v>390</v>
      </c>
      <c r="X787">
        <v>1375</v>
      </c>
      <c r="Y787" t="s">
        <v>6608</v>
      </c>
      <c r="Z787" t="s">
        <v>6616</v>
      </c>
      <c r="AB787" t="s">
        <v>7380</v>
      </c>
      <c r="AD787" t="s">
        <v>9752</v>
      </c>
      <c r="AE787">
        <v>28</v>
      </c>
      <c r="AF787" t="s">
        <v>11005</v>
      </c>
      <c r="AG787" t="s">
        <v>5406</v>
      </c>
      <c r="AH787">
        <v>3</v>
      </c>
      <c r="AI787">
        <v>1</v>
      </c>
      <c r="AJ787">
        <v>0</v>
      </c>
      <c r="AK787">
        <v>79.59999999999999</v>
      </c>
      <c r="AN787" t="s">
        <v>11049</v>
      </c>
      <c r="AO787">
        <v>9600</v>
      </c>
      <c r="AU787">
        <v>12.2</v>
      </c>
      <c r="AV787" t="s">
        <v>700</v>
      </c>
      <c r="AW787" t="s">
        <v>11495</v>
      </c>
    </row>
    <row r="788" spans="1:49">
      <c r="A788" s="1">
        <f>HYPERLINK("https://cms.ls-nyc.org/matter/dynamic-profile/view/1834572","17-1834572")</f>
        <v>0</v>
      </c>
      <c r="B788" t="s">
        <v>65</v>
      </c>
      <c r="C788" t="s">
        <v>235</v>
      </c>
      <c r="D788" t="s">
        <v>494</v>
      </c>
      <c r="F788" t="s">
        <v>865</v>
      </c>
      <c r="G788" t="s">
        <v>2642</v>
      </c>
      <c r="H788" t="s">
        <v>3780</v>
      </c>
      <c r="I788" t="s">
        <v>4852</v>
      </c>
      <c r="J788" t="s">
        <v>5323</v>
      </c>
      <c r="K788">
        <v>10033</v>
      </c>
      <c r="L788" t="s">
        <v>5355</v>
      </c>
      <c r="M788" t="s">
        <v>5356</v>
      </c>
      <c r="O788" t="s">
        <v>6494</v>
      </c>
      <c r="P788" t="s">
        <v>6527</v>
      </c>
      <c r="R788" t="s">
        <v>6539</v>
      </c>
      <c r="S788" t="s">
        <v>5355</v>
      </c>
      <c r="U788" t="s">
        <v>6557</v>
      </c>
      <c r="W788" t="s">
        <v>404</v>
      </c>
      <c r="X788">
        <v>181</v>
      </c>
      <c r="Y788" t="s">
        <v>6608</v>
      </c>
      <c r="Z788" t="s">
        <v>6616</v>
      </c>
      <c r="AB788" t="s">
        <v>7381</v>
      </c>
      <c r="AE788">
        <v>25</v>
      </c>
      <c r="AF788" t="s">
        <v>11005</v>
      </c>
      <c r="AG788" t="s">
        <v>11020</v>
      </c>
      <c r="AH788">
        <v>20</v>
      </c>
      <c r="AI788">
        <v>1</v>
      </c>
      <c r="AJ788">
        <v>0</v>
      </c>
      <c r="AK788">
        <v>79.59999999999999</v>
      </c>
      <c r="AL788" t="s">
        <v>450</v>
      </c>
      <c r="AN788" t="s">
        <v>11049</v>
      </c>
      <c r="AO788">
        <v>9600</v>
      </c>
      <c r="AU788">
        <v>0</v>
      </c>
      <c r="AW788" t="s">
        <v>11497</v>
      </c>
    </row>
    <row r="789" spans="1:49">
      <c r="A789" s="1">
        <f>HYPERLINK("https://cms.ls-nyc.org/matter/dynamic-profile/view/1849942","17-1849942")</f>
        <v>0</v>
      </c>
      <c r="B789" t="s">
        <v>166</v>
      </c>
      <c r="C789" t="s">
        <v>234</v>
      </c>
      <c r="D789" t="s">
        <v>341</v>
      </c>
      <c r="E789" t="s">
        <v>583</v>
      </c>
      <c r="F789" t="s">
        <v>1385</v>
      </c>
      <c r="G789" t="s">
        <v>2500</v>
      </c>
      <c r="H789" t="s">
        <v>3991</v>
      </c>
      <c r="I789" t="s">
        <v>4984</v>
      </c>
      <c r="J789" t="s">
        <v>5321</v>
      </c>
      <c r="K789">
        <v>10454</v>
      </c>
      <c r="L789" t="s">
        <v>5355</v>
      </c>
      <c r="M789" t="s">
        <v>5356</v>
      </c>
      <c r="O789" t="s">
        <v>6500</v>
      </c>
      <c r="P789" t="s">
        <v>6527</v>
      </c>
      <c r="Q789" t="s">
        <v>6536</v>
      </c>
      <c r="R789" t="s">
        <v>6539</v>
      </c>
      <c r="S789" t="s">
        <v>5357</v>
      </c>
      <c r="U789" t="s">
        <v>6560</v>
      </c>
      <c r="W789" t="s">
        <v>372</v>
      </c>
      <c r="X789">
        <v>1200</v>
      </c>
      <c r="Y789" t="s">
        <v>6606</v>
      </c>
      <c r="Z789" t="s">
        <v>6625</v>
      </c>
      <c r="AA789" t="s">
        <v>6636</v>
      </c>
      <c r="AB789" t="s">
        <v>7382</v>
      </c>
      <c r="AD789" t="s">
        <v>9753</v>
      </c>
      <c r="AE789">
        <v>50</v>
      </c>
      <c r="AF789" t="s">
        <v>11005</v>
      </c>
      <c r="AG789" t="s">
        <v>11020</v>
      </c>
      <c r="AH789">
        <v>40</v>
      </c>
      <c r="AI789">
        <v>2</v>
      </c>
      <c r="AJ789">
        <v>0</v>
      </c>
      <c r="AK789">
        <v>79.87</v>
      </c>
      <c r="AN789" t="s">
        <v>11050</v>
      </c>
      <c r="AO789">
        <v>12971</v>
      </c>
      <c r="AU789">
        <v>14.9</v>
      </c>
      <c r="AV789" t="s">
        <v>583</v>
      </c>
      <c r="AW789" t="s">
        <v>11491</v>
      </c>
    </row>
    <row r="790" spans="1:49">
      <c r="A790" s="1">
        <f>HYPERLINK("https://cms.ls-nyc.org/matter/dynamic-profile/view/1842412","17-1842412")</f>
        <v>0</v>
      </c>
      <c r="B790" t="s">
        <v>83</v>
      </c>
      <c r="C790" t="s">
        <v>234</v>
      </c>
      <c r="D790" t="s">
        <v>388</v>
      </c>
      <c r="E790" t="s">
        <v>716</v>
      </c>
      <c r="F790" t="s">
        <v>865</v>
      </c>
      <c r="G790" t="s">
        <v>2643</v>
      </c>
      <c r="H790" t="s">
        <v>3935</v>
      </c>
      <c r="I790" t="s">
        <v>4817</v>
      </c>
      <c r="J790" t="s">
        <v>5323</v>
      </c>
      <c r="K790">
        <v>10029</v>
      </c>
      <c r="L790" t="s">
        <v>5355</v>
      </c>
      <c r="M790" t="s">
        <v>5355</v>
      </c>
      <c r="O790" t="s">
        <v>5393</v>
      </c>
      <c r="P790" t="s">
        <v>6527</v>
      </c>
      <c r="Q790" t="s">
        <v>6532</v>
      </c>
      <c r="R790" t="s">
        <v>6539</v>
      </c>
      <c r="S790" t="s">
        <v>5357</v>
      </c>
      <c r="U790" t="s">
        <v>6557</v>
      </c>
      <c r="V790" t="s">
        <v>6566</v>
      </c>
      <c r="W790" t="s">
        <v>388</v>
      </c>
      <c r="X790">
        <v>1288.01</v>
      </c>
      <c r="Y790" t="s">
        <v>6608</v>
      </c>
      <c r="Z790" t="s">
        <v>6616</v>
      </c>
      <c r="AA790" t="s">
        <v>6636</v>
      </c>
      <c r="AB790" t="s">
        <v>7383</v>
      </c>
      <c r="AD790" t="s">
        <v>9754</v>
      </c>
      <c r="AE790">
        <v>17</v>
      </c>
      <c r="AF790" t="s">
        <v>11005</v>
      </c>
      <c r="AG790" t="s">
        <v>11020</v>
      </c>
      <c r="AH790">
        <v>17</v>
      </c>
      <c r="AI790">
        <v>1</v>
      </c>
      <c r="AJ790">
        <v>0</v>
      </c>
      <c r="AK790">
        <v>81.29000000000001</v>
      </c>
      <c r="AN790" t="s">
        <v>11049</v>
      </c>
      <c r="AO790">
        <v>9804</v>
      </c>
      <c r="AU790">
        <v>3.3</v>
      </c>
      <c r="AV790" t="s">
        <v>411</v>
      </c>
      <c r="AW790" t="s">
        <v>11497</v>
      </c>
    </row>
    <row r="791" spans="1:49">
      <c r="A791" s="1">
        <f>HYPERLINK("https://cms.ls-nyc.org/matter/dynamic-profile/view/1869942","18-1869942")</f>
        <v>0</v>
      </c>
      <c r="B791" t="s">
        <v>167</v>
      </c>
      <c r="C791" t="s">
        <v>234</v>
      </c>
      <c r="D791" t="s">
        <v>313</v>
      </c>
      <c r="E791" t="s">
        <v>773</v>
      </c>
      <c r="F791" t="s">
        <v>1000</v>
      </c>
      <c r="G791" t="s">
        <v>2644</v>
      </c>
      <c r="H791" t="s">
        <v>3992</v>
      </c>
      <c r="I791" t="s">
        <v>4985</v>
      </c>
      <c r="J791" t="s">
        <v>5321</v>
      </c>
      <c r="K791">
        <v>10456</v>
      </c>
      <c r="L791" t="s">
        <v>5355</v>
      </c>
      <c r="M791" t="s">
        <v>5356</v>
      </c>
      <c r="O791" t="s">
        <v>6504</v>
      </c>
      <c r="P791" t="s">
        <v>6527</v>
      </c>
      <c r="Q791" t="s">
        <v>6532</v>
      </c>
      <c r="R791" t="s">
        <v>6539</v>
      </c>
      <c r="S791" t="s">
        <v>5357</v>
      </c>
      <c r="U791" t="s">
        <v>6560</v>
      </c>
      <c r="W791" t="s">
        <v>313</v>
      </c>
      <c r="X791">
        <v>723</v>
      </c>
      <c r="Y791" t="s">
        <v>6606</v>
      </c>
      <c r="AA791" t="s">
        <v>6632</v>
      </c>
      <c r="AB791" t="s">
        <v>7384</v>
      </c>
      <c r="AC791" t="s">
        <v>8801</v>
      </c>
      <c r="AD791" t="s">
        <v>9755</v>
      </c>
      <c r="AE791">
        <v>0</v>
      </c>
      <c r="AF791" t="s">
        <v>11005</v>
      </c>
      <c r="AG791" t="s">
        <v>11020</v>
      </c>
      <c r="AH791">
        <v>0</v>
      </c>
      <c r="AI791">
        <v>1</v>
      </c>
      <c r="AJ791">
        <v>0</v>
      </c>
      <c r="AK791">
        <v>81.34999999999999</v>
      </c>
      <c r="AO791">
        <v>9876</v>
      </c>
      <c r="AP791" t="s">
        <v>11075</v>
      </c>
      <c r="AU791">
        <v>4.2</v>
      </c>
      <c r="AV791" t="s">
        <v>713</v>
      </c>
      <c r="AW791" t="s">
        <v>167</v>
      </c>
    </row>
    <row r="792" spans="1:49">
      <c r="A792" s="1">
        <f>HYPERLINK("https://cms.ls-nyc.org/matter/dynamic-profile/view/1844227","17-1844227")</f>
        <v>0</v>
      </c>
      <c r="B792" t="s">
        <v>131</v>
      </c>
      <c r="C792" t="s">
        <v>234</v>
      </c>
      <c r="D792" t="s">
        <v>495</v>
      </c>
      <c r="E792" t="s">
        <v>680</v>
      </c>
      <c r="F792" t="s">
        <v>955</v>
      </c>
      <c r="G792" t="s">
        <v>2645</v>
      </c>
      <c r="H792" t="s">
        <v>3769</v>
      </c>
      <c r="I792" t="s">
        <v>4767</v>
      </c>
      <c r="J792" t="s">
        <v>5323</v>
      </c>
      <c r="K792">
        <v>10034</v>
      </c>
      <c r="L792" t="s">
        <v>5355</v>
      </c>
      <c r="M792" t="s">
        <v>5356</v>
      </c>
      <c r="O792" t="s">
        <v>5393</v>
      </c>
      <c r="P792" t="s">
        <v>6527</v>
      </c>
      <c r="Q792" t="s">
        <v>6533</v>
      </c>
      <c r="R792" t="s">
        <v>6539</v>
      </c>
      <c r="S792" t="s">
        <v>5357</v>
      </c>
      <c r="U792" t="s">
        <v>6557</v>
      </c>
      <c r="W792" t="s">
        <v>236</v>
      </c>
      <c r="X792">
        <v>689.36</v>
      </c>
      <c r="Y792" t="s">
        <v>6608</v>
      </c>
      <c r="Z792" t="s">
        <v>6616</v>
      </c>
      <c r="AA792" t="s">
        <v>6645</v>
      </c>
      <c r="AB792" t="s">
        <v>7385</v>
      </c>
      <c r="AD792" t="s">
        <v>9756</v>
      </c>
      <c r="AE792">
        <v>49</v>
      </c>
      <c r="AF792" t="s">
        <v>11005</v>
      </c>
      <c r="AG792" t="s">
        <v>5406</v>
      </c>
      <c r="AH792">
        <v>12</v>
      </c>
      <c r="AI792">
        <v>1</v>
      </c>
      <c r="AJ792">
        <v>0</v>
      </c>
      <c r="AK792">
        <v>81.59</v>
      </c>
      <c r="AN792" t="s">
        <v>11049</v>
      </c>
      <c r="AO792">
        <v>9840</v>
      </c>
      <c r="AU792">
        <v>12.7</v>
      </c>
      <c r="AV792" t="s">
        <v>338</v>
      </c>
      <c r="AW792" t="s">
        <v>11495</v>
      </c>
    </row>
    <row r="793" spans="1:49">
      <c r="A793" s="1">
        <f>HYPERLINK("https://cms.ls-nyc.org/matter/dynamic-profile/view/1862323","18-1862323")</f>
        <v>0</v>
      </c>
      <c r="B793" t="s">
        <v>90</v>
      </c>
      <c r="C793" t="s">
        <v>234</v>
      </c>
      <c r="D793" t="s">
        <v>336</v>
      </c>
      <c r="E793" t="s">
        <v>665</v>
      </c>
      <c r="F793" t="s">
        <v>865</v>
      </c>
      <c r="G793" t="s">
        <v>2646</v>
      </c>
      <c r="H793" t="s">
        <v>3993</v>
      </c>
      <c r="I793" t="s">
        <v>4986</v>
      </c>
      <c r="J793" t="s">
        <v>5321</v>
      </c>
      <c r="K793">
        <v>10452</v>
      </c>
      <c r="L793" t="s">
        <v>5355</v>
      </c>
      <c r="M793" t="s">
        <v>5356</v>
      </c>
      <c r="P793" t="s">
        <v>6527</v>
      </c>
      <c r="Q793" t="s">
        <v>6532</v>
      </c>
      <c r="R793" t="s">
        <v>6539</v>
      </c>
      <c r="S793" t="s">
        <v>5357</v>
      </c>
      <c r="U793" t="s">
        <v>6557</v>
      </c>
      <c r="W793" t="s">
        <v>480</v>
      </c>
      <c r="X793">
        <v>500</v>
      </c>
      <c r="Y793" t="s">
        <v>6606</v>
      </c>
      <c r="Z793" t="s">
        <v>6616</v>
      </c>
      <c r="AA793" t="s">
        <v>6634</v>
      </c>
      <c r="AB793" t="s">
        <v>7386</v>
      </c>
      <c r="AD793" t="s">
        <v>9757</v>
      </c>
      <c r="AE793">
        <v>13</v>
      </c>
      <c r="AG793" t="s">
        <v>11020</v>
      </c>
      <c r="AH793">
        <v>38</v>
      </c>
      <c r="AI793">
        <v>1</v>
      </c>
      <c r="AJ793">
        <v>0</v>
      </c>
      <c r="AK793">
        <v>81.75</v>
      </c>
      <c r="AN793" t="s">
        <v>11049</v>
      </c>
      <c r="AO793">
        <v>9924</v>
      </c>
      <c r="AU793">
        <v>1.5</v>
      </c>
      <c r="AV793" t="s">
        <v>665</v>
      </c>
      <c r="AW793" t="s">
        <v>90</v>
      </c>
    </row>
    <row r="794" spans="1:49">
      <c r="A794" s="1">
        <f>HYPERLINK("https://cms.ls-nyc.org/matter/dynamic-profile/view/1844283","17-1844283")</f>
        <v>0</v>
      </c>
      <c r="B794" t="s">
        <v>124</v>
      </c>
      <c r="C794" t="s">
        <v>235</v>
      </c>
      <c r="D794" t="s">
        <v>495</v>
      </c>
      <c r="F794" t="s">
        <v>971</v>
      </c>
      <c r="G794" t="s">
        <v>2647</v>
      </c>
      <c r="H794" t="s">
        <v>3994</v>
      </c>
      <c r="I794" t="s">
        <v>4841</v>
      </c>
      <c r="J794" t="s">
        <v>5323</v>
      </c>
      <c r="K794">
        <v>10040</v>
      </c>
      <c r="L794" t="s">
        <v>5355</v>
      </c>
      <c r="M794" t="s">
        <v>5356</v>
      </c>
      <c r="O794" t="s">
        <v>6494</v>
      </c>
      <c r="P794" t="s">
        <v>6527</v>
      </c>
      <c r="R794" t="s">
        <v>6539</v>
      </c>
      <c r="S794" t="s">
        <v>5355</v>
      </c>
      <c r="U794" t="s">
        <v>6557</v>
      </c>
      <c r="W794" t="s">
        <v>495</v>
      </c>
      <c r="X794">
        <v>715.12</v>
      </c>
      <c r="Y794" t="s">
        <v>6608</v>
      </c>
      <c r="Z794" t="s">
        <v>6616</v>
      </c>
      <c r="AB794" t="s">
        <v>7387</v>
      </c>
      <c r="AD794" t="s">
        <v>9758</v>
      </c>
      <c r="AE794">
        <v>42</v>
      </c>
      <c r="AF794" t="s">
        <v>11005</v>
      </c>
      <c r="AG794" t="s">
        <v>11020</v>
      </c>
      <c r="AH794">
        <v>37</v>
      </c>
      <c r="AI794">
        <v>1</v>
      </c>
      <c r="AJ794">
        <v>0</v>
      </c>
      <c r="AK794">
        <v>81.79000000000001</v>
      </c>
      <c r="AL794" t="s">
        <v>301</v>
      </c>
      <c r="AN794" t="s">
        <v>11049</v>
      </c>
      <c r="AO794">
        <v>9864</v>
      </c>
      <c r="AU794">
        <v>13.9</v>
      </c>
      <c r="AV794" t="s">
        <v>365</v>
      </c>
      <c r="AW794" t="s">
        <v>11495</v>
      </c>
    </row>
    <row r="795" spans="1:49">
      <c r="A795" s="1">
        <f>HYPERLINK("https://cms.ls-nyc.org/matter/dynamic-profile/view/1857869","18-1857869")</f>
        <v>0</v>
      </c>
      <c r="B795" t="s">
        <v>76</v>
      </c>
      <c r="C795" t="s">
        <v>234</v>
      </c>
      <c r="D795" t="s">
        <v>262</v>
      </c>
      <c r="E795" t="s">
        <v>726</v>
      </c>
      <c r="F795" t="s">
        <v>1386</v>
      </c>
      <c r="G795" t="s">
        <v>2648</v>
      </c>
      <c r="H795" t="s">
        <v>3725</v>
      </c>
      <c r="I795">
        <v>20</v>
      </c>
      <c r="J795" t="s">
        <v>5323</v>
      </c>
      <c r="K795">
        <v>10029</v>
      </c>
      <c r="L795" t="s">
        <v>5355</v>
      </c>
      <c r="M795" t="s">
        <v>5355</v>
      </c>
      <c r="O795" t="s">
        <v>6500</v>
      </c>
      <c r="P795" t="s">
        <v>6527</v>
      </c>
      <c r="Q795" t="s">
        <v>6535</v>
      </c>
      <c r="R795" t="s">
        <v>6539</v>
      </c>
      <c r="S795" t="s">
        <v>5357</v>
      </c>
      <c r="U795" t="s">
        <v>6557</v>
      </c>
      <c r="V795" t="s">
        <v>6566</v>
      </c>
      <c r="W795" t="s">
        <v>262</v>
      </c>
      <c r="X795">
        <v>812.49</v>
      </c>
      <c r="Y795" t="s">
        <v>6608</v>
      </c>
      <c r="Z795" t="s">
        <v>6614</v>
      </c>
      <c r="AA795" t="s">
        <v>6636</v>
      </c>
      <c r="AB795" t="s">
        <v>7388</v>
      </c>
      <c r="AD795" t="s">
        <v>9759</v>
      </c>
      <c r="AE795">
        <v>22</v>
      </c>
      <c r="AF795" t="s">
        <v>11005</v>
      </c>
      <c r="AG795" t="s">
        <v>11024</v>
      </c>
      <c r="AH795">
        <v>37</v>
      </c>
      <c r="AI795">
        <v>3</v>
      </c>
      <c r="AJ795">
        <v>2</v>
      </c>
      <c r="AK795">
        <v>81.89</v>
      </c>
      <c r="AN795" t="s">
        <v>11049</v>
      </c>
      <c r="AO795">
        <v>34368</v>
      </c>
      <c r="AP795" t="s">
        <v>11120</v>
      </c>
      <c r="AU795">
        <v>4</v>
      </c>
      <c r="AV795" t="s">
        <v>11456</v>
      </c>
      <c r="AW795" t="s">
        <v>11497</v>
      </c>
    </row>
    <row r="796" spans="1:49">
      <c r="A796" s="1">
        <f>HYPERLINK("https://cms.ls-nyc.org/matter/dynamic-profile/view/1865312","18-1865312")</f>
        <v>0</v>
      </c>
      <c r="B796" t="s">
        <v>103</v>
      </c>
      <c r="C796" t="s">
        <v>235</v>
      </c>
      <c r="D796" t="s">
        <v>496</v>
      </c>
      <c r="F796" t="s">
        <v>1111</v>
      </c>
      <c r="G796" t="s">
        <v>2649</v>
      </c>
      <c r="H796" t="s">
        <v>3995</v>
      </c>
      <c r="I796" t="s">
        <v>4885</v>
      </c>
      <c r="J796" t="s">
        <v>5321</v>
      </c>
      <c r="K796">
        <v>10452</v>
      </c>
      <c r="L796" t="s">
        <v>5355</v>
      </c>
      <c r="M796" t="s">
        <v>5356</v>
      </c>
      <c r="P796" t="s">
        <v>6527</v>
      </c>
      <c r="R796" t="s">
        <v>6539</v>
      </c>
      <c r="S796" t="s">
        <v>5355</v>
      </c>
      <c r="U796" t="s">
        <v>6557</v>
      </c>
      <c r="W796" t="s">
        <v>326</v>
      </c>
      <c r="X796">
        <v>1100</v>
      </c>
      <c r="Y796" t="s">
        <v>6606</v>
      </c>
      <c r="Z796" t="s">
        <v>6612</v>
      </c>
      <c r="AB796" t="s">
        <v>7389</v>
      </c>
      <c r="AD796" t="s">
        <v>9760</v>
      </c>
      <c r="AE796">
        <v>0</v>
      </c>
      <c r="AF796" t="s">
        <v>11005</v>
      </c>
      <c r="AG796" t="s">
        <v>6493</v>
      </c>
      <c r="AH796">
        <v>3</v>
      </c>
      <c r="AI796">
        <v>1</v>
      </c>
      <c r="AJ796">
        <v>0</v>
      </c>
      <c r="AK796">
        <v>82.04000000000001</v>
      </c>
      <c r="AN796" t="s">
        <v>11050</v>
      </c>
      <c r="AO796">
        <v>9960</v>
      </c>
      <c r="AU796">
        <v>0.6</v>
      </c>
      <c r="AV796" t="s">
        <v>496</v>
      </c>
      <c r="AW796" t="s">
        <v>59</v>
      </c>
    </row>
    <row r="797" spans="1:49">
      <c r="A797" s="1">
        <f>HYPERLINK("https://cms.ls-nyc.org/matter/dynamic-profile/view/1868690","18-1868690")</f>
        <v>0</v>
      </c>
      <c r="B797" t="s">
        <v>90</v>
      </c>
      <c r="C797" t="s">
        <v>235</v>
      </c>
      <c r="D797" t="s">
        <v>318</v>
      </c>
      <c r="F797" t="s">
        <v>1387</v>
      </c>
      <c r="G797" t="s">
        <v>2650</v>
      </c>
      <c r="H797" t="s">
        <v>3949</v>
      </c>
      <c r="I797" t="s">
        <v>4854</v>
      </c>
      <c r="J797" t="s">
        <v>5321</v>
      </c>
      <c r="K797">
        <v>10452</v>
      </c>
      <c r="L797" t="s">
        <v>5355</v>
      </c>
      <c r="M797" t="s">
        <v>5355</v>
      </c>
      <c r="O797" t="s">
        <v>5393</v>
      </c>
      <c r="P797" t="s">
        <v>6527</v>
      </c>
      <c r="R797" t="s">
        <v>6539</v>
      </c>
      <c r="S797" t="s">
        <v>5355</v>
      </c>
      <c r="U797" t="s">
        <v>6557</v>
      </c>
      <c r="W797" t="s">
        <v>516</v>
      </c>
      <c r="X797">
        <v>687.1</v>
      </c>
      <c r="Y797" t="s">
        <v>6606</v>
      </c>
      <c r="Z797" t="s">
        <v>6625</v>
      </c>
      <c r="AB797" t="s">
        <v>7390</v>
      </c>
      <c r="AD797" t="s">
        <v>9761</v>
      </c>
      <c r="AE797">
        <v>60</v>
      </c>
      <c r="AF797" t="s">
        <v>11005</v>
      </c>
      <c r="AG797" t="s">
        <v>11024</v>
      </c>
      <c r="AH797">
        <v>46</v>
      </c>
      <c r="AI797">
        <v>1</v>
      </c>
      <c r="AJ797">
        <v>0</v>
      </c>
      <c r="AK797">
        <v>83.03</v>
      </c>
      <c r="AN797" t="s">
        <v>11049</v>
      </c>
      <c r="AO797">
        <v>10080</v>
      </c>
      <c r="AU797">
        <v>0</v>
      </c>
      <c r="AW797" t="s">
        <v>11492</v>
      </c>
    </row>
    <row r="798" spans="1:49">
      <c r="A798" s="1">
        <f>HYPERLINK("https://cms.ls-nyc.org/matter/dynamic-profile/view/1857894","18-1857894")</f>
        <v>0</v>
      </c>
      <c r="B798" t="s">
        <v>92</v>
      </c>
      <c r="C798" t="s">
        <v>234</v>
      </c>
      <c r="D798" t="s">
        <v>262</v>
      </c>
      <c r="E798" t="s">
        <v>695</v>
      </c>
      <c r="F798" t="s">
        <v>897</v>
      </c>
      <c r="G798" t="s">
        <v>2106</v>
      </c>
      <c r="H798" t="s">
        <v>3996</v>
      </c>
      <c r="I798" t="s">
        <v>4796</v>
      </c>
      <c r="J798" t="s">
        <v>5323</v>
      </c>
      <c r="K798">
        <v>10040</v>
      </c>
      <c r="L798" t="s">
        <v>5355</v>
      </c>
      <c r="M798" t="s">
        <v>5356</v>
      </c>
      <c r="O798" t="s">
        <v>6500</v>
      </c>
      <c r="P798" t="s">
        <v>6527</v>
      </c>
      <c r="Q798" t="s">
        <v>6532</v>
      </c>
      <c r="R798" t="s">
        <v>6539</v>
      </c>
      <c r="S798" t="s">
        <v>5357</v>
      </c>
      <c r="U798" t="s">
        <v>6557</v>
      </c>
      <c r="W798" t="s">
        <v>262</v>
      </c>
      <c r="X798">
        <v>165</v>
      </c>
      <c r="Y798" t="s">
        <v>6608</v>
      </c>
      <c r="Z798" t="s">
        <v>6614</v>
      </c>
      <c r="AA798" t="s">
        <v>6637</v>
      </c>
      <c r="AB798" t="s">
        <v>7391</v>
      </c>
      <c r="AD798" t="s">
        <v>9762</v>
      </c>
      <c r="AE798">
        <v>43</v>
      </c>
      <c r="AF798" t="s">
        <v>11005</v>
      </c>
      <c r="AG798" t="s">
        <v>11020</v>
      </c>
      <c r="AH798">
        <v>13</v>
      </c>
      <c r="AI798">
        <v>1</v>
      </c>
      <c r="AJ798">
        <v>0</v>
      </c>
      <c r="AK798">
        <v>83.08</v>
      </c>
      <c r="AL798" t="s">
        <v>531</v>
      </c>
      <c r="AN798" t="s">
        <v>11050</v>
      </c>
      <c r="AO798">
        <v>10020</v>
      </c>
      <c r="AU798">
        <v>0.5</v>
      </c>
      <c r="AV798" t="s">
        <v>320</v>
      </c>
      <c r="AW798" t="s">
        <v>11495</v>
      </c>
    </row>
    <row r="799" spans="1:49">
      <c r="A799" s="1">
        <f>HYPERLINK("https://cms.ls-nyc.org/matter/dynamic-profile/view/1854124","17-1854124")</f>
        <v>0</v>
      </c>
      <c r="B799" t="s">
        <v>68</v>
      </c>
      <c r="C799" t="s">
        <v>234</v>
      </c>
      <c r="D799" t="s">
        <v>439</v>
      </c>
      <c r="E799" t="s">
        <v>678</v>
      </c>
      <c r="F799" t="s">
        <v>1117</v>
      </c>
      <c r="G799" t="s">
        <v>2409</v>
      </c>
      <c r="H799" t="s">
        <v>3639</v>
      </c>
      <c r="I799">
        <v>15</v>
      </c>
      <c r="J799" t="s">
        <v>5323</v>
      </c>
      <c r="K799">
        <v>10035</v>
      </c>
      <c r="L799" t="s">
        <v>5355</v>
      </c>
      <c r="M799" t="s">
        <v>5355</v>
      </c>
      <c r="O799" t="s">
        <v>5393</v>
      </c>
      <c r="P799" t="s">
        <v>6527</v>
      </c>
      <c r="Q799" t="s">
        <v>6532</v>
      </c>
      <c r="R799" t="s">
        <v>6539</v>
      </c>
      <c r="S799" t="s">
        <v>5357</v>
      </c>
      <c r="U799" t="s">
        <v>6557</v>
      </c>
      <c r="V799" t="s">
        <v>6566</v>
      </c>
      <c r="W799" t="s">
        <v>439</v>
      </c>
      <c r="X799">
        <v>1472.05</v>
      </c>
      <c r="Y799" t="s">
        <v>6608</v>
      </c>
      <c r="Z799" t="s">
        <v>6616</v>
      </c>
      <c r="AA799" t="s">
        <v>6636</v>
      </c>
      <c r="AB799" t="s">
        <v>7392</v>
      </c>
      <c r="AD799" t="s">
        <v>9763</v>
      </c>
      <c r="AE799">
        <v>35</v>
      </c>
      <c r="AF799" t="s">
        <v>11008</v>
      </c>
      <c r="AG799" t="s">
        <v>11020</v>
      </c>
      <c r="AH799">
        <v>6</v>
      </c>
      <c r="AI799">
        <v>2</v>
      </c>
      <c r="AJ799">
        <v>0</v>
      </c>
      <c r="AK799">
        <v>83.34999999999999</v>
      </c>
      <c r="AN799" t="s">
        <v>11049</v>
      </c>
      <c r="AO799">
        <v>13536</v>
      </c>
      <c r="AU799">
        <v>20.85</v>
      </c>
      <c r="AV799" t="s">
        <v>11447</v>
      </c>
      <c r="AW799" t="s">
        <v>11497</v>
      </c>
    </row>
    <row r="800" spans="1:49">
      <c r="A800" s="1">
        <f>HYPERLINK("https://cms.ls-nyc.org/matter/dynamic-profile/view/1864244","18-1864244")</f>
        <v>0</v>
      </c>
      <c r="B800" t="s">
        <v>61</v>
      </c>
      <c r="C800" t="s">
        <v>234</v>
      </c>
      <c r="D800" t="s">
        <v>303</v>
      </c>
      <c r="E800" t="s">
        <v>673</v>
      </c>
      <c r="F800" t="s">
        <v>1388</v>
      </c>
      <c r="G800" t="s">
        <v>2651</v>
      </c>
      <c r="H800" t="s">
        <v>3928</v>
      </c>
      <c r="I800" t="s">
        <v>4814</v>
      </c>
      <c r="J800" t="s">
        <v>5321</v>
      </c>
      <c r="K800">
        <v>10452</v>
      </c>
      <c r="L800" t="s">
        <v>5355</v>
      </c>
      <c r="M800" t="s">
        <v>5355</v>
      </c>
      <c r="O800" t="s">
        <v>6496</v>
      </c>
      <c r="P800" t="s">
        <v>6527</v>
      </c>
      <c r="Q800" t="s">
        <v>6532</v>
      </c>
      <c r="R800" t="s">
        <v>6540</v>
      </c>
      <c r="S800" t="s">
        <v>5357</v>
      </c>
      <c r="U800" t="s">
        <v>6557</v>
      </c>
      <c r="W800" t="s">
        <v>516</v>
      </c>
      <c r="X800">
        <v>891.5</v>
      </c>
      <c r="Y800" t="s">
        <v>6606</v>
      </c>
      <c r="Z800" t="s">
        <v>6625</v>
      </c>
      <c r="AA800" t="s">
        <v>6637</v>
      </c>
      <c r="AB800" t="s">
        <v>7393</v>
      </c>
      <c r="AD800" t="s">
        <v>9764</v>
      </c>
      <c r="AE800">
        <v>0</v>
      </c>
      <c r="AF800" t="s">
        <v>11005</v>
      </c>
      <c r="AG800" t="s">
        <v>5406</v>
      </c>
      <c r="AH800">
        <v>11</v>
      </c>
      <c r="AI800">
        <v>1</v>
      </c>
      <c r="AJ800">
        <v>3</v>
      </c>
      <c r="AK800">
        <v>83.67</v>
      </c>
      <c r="AL800" t="s">
        <v>11028</v>
      </c>
      <c r="AN800" t="s">
        <v>11050</v>
      </c>
      <c r="AO800">
        <v>21000</v>
      </c>
      <c r="AU800">
        <v>0.35</v>
      </c>
      <c r="AV800" t="s">
        <v>673</v>
      </c>
      <c r="AW800" t="s">
        <v>11492</v>
      </c>
    </row>
    <row r="801" spans="1:49">
      <c r="A801" s="1">
        <f>HYPERLINK("https://cms.ls-nyc.org/matter/dynamic-profile/view/1847272","17-1847272")</f>
        <v>0</v>
      </c>
      <c r="B801" t="s">
        <v>92</v>
      </c>
      <c r="C801" t="s">
        <v>235</v>
      </c>
      <c r="D801" t="s">
        <v>283</v>
      </c>
      <c r="F801" t="s">
        <v>1389</v>
      </c>
      <c r="G801" t="s">
        <v>2231</v>
      </c>
      <c r="H801" t="s">
        <v>3534</v>
      </c>
      <c r="I801" t="s">
        <v>4923</v>
      </c>
      <c r="J801" t="s">
        <v>5323</v>
      </c>
      <c r="K801">
        <v>10040</v>
      </c>
      <c r="L801" t="s">
        <v>5355</v>
      </c>
      <c r="M801" t="s">
        <v>5356</v>
      </c>
      <c r="N801" t="s">
        <v>5556</v>
      </c>
      <c r="O801" t="s">
        <v>6499</v>
      </c>
      <c r="P801" t="s">
        <v>6527</v>
      </c>
      <c r="R801" t="s">
        <v>6539</v>
      </c>
      <c r="S801" t="s">
        <v>5357</v>
      </c>
      <c r="U801" t="s">
        <v>6557</v>
      </c>
      <c r="W801" t="s">
        <v>283</v>
      </c>
      <c r="X801">
        <v>0</v>
      </c>
      <c r="Y801" t="s">
        <v>6608</v>
      </c>
      <c r="Z801" t="s">
        <v>6616</v>
      </c>
      <c r="AB801" t="s">
        <v>7394</v>
      </c>
      <c r="AD801" t="s">
        <v>9765</v>
      </c>
      <c r="AE801">
        <v>43</v>
      </c>
      <c r="AF801" t="s">
        <v>11005</v>
      </c>
      <c r="AG801" t="s">
        <v>11020</v>
      </c>
      <c r="AH801">
        <v>34</v>
      </c>
      <c r="AI801">
        <v>1</v>
      </c>
      <c r="AJ801">
        <v>0</v>
      </c>
      <c r="AK801">
        <v>84.38</v>
      </c>
      <c r="AL801" t="s">
        <v>531</v>
      </c>
      <c r="AN801" t="s">
        <v>11049</v>
      </c>
      <c r="AO801">
        <v>10176</v>
      </c>
      <c r="AU801">
        <v>0.8</v>
      </c>
      <c r="AV801" t="s">
        <v>11457</v>
      </c>
      <c r="AW801" t="s">
        <v>11495</v>
      </c>
    </row>
    <row r="802" spans="1:49">
      <c r="A802" s="1">
        <f>HYPERLINK("https://cms.ls-nyc.org/matter/dynamic-profile/view/1868628","18-1868628")</f>
        <v>0</v>
      </c>
      <c r="B802" t="s">
        <v>90</v>
      </c>
      <c r="C802" t="s">
        <v>235</v>
      </c>
      <c r="D802" t="s">
        <v>267</v>
      </c>
      <c r="F802" t="s">
        <v>1390</v>
      </c>
      <c r="G802" t="s">
        <v>2652</v>
      </c>
      <c r="H802" t="s">
        <v>3589</v>
      </c>
      <c r="I802" t="s">
        <v>4925</v>
      </c>
      <c r="J802" t="s">
        <v>5321</v>
      </c>
      <c r="K802">
        <v>10452</v>
      </c>
      <c r="L802" t="s">
        <v>5355</v>
      </c>
      <c r="M802" t="s">
        <v>5356</v>
      </c>
      <c r="O802" t="s">
        <v>5393</v>
      </c>
      <c r="P802" t="s">
        <v>6527</v>
      </c>
      <c r="R802" t="s">
        <v>6539</v>
      </c>
      <c r="S802" t="s">
        <v>5355</v>
      </c>
      <c r="U802" t="s">
        <v>6557</v>
      </c>
      <c r="W802" t="s">
        <v>275</v>
      </c>
      <c r="X802">
        <v>859.3200000000001</v>
      </c>
      <c r="Y802" t="s">
        <v>6606</v>
      </c>
      <c r="Z802" t="s">
        <v>6625</v>
      </c>
      <c r="AB802" t="s">
        <v>7395</v>
      </c>
      <c r="AC802" t="s">
        <v>8802</v>
      </c>
      <c r="AD802" t="s">
        <v>9766</v>
      </c>
      <c r="AE802">
        <v>60</v>
      </c>
      <c r="AF802" t="s">
        <v>11005</v>
      </c>
      <c r="AG802" t="s">
        <v>5406</v>
      </c>
      <c r="AH802">
        <v>21</v>
      </c>
      <c r="AI802">
        <v>2</v>
      </c>
      <c r="AJ802">
        <v>1</v>
      </c>
      <c r="AK802">
        <v>85.08</v>
      </c>
      <c r="AN802" t="s">
        <v>11050</v>
      </c>
      <c r="AO802">
        <v>17680</v>
      </c>
      <c r="AU802">
        <v>0.1</v>
      </c>
      <c r="AV802" t="s">
        <v>673</v>
      </c>
      <c r="AW802" t="s">
        <v>11492</v>
      </c>
    </row>
    <row r="803" spans="1:49">
      <c r="A803" s="1">
        <f>HYPERLINK("https://cms.ls-nyc.org/matter/dynamic-profile/view/1857295","18-1857295")</f>
        <v>0</v>
      </c>
      <c r="B803" t="s">
        <v>158</v>
      </c>
      <c r="C803" t="s">
        <v>234</v>
      </c>
      <c r="D803" t="s">
        <v>297</v>
      </c>
      <c r="E803" t="s">
        <v>434</v>
      </c>
      <c r="F803" t="s">
        <v>897</v>
      </c>
      <c r="G803" t="s">
        <v>1133</v>
      </c>
      <c r="H803" t="s">
        <v>3942</v>
      </c>
      <c r="I803" t="s">
        <v>4972</v>
      </c>
      <c r="J803" t="s">
        <v>5321</v>
      </c>
      <c r="K803">
        <v>10459</v>
      </c>
      <c r="L803" t="s">
        <v>5355</v>
      </c>
      <c r="M803" t="s">
        <v>5356</v>
      </c>
      <c r="O803" t="s">
        <v>5393</v>
      </c>
      <c r="P803" t="s">
        <v>6527</v>
      </c>
      <c r="Q803" t="s">
        <v>6532</v>
      </c>
      <c r="R803" t="s">
        <v>6539</v>
      </c>
      <c r="S803" t="s">
        <v>5357</v>
      </c>
      <c r="U803" t="s">
        <v>6557</v>
      </c>
      <c r="W803" t="s">
        <v>247</v>
      </c>
      <c r="X803">
        <v>1200</v>
      </c>
      <c r="Y803" t="s">
        <v>6606</v>
      </c>
      <c r="Z803" t="s">
        <v>6612</v>
      </c>
      <c r="AA803" t="s">
        <v>6636</v>
      </c>
      <c r="AB803" t="s">
        <v>7396</v>
      </c>
      <c r="AD803" t="s">
        <v>9767</v>
      </c>
      <c r="AE803">
        <v>48</v>
      </c>
      <c r="AF803" t="s">
        <v>11005</v>
      </c>
      <c r="AG803" t="s">
        <v>11020</v>
      </c>
      <c r="AH803">
        <v>31</v>
      </c>
      <c r="AI803">
        <v>1</v>
      </c>
      <c r="AJ803">
        <v>0</v>
      </c>
      <c r="AK803">
        <v>85.27</v>
      </c>
      <c r="AN803" t="s">
        <v>11050</v>
      </c>
      <c r="AO803">
        <v>10284</v>
      </c>
      <c r="AU803">
        <v>57.3</v>
      </c>
      <c r="AV803" t="s">
        <v>727</v>
      </c>
      <c r="AW803" t="s">
        <v>60</v>
      </c>
    </row>
    <row r="804" spans="1:49">
      <c r="A804" s="1">
        <f>HYPERLINK("https://cms.ls-nyc.org/matter/dynamic-profile/view/1858247","18-1858247")</f>
        <v>0</v>
      </c>
      <c r="B804" t="s">
        <v>124</v>
      </c>
      <c r="C804" t="s">
        <v>234</v>
      </c>
      <c r="D804" t="s">
        <v>238</v>
      </c>
      <c r="E804" t="s">
        <v>686</v>
      </c>
      <c r="F804" t="s">
        <v>1219</v>
      </c>
      <c r="G804" t="s">
        <v>2411</v>
      </c>
      <c r="H804" t="s">
        <v>3819</v>
      </c>
      <c r="I804">
        <v>1</v>
      </c>
      <c r="J804" t="s">
        <v>5323</v>
      </c>
      <c r="K804">
        <v>10034</v>
      </c>
      <c r="L804" t="s">
        <v>5355</v>
      </c>
      <c r="M804" t="s">
        <v>5356</v>
      </c>
      <c r="O804" t="s">
        <v>6498</v>
      </c>
      <c r="P804" t="s">
        <v>6527</v>
      </c>
      <c r="Q804" t="s">
        <v>6535</v>
      </c>
      <c r="R804" t="s">
        <v>6539</v>
      </c>
      <c r="S804" t="s">
        <v>5357</v>
      </c>
      <c r="U804" t="s">
        <v>6557</v>
      </c>
      <c r="W804" t="s">
        <v>238</v>
      </c>
      <c r="X804">
        <v>818.49</v>
      </c>
      <c r="Y804" t="s">
        <v>6608</v>
      </c>
      <c r="Z804" t="s">
        <v>6616</v>
      </c>
      <c r="AA804" t="s">
        <v>6636</v>
      </c>
      <c r="AB804" t="s">
        <v>7117</v>
      </c>
      <c r="AD804" t="s">
        <v>9508</v>
      </c>
      <c r="AE804">
        <v>30</v>
      </c>
      <c r="AF804" t="s">
        <v>11005</v>
      </c>
      <c r="AG804" t="s">
        <v>11024</v>
      </c>
      <c r="AH804">
        <v>19</v>
      </c>
      <c r="AI804">
        <v>1</v>
      </c>
      <c r="AJ804">
        <v>0</v>
      </c>
      <c r="AK804">
        <v>85.27</v>
      </c>
      <c r="AN804" t="s">
        <v>11061</v>
      </c>
      <c r="AO804">
        <v>10284</v>
      </c>
      <c r="AU804">
        <v>16.2</v>
      </c>
      <c r="AV804" t="s">
        <v>686</v>
      </c>
      <c r="AW804" t="s">
        <v>11495</v>
      </c>
    </row>
    <row r="805" spans="1:49">
      <c r="A805" s="1">
        <f>HYPERLINK("https://cms.ls-nyc.org/matter/dynamic-profile/view/1849267","17-1849267")</f>
        <v>0</v>
      </c>
      <c r="B805" t="s">
        <v>54</v>
      </c>
      <c r="C805" t="s">
        <v>234</v>
      </c>
      <c r="D805" t="s">
        <v>392</v>
      </c>
      <c r="E805" t="s">
        <v>741</v>
      </c>
      <c r="F805" t="s">
        <v>1391</v>
      </c>
      <c r="G805" t="s">
        <v>2653</v>
      </c>
      <c r="H805" t="s">
        <v>3719</v>
      </c>
      <c r="I805" t="s">
        <v>4791</v>
      </c>
      <c r="J805" t="s">
        <v>5320</v>
      </c>
      <c r="K805">
        <v>11213</v>
      </c>
      <c r="L805" t="s">
        <v>5355</v>
      </c>
      <c r="M805" t="s">
        <v>5355</v>
      </c>
      <c r="O805" t="s">
        <v>6500</v>
      </c>
      <c r="P805" t="s">
        <v>6527</v>
      </c>
      <c r="Q805" t="s">
        <v>6533</v>
      </c>
      <c r="R805" t="s">
        <v>6539</v>
      </c>
      <c r="S805" t="s">
        <v>5355</v>
      </c>
      <c r="U805" t="s">
        <v>6557</v>
      </c>
      <c r="W805" t="s">
        <v>363</v>
      </c>
      <c r="X805">
        <v>1885.35</v>
      </c>
      <c r="Y805" t="s">
        <v>6605</v>
      </c>
      <c r="Z805" t="s">
        <v>6622</v>
      </c>
      <c r="AA805" t="s">
        <v>6634</v>
      </c>
      <c r="AB805" t="s">
        <v>6741</v>
      </c>
      <c r="AD805" t="s">
        <v>9768</v>
      </c>
      <c r="AE805">
        <v>23</v>
      </c>
      <c r="AF805" t="s">
        <v>11005</v>
      </c>
      <c r="AH805">
        <v>8</v>
      </c>
      <c r="AI805">
        <v>3</v>
      </c>
      <c r="AJ805">
        <v>1</v>
      </c>
      <c r="AK805">
        <v>85.37</v>
      </c>
      <c r="AL805" t="s">
        <v>591</v>
      </c>
      <c r="AN805" t="s">
        <v>11063</v>
      </c>
      <c r="AO805">
        <v>21000</v>
      </c>
      <c r="AU805">
        <v>1.7</v>
      </c>
      <c r="AV805" t="s">
        <v>687</v>
      </c>
      <c r="AW805" t="s">
        <v>11512</v>
      </c>
    </row>
    <row r="806" spans="1:49">
      <c r="A806" s="1">
        <f>HYPERLINK("https://cms.ls-nyc.org/matter/dynamic-profile/view/1834046","17-1834046")</f>
        <v>0</v>
      </c>
      <c r="B806" t="s">
        <v>90</v>
      </c>
      <c r="C806" t="s">
        <v>235</v>
      </c>
      <c r="D806" t="s">
        <v>451</v>
      </c>
      <c r="F806" t="s">
        <v>1388</v>
      </c>
      <c r="G806" t="s">
        <v>2651</v>
      </c>
      <c r="H806" t="s">
        <v>3928</v>
      </c>
      <c r="I806" t="s">
        <v>4814</v>
      </c>
      <c r="J806" t="s">
        <v>5321</v>
      </c>
      <c r="K806">
        <v>10452</v>
      </c>
      <c r="L806" t="s">
        <v>5355</v>
      </c>
      <c r="M806" t="s">
        <v>5356</v>
      </c>
      <c r="P806" t="s">
        <v>6527</v>
      </c>
      <c r="R806" t="s">
        <v>6539</v>
      </c>
      <c r="S806" t="s">
        <v>5355</v>
      </c>
      <c r="U806" t="s">
        <v>6557</v>
      </c>
      <c r="W806" t="s">
        <v>326</v>
      </c>
      <c r="X806">
        <v>891.5</v>
      </c>
      <c r="Y806" t="s">
        <v>6606</v>
      </c>
      <c r="Z806" t="s">
        <v>6622</v>
      </c>
      <c r="AB806" t="s">
        <v>7393</v>
      </c>
      <c r="AD806" t="s">
        <v>9764</v>
      </c>
      <c r="AE806">
        <v>0</v>
      </c>
      <c r="AF806" t="s">
        <v>11005</v>
      </c>
      <c r="AH806">
        <v>10</v>
      </c>
      <c r="AI806">
        <v>1</v>
      </c>
      <c r="AJ806">
        <v>3</v>
      </c>
      <c r="AK806">
        <v>85.37</v>
      </c>
      <c r="AN806" t="s">
        <v>11050</v>
      </c>
      <c r="AO806">
        <v>21000</v>
      </c>
      <c r="AU806">
        <v>1.2</v>
      </c>
      <c r="AV806" t="s">
        <v>240</v>
      </c>
      <c r="AW806" t="s">
        <v>11509</v>
      </c>
    </row>
    <row r="807" spans="1:49">
      <c r="A807" s="1">
        <f>HYPERLINK("https://cms.ls-nyc.org/matter/dynamic-profile/view/1874116","18-1874116")</f>
        <v>0</v>
      </c>
      <c r="B807" t="s">
        <v>77</v>
      </c>
      <c r="C807" t="s">
        <v>234</v>
      </c>
      <c r="D807" t="s">
        <v>440</v>
      </c>
      <c r="E807" t="s">
        <v>440</v>
      </c>
      <c r="F807" t="s">
        <v>1392</v>
      </c>
      <c r="G807" t="s">
        <v>2654</v>
      </c>
      <c r="H807" t="s">
        <v>3603</v>
      </c>
      <c r="I807" t="s">
        <v>4783</v>
      </c>
      <c r="J807" t="s">
        <v>5320</v>
      </c>
      <c r="K807">
        <v>11213</v>
      </c>
      <c r="L807" t="s">
        <v>5355</v>
      </c>
      <c r="M807" t="s">
        <v>5356</v>
      </c>
      <c r="O807" t="s">
        <v>5393</v>
      </c>
      <c r="P807" t="s">
        <v>6527</v>
      </c>
      <c r="Q807" t="s">
        <v>6532</v>
      </c>
      <c r="R807" t="s">
        <v>6539</v>
      </c>
      <c r="S807" t="s">
        <v>5355</v>
      </c>
      <c r="U807" t="s">
        <v>6557</v>
      </c>
      <c r="W807" t="s">
        <v>335</v>
      </c>
      <c r="X807">
        <v>1122</v>
      </c>
      <c r="Y807" t="s">
        <v>6605</v>
      </c>
      <c r="Z807" t="s">
        <v>6622</v>
      </c>
      <c r="AA807" t="s">
        <v>6636</v>
      </c>
      <c r="AB807" t="s">
        <v>7397</v>
      </c>
      <c r="AD807" t="s">
        <v>9769</v>
      </c>
      <c r="AE807">
        <v>27</v>
      </c>
      <c r="AF807" t="s">
        <v>11005</v>
      </c>
      <c r="AG807" t="s">
        <v>5406</v>
      </c>
      <c r="AH807">
        <v>13</v>
      </c>
      <c r="AI807">
        <v>1</v>
      </c>
      <c r="AJ807">
        <v>2</v>
      </c>
      <c r="AK807">
        <v>86.62</v>
      </c>
      <c r="AM807" t="s">
        <v>11045</v>
      </c>
      <c r="AN807" t="s">
        <v>11050</v>
      </c>
      <c r="AO807">
        <v>18000</v>
      </c>
      <c r="AU807">
        <v>1.5</v>
      </c>
      <c r="AV807" t="s">
        <v>440</v>
      </c>
      <c r="AW807" t="s">
        <v>77</v>
      </c>
    </row>
    <row r="808" spans="1:49">
      <c r="A808" s="1">
        <f>HYPERLINK("https://cms.ls-nyc.org/matter/dynamic-profile/view/1863696","18-1863696")</f>
        <v>0</v>
      </c>
      <c r="B808" t="s">
        <v>163</v>
      </c>
      <c r="C808" t="s">
        <v>234</v>
      </c>
      <c r="D808" t="s">
        <v>263</v>
      </c>
      <c r="E808" t="s">
        <v>698</v>
      </c>
      <c r="F808" t="s">
        <v>901</v>
      </c>
      <c r="G808" t="s">
        <v>2102</v>
      </c>
      <c r="H808" t="s">
        <v>3997</v>
      </c>
      <c r="I808" t="s">
        <v>4967</v>
      </c>
      <c r="J808" t="s">
        <v>5321</v>
      </c>
      <c r="K808">
        <v>10456</v>
      </c>
      <c r="L808" t="s">
        <v>5355</v>
      </c>
      <c r="M808" t="s">
        <v>5356</v>
      </c>
      <c r="O808" t="s">
        <v>6498</v>
      </c>
      <c r="P808" t="s">
        <v>6527</v>
      </c>
      <c r="Q808" t="s">
        <v>6536</v>
      </c>
      <c r="R808" t="s">
        <v>6539</v>
      </c>
      <c r="U808" t="s">
        <v>6559</v>
      </c>
      <c r="W808" t="s">
        <v>377</v>
      </c>
      <c r="X808">
        <v>745</v>
      </c>
      <c r="Y808" t="s">
        <v>6606</v>
      </c>
      <c r="Z808" t="s">
        <v>6613</v>
      </c>
      <c r="AA808" t="s">
        <v>6632</v>
      </c>
      <c r="AB808" t="s">
        <v>7398</v>
      </c>
      <c r="AD808" t="s">
        <v>9770</v>
      </c>
      <c r="AE808">
        <v>0</v>
      </c>
      <c r="AF808" t="s">
        <v>11010</v>
      </c>
      <c r="AG808" t="s">
        <v>11024</v>
      </c>
      <c r="AH808">
        <v>3</v>
      </c>
      <c r="AI808">
        <v>2</v>
      </c>
      <c r="AJ808">
        <v>0</v>
      </c>
      <c r="AK808">
        <v>86.76000000000001</v>
      </c>
      <c r="AN808" t="s">
        <v>11049</v>
      </c>
      <c r="AO808">
        <v>21960</v>
      </c>
      <c r="AP808" t="s">
        <v>11121</v>
      </c>
      <c r="AU808">
        <v>2.8</v>
      </c>
      <c r="AV808" t="s">
        <v>734</v>
      </c>
      <c r="AW808" t="s">
        <v>11505</v>
      </c>
    </row>
    <row r="809" spans="1:49">
      <c r="A809" s="1">
        <f>HYPERLINK("https://cms.ls-nyc.org/matter/dynamic-profile/view/1867970","18-1867970")</f>
        <v>0</v>
      </c>
      <c r="B809" t="s">
        <v>97</v>
      </c>
      <c r="C809" t="s">
        <v>235</v>
      </c>
      <c r="D809" t="s">
        <v>452</v>
      </c>
      <c r="F809" t="s">
        <v>1393</v>
      </c>
      <c r="G809" t="s">
        <v>2655</v>
      </c>
      <c r="H809" t="s">
        <v>3998</v>
      </c>
      <c r="I809" t="s">
        <v>4750</v>
      </c>
      <c r="J809" t="s">
        <v>5323</v>
      </c>
      <c r="K809">
        <v>10034</v>
      </c>
      <c r="L809" t="s">
        <v>5355</v>
      </c>
      <c r="M809" t="s">
        <v>5356</v>
      </c>
      <c r="O809" t="s">
        <v>6500</v>
      </c>
      <c r="P809" t="s">
        <v>6527</v>
      </c>
      <c r="R809" t="s">
        <v>6539</v>
      </c>
      <c r="S809" t="s">
        <v>5357</v>
      </c>
      <c r="U809" t="s">
        <v>6557</v>
      </c>
      <c r="W809" t="s">
        <v>452</v>
      </c>
      <c r="X809">
        <v>432.57</v>
      </c>
      <c r="Y809" t="s">
        <v>6608</v>
      </c>
      <c r="Z809" t="s">
        <v>6614</v>
      </c>
      <c r="AB809" t="s">
        <v>7399</v>
      </c>
      <c r="AD809" t="s">
        <v>9771</v>
      </c>
      <c r="AE809">
        <v>41</v>
      </c>
      <c r="AF809" t="s">
        <v>11006</v>
      </c>
      <c r="AG809" t="s">
        <v>5406</v>
      </c>
      <c r="AH809">
        <v>51</v>
      </c>
      <c r="AI809">
        <v>1</v>
      </c>
      <c r="AJ809">
        <v>0</v>
      </c>
      <c r="AK809">
        <v>86.83</v>
      </c>
      <c r="AN809" t="s">
        <v>11050</v>
      </c>
      <c r="AO809">
        <v>10540.8</v>
      </c>
      <c r="AU809">
        <v>3.9</v>
      </c>
      <c r="AV809" t="s">
        <v>748</v>
      </c>
      <c r="AW809" t="s">
        <v>11495</v>
      </c>
    </row>
    <row r="810" spans="1:49">
      <c r="A810" s="1">
        <f>HYPERLINK("https://cms.ls-nyc.org/matter/dynamic-profile/view/1847273","17-1847273")</f>
        <v>0</v>
      </c>
      <c r="B810" t="s">
        <v>92</v>
      </c>
      <c r="C810" t="s">
        <v>235</v>
      </c>
      <c r="D810" t="s">
        <v>283</v>
      </c>
      <c r="F810" t="s">
        <v>1220</v>
      </c>
      <c r="G810" t="s">
        <v>2492</v>
      </c>
      <c r="H810" t="s">
        <v>3534</v>
      </c>
      <c r="I810" t="s">
        <v>4838</v>
      </c>
      <c r="J810" t="s">
        <v>5323</v>
      </c>
      <c r="K810">
        <v>10040</v>
      </c>
      <c r="L810" t="s">
        <v>5355</v>
      </c>
      <c r="M810" t="s">
        <v>5356</v>
      </c>
      <c r="N810" t="s">
        <v>5557</v>
      </c>
      <c r="O810" t="s">
        <v>6499</v>
      </c>
      <c r="P810" t="s">
        <v>6527</v>
      </c>
      <c r="R810" t="s">
        <v>6539</v>
      </c>
      <c r="S810" t="s">
        <v>5355</v>
      </c>
      <c r="U810" t="s">
        <v>6557</v>
      </c>
      <c r="W810" t="s">
        <v>283</v>
      </c>
      <c r="X810">
        <v>989</v>
      </c>
      <c r="Y810" t="s">
        <v>6608</v>
      </c>
      <c r="Z810" t="s">
        <v>6616</v>
      </c>
      <c r="AB810" t="s">
        <v>7400</v>
      </c>
      <c r="AE810">
        <v>43</v>
      </c>
      <c r="AF810" t="s">
        <v>11005</v>
      </c>
      <c r="AG810" t="s">
        <v>11020</v>
      </c>
      <c r="AH810">
        <v>25</v>
      </c>
      <c r="AI810">
        <v>1</v>
      </c>
      <c r="AJ810">
        <v>0</v>
      </c>
      <c r="AK810">
        <v>87.36</v>
      </c>
      <c r="AL810" t="s">
        <v>531</v>
      </c>
      <c r="AN810" t="s">
        <v>11049</v>
      </c>
      <c r="AO810">
        <v>10536</v>
      </c>
      <c r="AP810" t="s">
        <v>11122</v>
      </c>
      <c r="AU810">
        <v>0.1</v>
      </c>
      <c r="AV810" t="s">
        <v>332</v>
      </c>
      <c r="AW810" t="s">
        <v>11495</v>
      </c>
    </row>
    <row r="811" spans="1:49">
      <c r="A811" s="1">
        <f>HYPERLINK("https://cms.ls-nyc.org/matter/dynamic-profile/view/1841599","17-1841599")</f>
        <v>0</v>
      </c>
      <c r="B811" t="s">
        <v>58</v>
      </c>
      <c r="C811" t="s">
        <v>235</v>
      </c>
      <c r="D811" t="s">
        <v>497</v>
      </c>
      <c r="F811" t="s">
        <v>1394</v>
      </c>
      <c r="G811" t="s">
        <v>2656</v>
      </c>
      <c r="H811" t="s">
        <v>3548</v>
      </c>
      <c r="I811" t="s">
        <v>4987</v>
      </c>
      <c r="J811" t="s">
        <v>5321</v>
      </c>
      <c r="K811">
        <v>10453</v>
      </c>
      <c r="L811" t="s">
        <v>5355</v>
      </c>
      <c r="M811" t="s">
        <v>5356</v>
      </c>
      <c r="N811" t="s">
        <v>5558</v>
      </c>
      <c r="O811" t="s">
        <v>6504</v>
      </c>
      <c r="P811" t="s">
        <v>6527</v>
      </c>
      <c r="R811" t="s">
        <v>6539</v>
      </c>
      <c r="S811" t="s">
        <v>5357</v>
      </c>
      <c r="U811" t="s">
        <v>6557</v>
      </c>
      <c r="W811" t="s">
        <v>406</v>
      </c>
      <c r="X811">
        <v>1600</v>
      </c>
      <c r="Y811" t="s">
        <v>6606</v>
      </c>
      <c r="Z811" t="s">
        <v>6613</v>
      </c>
      <c r="AB811" t="s">
        <v>7401</v>
      </c>
      <c r="AD811" t="s">
        <v>9772</v>
      </c>
      <c r="AE811">
        <v>8270</v>
      </c>
      <c r="AF811" t="s">
        <v>11005</v>
      </c>
      <c r="AG811" t="s">
        <v>11020</v>
      </c>
      <c r="AH811">
        <v>8</v>
      </c>
      <c r="AI811">
        <v>1</v>
      </c>
      <c r="AJ811">
        <v>0</v>
      </c>
      <c r="AK811">
        <v>88.56</v>
      </c>
      <c r="AN811" t="s">
        <v>11050</v>
      </c>
      <c r="AO811">
        <v>10680</v>
      </c>
      <c r="AU811">
        <v>4.3</v>
      </c>
      <c r="AV811" t="s">
        <v>11433</v>
      </c>
      <c r="AW811" t="s">
        <v>11524</v>
      </c>
    </row>
    <row r="812" spans="1:49">
      <c r="A812" s="1">
        <f>HYPERLINK("https://cms.ls-nyc.org/matter/dynamic-profile/view/1864506","17-1864506")</f>
        <v>0</v>
      </c>
      <c r="B812" t="s">
        <v>160</v>
      </c>
      <c r="C812" t="s">
        <v>234</v>
      </c>
      <c r="D812" t="s">
        <v>256</v>
      </c>
      <c r="E812" t="s">
        <v>670</v>
      </c>
      <c r="F812" t="s">
        <v>1207</v>
      </c>
      <c r="G812" t="s">
        <v>2657</v>
      </c>
      <c r="H812" t="s">
        <v>3999</v>
      </c>
      <c r="I812" t="s">
        <v>4988</v>
      </c>
      <c r="J812" t="s">
        <v>5321</v>
      </c>
      <c r="K812">
        <v>10456</v>
      </c>
      <c r="L812" t="s">
        <v>5355</v>
      </c>
      <c r="M812" t="s">
        <v>5356</v>
      </c>
      <c r="O812" t="s">
        <v>6512</v>
      </c>
      <c r="P812" t="s">
        <v>6527</v>
      </c>
      <c r="Q812" t="s">
        <v>6531</v>
      </c>
      <c r="R812" t="s">
        <v>6539</v>
      </c>
      <c r="S812" t="s">
        <v>5357</v>
      </c>
      <c r="U812" t="s">
        <v>6560</v>
      </c>
      <c r="W812" t="s">
        <v>298</v>
      </c>
      <c r="X812">
        <v>1400</v>
      </c>
      <c r="Y812" t="s">
        <v>6606</v>
      </c>
      <c r="Z812" t="s">
        <v>6613</v>
      </c>
      <c r="AA812" t="s">
        <v>6631</v>
      </c>
      <c r="AB812" t="s">
        <v>7402</v>
      </c>
      <c r="AC812" t="s">
        <v>8803</v>
      </c>
      <c r="AD812" t="s">
        <v>9773</v>
      </c>
      <c r="AE812">
        <v>0</v>
      </c>
      <c r="AF812" t="s">
        <v>11005</v>
      </c>
      <c r="AG812" t="s">
        <v>11020</v>
      </c>
      <c r="AH812">
        <v>9</v>
      </c>
      <c r="AI812">
        <v>1</v>
      </c>
      <c r="AJ812">
        <v>1</v>
      </c>
      <c r="AK812">
        <v>88.67</v>
      </c>
      <c r="AN812" t="s">
        <v>11050</v>
      </c>
      <c r="AO812">
        <v>14400</v>
      </c>
      <c r="AU812">
        <v>2.5</v>
      </c>
      <c r="AV812" t="s">
        <v>502</v>
      </c>
      <c r="AW812" t="s">
        <v>160</v>
      </c>
    </row>
    <row r="813" spans="1:49">
      <c r="A813" s="1">
        <f>HYPERLINK("https://cms.ls-nyc.org/matter/dynamic-profile/view/1863309","18-1863309")</f>
        <v>0</v>
      </c>
      <c r="B813" t="s">
        <v>90</v>
      </c>
      <c r="C813" t="s">
        <v>235</v>
      </c>
      <c r="D813" t="s">
        <v>257</v>
      </c>
      <c r="F813" t="s">
        <v>1190</v>
      </c>
      <c r="G813" t="s">
        <v>2658</v>
      </c>
      <c r="H813" t="s">
        <v>3544</v>
      </c>
      <c r="I813" t="s">
        <v>4841</v>
      </c>
      <c r="J813" t="s">
        <v>5321</v>
      </c>
      <c r="K813">
        <v>10452</v>
      </c>
      <c r="L813" t="s">
        <v>5355</v>
      </c>
      <c r="M813" t="s">
        <v>5356</v>
      </c>
      <c r="O813" t="s">
        <v>5393</v>
      </c>
      <c r="P813" t="s">
        <v>6527</v>
      </c>
      <c r="R813" t="s">
        <v>6539</v>
      </c>
      <c r="U813" t="s">
        <v>6557</v>
      </c>
      <c r="W813" t="s">
        <v>520</v>
      </c>
      <c r="X813">
        <v>1200</v>
      </c>
      <c r="Y813" t="s">
        <v>6606</v>
      </c>
      <c r="Z813" t="s">
        <v>6612</v>
      </c>
      <c r="AB813" t="s">
        <v>7403</v>
      </c>
      <c r="AD813" t="s">
        <v>9774</v>
      </c>
      <c r="AE813">
        <v>149</v>
      </c>
      <c r="AH813">
        <v>13</v>
      </c>
      <c r="AI813">
        <v>1</v>
      </c>
      <c r="AJ813">
        <v>0</v>
      </c>
      <c r="AK813">
        <v>88.95999999999999</v>
      </c>
      <c r="AN813" t="s">
        <v>11050</v>
      </c>
      <c r="AO813">
        <v>10800</v>
      </c>
      <c r="AU813">
        <v>48.65</v>
      </c>
      <c r="AV813" t="s">
        <v>694</v>
      </c>
      <c r="AW813" t="s">
        <v>90</v>
      </c>
    </row>
    <row r="814" spans="1:49">
      <c r="A814" s="1">
        <f>HYPERLINK("https://cms.ls-nyc.org/matter/dynamic-profile/view/1861665","18-1861665")</f>
        <v>0</v>
      </c>
      <c r="B814" t="s">
        <v>97</v>
      </c>
      <c r="C814" t="s">
        <v>234</v>
      </c>
      <c r="D814" t="s">
        <v>362</v>
      </c>
      <c r="E814" t="s">
        <v>703</v>
      </c>
      <c r="F814" t="s">
        <v>1220</v>
      </c>
      <c r="G814" t="s">
        <v>2659</v>
      </c>
      <c r="H814" t="s">
        <v>4000</v>
      </c>
      <c r="I814">
        <v>51</v>
      </c>
      <c r="J814" t="s">
        <v>5323</v>
      </c>
      <c r="K814">
        <v>10033</v>
      </c>
      <c r="L814" t="s">
        <v>5355</v>
      </c>
      <c r="M814" t="s">
        <v>5355</v>
      </c>
      <c r="O814" t="s">
        <v>6496</v>
      </c>
      <c r="P814" t="s">
        <v>6527</v>
      </c>
      <c r="Q814" t="s">
        <v>6532</v>
      </c>
      <c r="R814" t="s">
        <v>6539</v>
      </c>
      <c r="S814" t="s">
        <v>5357</v>
      </c>
      <c r="U814" t="s">
        <v>6557</v>
      </c>
      <c r="W814" t="s">
        <v>362</v>
      </c>
      <c r="X814">
        <v>797.16</v>
      </c>
      <c r="Y814" t="s">
        <v>6608</v>
      </c>
      <c r="Z814" t="s">
        <v>6616</v>
      </c>
      <c r="AA814" t="s">
        <v>6636</v>
      </c>
      <c r="AB814" t="s">
        <v>7404</v>
      </c>
      <c r="AE814">
        <v>20</v>
      </c>
      <c r="AF814" t="s">
        <v>11005</v>
      </c>
      <c r="AG814" t="s">
        <v>11024</v>
      </c>
      <c r="AH814">
        <v>28</v>
      </c>
      <c r="AI814">
        <v>1</v>
      </c>
      <c r="AJ814">
        <v>0</v>
      </c>
      <c r="AK814">
        <v>89.06</v>
      </c>
      <c r="AN814" t="s">
        <v>11049</v>
      </c>
      <c r="AO814">
        <v>10812</v>
      </c>
      <c r="AU814">
        <v>3.8</v>
      </c>
      <c r="AV814" t="s">
        <v>349</v>
      </c>
      <c r="AW814" t="s">
        <v>11495</v>
      </c>
    </row>
    <row r="815" spans="1:49">
      <c r="A815" s="1">
        <f>HYPERLINK("https://cms.ls-nyc.org/matter/dynamic-profile/view/1866352","18-1866352")</f>
        <v>0</v>
      </c>
      <c r="B815" t="s">
        <v>56</v>
      </c>
      <c r="C815" t="s">
        <v>235</v>
      </c>
      <c r="D815" t="s">
        <v>241</v>
      </c>
      <c r="F815" t="s">
        <v>1395</v>
      </c>
      <c r="G815" t="s">
        <v>2660</v>
      </c>
      <c r="H815" t="s">
        <v>4001</v>
      </c>
      <c r="I815" t="s">
        <v>4989</v>
      </c>
      <c r="J815" t="s">
        <v>5321</v>
      </c>
      <c r="K815">
        <v>10458</v>
      </c>
      <c r="L815" t="s">
        <v>5355</v>
      </c>
      <c r="M815" t="s">
        <v>5355</v>
      </c>
      <c r="O815" t="s">
        <v>6500</v>
      </c>
      <c r="P815" t="s">
        <v>6527</v>
      </c>
      <c r="R815" t="s">
        <v>6539</v>
      </c>
      <c r="S815" t="s">
        <v>5357</v>
      </c>
      <c r="U815" t="s">
        <v>6557</v>
      </c>
      <c r="W815" t="s">
        <v>6573</v>
      </c>
      <c r="X815">
        <v>1569</v>
      </c>
      <c r="Y815" t="s">
        <v>6606</v>
      </c>
      <c r="Z815" t="s">
        <v>6612</v>
      </c>
      <c r="AB815" t="s">
        <v>7405</v>
      </c>
      <c r="AD815" t="s">
        <v>9775</v>
      </c>
      <c r="AE815">
        <v>49</v>
      </c>
      <c r="AF815" t="s">
        <v>11005</v>
      </c>
      <c r="AG815" t="s">
        <v>11021</v>
      </c>
      <c r="AH815">
        <v>2</v>
      </c>
      <c r="AI815">
        <v>2</v>
      </c>
      <c r="AJ815">
        <v>0</v>
      </c>
      <c r="AK815">
        <v>90.26000000000001</v>
      </c>
      <c r="AN815" t="s">
        <v>11064</v>
      </c>
      <c r="AO815">
        <v>14856</v>
      </c>
      <c r="AP815" t="s">
        <v>11075</v>
      </c>
      <c r="AU815">
        <v>9.85</v>
      </c>
      <c r="AV815" t="s">
        <v>11453</v>
      </c>
      <c r="AW815" t="s">
        <v>69</v>
      </c>
    </row>
    <row r="816" spans="1:49">
      <c r="A816" s="1">
        <f>HYPERLINK("https://cms.ls-nyc.org/matter/dynamic-profile/view/1883558","18-1883558")</f>
        <v>0</v>
      </c>
      <c r="B816" t="s">
        <v>90</v>
      </c>
      <c r="C816" t="s">
        <v>235</v>
      </c>
      <c r="D816" t="s">
        <v>498</v>
      </c>
      <c r="F816" t="s">
        <v>993</v>
      </c>
      <c r="G816" t="s">
        <v>2239</v>
      </c>
      <c r="H816" t="s">
        <v>3589</v>
      </c>
      <c r="I816" t="s">
        <v>4827</v>
      </c>
      <c r="J816" t="s">
        <v>5321</v>
      </c>
      <c r="K816">
        <v>10452</v>
      </c>
      <c r="L816" t="s">
        <v>5357</v>
      </c>
      <c r="M816" t="s">
        <v>5357</v>
      </c>
      <c r="O816" t="s">
        <v>5393</v>
      </c>
      <c r="P816" t="s">
        <v>6527</v>
      </c>
      <c r="R816" t="s">
        <v>6539</v>
      </c>
      <c r="S816" t="s">
        <v>5355</v>
      </c>
      <c r="U816" t="s">
        <v>6557</v>
      </c>
      <c r="V816" t="s">
        <v>6566</v>
      </c>
      <c r="W816" t="s">
        <v>480</v>
      </c>
      <c r="X816">
        <v>360</v>
      </c>
      <c r="Y816" t="s">
        <v>6606</v>
      </c>
      <c r="Z816" t="s">
        <v>6625</v>
      </c>
      <c r="AB816" t="s">
        <v>6827</v>
      </c>
      <c r="AE816">
        <v>60</v>
      </c>
      <c r="AF816" t="s">
        <v>11005</v>
      </c>
      <c r="AG816" t="s">
        <v>11024</v>
      </c>
      <c r="AH816">
        <v>47</v>
      </c>
      <c r="AI816">
        <v>2</v>
      </c>
      <c r="AJ816">
        <v>0</v>
      </c>
      <c r="AK816">
        <v>91.86</v>
      </c>
      <c r="AN816" t="s">
        <v>11049</v>
      </c>
      <c r="AO816">
        <v>15120</v>
      </c>
      <c r="AU816">
        <v>0.35</v>
      </c>
      <c r="AV816" t="s">
        <v>434</v>
      </c>
      <c r="AW816" t="s">
        <v>11492</v>
      </c>
    </row>
    <row r="817" spans="1:49">
      <c r="A817" s="1">
        <f>HYPERLINK("https://cms.ls-nyc.org/matter/dynamic-profile/view/1868756","18-1868756")</f>
        <v>0</v>
      </c>
      <c r="B817" t="s">
        <v>90</v>
      </c>
      <c r="C817" t="s">
        <v>235</v>
      </c>
      <c r="D817" t="s">
        <v>318</v>
      </c>
      <c r="F817" t="s">
        <v>1396</v>
      </c>
      <c r="G817" t="s">
        <v>2239</v>
      </c>
      <c r="H817" t="s">
        <v>3589</v>
      </c>
      <c r="I817" t="s">
        <v>4827</v>
      </c>
      <c r="J817" t="s">
        <v>5321</v>
      </c>
      <c r="K817">
        <v>10452</v>
      </c>
      <c r="L817" t="s">
        <v>5355</v>
      </c>
      <c r="M817" t="s">
        <v>5356</v>
      </c>
      <c r="O817" t="s">
        <v>5393</v>
      </c>
      <c r="P817" t="s">
        <v>6527</v>
      </c>
      <c r="R817" t="s">
        <v>6539</v>
      </c>
      <c r="S817" t="s">
        <v>5355</v>
      </c>
      <c r="U817" t="s">
        <v>6557</v>
      </c>
      <c r="W817" t="s">
        <v>516</v>
      </c>
      <c r="X817">
        <v>360</v>
      </c>
      <c r="Y817" t="s">
        <v>6606</v>
      </c>
      <c r="Z817" t="s">
        <v>6625</v>
      </c>
      <c r="AB817" t="s">
        <v>7406</v>
      </c>
      <c r="AD817" t="s">
        <v>9776</v>
      </c>
      <c r="AE817">
        <v>60</v>
      </c>
      <c r="AF817" t="s">
        <v>11005</v>
      </c>
      <c r="AG817" t="s">
        <v>11024</v>
      </c>
      <c r="AH817">
        <v>49</v>
      </c>
      <c r="AI817">
        <v>2</v>
      </c>
      <c r="AJ817">
        <v>0</v>
      </c>
      <c r="AK817">
        <v>92.22</v>
      </c>
      <c r="AN817" t="s">
        <v>11049</v>
      </c>
      <c r="AO817">
        <v>15180</v>
      </c>
      <c r="AU817">
        <v>0</v>
      </c>
      <c r="AW817" t="s">
        <v>11492</v>
      </c>
    </row>
    <row r="818" spans="1:49">
      <c r="A818" s="1">
        <f>HYPERLINK("https://cms.ls-nyc.org/matter/dynamic-profile/view/1855266","18-1855266")</f>
        <v>0</v>
      </c>
      <c r="B818" t="s">
        <v>131</v>
      </c>
      <c r="C818" t="s">
        <v>234</v>
      </c>
      <c r="D818" t="s">
        <v>351</v>
      </c>
      <c r="E818" t="s">
        <v>695</v>
      </c>
      <c r="F818" t="s">
        <v>1397</v>
      </c>
      <c r="G818" t="s">
        <v>2661</v>
      </c>
      <c r="H818" t="s">
        <v>3819</v>
      </c>
      <c r="I818">
        <v>45</v>
      </c>
      <c r="J818" t="s">
        <v>5323</v>
      </c>
      <c r="K818">
        <v>10034</v>
      </c>
      <c r="L818" t="s">
        <v>5355</v>
      </c>
      <c r="M818" t="s">
        <v>5356</v>
      </c>
      <c r="O818" t="s">
        <v>6496</v>
      </c>
      <c r="P818" t="s">
        <v>6527</v>
      </c>
      <c r="Q818" t="s">
        <v>6533</v>
      </c>
      <c r="R818" t="s">
        <v>6539</v>
      </c>
      <c r="S818" t="s">
        <v>5357</v>
      </c>
      <c r="U818" t="s">
        <v>6557</v>
      </c>
      <c r="W818" t="s">
        <v>351</v>
      </c>
      <c r="X818">
        <v>913.5</v>
      </c>
      <c r="Y818" t="s">
        <v>6608</v>
      </c>
      <c r="Z818" t="s">
        <v>6614</v>
      </c>
      <c r="AA818" t="s">
        <v>6636</v>
      </c>
      <c r="AB818" t="s">
        <v>7353</v>
      </c>
      <c r="AD818" t="s">
        <v>9777</v>
      </c>
      <c r="AE818">
        <v>30</v>
      </c>
      <c r="AF818" t="s">
        <v>11005</v>
      </c>
      <c r="AG818" t="s">
        <v>5406</v>
      </c>
      <c r="AH818">
        <v>17</v>
      </c>
      <c r="AI818">
        <v>1</v>
      </c>
      <c r="AJ818">
        <v>1</v>
      </c>
      <c r="AK818">
        <v>92.36</v>
      </c>
      <c r="AN818" t="s">
        <v>11050</v>
      </c>
      <c r="AO818">
        <v>15000</v>
      </c>
      <c r="AU818">
        <v>2</v>
      </c>
      <c r="AV818" t="s">
        <v>551</v>
      </c>
      <c r="AW818" t="s">
        <v>11495</v>
      </c>
    </row>
    <row r="819" spans="1:49">
      <c r="A819" s="1">
        <f>HYPERLINK("https://cms.ls-nyc.org/matter/dynamic-profile/view/1841429","17-1841429")</f>
        <v>0</v>
      </c>
      <c r="B819" t="s">
        <v>97</v>
      </c>
      <c r="C819" t="s">
        <v>235</v>
      </c>
      <c r="D819" t="s">
        <v>499</v>
      </c>
      <c r="F819" t="s">
        <v>1188</v>
      </c>
      <c r="G819" t="s">
        <v>2280</v>
      </c>
      <c r="H819" t="s">
        <v>4002</v>
      </c>
      <c r="I819" t="s">
        <v>4990</v>
      </c>
      <c r="J819" t="s">
        <v>5323</v>
      </c>
      <c r="K819">
        <v>10034</v>
      </c>
      <c r="L819" t="s">
        <v>5355</v>
      </c>
      <c r="M819" t="s">
        <v>5356</v>
      </c>
      <c r="O819" t="s">
        <v>6500</v>
      </c>
      <c r="P819" t="s">
        <v>6527</v>
      </c>
      <c r="R819" t="s">
        <v>6539</v>
      </c>
      <c r="S819" t="s">
        <v>5357</v>
      </c>
      <c r="U819" t="s">
        <v>6557</v>
      </c>
      <c r="W819" t="s">
        <v>404</v>
      </c>
      <c r="X819">
        <v>719.53</v>
      </c>
      <c r="Y819" t="s">
        <v>6608</v>
      </c>
      <c r="Z819" t="s">
        <v>6616</v>
      </c>
      <c r="AB819" t="s">
        <v>7407</v>
      </c>
      <c r="AD819" t="s">
        <v>9778</v>
      </c>
      <c r="AE819">
        <v>31</v>
      </c>
      <c r="AF819" t="s">
        <v>11005</v>
      </c>
      <c r="AG819" t="s">
        <v>11024</v>
      </c>
      <c r="AH819">
        <v>27</v>
      </c>
      <c r="AI819">
        <v>3</v>
      </c>
      <c r="AJ819">
        <v>0</v>
      </c>
      <c r="AK819">
        <v>92.38</v>
      </c>
      <c r="AN819" t="s">
        <v>11049</v>
      </c>
      <c r="AO819">
        <v>18864</v>
      </c>
      <c r="AU819">
        <v>9.199999999999999</v>
      </c>
      <c r="AV819" t="s">
        <v>481</v>
      </c>
      <c r="AW819" t="s">
        <v>11495</v>
      </c>
    </row>
    <row r="820" spans="1:49">
      <c r="A820" s="1">
        <f>HYPERLINK("https://cms.ls-nyc.org/matter/dynamic-profile/view/0816266","16-0816266")</f>
        <v>0</v>
      </c>
      <c r="B820" t="s">
        <v>79</v>
      </c>
      <c r="C820" t="s">
        <v>234</v>
      </c>
      <c r="D820" t="s">
        <v>290</v>
      </c>
      <c r="E820" t="s">
        <v>676</v>
      </c>
      <c r="F820" t="s">
        <v>1398</v>
      </c>
      <c r="G820" t="s">
        <v>1330</v>
      </c>
      <c r="H820" t="s">
        <v>4003</v>
      </c>
      <c r="I820">
        <v>46</v>
      </c>
      <c r="J820" t="s">
        <v>5323</v>
      </c>
      <c r="K820">
        <v>10034</v>
      </c>
      <c r="L820" t="s">
        <v>5355</v>
      </c>
      <c r="M820" t="s">
        <v>5356</v>
      </c>
      <c r="P820" t="s">
        <v>6527</v>
      </c>
      <c r="Q820" t="s">
        <v>6534</v>
      </c>
      <c r="R820" t="s">
        <v>6539</v>
      </c>
      <c r="S820" t="s">
        <v>5357</v>
      </c>
      <c r="U820" t="s">
        <v>6557</v>
      </c>
      <c r="W820" t="s">
        <v>290</v>
      </c>
      <c r="X820">
        <v>2400</v>
      </c>
      <c r="Y820" t="s">
        <v>6608</v>
      </c>
      <c r="Z820" t="s">
        <v>6616</v>
      </c>
      <c r="AA820" t="s">
        <v>6637</v>
      </c>
      <c r="AB820" t="s">
        <v>7408</v>
      </c>
      <c r="AD820" t="s">
        <v>9779</v>
      </c>
      <c r="AE820">
        <v>30</v>
      </c>
      <c r="AF820" t="s">
        <v>11005</v>
      </c>
      <c r="AG820" t="s">
        <v>5406</v>
      </c>
      <c r="AH820">
        <v>8</v>
      </c>
      <c r="AI820">
        <v>2</v>
      </c>
      <c r="AJ820">
        <v>2</v>
      </c>
      <c r="AK820">
        <v>92.41</v>
      </c>
      <c r="AN820" t="s">
        <v>11050</v>
      </c>
      <c r="AO820">
        <v>22456</v>
      </c>
      <c r="AU820">
        <v>15</v>
      </c>
      <c r="AV820" t="s">
        <v>820</v>
      </c>
      <c r="AW820" t="s">
        <v>11497</v>
      </c>
    </row>
    <row r="821" spans="1:49">
      <c r="A821" s="1">
        <f>HYPERLINK("https://cms.ls-nyc.org/matter/dynamic-profile/view/1840175","17-1840175")</f>
        <v>0</v>
      </c>
      <c r="B821" t="s">
        <v>92</v>
      </c>
      <c r="C821" t="s">
        <v>234</v>
      </c>
      <c r="D821" t="s">
        <v>405</v>
      </c>
      <c r="E821" t="s">
        <v>680</v>
      </c>
      <c r="F821" t="s">
        <v>1399</v>
      </c>
      <c r="G821" t="s">
        <v>2662</v>
      </c>
      <c r="H821" t="s">
        <v>3575</v>
      </c>
      <c r="I821">
        <v>25</v>
      </c>
      <c r="J821" t="s">
        <v>5323</v>
      </c>
      <c r="K821">
        <v>10040</v>
      </c>
      <c r="L821" t="s">
        <v>5355</v>
      </c>
      <c r="M821" t="s">
        <v>5355</v>
      </c>
      <c r="N821" t="s">
        <v>5439</v>
      </c>
      <c r="O821" t="s">
        <v>6500</v>
      </c>
      <c r="P821" t="s">
        <v>6527</v>
      </c>
      <c r="Q821" t="s">
        <v>6532</v>
      </c>
      <c r="R821" t="s">
        <v>6539</v>
      </c>
      <c r="S821" t="s">
        <v>5355</v>
      </c>
      <c r="U821" t="s">
        <v>6557</v>
      </c>
      <c r="W821" t="s">
        <v>460</v>
      </c>
      <c r="X821">
        <v>798</v>
      </c>
      <c r="Y821" t="s">
        <v>6608</v>
      </c>
      <c r="Z821" t="s">
        <v>6622</v>
      </c>
      <c r="AA821" t="s">
        <v>6631</v>
      </c>
      <c r="AB821" t="s">
        <v>7173</v>
      </c>
      <c r="AD821" t="s">
        <v>9780</v>
      </c>
      <c r="AE821">
        <v>45</v>
      </c>
      <c r="AF821" t="s">
        <v>11005</v>
      </c>
      <c r="AG821" t="s">
        <v>5406</v>
      </c>
      <c r="AH821">
        <v>41</v>
      </c>
      <c r="AI821">
        <v>2</v>
      </c>
      <c r="AJ821">
        <v>1</v>
      </c>
      <c r="AK821">
        <v>93.09</v>
      </c>
      <c r="AL821" t="s">
        <v>301</v>
      </c>
      <c r="AN821" t="s">
        <v>11049</v>
      </c>
      <c r="AO821">
        <v>19008</v>
      </c>
      <c r="AQ821" t="s">
        <v>11190</v>
      </c>
      <c r="AR821" t="s">
        <v>11206</v>
      </c>
      <c r="AS821" t="s">
        <v>11253</v>
      </c>
      <c r="AT821" t="s">
        <v>11263</v>
      </c>
      <c r="AU821">
        <v>8.4</v>
      </c>
      <c r="AV821" t="s">
        <v>270</v>
      </c>
      <c r="AW821" t="s">
        <v>11495</v>
      </c>
    </row>
    <row r="822" spans="1:49">
      <c r="A822" s="1">
        <f>HYPERLINK("https://cms.ls-nyc.org/matter/dynamic-profile/view/1863118","18-1863118")</f>
        <v>0</v>
      </c>
      <c r="B822" t="s">
        <v>56</v>
      </c>
      <c r="C822" t="s">
        <v>234</v>
      </c>
      <c r="D822" t="s">
        <v>293</v>
      </c>
      <c r="E822" t="s">
        <v>665</v>
      </c>
      <c r="F822" t="s">
        <v>965</v>
      </c>
      <c r="G822" t="s">
        <v>2663</v>
      </c>
      <c r="H822" t="s">
        <v>4004</v>
      </c>
      <c r="I822">
        <v>804</v>
      </c>
      <c r="J822" t="s">
        <v>5321</v>
      </c>
      <c r="K822">
        <v>10452</v>
      </c>
      <c r="L822" t="s">
        <v>5355</v>
      </c>
      <c r="M822" t="s">
        <v>5356</v>
      </c>
      <c r="O822" t="s">
        <v>5393</v>
      </c>
      <c r="P822" t="s">
        <v>6527</v>
      </c>
      <c r="Q822" t="s">
        <v>6531</v>
      </c>
      <c r="R822" t="s">
        <v>6540</v>
      </c>
      <c r="S822" t="s">
        <v>5357</v>
      </c>
      <c r="U822" t="s">
        <v>6557</v>
      </c>
      <c r="W822" t="s">
        <v>480</v>
      </c>
      <c r="X822">
        <v>788</v>
      </c>
      <c r="Y822" t="s">
        <v>6606</v>
      </c>
      <c r="Z822" t="s">
        <v>6610</v>
      </c>
      <c r="AA822" t="s">
        <v>6637</v>
      </c>
      <c r="AB822" t="s">
        <v>7409</v>
      </c>
      <c r="AC822" t="s">
        <v>8804</v>
      </c>
      <c r="AD822" t="s">
        <v>9781</v>
      </c>
      <c r="AE822">
        <v>10</v>
      </c>
      <c r="AF822" t="s">
        <v>11008</v>
      </c>
      <c r="AG822" t="s">
        <v>11020</v>
      </c>
      <c r="AH822">
        <v>15</v>
      </c>
      <c r="AI822">
        <v>1</v>
      </c>
      <c r="AJ822">
        <v>1</v>
      </c>
      <c r="AK822">
        <v>94.05</v>
      </c>
      <c r="AL822" t="s">
        <v>11028</v>
      </c>
      <c r="AN822" t="s">
        <v>11050</v>
      </c>
      <c r="AO822">
        <v>15480</v>
      </c>
      <c r="AU822">
        <v>1.5</v>
      </c>
      <c r="AV822" t="s">
        <v>414</v>
      </c>
      <c r="AW822" t="s">
        <v>57</v>
      </c>
    </row>
    <row r="823" spans="1:49">
      <c r="A823" s="1">
        <f>HYPERLINK("https://cms.ls-nyc.org/matter/dynamic-profile/view/1874121","18-1874121")</f>
        <v>0</v>
      </c>
      <c r="B823" t="s">
        <v>77</v>
      </c>
      <c r="C823" t="s">
        <v>234</v>
      </c>
      <c r="D823" t="s">
        <v>440</v>
      </c>
      <c r="E823" t="s">
        <v>723</v>
      </c>
      <c r="F823" t="s">
        <v>1007</v>
      </c>
      <c r="G823" t="s">
        <v>1643</v>
      </c>
      <c r="H823" t="s">
        <v>3603</v>
      </c>
      <c r="I823" t="s">
        <v>4740</v>
      </c>
      <c r="J823" t="s">
        <v>5320</v>
      </c>
      <c r="K823">
        <v>11213</v>
      </c>
      <c r="L823" t="s">
        <v>5355</v>
      </c>
      <c r="M823" t="s">
        <v>5356</v>
      </c>
      <c r="O823" t="s">
        <v>5393</v>
      </c>
      <c r="P823" t="s">
        <v>6527</v>
      </c>
      <c r="Q823" t="s">
        <v>6531</v>
      </c>
      <c r="R823" t="s">
        <v>6539</v>
      </c>
      <c r="S823" t="s">
        <v>5355</v>
      </c>
      <c r="U823" t="s">
        <v>6557</v>
      </c>
      <c r="W823" t="s">
        <v>447</v>
      </c>
      <c r="X823">
        <v>874.4</v>
      </c>
      <c r="Y823" t="s">
        <v>6605</v>
      </c>
      <c r="Z823" t="s">
        <v>6622</v>
      </c>
      <c r="AA823" t="s">
        <v>6631</v>
      </c>
      <c r="AB823" t="s">
        <v>6843</v>
      </c>
      <c r="AD823" t="s">
        <v>9267</v>
      </c>
      <c r="AE823">
        <v>27</v>
      </c>
      <c r="AF823" t="s">
        <v>11005</v>
      </c>
      <c r="AG823" t="s">
        <v>5406</v>
      </c>
      <c r="AH823">
        <v>20</v>
      </c>
      <c r="AI823">
        <v>2</v>
      </c>
      <c r="AJ823">
        <v>0</v>
      </c>
      <c r="AK823">
        <v>94.78</v>
      </c>
      <c r="AM823" t="s">
        <v>11045</v>
      </c>
      <c r="AN823" t="s">
        <v>11050</v>
      </c>
      <c r="AO823">
        <v>15600</v>
      </c>
      <c r="AU823">
        <v>0.75</v>
      </c>
      <c r="AV823" t="s">
        <v>440</v>
      </c>
      <c r="AW823" t="s">
        <v>77</v>
      </c>
    </row>
    <row r="824" spans="1:49">
      <c r="A824" s="1">
        <f>HYPERLINK("https://cms.ls-nyc.org/matter/dynamic-profile/view/1862404","18-1862404")</f>
        <v>0</v>
      </c>
      <c r="B824" t="s">
        <v>66</v>
      </c>
      <c r="C824" t="s">
        <v>234</v>
      </c>
      <c r="D824" t="s">
        <v>285</v>
      </c>
      <c r="E824" t="s">
        <v>686</v>
      </c>
      <c r="F824" t="s">
        <v>1400</v>
      </c>
      <c r="G824" t="s">
        <v>2243</v>
      </c>
      <c r="H824" t="s">
        <v>4005</v>
      </c>
      <c r="I824" t="s">
        <v>4781</v>
      </c>
      <c r="J824" t="s">
        <v>5323</v>
      </c>
      <c r="K824">
        <v>10027</v>
      </c>
      <c r="L824" t="s">
        <v>5355</v>
      </c>
      <c r="M824" t="s">
        <v>5356</v>
      </c>
      <c r="P824" t="s">
        <v>6527</v>
      </c>
      <c r="Q824" t="s">
        <v>6532</v>
      </c>
      <c r="R824" t="s">
        <v>6539</v>
      </c>
      <c r="U824" t="s">
        <v>6557</v>
      </c>
      <c r="W824" t="s">
        <v>298</v>
      </c>
      <c r="X824">
        <v>0</v>
      </c>
      <c r="Y824" t="s">
        <v>6608</v>
      </c>
      <c r="Z824" t="s">
        <v>6616</v>
      </c>
      <c r="AA824" t="s">
        <v>6631</v>
      </c>
      <c r="AB824" t="s">
        <v>7410</v>
      </c>
      <c r="AD824" t="s">
        <v>9782</v>
      </c>
      <c r="AE824">
        <v>0</v>
      </c>
      <c r="AF824" t="s">
        <v>8722</v>
      </c>
      <c r="AG824" t="s">
        <v>11020</v>
      </c>
      <c r="AH824">
        <v>0</v>
      </c>
      <c r="AI824">
        <v>2</v>
      </c>
      <c r="AJ824">
        <v>1</v>
      </c>
      <c r="AK824">
        <v>95.75</v>
      </c>
      <c r="AO824">
        <v>19896</v>
      </c>
      <c r="AU824">
        <v>2</v>
      </c>
      <c r="AV824" t="s">
        <v>686</v>
      </c>
      <c r="AW824" t="s">
        <v>11496</v>
      </c>
    </row>
    <row r="825" spans="1:49">
      <c r="A825" s="1">
        <f>HYPERLINK("https://cms.ls-nyc.org/matter/dynamic-profile/view/1849906","17-1849906")</f>
        <v>0</v>
      </c>
      <c r="B825" t="s">
        <v>137</v>
      </c>
      <c r="C825" t="s">
        <v>235</v>
      </c>
      <c r="D825" t="s">
        <v>500</v>
      </c>
      <c r="F825" t="s">
        <v>855</v>
      </c>
      <c r="G825" t="s">
        <v>2664</v>
      </c>
      <c r="H825" t="s">
        <v>4006</v>
      </c>
      <c r="I825" t="s">
        <v>4918</v>
      </c>
      <c r="J825" t="s">
        <v>5320</v>
      </c>
      <c r="K825">
        <v>11217</v>
      </c>
      <c r="L825" t="s">
        <v>5355</v>
      </c>
      <c r="M825" t="s">
        <v>5356</v>
      </c>
      <c r="O825" t="s">
        <v>6499</v>
      </c>
      <c r="P825" t="s">
        <v>6527</v>
      </c>
      <c r="R825" t="s">
        <v>6539</v>
      </c>
      <c r="S825" t="s">
        <v>5355</v>
      </c>
      <c r="U825" t="s">
        <v>6557</v>
      </c>
      <c r="W825" t="s">
        <v>294</v>
      </c>
      <c r="X825">
        <v>0</v>
      </c>
      <c r="Y825" t="s">
        <v>6605</v>
      </c>
      <c r="Z825" t="s">
        <v>6614</v>
      </c>
      <c r="AB825" t="s">
        <v>7411</v>
      </c>
      <c r="AD825" t="s">
        <v>9783</v>
      </c>
      <c r="AE825">
        <v>2</v>
      </c>
      <c r="AF825" t="s">
        <v>8722</v>
      </c>
      <c r="AH825">
        <v>14</v>
      </c>
      <c r="AI825">
        <v>1</v>
      </c>
      <c r="AJ825">
        <v>0</v>
      </c>
      <c r="AK825">
        <v>95.94</v>
      </c>
      <c r="AN825" t="s">
        <v>11050</v>
      </c>
      <c r="AO825">
        <v>11570</v>
      </c>
      <c r="AU825">
        <v>12.75</v>
      </c>
      <c r="AV825" t="s">
        <v>331</v>
      </c>
      <c r="AW825" t="s">
        <v>228</v>
      </c>
    </row>
    <row r="826" spans="1:49">
      <c r="A826" s="1">
        <f>HYPERLINK("https://cms.ls-nyc.org/matter/dynamic-profile/view/1862348","18-1862348")</f>
        <v>0</v>
      </c>
      <c r="B826" t="s">
        <v>92</v>
      </c>
      <c r="C826" t="s">
        <v>234</v>
      </c>
      <c r="D826" t="s">
        <v>336</v>
      </c>
      <c r="E826" t="s">
        <v>665</v>
      </c>
      <c r="F826" t="s">
        <v>1293</v>
      </c>
      <c r="G826" t="s">
        <v>2665</v>
      </c>
      <c r="H826" t="s">
        <v>3994</v>
      </c>
      <c r="I826" t="s">
        <v>4788</v>
      </c>
      <c r="J826" t="s">
        <v>5323</v>
      </c>
      <c r="K826">
        <v>10040</v>
      </c>
      <c r="L826" t="s">
        <v>5355</v>
      </c>
      <c r="M826" t="s">
        <v>5355</v>
      </c>
      <c r="O826" t="s">
        <v>6500</v>
      </c>
      <c r="P826" t="s">
        <v>6527</v>
      </c>
      <c r="Q826" t="s">
        <v>6533</v>
      </c>
      <c r="R826" t="s">
        <v>6539</v>
      </c>
      <c r="S826" t="s">
        <v>5357</v>
      </c>
      <c r="U826" t="s">
        <v>6563</v>
      </c>
      <c r="V826" t="s">
        <v>6566</v>
      </c>
      <c r="W826" t="s">
        <v>336</v>
      </c>
      <c r="X826">
        <v>1094.37</v>
      </c>
      <c r="Y826" t="s">
        <v>6608</v>
      </c>
      <c r="Z826" t="s">
        <v>6614</v>
      </c>
      <c r="AA826" t="s">
        <v>6635</v>
      </c>
      <c r="AB826" t="s">
        <v>7412</v>
      </c>
      <c r="AD826" t="s">
        <v>9784</v>
      </c>
      <c r="AE826">
        <v>42</v>
      </c>
      <c r="AF826" t="s">
        <v>11005</v>
      </c>
      <c r="AG826" t="s">
        <v>5406</v>
      </c>
      <c r="AH826">
        <v>18</v>
      </c>
      <c r="AI826">
        <v>1</v>
      </c>
      <c r="AJ826">
        <v>1</v>
      </c>
      <c r="AK826">
        <v>96.34</v>
      </c>
      <c r="AL826" t="s">
        <v>301</v>
      </c>
      <c r="AN826" t="s">
        <v>11049</v>
      </c>
      <c r="AO826">
        <v>15858</v>
      </c>
      <c r="AU826">
        <v>0.2</v>
      </c>
      <c r="AV826" t="s">
        <v>11449</v>
      </c>
      <c r="AW826" t="s">
        <v>11495</v>
      </c>
    </row>
    <row r="827" spans="1:49">
      <c r="A827" s="1">
        <f>HYPERLINK("https://cms.ls-nyc.org/matter/dynamic-profile/view/1861487","18-1861487")</f>
        <v>0</v>
      </c>
      <c r="B827" t="s">
        <v>58</v>
      </c>
      <c r="C827" t="s">
        <v>235</v>
      </c>
      <c r="D827" t="s">
        <v>339</v>
      </c>
      <c r="F827" t="s">
        <v>1401</v>
      </c>
      <c r="G827" t="s">
        <v>2666</v>
      </c>
      <c r="H827" t="s">
        <v>4007</v>
      </c>
      <c r="I827" t="s">
        <v>4991</v>
      </c>
      <c r="J827" t="s">
        <v>5321</v>
      </c>
      <c r="K827">
        <v>10452</v>
      </c>
      <c r="L827" t="s">
        <v>5355</v>
      </c>
      <c r="M827" t="s">
        <v>5356</v>
      </c>
      <c r="P827" t="s">
        <v>6527</v>
      </c>
      <c r="R827" t="s">
        <v>6539</v>
      </c>
      <c r="S827" t="s">
        <v>5355</v>
      </c>
      <c r="U827" t="s">
        <v>6557</v>
      </c>
      <c r="W827" t="s">
        <v>480</v>
      </c>
      <c r="X827">
        <v>1160</v>
      </c>
      <c r="Y827" t="s">
        <v>6606</v>
      </c>
      <c r="Z827" t="s">
        <v>6612</v>
      </c>
      <c r="AB827" t="s">
        <v>7413</v>
      </c>
      <c r="AC827" t="s">
        <v>8805</v>
      </c>
      <c r="AD827" t="s">
        <v>9785</v>
      </c>
      <c r="AE827">
        <v>122</v>
      </c>
      <c r="AF827" t="s">
        <v>11005</v>
      </c>
      <c r="AH827">
        <v>10</v>
      </c>
      <c r="AI827">
        <v>2</v>
      </c>
      <c r="AJ827">
        <v>3</v>
      </c>
      <c r="AK827">
        <v>97.20999999999999</v>
      </c>
      <c r="AN827" t="s">
        <v>11050</v>
      </c>
      <c r="AO827">
        <v>28600</v>
      </c>
      <c r="AU827">
        <v>0.1</v>
      </c>
      <c r="AV827" t="s">
        <v>11435</v>
      </c>
      <c r="AW827" t="s">
        <v>11530</v>
      </c>
    </row>
    <row r="828" spans="1:49">
      <c r="A828" s="1">
        <f>HYPERLINK("https://cms.ls-nyc.org/matter/dynamic-profile/view/1856855","18-1856855")</f>
        <v>0</v>
      </c>
      <c r="B828" t="s">
        <v>124</v>
      </c>
      <c r="C828" t="s">
        <v>235</v>
      </c>
      <c r="D828" t="s">
        <v>310</v>
      </c>
      <c r="F828" t="s">
        <v>1293</v>
      </c>
      <c r="G828" t="s">
        <v>2665</v>
      </c>
      <c r="H828" t="s">
        <v>3994</v>
      </c>
      <c r="I828" t="s">
        <v>4788</v>
      </c>
      <c r="J828" t="s">
        <v>5323</v>
      </c>
      <c r="K828">
        <v>10040</v>
      </c>
      <c r="L828" t="s">
        <v>5355</v>
      </c>
      <c r="M828" t="s">
        <v>5356</v>
      </c>
      <c r="O828" t="s">
        <v>6494</v>
      </c>
      <c r="P828" t="s">
        <v>6527</v>
      </c>
      <c r="R828" t="s">
        <v>6539</v>
      </c>
      <c r="S828" t="s">
        <v>5355</v>
      </c>
      <c r="U828" t="s">
        <v>6557</v>
      </c>
      <c r="W828" t="s">
        <v>310</v>
      </c>
      <c r="X828">
        <v>1094.37</v>
      </c>
      <c r="Y828" t="s">
        <v>6608</v>
      </c>
      <c r="Z828" t="s">
        <v>6614</v>
      </c>
      <c r="AB828" t="s">
        <v>7412</v>
      </c>
      <c r="AD828" t="s">
        <v>9784</v>
      </c>
      <c r="AE828">
        <v>42</v>
      </c>
      <c r="AF828" t="s">
        <v>11005</v>
      </c>
      <c r="AG828" t="s">
        <v>5406</v>
      </c>
      <c r="AH828">
        <v>16</v>
      </c>
      <c r="AI828">
        <v>1</v>
      </c>
      <c r="AJ828">
        <v>1</v>
      </c>
      <c r="AK828">
        <v>97.65000000000001</v>
      </c>
      <c r="AL828" t="s">
        <v>301</v>
      </c>
      <c r="AN828" t="s">
        <v>11049</v>
      </c>
      <c r="AO828">
        <v>15858</v>
      </c>
      <c r="AU828">
        <v>30.3</v>
      </c>
      <c r="AV828" t="s">
        <v>11451</v>
      </c>
      <c r="AW828" t="s">
        <v>11495</v>
      </c>
    </row>
    <row r="829" spans="1:49">
      <c r="A829" s="1">
        <f>HYPERLINK("https://cms.ls-nyc.org/matter/dynamic-profile/view/1855758","18-1855758")</f>
        <v>0</v>
      </c>
      <c r="B829" t="s">
        <v>58</v>
      </c>
      <c r="C829" t="s">
        <v>235</v>
      </c>
      <c r="D829" t="s">
        <v>329</v>
      </c>
      <c r="F829" t="s">
        <v>925</v>
      </c>
      <c r="G829" t="s">
        <v>2667</v>
      </c>
      <c r="H829" t="s">
        <v>4008</v>
      </c>
      <c r="I829" t="s">
        <v>4992</v>
      </c>
      <c r="J829" t="s">
        <v>5321</v>
      </c>
      <c r="K829">
        <v>10472</v>
      </c>
      <c r="L829" t="s">
        <v>5355</v>
      </c>
      <c r="M829" t="s">
        <v>5356</v>
      </c>
      <c r="N829" t="s">
        <v>5559</v>
      </c>
      <c r="O829" t="s">
        <v>6496</v>
      </c>
      <c r="P829" t="s">
        <v>6527</v>
      </c>
      <c r="R829" t="s">
        <v>6539</v>
      </c>
      <c r="S829" t="s">
        <v>5357</v>
      </c>
      <c r="U829" t="s">
        <v>6561</v>
      </c>
      <c r="W829" t="s">
        <v>397</v>
      </c>
      <c r="X829">
        <v>990</v>
      </c>
      <c r="Y829" t="s">
        <v>6606</v>
      </c>
      <c r="Z829" t="s">
        <v>6615</v>
      </c>
      <c r="AB829" t="s">
        <v>7414</v>
      </c>
      <c r="AD829" t="s">
        <v>9786</v>
      </c>
      <c r="AE829">
        <v>78</v>
      </c>
      <c r="AF829" t="s">
        <v>11005</v>
      </c>
      <c r="AG829" t="s">
        <v>11021</v>
      </c>
      <c r="AH829">
        <v>6</v>
      </c>
      <c r="AI829">
        <v>1</v>
      </c>
      <c r="AJ829">
        <v>0</v>
      </c>
      <c r="AK829">
        <v>98.51000000000001</v>
      </c>
      <c r="AN829" t="s">
        <v>11050</v>
      </c>
      <c r="AO829">
        <v>11880</v>
      </c>
      <c r="AU829">
        <v>15.45</v>
      </c>
      <c r="AV829" t="s">
        <v>11453</v>
      </c>
      <c r="AW829" t="s">
        <v>11534</v>
      </c>
    </row>
    <row r="830" spans="1:49">
      <c r="A830" s="1">
        <f>HYPERLINK("https://cms.ls-nyc.org/matter/dynamic-profile/view/1863635","18-1863635")</f>
        <v>0</v>
      </c>
      <c r="B830" t="s">
        <v>162</v>
      </c>
      <c r="C830" t="s">
        <v>235</v>
      </c>
      <c r="D830" t="s">
        <v>263</v>
      </c>
      <c r="F830" t="s">
        <v>1131</v>
      </c>
      <c r="G830" t="s">
        <v>2668</v>
      </c>
      <c r="H830" t="s">
        <v>4009</v>
      </c>
      <c r="I830" t="s">
        <v>4868</v>
      </c>
      <c r="J830" t="s">
        <v>5321</v>
      </c>
      <c r="K830">
        <v>10472</v>
      </c>
      <c r="L830" t="s">
        <v>5355</v>
      </c>
      <c r="M830" t="s">
        <v>5356</v>
      </c>
      <c r="O830" t="s">
        <v>6511</v>
      </c>
      <c r="P830" t="s">
        <v>6527</v>
      </c>
      <c r="R830" t="s">
        <v>6539</v>
      </c>
      <c r="U830" t="s">
        <v>6560</v>
      </c>
      <c r="W830" t="s">
        <v>516</v>
      </c>
      <c r="X830">
        <v>1108.87</v>
      </c>
      <c r="Y830" t="s">
        <v>6606</v>
      </c>
      <c r="Z830" t="s">
        <v>6625</v>
      </c>
      <c r="AB830" t="s">
        <v>7415</v>
      </c>
      <c r="AC830" t="s">
        <v>8806</v>
      </c>
      <c r="AD830" t="s">
        <v>9787</v>
      </c>
      <c r="AE830">
        <v>0</v>
      </c>
      <c r="AF830" t="s">
        <v>11005</v>
      </c>
      <c r="AG830" t="s">
        <v>11020</v>
      </c>
      <c r="AH830">
        <v>7</v>
      </c>
      <c r="AI830">
        <v>1</v>
      </c>
      <c r="AJ830">
        <v>4</v>
      </c>
      <c r="AK830">
        <v>99.42</v>
      </c>
      <c r="AN830" t="s">
        <v>11050</v>
      </c>
      <c r="AO830">
        <v>29249.76</v>
      </c>
      <c r="AU830">
        <v>5.5</v>
      </c>
      <c r="AV830" t="s">
        <v>11458</v>
      </c>
      <c r="AW830" t="s">
        <v>11492</v>
      </c>
    </row>
    <row r="831" spans="1:49">
      <c r="A831" s="1">
        <f>HYPERLINK("https://cms.ls-nyc.org/matter/dynamic-profile/view/1841921","17-1841921")</f>
        <v>0</v>
      </c>
      <c r="B831" t="s">
        <v>131</v>
      </c>
      <c r="C831" t="s">
        <v>234</v>
      </c>
      <c r="D831" t="s">
        <v>305</v>
      </c>
      <c r="E831" t="s">
        <v>675</v>
      </c>
      <c r="F831" t="s">
        <v>1402</v>
      </c>
      <c r="G831" t="s">
        <v>2105</v>
      </c>
      <c r="H831" t="s">
        <v>3574</v>
      </c>
      <c r="I831" t="s">
        <v>4993</v>
      </c>
      <c r="J831" t="s">
        <v>5323</v>
      </c>
      <c r="K831">
        <v>10034</v>
      </c>
      <c r="L831" t="s">
        <v>5355</v>
      </c>
      <c r="M831" t="s">
        <v>5355</v>
      </c>
      <c r="O831" t="s">
        <v>6494</v>
      </c>
      <c r="P831" t="s">
        <v>6527</v>
      </c>
      <c r="Q831" t="s">
        <v>6533</v>
      </c>
      <c r="R831" t="s">
        <v>6539</v>
      </c>
      <c r="S831" t="s">
        <v>5355</v>
      </c>
      <c r="U831" t="s">
        <v>6557</v>
      </c>
      <c r="W831" t="s">
        <v>404</v>
      </c>
      <c r="X831">
        <v>1221.27</v>
      </c>
      <c r="Y831" t="s">
        <v>6608</v>
      </c>
      <c r="Z831" t="s">
        <v>6616</v>
      </c>
      <c r="AA831" t="s">
        <v>6636</v>
      </c>
      <c r="AB831" t="s">
        <v>7416</v>
      </c>
      <c r="AD831" t="s">
        <v>9788</v>
      </c>
      <c r="AE831">
        <v>65</v>
      </c>
      <c r="AF831" t="s">
        <v>11005</v>
      </c>
      <c r="AG831" t="s">
        <v>5406</v>
      </c>
      <c r="AH831">
        <v>23</v>
      </c>
      <c r="AI831">
        <v>1</v>
      </c>
      <c r="AJ831">
        <v>6</v>
      </c>
      <c r="AK831">
        <v>99.62</v>
      </c>
      <c r="AN831" t="s">
        <v>11049</v>
      </c>
      <c r="AO831">
        <v>37000</v>
      </c>
      <c r="AU831">
        <v>0.1</v>
      </c>
      <c r="AV831" t="s">
        <v>675</v>
      </c>
      <c r="AW831" t="s">
        <v>11495</v>
      </c>
    </row>
    <row r="832" spans="1:49">
      <c r="A832" s="1">
        <f>HYPERLINK("https://cms.ls-nyc.org/matter/dynamic-profile/view/1867294","18-1867294")</f>
        <v>0</v>
      </c>
      <c r="B832" t="s">
        <v>135</v>
      </c>
      <c r="C832" t="s">
        <v>235</v>
      </c>
      <c r="D832" t="s">
        <v>447</v>
      </c>
      <c r="F832" t="s">
        <v>942</v>
      </c>
      <c r="G832" t="s">
        <v>2147</v>
      </c>
      <c r="H832" t="s">
        <v>3739</v>
      </c>
      <c r="I832" t="s">
        <v>4775</v>
      </c>
      <c r="J832" t="s">
        <v>5320</v>
      </c>
      <c r="K832">
        <v>11212</v>
      </c>
      <c r="L832" t="s">
        <v>5355</v>
      </c>
      <c r="M832" t="s">
        <v>5356</v>
      </c>
      <c r="O832" t="s">
        <v>6500</v>
      </c>
      <c r="P832" t="s">
        <v>6527</v>
      </c>
      <c r="R832" t="s">
        <v>6539</v>
      </c>
      <c r="S832" t="s">
        <v>5355</v>
      </c>
      <c r="U832" t="s">
        <v>6557</v>
      </c>
      <c r="W832" t="s">
        <v>298</v>
      </c>
      <c r="X832">
        <v>862.52</v>
      </c>
      <c r="Y832" t="s">
        <v>6605</v>
      </c>
      <c r="Z832" t="s">
        <v>6493</v>
      </c>
      <c r="AB832" t="s">
        <v>6748</v>
      </c>
      <c r="AD832" t="s">
        <v>9528</v>
      </c>
      <c r="AE832">
        <v>32</v>
      </c>
      <c r="AF832" t="s">
        <v>11005</v>
      </c>
      <c r="AH832">
        <v>6</v>
      </c>
      <c r="AI832">
        <v>3</v>
      </c>
      <c r="AJ832">
        <v>0</v>
      </c>
      <c r="AK832">
        <v>100.1</v>
      </c>
      <c r="AN832" t="s">
        <v>11050</v>
      </c>
      <c r="AO832">
        <v>20800</v>
      </c>
      <c r="AU832">
        <v>0</v>
      </c>
      <c r="AW832" t="s">
        <v>11512</v>
      </c>
    </row>
    <row r="833" spans="1:49">
      <c r="A833" s="1">
        <f>HYPERLINK("https://cms.ls-nyc.org/matter/dynamic-profile/view/1867417","18-1867417")</f>
        <v>0</v>
      </c>
      <c r="B833" t="s">
        <v>133</v>
      </c>
      <c r="C833" t="s">
        <v>234</v>
      </c>
      <c r="D833" t="s">
        <v>320</v>
      </c>
      <c r="E833" t="s">
        <v>427</v>
      </c>
      <c r="F833" t="s">
        <v>1403</v>
      </c>
      <c r="G833" t="s">
        <v>2669</v>
      </c>
      <c r="H833" t="s">
        <v>4010</v>
      </c>
      <c r="I833" t="s">
        <v>4743</v>
      </c>
      <c r="J833" t="s">
        <v>5338</v>
      </c>
      <c r="K833">
        <v>11413</v>
      </c>
      <c r="L833" t="s">
        <v>5355</v>
      </c>
      <c r="M833" t="s">
        <v>5356</v>
      </c>
      <c r="N833" t="s">
        <v>5560</v>
      </c>
      <c r="O833" t="s">
        <v>6492</v>
      </c>
      <c r="P833" t="s">
        <v>6527</v>
      </c>
      <c r="Q833" t="s">
        <v>6533</v>
      </c>
      <c r="R833" t="s">
        <v>6539</v>
      </c>
      <c r="S833" t="s">
        <v>5357</v>
      </c>
      <c r="U833" t="s">
        <v>6557</v>
      </c>
      <c r="W833" t="s">
        <v>320</v>
      </c>
      <c r="X833">
        <v>1250</v>
      </c>
      <c r="Y833" t="s">
        <v>6604</v>
      </c>
      <c r="Z833" t="s">
        <v>6615</v>
      </c>
      <c r="AA833" t="s">
        <v>6632</v>
      </c>
      <c r="AB833" t="s">
        <v>7417</v>
      </c>
      <c r="AC833" t="s">
        <v>8807</v>
      </c>
      <c r="AD833" t="s">
        <v>9789</v>
      </c>
      <c r="AE833">
        <v>2</v>
      </c>
      <c r="AF833" t="s">
        <v>11004</v>
      </c>
      <c r="AG833" t="s">
        <v>5406</v>
      </c>
      <c r="AH833">
        <v>3</v>
      </c>
      <c r="AI833">
        <v>2</v>
      </c>
      <c r="AJ833">
        <v>2</v>
      </c>
      <c r="AK833">
        <v>100.4</v>
      </c>
      <c r="AN833" t="s">
        <v>11050</v>
      </c>
      <c r="AO833">
        <v>25200</v>
      </c>
      <c r="AU833">
        <v>10.9</v>
      </c>
      <c r="AV833" t="s">
        <v>275</v>
      </c>
      <c r="AW833" t="s">
        <v>133</v>
      </c>
    </row>
    <row r="834" spans="1:49">
      <c r="A834" s="1">
        <f>HYPERLINK("https://cms.ls-nyc.org/matter/dynamic-profile/view/1847185","17-1847185")</f>
        <v>0</v>
      </c>
      <c r="B834" t="s">
        <v>139</v>
      </c>
      <c r="C834" t="s">
        <v>234</v>
      </c>
      <c r="D834" t="s">
        <v>415</v>
      </c>
      <c r="E834" t="s">
        <v>724</v>
      </c>
      <c r="F834" t="s">
        <v>1080</v>
      </c>
      <c r="G834" t="s">
        <v>2670</v>
      </c>
      <c r="H834" t="s">
        <v>4011</v>
      </c>
      <c r="I834" t="s">
        <v>4972</v>
      </c>
      <c r="J834" t="s">
        <v>5321</v>
      </c>
      <c r="K834">
        <v>10461</v>
      </c>
      <c r="L834" t="s">
        <v>5355</v>
      </c>
      <c r="M834" t="s">
        <v>5356</v>
      </c>
      <c r="O834" t="s">
        <v>6512</v>
      </c>
      <c r="P834" t="s">
        <v>6527</v>
      </c>
      <c r="Q834" t="s">
        <v>6532</v>
      </c>
      <c r="R834" t="s">
        <v>6539</v>
      </c>
      <c r="S834" t="s">
        <v>5357</v>
      </c>
      <c r="U834" t="s">
        <v>6560</v>
      </c>
      <c r="W834" t="s">
        <v>533</v>
      </c>
      <c r="X834">
        <v>1548.34</v>
      </c>
      <c r="Y834" t="s">
        <v>6606</v>
      </c>
      <c r="Z834" t="s">
        <v>6613</v>
      </c>
      <c r="AA834" t="s">
        <v>6644</v>
      </c>
      <c r="AB834" t="s">
        <v>7418</v>
      </c>
      <c r="AC834" t="s">
        <v>8808</v>
      </c>
      <c r="AD834" t="s">
        <v>9790</v>
      </c>
      <c r="AE834">
        <v>125</v>
      </c>
      <c r="AF834" t="s">
        <v>11005</v>
      </c>
      <c r="AG834" t="s">
        <v>11020</v>
      </c>
      <c r="AH834">
        <v>20</v>
      </c>
      <c r="AI834">
        <v>2</v>
      </c>
      <c r="AJ834">
        <v>1</v>
      </c>
      <c r="AK834">
        <v>101.69</v>
      </c>
      <c r="AN834" t="s">
        <v>11050</v>
      </c>
      <c r="AO834">
        <v>35196</v>
      </c>
      <c r="AP834" t="s">
        <v>11123</v>
      </c>
      <c r="AS834" t="s">
        <v>11253</v>
      </c>
      <c r="AT834" t="s">
        <v>11264</v>
      </c>
      <c r="AU834">
        <v>0.1</v>
      </c>
      <c r="AV834" t="s">
        <v>415</v>
      </c>
      <c r="AW834" t="s">
        <v>139</v>
      </c>
    </row>
    <row r="835" spans="1:49">
      <c r="A835" s="1">
        <f>HYPERLINK("https://cms.ls-nyc.org/matter/dynamic-profile/view/1863415","18-1863415")</f>
        <v>0</v>
      </c>
      <c r="B835" t="s">
        <v>158</v>
      </c>
      <c r="C835" t="s">
        <v>234</v>
      </c>
      <c r="D835" t="s">
        <v>480</v>
      </c>
      <c r="E835" t="s">
        <v>434</v>
      </c>
      <c r="F835" t="s">
        <v>1404</v>
      </c>
      <c r="G835" t="s">
        <v>2671</v>
      </c>
      <c r="H835" t="s">
        <v>3942</v>
      </c>
      <c r="I835" t="s">
        <v>4787</v>
      </c>
      <c r="J835" t="s">
        <v>5321</v>
      </c>
      <c r="K835">
        <v>10459</v>
      </c>
      <c r="L835" t="s">
        <v>5355</v>
      </c>
      <c r="M835" t="s">
        <v>5356</v>
      </c>
      <c r="O835" t="s">
        <v>5393</v>
      </c>
      <c r="P835" t="s">
        <v>6527</v>
      </c>
      <c r="Q835" t="s">
        <v>6532</v>
      </c>
      <c r="R835" t="s">
        <v>6539</v>
      </c>
      <c r="S835" t="s">
        <v>5355</v>
      </c>
      <c r="U835" t="s">
        <v>6557</v>
      </c>
      <c r="W835" t="s">
        <v>480</v>
      </c>
      <c r="X835">
        <v>900</v>
      </c>
      <c r="Y835" t="s">
        <v>6606</v>
      </c>
      <c r="Z835" t="s">
        <v>6622</v>
      </c>
      <c r="AA835" t="s">
        <v>6636</v>
      </c>
      <c r="AB835" t="s">
        <v>7419</v>
      </c>
      <c r="AD835" t="s">
        <v>9791</v>
      </c>
      <c r="AE835">
        <v>48</v>
      </c>
      <c r="AF835" t="s">
        <v>11005</v>
      </c>
      <c r="AH835">
        <v>18</v>
      </c>
      <c r="AI835">
        <v>2</v>
      </c>
      <c r="AJ835">
        <v>0</v>
      </c>
      <c r="AK835">
        <v>102.07</v>
      </c>
      <c r="AO835">
        <v>16800</v>
      </c>
      <c r="AU835">
        <v>5</v>
      </c>
      <c r="AV835" t="s">
        <v>727</v>
      </c>
      <c r="AW835" t="s">
        <v>11499</v>
      </c>
    </row>
    <row r="836" spans="1:49">
      <c r="A836" s="1">
        <f>HYPERLINK("https://cms.ls-nyc.org/matter/dynamic-profile/view/1852468","17-1852468")</f>
        <v>0</v>
      </c>
      <c r="B836" t="s">
        <v>97</v>
      </c>
      <c r="C836" t="s">
        <v>235</v>
      </c>
      <c r="D836" t="s">
        <v>294</v>
      </c>
      <c r="F836" t="s">
        <v>1188</v>
      </c>
      <c r="G836" t="s">
        <v>2280</v>
      </c>
      <c r="H836" t="s">
        <v>4012</v>
      </c>
      <c r="I836" t="s">
        <v>4994</v>
      </c>
      <c r="J836" t="s">
        <v>5323</v>
      </c>
      <c r="K836">
        <v>10034</v>
      </c>
      <c r="L836" t="s">
        <v>5355</v>
      </c>
      <c r="M836" t="s">
        <v>5356</v>
      </c>
      <c r="O836" t="s">
        <v>6498</v>
      </c>
      <c r="P836" t="s">
        <v>6527</v>
      </c>
      <c r="R836" t="s">
        <v>6539</v>
      </c>
      <c r="S836" t="s">
        <v>5357</v>
      </c>
      <c r="U836" t="s">
        <v>6557</v>
      </c>
      <c r="W836" t="s">
        <v>294</v>
      </c>
      <c r="X836">
        <v>719.53</v>
      </c>
      <c r="Y836" t="s">
        <v>6608</v>
      </c>
      <c r="Z836" t="s">
        <v>6614</v>
      </c>
      <c r="AB836" t="s">
        <v>7407</v>
      </c>
      <c r="AD836" t="s">
        <v>9778</v>
      </c>
      <c r="AE836">
        <v>31</v>
      </c>
      <c r="AF836" t="s">
        <v>11005</v>
      </c>
      <c r="AG836" t="s">
        <v>11024</v>
      </c>
      <c r="AH836">
        <v>27</v>
      </c>
      <c r="AI836">
        <v>3</v>
      </c>
      <c r="AJ836">
        <v>0</v>
      </c>
      <c r="AK836">
        <v>102.37</v>
      </c>
      <c r="AN836" t="s">
        <v>11049</v>
      </c>
      <c r="AO836">
        <v>20904</v>
      </c>
      <c r="AU836">
        <v>5.1</v>
      </c>
      <c r="AV836" t="s">
        <v>290</v>
      </c>
      <c r="AW836" t="s">
        <v>11495</v>
      </c>
    </row>
    <row r="837" spans="1:49">
      <c r="A837" s="1">
        <f>HYPERLINK("https://cms.ls-nyc.org/matter/dynamic-profile/view/1856862","18-1856862")</f>
        <v>0</v>
      </c>
      <c r="B837" t="s">
        <v>124</v>
      </c>
      <c r="C837" t="s">
        <v>235</v>
      </c>
      <c r="D837" t="s">
        <v>310</v>
      </c>
      <c r="F837" t="s">
        <v>874</v>
      </c>
      <c r="G837" t="s">
        <v>2672</v>
      </c>
      <c r="H837" t="s">
        <v>3994</v>
      </c>
      <c r="I837" t="s">
        <v>4778</v>
      </c>
      <c r="J837" t="s">
        <v>5323</v>
      </c>
      <c r="K837">
        <v>10040</v>
      </c>
      <c r="L837" t="s">
        <v>5355</v>
      </c>
      <c r="M837" t="s">
        <v>5356</v>
      </c>
      <c r="O837" t="s">
        <v>6494</v>
      </c>
      <c r="P837" t="s">
        <v>6527</v>
      </c>
      <c r="R837" t="s">
        <v>6539</v>
      </c>
      <c r="S837" t="s">
        <v>5357</v>
      </c>
      <c r="U837" t="s">
        <v>6557</v>
      </c>
      <c r="W837" t="s">
        <v>310</v>
      </c>
      <c r="X837">
        <v>843.6</v>
      </c>
      <c r="Y837" t="s">
        <v>6608</v>
      </c>
      <c r="Z837" t="s">
        <v>6614</v>
      </c>
      <c r="AB837" t="s">
        <v>7420</v>
      </c>
      <c r="AD837" t="s">
        <v>9792</v>
      </c>
      <c r="AE837">
        <v>42</v>
      </c>
      <c r="AF837" t="s">
        <v>11005</v>
      </c>
      <c r="AG837" t="s">
        <v>11024</v>
      </c>
      <c r="AH837">
        <v>23</v>
      </c>
      <c r="AI837">
        <v>1</v>
      </c>
      <c r="AJ837">
        <v>0</v>
      </c>
      <c r="AK837">
        <v>102.79</v>
      </c>
      <c r="AL837" t="s">
        <v>301</v>
      </c>
      <c r="AN837" t="s">
        <v>11049</v>
      </c>
      <c r="AO837">
        <v>12396</v>
      </c>
      <c r="AU837">
        <v>27.1</v>
      </c>
      <c r="AV837" t="s">
        <v>434</v>
      </c>
      <c r="AW837" t="s">
        <v>11495</v>
      </c>
    </row>
    <row r="838" spans="1:49">
      <c r="A838" s="1">
        <f>HYPERLINK("https://cms.ls-nyc.org/matter/dynamic-profile/view/1837977","17-1837977")</f>
        <v>0</v>
      </c>
      <c r="B838" t="s">
        <v>97</v>
      </c>
      <c r="C838" t="s">
        <v>235</v>
      </c>
      <c r="D838" t="s">
        <v>493</v>
      </c>
      <c r="F838" t="s">
        <v>1405</v>
      </c>
      <c r="G838" t="s">
        <v>2187</v>
      </c>
      <c r="H838" t="s">
        <v>4013</v>
      </c>
      <c r="I838" t="s">
        <v>4744</v>
      </c>
      <c r="J838" t="s">
        <v>5323</v>
      </c>
      <c r="K838">
        <v>10040</v>
      </c>
      <c r="L838" t="s">
        <v>5355</v>
      </c>
      <c r="M838" t="s">
        <v>5356</v>
      </c>
      <c r="O838" t="s">
        <v>5393</v>
      </c>
      <c r="P838" t="s">
        <v>6527</v>
      </c>
      <c r="R838" t="s">
        <v>6539</v>
      </c>
      <c r="S838" t="s">
        <v>5357</v>
      </c>
      <c r="U838" t="s">
        <v>6557</v>
      </c>
      <c r="W838" t="s">
        <v>460</v>
      </c>
      <c r="X838">
        <v>802</v>
      </c>
      <c r="Y838" t="s">
        <v>6608</v>
      </c>
      <c r="Z838" t="s">
        <v>6616</v>
      </c>
      <c r="AB838" t="s">
        <v>7421</v>
      </c>
      <c r="AD838" t="s">
        <v>9793</v>
      </c>
      <c r="AE838">
        <v>92</v>
      </c>
      <c r="AF838" t="s">
        <v>11005</v>
      </c>
      <c r="AG838" t="s">
        <v>5406</v>
      </c>
      <c r="AH838">
        <v>28</v>
      </c>
      <c r="AI838">
        <v>2</v>
      </c>
      <c r="AJ838">
        <v>0</v>
      </c>
      <c r="AK838">
        <v>103.37</v>
      </c>
      <c r="AL838" t="s">
        <v>383</v>
      </c>
      <c r="AN838" t="s">
        <v>11049</v>
      </c>
      <c r="AO838">
        <v>25584</v>
      </c>
      <c r="AU838">
        <v>0.6</v>
      </c>
      <c r="AV838" t="s">
        <v>394</v>
      </c>
      <c r="AW838" t="s">
        <v>11497</v>
      </c>
    </row>
    <row r="839" spans="1:49">
      <c r="A839" s="1">
        <f>HYPERLINK("https://cms.ls-nyc.org/matter/dynamic-profile/view/1863506","18-1863506")</f>
        <v>0</v>
      </c>
      <c r="B839" t="s">
        <v>97</v>
      </c>
      <c r="C839" t="s">
        <v>234</v>
      </c>
      <c r="D839" t="s">
        <v>373</v>
      </c>
      <c r="E839" t="s">
        <v>665</v>
      </c>
      <c r="F839" t="s">
        <v>1237</v>
      </c>
      <c r="G839" t="s">
        <v>2480</v>
      </c>
      <c r="H839" t="s">
        <v>3836</v>
      </c>
      <c r="I839">
        <v>53</v>
      </c>
      <c r="J839" t="s">
        <v>5323</v>
      </c>
      <c r="K839">
        <v>10031</v>
      </c>
      <c r="L839" t="s">
        <v>5355</v>
      </c>
      <c r="M839" t="s">
        <v>5356</v>
      </c>
      <c r="O839" t="s">
        <v>6496</v>
      </c>
      <c r="P839" t="s">
        <v>6527</v>
      </c>
      <c r="Q839" t="s">
        <v>6535</v>
      </c>
      <c r="R839" t="s">
        <v>6539</v>
      </c>
      <c r="S839" t="s">
        <v>5357</v>
      </c>
      <c r="U839" t="s">
        <v>6557</v>
      </c>
      <c r="W839" t="s">
        <v>373</v>
      </c>
      <c r="X839">
        <v>566.6799999999999</v>
      </c>
      <c r="Y839" t="s">
        <v>6608</v>
      </c>
      <c r="Z839" t="s">
        <v>6616</v>
      </c>
      <c r="AA839" t="s">
        <v>6636</v>
      </c>
      <c r="AB839" t="s">
        <v>7145</v>
      </c>
      <c r="AD839" t="s">
        <v>9535</v>
      </c>
      <c r="AE839">
        <v>30</v>
      </c>
      <c r="AF839" t="s">
        <v>11005</v>
      </c>
      <c r="AG839" t="s">
        <v>5406</v>
      </c>
      <c r="AH839">
        <v>26</v>
      </c>
      <c r="AI839">
        <v>2</v>
      </c>
      <c r="AJ839">
        <v>0</v>
      </c>
      <c r="AK839">
        <v>104.69</v>
      </c>
      <c r="AL839" t="s">
        <v>658</v>
      </c>
      <c r="AN839" t="s">
        <v>11050</v>
      </c>
      <c r="AO839">
        <v>17232</v>
      </c>
      <c r="AU839">
        <v>40.2</v>
      </c>
      <c r="AV839" t="s">
        <v>11454</v>
      </c>
      <c r="AW839" t="s">
        <v>11495</v>
      </c>
    </row>
    <row r="840" spans="1:49">
      <c r="A840" s="1">
        <f>HYPERLINK("https://cms.ls-nyc.org/matter/dynamic-profile/view/0832635","17-0832635")</f>
        <v>0</v>
      </c>
      <c r="B840" t="s">
        <v>58</v>
      </c>
      <c r="C840" t="s">
        <v>234</v>
      </c>
      <c r="D840" t="s">
        <v>487</v>
      </c>
      <c r="E840" t="s">
        <v>674</v>
      </c>
      <c r="F840" t="s">
        <v>914</v>
      </c>
      <c r="G840" t="s">
        <v>2105</v>
      </c>
      <c r="H840" t="s">
        <v>3937</v>
      </c>
      <c r="I840" t="s">
        <v>4750</v>
      </c>
      <c r="J840" t="s">
        <v>5321</v>
      </c>
      <c r="K840">
        <v>10453</v>
      </c>
      <c r="L840" t="s">
        <v>5355</v>
      </c>
      <c r="M840" t="s">
        <v>5356</v>
      </c>
      <c r="O840" t="s">
        <v>5393</v>
      </c>
      <c r="P840" t="s">
        <v>6527</v>
      </c>
      <c r="Q840" t="s">
        <v>6532</v>
      </c>
      <c r="R840" t="s">
        <v>6539</v>
      </c>
      <c r="S840" t="s">
        <v>5355</v>
      </c>
      <c r="U840" t="s">
        <v>6557</v>
      </c>
      <c r="W840" t="s">
        <v>372</v>
      </c>
      <c r="X840">
        <v>390</v>
      </c>
      <c r="Y840" t="s">
        <v>6606</v>
      </c>
      <c r="Z840" t="s">
        <v>6612</v>
      </c>
      <c r="AA840" t="s">
        <v>6636</v>
      </c>
      <c r="AB840" t="s">
        <v>7422</v>
      </c>
      <c r="AD840" t="s">
        <v>9794</v>
      </c>
      <c r="AE840">
        <v>766</v>
      </c>
      <c r="AF840" t="s">
        <v>11008</v>
      </c>
      <c r="AG840" t="s">
        <v>11020</v>
      </c>
      <c r="AH840">
        <v>15</v>
      </c>
      <c r="AI840">
        <v>2</v>
      </c>
      <c r="AJ840">
        <v>0</v>
      </c>
      <c r="AK840">
        <v>106.4</v>
      </c>
      <c r="AN840" t="s">
        <v>11049</v>
      </c>
      <c r="AO840">
        <v>26160</v>
      </c>
      <c r="AU840">
        <v>0.75</v>
      </c>
      <c r="AV840" t="s">
        <v>674</v>
      </c>
      <c r="AW840" t="s">
        <v>11509</v>
      </c>
    </row>
    <row r="841" spans="1:49">
      <c r="A841" s="1">
        <f>HYPERLINK("https://cms.ls-nyc.org/matter/dynamic-profile/view/1853759","17-1853759")</f>
        <v>0</v>
      </c>
      <c r="B841" t="s">
        <v>111</v>
      </c>
      <c r="C841" t="s">
        <v>234</v>
      </c>
      <c r="D841" t="s">
        <v>332</v>
      </c>
      <c r="E841" t="s">
        <v>517</v>
      </c>
      <c r="F841" t="s">
        <v>1004</v>
      </c>
      <c r="G841" t="s">
        <v>2188</v>
      </c>
      <c r="H841" t="s">
        <v>4014</v>
      </c>
      <c r="I841" t="s">
        <v>4834</v>
      </c>
      <c r="J841" t="s">
        <v>5323</v>
      </c>
      <c r="K841">
        <v>10032</v>
      </c>
      <c r="L841" t="s">
        <v>5355</v>
      </c>
      <c r="M841" t="s">
        <v>5355</v>
      </c>
      <c r="O841" t="s">
        <v>6494</v>
      </c>
      <c r="P841" t="s">
        <v>6527</v>
      </c>
      <c r="Q841" t="s">
        <v>6533</v>
      </c>
      <c r="R841" t="s">
        <v>6539</v>
      </c>
      <c r="S841" t="s">
        <v>5357</v>
      </c>
      <c r="U841" t="s">
        <v>6557</v>
      </c>
      <c r="W841" t="s">
        <v>509</v>
      </c>
      <c r="X841">
        <v>1060</v>
      </c>
      <c r="Y841" t="s">
        <v>6608</v>
      </c>
      <c r="Z841" t="s">
        <v>6616</v>
      </c>
      <c r="AA841" t="s">
        <v>6636</v>
      </c>
      <c r="AB841" t="s">
        <v>7423</v>
      </c>
      <c r="AD841" t="s">
        <v>9795</v>
      </c>
      <c r="AE841">
        <v>115</v>
      </c>
      <c r="AF841" t="s">
        <v>11005</v>
      </c>
      <c r="AG841" t="s">
        <v>11024</v>
      </c>
      <c r="AH841">
        <v>37</v>
      </c>
      <c r="AI841">
        <v>2</v>
      </c>
      <c r="AJ841">
        <v>0</v>
      </c>
      <c r="AK841">
        <v>106.77</v>
      </c>
      <c r="AN841" t="s">
        <v>11049</v>
      </c>
      <c r="AO841">
        <v>17340</v>
      </c>
      <c r="AU841">
        <v>7.45</v>
      </c>
      <c r="AV841" t="s">
        <v>517</v>
      </c>
      <c r="AW841" t="s">
        <v>11495</v>
      </c>
    </row>
    <row r="842" spans="1:49">
      <c r="A842" s="1">
        <f>HYPERLINK("https://cms.ls-nyc.org/matter/dynamic-profile/view/1845745","17-1845745")</f>
        <v>0</v>
      </c>
      <c r="B842" t="s">
        <v>97</v>
      </c>
      <c r="C842" t="s">
        <v>235</v>
      </c>
      <c r="D842" t="s">
        <v>466</v>
      </c>
      <c r="F842" t="s">
        <v>1087</v>
      </c>
      <c r="G842" t="s">
        <v>928</v>
      </c>
      <c r="H842" t="s">
        <v>4015</v>
      </c>
      <c r="I842">
        <v>23</v>
      </c>
      <c r="J842" t="s">
        <v>5323</v>
      </c>
      <c r="K842">
        <v>10034</v>
      </c>
      <c r="L842" t="s">
        <v>5355</v>
      </c>
      <c r="M842" t="s">
        <v>5356</v>
      </c>
      <c r="O842" t="s">
        <v>5393</v>
      </c>
      <c r="P842" t="s">
        <v>6527</v>
      </c>
      <c r="R842" t="s">
        <v>6539</v>
      </c>
      <c r="S842" t="s">
        <v>5357</v>
      </c>
      <c r="U842" t="s">
        <v>6557</v>
      </c>
      <c r="W842" t="s">
        <v>262</v>
      </c>
      <c r="X842">
        <v>1212.7</v>
      </c>
      <c r="Y842" t="s">
        <v>6608</v>
      </c>
      <c r="Z842" t="s">
        <v>6616</v>
      </c>
      <c r="AB842" t="s">
        <v>7424</v>
      </c>
      <c r="AD842" t="s">
        <v>9796</v>
      </c>
      <c r="AE842">
        <v>30</v>
      </c>
      <c r="AF842" t="s">
        <v>11005</v>
      </c>
      <c r="AG842" t="s">
        <v>5406</v>
      </c>
      <c r="AH842">
        <v>1</v>
      </c>
      <c r="AI842">
        <v>3</v>
      </c>
      <c r="AJ842">
        <v>3</v>
      </c>
      <c r="AK842">
        <v>109.22</v>
      </c>
      <c r="AN842" t="s">
        <v>11049</v>
      </c>
      <c r="AO842">
        <v>36000</v>
      </c>
      <c r="AU842">
        <v>5.3</v>
      </c>
      <c r="AV842" t="s">
        <v>560</v>
      </c>
      <c r="AW842" t="s">
        <v>11495</v>
      </c>
    </row>
    <row r="843" spans="1:49">
      <c r="A843" s="1">
        <f>HYPERLINK("https://cms.ls-nyc.org/matter/dynamic-profile/view/1861931","18-1861931")</f>
        <v>0</v>
      </c>
      <c r="B843" t="s">
        <v>168</v>
      </c>
      <c r="C843" t="s">
        <v>234</v>
      </c>
      <c r="D843" t="s">
        <v>358</v>
      </c>
      <c r="E843" t="s">
        <v>688</v>
      </c>
      <c r="F843" t="s">
        <v>1406</v>
      </c>
      <c r="G843" t="s">
        <v>2673</v>
      </c>
      <c r="H843" t="s">
        <v>4016</v>
      </c>
      <c r="I843" t="s">
        <v>4995</v>
      </c>
      <c r="J843" t="s">
        <v>5321</v>
      </c>
      <c r="K843">
        <v>10453</v>
      </c>
      <c r="L843" t="s">
        <v>5355</v>
      </c>
      <c r="M843" t="s">
        <v>5356</v>
      </c>
      <c r="O843" t="s">
        <v>6504</v>
      </c>
      <c r="P843" t="s">
        <v>6527</v>
      </c>
      <c r="Q843" t="s">
        <v>6536</v>
      </c>
      <c r="R843" t="s">
        <v>6539</v>
      </c>
      <c r="S843" t="s">
        <v>5357</v>
      </c>
      <c r="U843" t="s">
        <v>6560</v>
      </c>
      <c r="W843" t="s">
        <v>358</v>
      </c>
      <c r="X843">
        <v>1860.48</v>
      </c>
      <c r="Y843" t="s">
        <v>6606</v>
      </c>
      <c r="Z843" t="s">
        <v>6614</v>
      </c>
      <c r="AA843" t="s">
        <v>6648</v>
      </c>
      <c r="AB843" t="s">
        <v>7425</v>
      </c>
      <c r="AC843" t="s">
        <v>8809</v>
      </c>
      <c r="AD843" t="s">
        <v>9797</v>
      </c>
      <c r="AE843">
        <v>3</v>
      </c>
      <c r="AF843" t="s">
        <v>11005</v>
      </c>
      <c r="AG843" t="s">
        <v>11020</v>
      </c>
      <c r="AH843">
        <v>4</v>
      </c>
      <c r="AI843">
        <v>1</v>
      </c>
      <c r="AJ843">
        <v>3</v>
      </c>
      <c r="AK843">
        <v>109.96</v>
      </c>
      <c r="AN843" t="s">
        <v>11050</v>
      </c>
      <c r="AO843">
        <v>27600.56</v>
      </c>
      <c r="AU843">
        <v>1.9</v>
      </c>
      <c r="AV843" t="s">
        <v>293</v>
      </c>
      <c r="AW843" t="s">
        <v>11523</v>
      </c>
    </row>
    <row r="844" spans="1:49">
      <c r="A844" s="1">
        <f>HYPERLINK("https://cms.ls-nyc.org/matter/dynamic-profile/view/1867283","18-1867283")</f>
        <v>0</v>
      </c>
      <c r="B844" t="s">
        <v>135</v>
      </c>
      <c r="C844" t="s">
        <v>235</v>
      </c>
      <c r="D844" t="s">
        <v>447</v>
      </c>
      <c r="F844" t="s">
        <v>897</v>
      </c>
      <c r="G844" t="s">
        <v>2537</v>
      </c>
      <c r="H844" t="s">
        <v>3739</v>
      </c>
      <c r="I844" t="s">
        <v>4867</v>
      </c>
      <c r="J844" t="s">
        <v>5320</v>
      </c>
      <c r="K844">
        <v>11212</v>
      </c>
      <c r="L844" t="s">
        <v>5355</v>
      </c>
      <c r="M844" t="s">
        <v>5355</v>
      </c>
      <c r="O844" t="s">
        <v>6500</v>
      </c>
      <c r="P844" t="s">
        <v>6527</v>
      </c>
      <c r="R844" t="s">
        <v>6539</v>
      </c>
      <c r="S844" t="s">
        <v>5355</v>
      </c>
      <c r="U844" t="s">
        <v>6557</v>
      </c>
      <c r="W844" t="s">
        <v>298</v>
      </c>
      <c r="X844">
        <v>893.61</v>
      </c>
      <c r="Y844" t="s">
        <v>6605</v>
      </c>
      <c r="Z844" t="s">
        <v>6493</v>
      </c>
      <c r="AB844" t="s">
        <v>7226</v>
      </c>
      <c r="AD844" t="s">
        <v>9614</v>
      </c>
      <c r="AE844">
        <v>32</v>
      </c>
      <c r="AF844" t="s">
        <v>11005</v>
      </c>
      <c r="AH844">
        <v>8</v>
      </c>
      <c r="AI844">
        <v>3</v>
      </c>
      <c r="AJ844">
        <v>0</v>
      </c>
      <c r="AK844">
        <v>110.68</v>
      </c>
      <c r="AN844" t="s">
        <v>11050</v>
      </c>
      <c r="AO844">
        <v>23000</v>
      </c>
      <c r="AP844" t="s">
        <v>11109</v>
      </c>
      <c r="AU844">
        <v>0</v>
      </c>
      <c r="AW844" t="s">
        <v>11512</v>
      </c>
    </row>
    <row r="845" spans="1:49">
      <c r="A845" s="1">
        <f>HYPERLINK("https://cms.ls-nyc.org/matter/dynamic-profile/view/1868634","18-1868634")</f>
        <v>0</v>
      </c>
      <c r="B845" t="s">
        <v>90</v>
      </c>
      <c r="C845" t="s">
        <v>235</v>
      </c>
      <c r="D845" t="s">
        <v>267</v>
      </c>
      <c r="F845" t="s">
        <v>1307</v>
      </c>
      <c r="G845" t="s">
        <v>2674</v>
      </c>
      <c r="H845" t="s">
        <v>3949</v>
      </c>
      <c r="I845" t="s">
        <v>4817</v>
      </c>
      <c r="J845" t="s">
        <v>5321</v>
      </c>
      <c r="K845">
        <v>10452</v>
      </c>
      <c r="L845" t="s">
        <v>5355</v>
      </c>
      <c r="M845" t="s">
        <v>5355</v>
      </c>
      <c r="O845" t="s">
        <v>5393</v>
      </c>
      <c r="P845" t="s">
        <v>6527</v>
      </c>
      <c r="R845" t="s">
        <v>6539</v>
      </c>
      <c r="S845" t="s">
        <v>5355</v>
      </c>
      <c r="U845" t="s">
        <v>6557</v>
      </c>
      <c r="W845" t="s">
        <v>516</v>
      </c>
      <c r="X845">
        <v>1024.75</v>
      </c>
      <c r="Y845" t="s">
        <v>6606</v>
      </c>
      <c r="Z845" t="s">
        <v>6625</v>
      </c>
      <c r="AB845" t="s">
        <v>7426</v>
      </c>
      <c r="AD845" t="s">
        <v>9798</v>
      </c>
      <c r="AE845">
        <v>60</v>
      </c>
      <c r="AF845" t="s">
        <v>11005</v>
      </c>
      <c r="AG845" t="s">
        <v>5406</v>
      </c>
      <c r="AH845">
        <v>10</v>
      </c>
      <c r="AI845">
        <v>1</v>
      </c>
      <c r="AJ845">
        <v>0</v>
      </c>
      <c r="AK845">
        <v>110.71</v>
      </c>
      <c r="AN845" t="s">
        <v>11050</v>
      </c>
      <c r="AO845">
        <v>13440</v>
      </c>
      <c r="AU845">
        <v>0</v>
      </c>
      <c r="AW845" t="s">
        <v>11492</v>
      </c>
    </row>
    <row r="846" spans="1:49">
      <c r="A846" s="1">
        <f>HYPERLINK("https://cms.ls-nyc.org/matter/dynamic-profile/view/1860573","18-1860573")</f>
        <v>0</v>
      </c>
      <c r="B846" t="s">
        <v>76</v>
      </c>
      <c r="C846" t="s">
        <v>234</v>
      </c>
      <c r="D846" t="s">
        <v>409</v>
      </c>
      <c r="E846" t="s">
        <v>726</v>
      </c>
      <c r="F846" t="s">
        <v>914</v>
      </c>
      <c r="G846" t="s">
        <v>2612</v>
      </c>
      <c r="H846" t="s">
        <v>4017</v>
      </c>
      <c r="I846" t="s">
        <v>4837</v>
      </c>
      <c r="J846" t="s">
        <v>5323</v>
      </c>
      <c r="K846">
        <v>10035</v>
      </c>
      <c r="L846" t="s">
        <v>5355</v>
      </c>
      <c r="M846" t="s">
        <v>5355</v>
      </c>
      <c r="O846" t="s">
        <v>5393</v>
      </c>
      <c r="P846" t="s">
        <v>6527</v>
      </c>
      <c r="Q846" t="s">
        <v>6532</v>
      </c>
      <c r="R846" t="s">
        <v>6539</v>
      </c>
      <c r="S846" t="s">
        <v>5357</v>
      </c>
      <c r="U846" t="s">
        <v>6557</v>
      </c>
      <c r="V846" t="s">
        <v>6566</v>
      </c>
      <c r="W846" t="s">
        <v>409</v>
      </c>
      <c r="X846">
        <v>1370</v>
      </c>
      <c r="Y846" t="s">
        <v>6608</v>
      </c>
      <c r="Z846" t="s">
        <v>6616</v>
      </c>
      <c r="AA846" t="s">
        <v>6636</v>
      </c>
      <c r="AB846" t="s">
        <v>7427</v>
      </c>
      <c r="AD846" t="s">
        <v>9799</v>
      </c>
      <c r="AE846">
        <v>30</v>
      </c>
      <c r="AF846" t="s">
        <v>11008</v>
      </c>
      <c r="AG846" t="s">
        <v>11020</v>
      </c>
      <c r="AH846">
        <v>11</v>
      </c>
      <c r="AI846">
        <v>2</v>
      </c>
      <c r="AJ846">
        <v>0</v>
      </c>
      <c r="AK846">
        <v>110.81</v>
      </c>
      <c r="AN846" t="s">
        <v>11049</v>
      </c>
      <c r="AO846">
        <v>18240</v>
      </c>
      <c r="AU846">
        <v>2.9</v>
      </c>
      <c r="AV846" t="s">
        <v>452</v>
      </c>
      <c r="AW846" t="s">
        <v>11497</v>
      </c>
    </row>
    <row r="847" spans="1:49">
      <c r="A847" s="1">
        <f>HYPERLINK("https://cms.ls-nyc.org/matter/dynamic-profile/view/1849870","17-1849870")</f>
        <v>0</v>
      </c>
      <c r="B847" t="s">
        <v>79</v>
      </c>
      <c r="C847" t="s">
        <v>234</v>
      </c>
      <c r="D847" t="s">
        <v>314</v>
      </c>
      <c r="E847" t="s">
        <v>687</v>
      </c>
      <c r="F847" t="s">
        <v>1166</v>
      </c>
      <c r="G847" t="s">
        <v>2188</v>
      </c>
      <c r="H847" t="s">
        <v>3579</v>
      </c>
      <c r="I847">
        <v>314</v>
      </c>
      <c r="J847" t="s">
        <v>5323</v>
      </c>
      <c r="K847">
        <v>10029</v>
      </c>
      <c r="L847" t="s">
        <v>5355</v>
      </c>
      <c r="M847" t="s">
        <v>5356</v>
      </c>
      <c r="P847" t="s">
        <v>6527</v>
      </c>
      <c r="Q847" t="s">
        <v>6532</v>
      </c>
      <c r="R847" t="s">
        <v>6539</v>
      </c>
      <c r="S847" t="s">
        <v>5357</v>
      </c>
      <c r="U847" t="s">
        <v>6557</v>
      </c>
      <c r="W847" t="s">
        <v>314</v>
      </c>
      <c r="X847">
        <v>356</v>
      </c>
      <c r="Y847" t="s">
        <v>6608</v>
      </c>
      <c r="Z847" t="s">
        <v>6614</v>
      </c>
      <c r="AA847" t="s">
        <v>6636</v>
      </c>
      <c r="AB847" t="s">
        <v>7428</v>
      </c>
      <c r="AD847" t="s">
        <v>9800</v>
      </c>
      <c r="AE847">
        <v>108</v>
      </c>
      <c r="AF847" t="s">
        <v>11005</v>
      </c>
      <c r="AG847" t="s">
        <v>5406</v>
      </c>
      <c r="AH847">
        <v>6</v>
      </c>
      <c r="AI847">
        <v>2</v>
      </c>
      <c r="AJ847">
        <v>0</v>
      </c>
      <c r="AK847">
        <v>113.2</v>
      </c>
      <c r="AN847" t="s">
        <v>11049</v>
      </c>
      <c r="AO847">
        <v>18384</v>
      </c>
      <c r="AU847">
        <v>160.5</v>
      </c>
      <c r="AV847" t="s">
        <v>437</v>
      </c>
      <c r="AW847" t="s">
        <v>11495</v>
      </c>
    </row>
    <row r="848" spans="1:49">
      <c r="A848" s="1">
        <f>HYPERLINK("https://cms.ls-nyc.org/matter/dynamic-profile/view/1840469","17-1840469")</f>
        <v>0</v>
      </c>
      <c r="B848" t="s">
        <v>92</v>
      </c>
      <c r="C848" t="s">
        <v>235</v>
      </c>
      <c r="D848" t="s">
        <v>441</v>
      </c>
      <c r="F848" t="s">
        <v>1289</v>
      </c>
      <c r="G848" t="s">
        <v>2675</v>
      </c>
      <c r="H848" t="s">
        <v>4018</v>
      </c>
      <c r="I848" t="s">
        <v>4996</v>
      </c>
      <c r="J848" t="s">
        <v>5323</v>
      </c>
      <c r="K848">
        <v>10034</v>
      </c>
      <c r="L848" t="s">
        <v>5355</v>
      </c>
      <c r="M848" t="s">
        <v>5356</v>
      </c>
      <c r="O848" t="s">
        <v>6496</v>
      </c>
      <c r="P848" t="s">
        <v>6527</v>
      </c>
      <c r="R848" t="s">
        <v>6539</v>
      </c>
      <c r="S848" t="s">
        <v>5357</v>
      </c>
      <c r="U848" t="s">
        <v>6557</v>
      </c>
      <c r="W848" t="s">
        <v>262</v>
      </c>
      <c r="X848">
        <v>1066.11</v>
      </c>
      <c r="Y848" t="s">
        <v>6608</v>
      </c>
      <c r="Z848" t="s">
        <v>6616</v>
      </c>
      <c r="AB848" t="s">
        <v>7429</v>
      </c>
      <c r="AD848" t="s">
        <v>9801</v>
      </c>
      <c r="AE848">
        <v>46</v>
      </c>
      <c r="AF848" t="s">
        <v>11005</v>
      </c>
      <c r="AG848" t="s">
        <v>5406</v>
      </c>
      <c r="AH848">
        <v>5</v>
      </c>
      <c r="AI848">
        <v>2</v>
      </c>
      <c r="AJ848">
        <v>1</v>
      </c>
      <c r="AK848">
        <v>114.59</v>
      </c>
      <c r="AN848" t="s">
        <v>11049</v>
      </c>
      <c r="AO848">
        <v>23400</v>
      </c>
      <c r="AU848">
        <v>8</v>
      </c>
      <c r="AV848" t="s">
        <v>11435</v>
      </c>
      <c r="AW848" t="s">
        <v>11495</v>
      </c>
    </row>
    <row r="849" spans="1:49">
      <c r="A849" s="1">
        <f>HYPERLINK("https://cms.ls-nyc.org/matter/dynamic-profile/view/1846029","17-1846029")</f>
        <v>0</v>
      </c>
      <c r="B849" t="s">
        <v>131</v>
      </c>
      <c r="C849" t="s">
        <v>235</v>
      </c>
      <c r="D849" t="s">
        <v>371</v>
      </c>
      <c r="F849" t="s">
        <v>1407</v>
      </c>
      <c r="G849" t="s">
        <v>2676</v>
      </c>
      <c r="H849" t="s">
        <v>3920</v>
      </c>
      <c r="I849">
        <v>5</v>
      </c>
      <c r="J849" t="s">
        <v>5323</v>
      </c>
      <c r="K849">
        <v>10034</v>
      </c>
      <c r="L849" t="s">
        <v>5355</v>
      </c>
      <c r="M849" t="s">
        <v>5356</v>
      </c>
      <c r="O849" t="s">
        <v>6491</v>
      </c>
      <c r="P849" t="s">
        <v>6527</v>
      </c>
      <c r="R849" t="s">
        <v>6539</v>
      </c>
      <c r="S849" t="s">
        <v>5357</v>
      </c>
      <c r="U849" t="s">
        <v>6557</v>
      </c>
      <c r="W849" t="s">
        <v>457</v>
      </c>
      <c r="X849">
        <v>1250</v>
      </c>
      <c r="Y849" t="s">
        <v>6608</v>
      </c>
      <c r="Z849" t="s">
        <v>6616</v>
      </c>
      <c r="AB849" t="s">
        <v>7430</v>
      </c>
      <c r="AD849" t="s">
        <v>9802</v>
      </c>
      <c r="AE849">
        <v>41</v>
      </c>
      <c r="AF849" t="s">
        <v>11005</v>
      </c>
      <c r="AG849" t="s">
        <v>5406</v>
      </c>
      <c r="AH849">
        <v>5</v>
      </c>
      <c r="AI849">
        <v>2</v>
      </c>
      <c r="AJ849">
        <v>3</v>
      </c>
      <c r="AK849">
        <v>114.66</v>
      </c>
      <c r="AN849" t="s">
        <v>11049</v>
      </c>
      <c r="AO849">
        <v>33000</v>
      </c>
      <c r="AU849">
        <v>35.3</v>
      </c>
      <c r="AV849" t="s">
        <v>727</v>
      </c>
      <c r="AW849" t="s">
        <v>11495</v>
      </c>
    </row>
    <row r="850" spans="1:49">
      <c r="A850" s="1">
        <f>HYPERLINK("https://cms.ls-nyc.org/matter/dynamic-profile/view/1839129","17-1839129")</f>
        <v>0</v>
      </c>
      <c r="B850" t="s">
        <v>54</v>
      </c>
      <c r="C850" t="s">
        <v>234</v>
      </c>
      <c r="D850" t="s">
        <v>388</v>
      </c>
      <c r="E850" t="s">
        <v>741</v>
      </c>
      <c r="F850" t="s">
        <v>1045</v>
      </c>
      <c r="G850" t="s">
        <v>2663</v>
      </c>
      <c r="H850" t="s">
        <v>3719</v>
      </c>
      <c r="I850" t="s">
        <v>4852</v>
      </c>
      <c r="J850" t="s">
        <v>5320</v>
      </c>
      <c r="K850">
        <v>11213</v>
      </c>
      <c r="L850" t="s">
        <v>5355</v>
      </c>
      <c r="M850" t="s">
        <v>5355</v>
      </c>
      <c r="O850" t="s">
        <v>6500</v>
      </c>
      <c r="P850" t="s">
        <v>6527</v>
      </c>
      <c r="Q850" t="s">
        <v>6533</v>
      </c>
      <c r="R850" t="s">
        <v>6539</v>
      </c>
      <c r="S850" t="s">
        <v>5355</v>
      </c>
      <c r="U850" t="s">
        <v>6557</v>
      </c>
      <c r="W850" t="s">
        <v>388</v>
      </c>
      <c r="X850">
        <v>790.79</v>
      </c>
      <c r="Y850" t="s">
        <v>6605</v>
      </c>
      <c r="Z850" t="s">
        <v>6622</v>
      </c>
      <c r="AA850" t="s">
        <v>6634</v>
      </c>
      <c r="AB850" t="s">
        <v>7431</v>
      </c>
      <c r="AC850" t="s">
        <v>8810</v>
      </c>
      <c r="AD850" t="s">
        <v>9803</v>
      </c>
      <c r="AE850">
        <v>23</v>
      </c>
      <c r="AF850" t="s">
        <v>11005</v>
      </c>
      <c r="AH850">
        <v>44</v>
      </c>
      <c r="AI850">
        <v>3</v>
      </c>
      <c r="AJ850">
        <v>1</v>
      </c>
      <c r="AK850">
        <v>114.86</v>
      </c>
      <c r="AL850" t="s">
        <v>591</v>
      </c>
      <c r="AN850" t="s">
        <v>11050</v>
      </c>
      <c r="AO850">
        <v>28256</v>
      </c>
      <c r="AU850">
        <v>53.65</v>
      </c>
      <c r="AV850" t="s">
        <v>718</v>
      </c>
      <c r="AW850" t="s">
        <v>11489</v>
      </c>
    </row>
    <row r="851" spans="1:49">
      <c r="A851" s="1">
        <f>HYPERLINK("https://cms.ls-nyc.org/matter/dynamic-profile/view/1868743","18-1868743")</f>
        <v>0</v>
      </c>
      <c r="B851" t="s">
        <v>90</v>
      </c>
      <c r="C851" t="s">
        <v>235</v>
      </c>
      <c r="D851" t="s">
        <v>318</v>
      </c>
      <c r="F851" t="s">
        <v>1408</v>
      </c>
      <c r="G851" t="s">
        <v>2677</v>
      </c>
      <c r="H851" t="s">
        <v>3589</v>
      </c>
      <c r="I851" t="s">
        <v>4832</v>
      </c>
      <c r="J851" t="s">
        <v>5321</v>
      </c>
      <c r="K851">
        <v>10452</v>
      </c>
      <c r="L851" t="s">
        <v>5355</v>
      </c>
      <c r="M851" t="s">
        <v>5356</v>
      </c>
      <c r="O851" t="s">
        <v>5393</v>
      </c>
      <c r="P851" t="s">
        <v>6527</v>
      </c>
      <c r="R851" t="s">
        <v>6539</v>
      </c>
      <c r="S851" t="s">
        <v>5355</v>
      </c>
      <c r="U851" t="s">
        <v>6557</v>
      </c>
      <c r="W851" t="s">
        <v>516</v>
      </c>
      <c r="X851">
        <v>910</v>
      </c>
      <c r="Y851" t="s">
        <v>6606</v>
      </c>
      <c r="Z851" t="s">
        <v>6625</v>
      </c>
      <c r="AB851" t="s">
        <v>7432</v>
      </c>
      <c r="AC851" t="s">
        <v>8811</v>
      </c>
      <c r="AD851" t="s">
        <v>9804</v>
      </c>
      <c r="AE851">
        <v>60</v>
      </c>
      <c r="AF851" t="s">
        <v>11005</v>
      </c>
      <c r="AG851" t="s">
        <v>5406</v>
      </c>
      <c r="AH851">
        <v>10</v>
      </c>
      <c r="AI851">
        <v>2</v>
      </c>
      <c r="AJ851">
        <v>1</v>
      </c>
      <c r="AK851">
        <v>115.26</v>
      </c>
      <c r="AN851" t="s">
        <v>11050</v>
      </c>
      <c r="AO851">
        <v>23952</v>
      </c>
      <c r="AU851">
        <v>0</v>
      </c>
      <c r="AW851" t="s">
        <v>11492</v>
      </c>
    </row>
    <row r="852" spans="1:49">
      <c r="A852" s="1">
        <f>HYPERLINK("https://cms.ls-nyc.org/matter/dynamic-profile/view/1864563","18-1864563")</f>
        <v>0</v>
      </c>
      <c r="B852" t="s">
        <v>107</v>
      </c>
      <c r="C852" t="s">
        <v>234</v>
      </c>
      <c r="D852" t="s">
        <v>303</v>
      </c>
      <c r="E852" t="s">
        <v>605</v>
      </c>
      <c r="F852" t="s">
        <v>883</v>
      </c>
      <c r="G852" t="s">
        <v>2678</v>
      </c>
      <c r="H852" t="s">
        <v>3639</v>
      </c>
      <c r="I852">
        <v>32</v>
      </c>
      <c r="J852" t="s">
        <v>5323</v>
      </c>
      <c r="K852">
        <v>10035</v>
      </c>
      <c r="L852" t="s">
        <v>5355</v>
      </c>
      <c r="M852" t="s">
        <v>5355</v>
      </c>
      <c r="O852" t="s">
        <v>6501</v>
      </c>
      <c r="P852" t="s">
        <v>6527</v>
      </c>
      <c r="Q852" t="s">
        <v>6536</v>
      </c>
      <c r="R852" t="s">
        <v>6539</v>
      </c>
      <c r="S852" t="s">
        <v>5357</v>
      </c>
      <c r="U852" t="s">
        <v>6563</v>
      </c>
      <c r="W852" t="s">
        <v>303</v>
      </c>
      <c r="X852">
        <v>2037.39</v>
      </c>
      <c r="Y852" t="s">
        <v>6608</v>
      </c>
      <c r="Z852" t="s">
        <v>6617</v>
      </c>
      <c r="AA852" t="s">
        <v>6635</v>
      </c>
      <c r="AB852" t="s">
        <v>7433</v>
      </c>
      <c r="AC852">
        <v>37101715</v>
      </c>
      <c r="AD852" t="s">
        <v>9805</v>
      </c>
      <c r="AE852">
        <v>35</v>
      </c>
      <c r="AF852" t="s">
        <v>11005</v>
      </c>
      <c r="AG852" t="s">
        <v>11020</v>
      </c>
      <c r="AH852">
        <v>27</v>
      </c>
      <c r="AI852">
        <v>3</v>
      </c>
      <c r="AJ852">
        <v>0</v>
      </c>
      <c r="AK852">
        <v>118.61</v>
      </c>
      <c r="AN852" t="s">
        <v>11050</v>
      </c>
      <c r="AO852">
        <v>24648</v>
      </c>
      <c r="AU852">
        <v>9.75</v>
      </c>
      <c r="AV852" t="s">
        <v>817</v>
      </c>
      <c r="AW852" t="s">
        <v>107</v>
      </c>
    </row>
    <row r="853" spans="1:49">
      <c r="A853" s="1">
        <f>HYPERLINK("https://cms.ls-nyc.org/matter/dynamic-profile/view/1867280","18-1867280")</f>
        <v>0</v>
      </c>
      <c r="B853" t="s">
        <v>135</v>
      </c>
      <c r="C853" t="s">
        <v>235</v>
      </c>
      <c r="D853" t="s">
        <v>447</v>
      </c>
      <c r="F853" t="s">
        <v>1249</v>
      </c>
      <c r="G853" t="s">
        <v>1643</v>
      </c>
      <c r="H853" t="s">
        <v>3739</v>
      </c>
      <c r="I853" t="s">
        <v>4927</v>
      </c>
      <c r="J853" t="s">
        <v>5320</v>
      </c>
      <c r="K853">
        <v>11212</v>
      </c>
      <c r="L853" t="s">
        <v>5355</v>
      </c>
      <c r="M853" t="s">
        <v>5356</v>
      </c>
      <c r="O853" t="s">
        <v>6500</v>
      </c>
      <c r="P853" t="s">
        <v>6527</v>
      </c>
      <c r="R853" t="s">
        <v>6539</v>
      </c>
      <c r="S853" t="s">
        <v>5355</v>
      </c>
      <c r="U853" t="s">
        <v>6557</v>
      </c>
      <c r="W853" t="s">
        <v>298</v>
      </c>
      <c r="X853">
        <v>900</v>
      </c>
      <c r="Y853" t="s">
        <v>6605</v>
      </c>
      <c r="Z853" t="s">
        <v>6493</v>
      </c>
      <c r="AB853" t="s">
        <v>7167</v>
      </c>
      <c r="AD853" t="s">
        <v>9556</v>
      </c>
      <c r="AE853">
        <v>32</v>
      </c>
      <c r="AF853" t="s">
        <v>11005</v>
      </c>
      <c r="AH853">
        <v>18</v>
      </c>
      <c r="AI853">
        <v>1</v>
      </c>
      <c r="AJ853">
        <v>0</v>
      </c>
      <c r="AK853">
        <v>118.62</v>
      </c>
      <c r="AN853" t="s">
        <v>11050</v>
      </c>
      <c r="AO853">
        <v>14400</v>
      </c>
      <c r="AU853">
        <v>0</v>
      </c>
      <c r="AW853" t="s">
        <v>11512</v>
      </c>
    </row>
    <row r="854" spans="1:49">
      <c r="A854" s="1">
        <f>HYPERLINK("https://cms.ls-nyc.org/matter/dynamic-profile/view/0832657","17-0832657")</f>
        <v>0</v>
      </c>
      <c r="B854" t="s">
        <v>58</v>
      </c>
      <c r="C854" t="s">
        <v>234</v>
      </c>
      <c r="D854" t="s">
        <v>487</v>
      </c>
      <c r="E854" t="s">
        <v>674</v>
      </c>
      <c r="F854" t="s">
        <v>914</v>
      </c>
      <c r="G854" t="s">
        <v>2679</v>
      </c>
      <c r="H854" t="s">
        <v>3937</v>
      </c>
      <c r="I854" t="s">
        <v>4756</v>
      </c>
      <c r="J854" t="s">
        <v>5321</v>
      </c>
      <c r="K854">
        <v>10453</v>
      </c>
      <c r="L854" t="s">
        <v>5355</v>
      </c>
      <c r="M854" t="s">
        <v>5356</v>
      </c>
      <c r="O854" t="s">
        <v>5393</v>
      </c>
      <c r="P854" t="s">
        <v>6527</v>
      </c>
      <c r="Q854" t="s">
        <v>6532</v>
      </c>
      <c r="R854" t="s">
        <v>6539</v>
      </c>
      <c r="S854" t="s">
        <v>5355</v>
      </c>
      <c r="U854" t="s">
        <v>6557</v>
      </c>
      <c r="W854" t="s">
        <v>372</v>
      </c>
      <c r="X854">
        <v>144</v>
      </c>
      <c r="Y854" t="s">
        <v>6606</v>
      </c>
      <c r="Z854" t="s">
        <v>6612</v>
      </c>
      <c r="AA854" t="s">
        <v>6636</v>
      </c>
      <c r="AB854" t="s">
        <v>7434</v>
      </c>
      <c r="AD854" t="s">
        <v>9806</v>
      </c>
      <c r="AE854">
        <v>766</v>
      </c>
      <c r="AF854" t="s">
        <v>11008</v>
      </c>
      <c r="AG854" t="s">
        <v>11020</v>
      </c>
      <c r="AH854">
        <v>0</v>
      </c>
      <c r="AI854">
        <v>2</v>
      </c>
      <c r="AJ854">
        <v>0</v>
      </c>
      <c r="AK854">
        <v>119.68</v>
      </c>
      <c r="AN854" t="s">
        <v>11050</v>
      </c>
      <c r="AO854">
        <v>29836</v>
      </c>
      <c r="AU854">
        <v>1</v>
      </c>
      <c r="AV854" t="s">
        <v>674</v>
      </c>
      <c r="AW854" t="s">
        <v>11509</v>
      </c>
    </row>
    <row r="855" spans="1:49">
      <c r="A855" s="1">
        <f>HYPERLINK("https://cms.ls-nyc.org/matter/dynamic-profile/view/1863418","18-1863418")</f>
        <v>0</v>
      </c>
      <c r="B855" t="s">
        <v>158</v>
      </c>
      <c r="C855" t="s">
        <v>234</v>
      </c>
      <c r="D855" t="s">
        <v>480</v>
      </c>
      <c r="E855" t="s">
        <v>434</v>
      </c>
      <c r="F855" t="s">
        <v>997</v>
      </c>
      <c r="G855" t="s">
        <v>2680</v>
      </c>
      <c r="H855" t="s">
        <v>3942</v>
      </c>
      <c r="I855" t="s">
        <v>4744</v>
      </c>
      <c r="J855" t="s">
        <v>5321</v>
      </c>
      <c r="K855">
        <v>10459</v>
      </c>
      <c r="L855" t="s">
        <v>5355</v>
      </c>
      <c r="M855" t="s">
        <v>5356</v>
      </c>
      <c r="O855" t="s">
        <v>5393</v>
      </c>
      <c r="P855" t="s">
        <v>6527</v>
      </c>
      <c r="Q855" t="s">
        <v>6532</v>
      </c>
      <c r="R855" t="s">
        <v>6539</v>
      </c>
      <c r="S855" t="s">
        <v>5355</v>
      </c>
      <c r="U855" t="s">
        <v>6557</v>
      </c>
      <c r="W855" t="s">
        <v>480</v>
      </c>
      <c r="X855">
        <v>466</v>
      </c>
      <c r="Y855" t="s">
        <v>6606</v>
      </c>
      <c r="Z855" t="s">
        <v>6622</v>
      </c>
      <c r="AA855" t="s">
        <v>6636</v>
      </c>
      <c r="AB855" t="s">
        <v>7435</v>
      </c>
      <c r="AD855" t="s">
        <v>9807</v>
      </c>
      <c r="AE855">
        <v>48</v>
      </c>
      <c r="AF855" t="s">
        <v>11005</v>
      </c>
      <c r="AG855" t="s">
        <v>11020</v>
      </c>
      <c r="AH855">
        <v>1</v>
      </c>
      <c r="AI855">
        <v>2</v>
      </c>
      <c r="AJ855">
        <v>0</v>
      </c>
      <c r="AK855">
        <v>120.66</v>
      </c>
      <c r="AN855" t="s">
        <v>11050</v>
      </c>
      <c r="AO855">
        <v>19860</v>
      </c>
      <c r="AU855">
        <v>3.1</v>
      </c>
      <c r="AV855" t="s">
        <v>727</v>
      </c>
      <c r="AW855" t="s">
        <v>11499</v>
      </c>
    </row>
    <row r="856" spans="1:49">
      <c r="A856" s="1">
        <f>HYPERLINK("https://cms.ls-nyc.org/matter/dynamic-profile/view/1857913","18-1857913")</f>
        <v>0</v>
      </c>
      <c r="B856" t="s">
        <v>92</v>
      </c>
      <c r="C856" t="s">
        <v>234</v>
      </c>
      <c r="D856" t="s">
        <v>262</v>
      </c>
      <c r="E856" t="s">
        <v>695</v>
      </c>
      <c r="F856" t="s">
        <v>1171</v>
      </c>
      <c r="G856" t="s">
        <v>2681</v>
      </c>
      <c r="H856" t="s">
        <v>4019</v>
      </c>
      <c r="I856" t="s">
        <v>4854</v>
      </c>
      <c r="J856" t="s">
        <v>5323</v>
      </c>
      <c r="K856">
        <v>10034</v>
      </c>
      <c r="L856" t="s">
        <v>5355</v>
      </c>
      <c r="M856" t="s">
        <v>5356</v>
      </c>
      <c r="O856" t="s">
        <v>6500</v>
      </c>
      <c r="P856" t="s">
        <v>6527</v>
      </c>
      <c r="Q856" t="s">
        <v>6532</v>
      </c>
      <c r="R856" t="s">
        <v>6539</v>
      </c>
      <c r="S856" t="s">
        <v>5357</v>
      </c>
      <c r="U856" t="s">
        <v>6557</v>
      </c>
      <c r="W856" t="s">
        <v>262</v>
      </c>
      <c r="X856">
        <v>1546.83</v>
      </c>
      <c r="Y856" t="s">
        <v>6608</v>
      </c>
      <c r="Z856" t="s">
        <v>6614</v>
      </c>
      <c r="AA856" t="s">
        <v>6637</v>
      </c>
      <c r="AB856" t="s">
        <v>7436</v>
      </c>
      <c r="AD856" t="s">
        <v>9808</v>
      </c>
      <c r="AE856">
        <v>44</v>
      </c>
      <c r="AF856" t="s">
        <v>11005</v>
      </c>
      <c r="AG856" t="s">
        <v>5406</v>
      </c>
      <c r="AH856">
        <v>8</v>
      </c>
      <c r="AI856">
        <v>1</v>
      </c>
      <c r="AJ856">
        <v>2</v>
      </c>
      <c r="AK856">
        <v>123.54</v>
      </c>
      <c r="AN856" t="s">
        <v>11049</v>
      </c>
      <c r="AO856">
        <v>34046</v>
      </c>
      <c r="AU856">
        <v>0.3</v>
      </c>
      <c r="AV856" t="s">
        <v>312</v>
      </c>
      <c r="AW856" t="s">
        <v>11495</v>
      </c>
    </row>
    <row r="857" spans="1:49">
      <c r="A857" s="1">
        <f>HYPERLINK("https://cms.ls-nyc.org/matter/dynamic-profile/view/0832896","17-0832896")</f>
        <v>0</v>
      </c>
      <c r="B857" t="s">
        <v>58</v>
      </c>
      <c r="C857" t="s">
        <v>234</v>
      </c>
      <c r="D857" t="s">
        <v>491</v>
      </c>
      <c r="E857" t="s">
        <v>674</v>
      </c>
      <c r="F857" t="s">
        <v>1409</v>
      </c>
      <c r="G857" t="s">
        <v>2682</v>
      </c>
      <c r="H857" t="s">
        <v>3937</v>
      </c>
      <c r="I857" t="s">
        <v>4997</v>
      </c>
      <c r="J857" t="s">
        <v>5321</v>
      </c>
      <c r="K857">
        <v>10453</v>
      </c>
      <c r="L857" t="s">
        <v>5355</v>
      </c>
      <c r="M857" t="s">
        <v>5356</v>
      </c>
      <c r="O857" t="s">
        <v>5393</v>
      </c>
      <c r="P857" t="s">
        <v>6527</v>
      </c>
      <c r="Q857" t="s">
        <v>6532</v>
      </c>
      <c r="R857" t="s">
        <v>6539</v>
      </c>
      <c r="S857" t="s">
        <v>5355</v>
      </c>
      <c r="U857" t="s">
        <v>6557</v>
      </c>
      <c r="W857" t="s">
        <v>372</v>
      </c>
      <c r="X857">
        <v>306</v>
      </c>
      <c r="Y857" t="s">
        <v>6606</v>
      </c>
      <c r="Z857" t="s">
        <v>6612</v>
      </c>
      <c r="AA857" t="s">
        <v>6636</v>
      </c>
      <c r="AB857" t="s">
        <v>7437</v>
      </c>
      <c r="AD857" t="s">
        <v>9809</v>
      </c>
      <c r="AE857">
        <v>766</v>
      </c>
      <c r="AF857" t="s">
        <v>11008</v>
      </c>
      <c r="AG857" t="s">
        <v>5406</v>
      </c>
      <c r="AH857">
        <v>6</v>
      </c>
      <c r="AI857">
        <v>1</v>
      </c>
      <c r="AJ857">
        <v>0</v>
      </c>
      <c r="AK857">
        <v>124.38</v>
      </c>
      <c r="AN857" t="s">
        <v>11049</v>
      </c>
      <c r="AO857">
        <v>15000</v>
      </c>
      <c r="AU857">
        <v>0.75</v>
      </c>
      <c r="AV857" t="s">
        <v>674</v>
      </c>
      <c r="AW857" t="s">
        <v>11509</v>
      </c>
    </row>
    <row r="858" spans="1:49">
      <c r="A858" s="1">
        <f>HYPERLINK("https://cms.ls-nyc.org/matter/dynamic-profile/view/1857591","18-1857591")</f>
        <v>0</v>
      </c>
      <c r="B858" t="s">
        <v>63</v>
      </c>
      <c r="C858" t="s">
        <v>235</v>
      </c>
      <c r="D858" t="s">
        <v>436</v>
      </c>
      <c r="F858" t="s">
        <v>1010</v>
      </c>
      <c r="G858" t="s">
        <v>2683</v>
      </c>
      <c r="H858" t="s">
        <v>3960</v>
      </c>
      <c r="I858" t="s">
        <v>4911</v>
      </c>
      <c r="J858" t="s">
        <v>5322</v>
      </c>
      <c r="K858">
        <v>10304</v>
      </c>
      <c r="L858" t="s">
        <v>5355</v>
      </c>
      <c r="M858" t="s">
        <v>5356</v>
      </c>
      <c r="N858" t="s">
        <v>5383</v>
      </c>
      <c r="O858" t="s">
        <v>6500</v>
      </c>
      <c r="P858" t="s">
        <v>6527</v>
      </c>
      <c r="R858" t="s">
        <v>6539</v>
      </c>
      <c r="S858" t="s">
        <v>5355</v>
      </c>
      <c r="U858" t="s">
        <v>6557</v>
      </c>
      <c r="V858" t="s">
        <v>6566</v>
      </c>
      <c r="W858" t="s">
        <v>436</v>
      </c>
      <c r="X858">
        <v>1407.82</v>
      </c>
      <c r="Y858" t="s">
        <v>6607</v>
      </c>
      <c r="Z858" t="s">
        <v>6614</v>
      </c>
      <c r="AB858" t="s">
        <v>7438</v>
      </c>
      <c r="AC858" t="s">
        <v>8812</v>
      </c>
      <c r="AD858" t="s">
        <v>9810</v>
      </c>
      <c r="AE858">
        <v>86</v>
      </c>
      <c r="AF858" t="s">
        <v>11005</v>
      </c>
      <c r="AG858" t="s">
        <v>11020</v>
      </c>
      <c r="AH858">
        <v>8</v>
      </c>
      <c r="AI858">
        <v>1</v>
      </c>
      <c r="AJ858">
        <v>0</v>
      </c>
      <c r="AK858">
        <v>127.66</v>
      </c>
      <c r="AN858" t="s">
        <v>11050</v>
      </c>
      <c r="AO858">
        <v>15396</v>
      </c>
      <c r="AU858">
        <v>14.5</v>
      </c>
      <c r="AV858" t="s">
        <v>686</v>
      </c>
    </row>
    <row r="859" spans="1:49">
      <c r="A859" s="1">
        <f>HYPERLINK("https://cms.ls-nyc.org/matter/dynamic-profile/view/1838603","17-1838603")</f>
        <v>0</v>
      </c>
      <c r="B859" t="s">
        <v>131</v>
      </c>
      <c r="C859" t="s">
        <v>235</v>
      </c>
      <c r="D859" t="s">
        <v>501</v>
      </c>
      <c r="F859" t="s">
        <v>865</v>
      </c>
      <c r="G859" t="s">
        <v>2684</v>
      </c>
      <c r="H859" t="s">
        <v>3769</v>
      </c>
      <c r="I859" t="s">
        <v>4998</v>
      </c>
      <c r="J859" t="s">
        <v>5323</v>
      </c>
      <c r="K859">
        <v>10034</v>
      </c>
      <c r="L859" t="s">
        <v>5355</v>
      </c>
      <c r="M859" t="s">
        <v>5356</v>
      </c>
      <c r="O859" t="s">
        <v>6494</v>
      </c>
      <c r="P859" t="s">
        <v>6527</v>
      </c>
      <c r="R859" t="s">
        <v>6539</v>
      </c>
      <c r="S859" t="s">
        <v>5355</v>
      </c>
      <c r="U859" t="s">
        <v>6557</v>
      </c>
      <c r="W859" t="s">
        <v>404</v>
      </c>
      <c r="X859">
        <v>1052</v>
      </c>
      <c r="Y859" t="s">
        <v>6608</v>
      </c>
      <c r="Z859" t="s">
        <v>6622</v>
      </c>
      <c r="AB859" t="s">
        <v>7439</v>
      </c>
      <c r="AD859" t="s">
        <v>9811</v>
      </c>
      <c r="AE859">
        <v>49</v>
      </c>
      <c r="AF859" t="s">
        <v>11005</v>
      </c>
      <c r="AG859" t="s">
        <v>5406</v>
      </c>
      <c r="AH859">
        <v>28</v>
      </c>
      <c r="AI859">
        <v>5</v>
      </c>
      <c r="AJ859">
        <v>3</v>
      </c>
      <c r="AK859">
        <v>128.52</v>
      </c>
      <c r="AN859" t="s">
        <v>11049</v>
      </c>
      <c r="AO859">
        <v>53104</v>
      </c>
      <c r="AU859">
        <v>0.1</v>
      </c>
      <c r="AV859" t="s">
        <v>354</v>
      </c>
      <c r="AW859" t="s">
        <v>11497</v>
      </c>
    </row>
    <row r="860" spans="1:49">
      <c r="A860" s="1">
        <f>HYPERLINK("https://cms.ls-nyc.org/matter/dynamic-profile/view/1865415","18-1865415")</f>
        <v>0</v>
      </c>
      <c r="B860" t="s">
        <v>56</v>
      </c>
      <c r="C860" t="s">
        <v>235</v>
      </c>
      <c r="D860" t="s">
        <v>502</v>
      </c>
      <c r="F860" t="s">
        <v>1410</v>
      </c>
      <c r="G860" t="s">
        <v>2243</v>
      </c>
      <c r="H860" t="s">
        <v>4020</v>
      </c>
      <c r="I860" t="s">
        <v>4735</v>
      </c>
      <c r="J860" t="s">
        <v>5321</v>
      </c>
      <c r="K860">
        <v>10458</v>
      </c>
      <c r="L860" t="s">
        <v>5355</v>
      </c>
      <c r="M860" t="s">
        <v>5356</v>
      </c>
      <c r="O860" t="s">
        <v>6500</v>
      </c>
      <c r="P860" t="s">
        <v>6527</v>
      </c>
      <c r="R860" t="s">
        <v>6539</v>
      </c>
      <c r="S860" t="s">
        <v>5355</v>
      </c>
      <c r="U860" t="s">
        <v>6557</v>
      </c>
      <c r="W860" t="s">
        <v>312</v>
      </c>
      <c r="X860">
        <v>1200</v>
      </c>
      <c r="Y860" t="s">
        <v>6606</v>
      </c>
      <c r="Z860" t="s">
        <v>6621</v>
      </c>
      <c r="AB860" t="s">
        <v>7440</v>
      </c>
      <c r="AD860" t="s">
        <v>9812</v>
      </c>
      <c r="AE860">
        <v>11</v>
      </c>
      <c r="AF860" t="s">
        <v>11005</v>
      </c>
      <c r="AG860" t="s">
        <v>5406</v>
      </c>
      <c r="AH860">
        <v>3</v>
      </c>
      <c r="AI860">
        <v>4</v>
      </c>
      <c r="AJ860">
        <v>0</v>
      </c>
      <c r="AK860">
        <v>128.84</v>
      </c>
      <c r="AN860" t="s">
        <v>11050</v>
      </c>
      <c r="AO860">
        <v>32340</v>
      </c>
      <c r="AU860">
        <v>0</v>
      </c>
      <c r="AW860" t="s">
        <v>11492</v>
      </c>
    </row>
    <row r="861" spans="1:49">
      <c r="A861" s="1">
        <f>HYPERLINK("https://cms.ls-nyc.org/matter/dynamic-profile/view/1863395","18-1863395")</f>
        <v>0</v>
      </c>
      <c r="B861" t="s">
        <v>158</v>
      </c>
      <c r="C861" t="s">
        <v>234</v>
      </c>
      <c r="D861" t="s">
        <v>480</v>
      </c>
      <c r="E861" t="s">
        <v>434</v>
      </c>
      <c r="F861" t="s">
        <v>1411</v>
      </c>
      <c r="G861" t="s">
        <v>2416</v>
      </c>
      <c r="H861" t="s">
        <v>3942</v>
      </c>
      <c r="I861" t="s">
        <v>4765</v>
      </c>
      <c r="J861" t="s">
        <v>5321</v>
      </c>
      <c r="K861">
        <v>10459</v>
      </c>
      <c r="L861" t="s">
        <v>5355</v>
      </c>
      <c r="M861" t="s">
        <v>5356</v>
      </c>
      <c r="O861" t="s">
        <v>5393</v>
      </c>
      <c r="P861" t="s">
        <v>6527</v>
      </c>
      <c r="Q861" t="s">
        <v>6532</v>
      </c>
      <c r="R861" t="s">
        <v>6539</v>
      </c>
      <c r="S861" t="s">
        <v>5355</v>
      </c>
      <c r="U861" t="s">
        <v>6557</v>
      </c>
      <c r="W861" t="s">
        <v>480</v>
      </c>
      <c r="X861">
        <v>520</v>
      </c>
      <c r="Y861" t="s">
        <v>6606</v>
      </c>
      <c r="Z861" t="s">
        <v>6622</v>
      </c>
      <c r="AA861" t="s">
        <v>6636</v>
      </c>
      <c r="AB861" t="s">
        <v>7441</v>
      </c>
      <c r="AD861" t="s">
        <v>9813</v>
      </c>
      <c r="AE861">
        <v>48</v>
      </c>
      <c r="AF861" t="s">
        <v>11005</v>
      </c>
      <c r="AH861">
        <v>28</v>
      </c>
      <c r="AI861">
        <v>1</v>
      </c>
      <c r="AJ861">
        <v>1</v>
      </c>
      <c r="AK861">
        <v>130.32</v>
      </c>
      <c r="AN861" t="s">
        <v>11050</v>
      </c>
      <c r="AO861">
        <v>21450</v>
      </c>
      <c r="AU861">
        <v>2</v>
      </c>
      <c r="AV861" t="s">
        <v>727</v>
      </c>
      <c r="AW861" t="s">
        <v>11499</v>
      </c>
    </row>
    <row r="862" spans="1:49">
      <c r="A862" s="1">
        <f>HYPERLINK("https://cms.ls-nyc.org/matter/dynamic-profile/view/1843411","17-1843411")</f>
        <v>0</v>
      </c>
      <c r="B862" t="s">
        <v>97</v>
      </c>
      <c r="C862" t="s">
        <v>234</v>
      </c>
      <c r="D862" t="s">
        <v>438</v>
      </c>
      <c r="E862" t="s">
        <v>665</v>
      </c>
      <c r="F862" t="s">
        <v>1412</v>
      </c>
      <c r="G862" t="s">
        <v>2685</v>
      </c>
      <c r="H862" t="s">
        <v>4021</v>
      </c>
      <c r="I862" t="s">
        <v>4999</v>
      </c>
      <c r="J862" t="s">
        <v>5323</v>
      </c>
      <c r="K862">
        <v>10030</v>
      </c>
      <c r="L862" t="s">
        <v>5355</v>
      </c>
      <c r="M862" t="s">
        <v>5356</v>
      </c>
      <c r="O862" t="s">
        <v>6493</v>
      </c>
      <c r="P862" t="s">
        <v>6527</v>
      </c>
      <c r="Q862" t="s">
        <v>6532</v>
      </c>
      <c r="R862" t="s">
        <v>6539</v>
      </c>
      <c r="S862" t="s">
        <v>5357</v>
      </c>
      <c r="T862" t="s">
        <v>6546</v>
      </c>
      <c r="U862" t="s">
        <v>6563</v>
      </c>
      <c r="W862" t="s">
        <v>438</v>
      </c>
      <c r="X862">
        <v>1305</v>
      </c>
      <c r="Y862" t="s">
        <v>6608</v>
      </c>
      <c r="Z862" t="s">
        <v>6615</v>
      </c>
      <c r="AA862" t="s">
        <v>6641</v>
      </c>
      <c r="AB862" t="s">
        <v>7442</v>
      </c>
      <c r="AD862" t="s">
        <v>9814</v>
      </c>
      <c r="AE862">
        <v>238</v>
      </c>
      <c r="AF862" t="s">
        <v>11005</v>
      </c>
      <c r="AG862" t="s">
        <v>11020</v>
      </c>
      <c r="AH862">
        <v>2</v>
      </c>
      <c r="AI862">
        <v>1</v>
      </c>
      <c r="AJ862">
        <v>0</v>
      </c>
      <c r="AK862">
        <v>130.85</v>
      </c>
      <c r="AN862" t="s">
        <v>11058</v>
      </c>
      <c r="AO862">
        <v>15780</v>
      </c>
      <c r="AU862">
        <v>0.3</v>
      </c>
      <c r="AV862" t="s">
        <v>237</v>
      </c>
      <c r="AW862" t="s">
        <v>11495</v>
      </c>
    </row>
    <row r="863" spans="1:49">
      <c r="A863" s="1">
        <f>HYPERLINK("https://cms.ls-nyc.org/matter/dynamic-profile/view/1843611","17-1843611")</f>
        <v>0</v>
      </c>
      <c r="B863" t="s">
        <v>106</v>
      </c>
      <c r="C863" t="s">
        <v>235</v>
      </c>
      <c r="D863" t="s">
        <v>503</v>
      </c>
      <c r="F863" t="s">
        <v>1413</v>
      </c>
      <c r="G863" t="s">
        <v>2144</v>
      </c>
      <c r="H863" t="s">
        <v>4022</v>
      </c>
      <c r="I863" t="s">
        <v>5000</v>
      </c>
      <c r="J863" t="s">
        <v>5321</v>
      </c>
      <c r="K863">
        <v>10451</v>
      </c>
      <c r="L863" t="s">
        <v>5355</v>
      </c>
      <c r="M863" t="s">
        <v>5356</v>
      </c>
      <c r="N863" t="s">
        <v>5409</v>
      </c>
      <c r="O863" t="s">
        <v>6493</v>
      </c>
      <c r="P863" t="s">
        <v>6527</v>
      </c>
      <c r="R863" t="s">
        <v>6539</v>
      </c>
      <c r="S863" t="s">
        <v>5355</v>
      </c>
      <c r="U863" t="s">
        <v>6557</v>
      </c>
      <c r="W863" t="s">
        <v>247</v>
      </c>
      <c r="X863">
        <v>993.78</v>
      </c>
      <c r="Y863" t="s">
        <v>6606</v>
      </c>
      <c r="Z863" t="s">
        <v>6612</v>
      </c>
      <c r="AB863" t="s">
        <v>7443</v>
      </c>
      <c r="AE863">
        <v>936</v>
      </c>
      <c r="AF863" t="s">
        <v>11010</v>
      </c>
      <c r="AG863" t="s">
        <v>5406</v>
      </c>
      <c r="AH863">
        <v>20</v>
      </c>
      <c r="AI863">
        <v>1</v>
      </c>
      <c r="AJ863">
        <v>0</v>
      </c>
      <c r="AK863">
        <v>132.44</v>
      </c>
      <c r="AL863" t="s">
        <v>6580</v>
      </c>
      <c r="AN863" t="s">
        <v>11050</v>
      </c>
      <c r="AO863">
        <v>15972</v>
      </c>
      <c r="AU863">
        <v>15.2</v>
      </c>
      <c r="AV863" t="s">
        <v>721</v>
      </c>
      <c r="AW863" t="s">
        <v>11509</v>
      </c>
    </row>
    <row r="864" spans="1:49">
      <c r="A864" s="1">
        <f>HYPERLINK("https://cms.ls-nyc.org/matter/dynamic-profile/view/1856852","18-1856852")</f>
        <v>0</v>
      </c>
      <c r="B864" t="s">
        <v>124</v>
      </c>
      <c r="C864" t="s">
        <v>235</v>
      </c>
      <c r="D864" t="s">
        <v>310</v>
      </c>
      <c r="F864" t="s">
        <v>1414</v>
      </c>
      <c r="G864" t="s">
        <v>2686</v>
      </c>
      <c r="H864" t="s">
        <v>3994</v>
      </c>
      <c r="I864" t="s">
        <v>4752</v>
      </c>
      <c r="J864" t="s">
        <v>5323</v>
      </c>
      <c r="K864">
        <v>10040</v>
      </c>
      <c r="L864" t="s">
        <v>5355</v>
      </c>
      <c r="M864" t="s">
        <v>5356</v>
      </c>
      <c r="O864" t="s">
        <v>6494</v>
      </c>
      <c r="P864" t="s">
        <v>6527</v>
      </c>
      <c r="R864" t="s">
        <v>6539</v>
      </c>
      <c r="S864" t="s">
        <v>5355</v>
      </c>
      <c r="U864" t="s">
        <v>6557</v>
      </c>
      <c r="W864" t="s">
        <v>310</v>
      </c>
      <c r="X864">
        <v>1165.99</v>
      </c>
      <c r="Y864" t="s">
        <v>6608</v>
      </c>
      <c r="Z864" t="s">
        <v>6614</v>
      </c>
      <c r="AB864" t="s">
        <v>7444</v>
      </c>
      <c r="AD864" t="s">
        <v>9815</v>
      </c>
      <c r="AE864">
        <v>42</v>
      </c>
      <c r="AF864" t="s">
        <v>11005</v>
      </c>
      <c r="AG864" t="s">
        <v>5406</v>
      </c>
      <c r="AH864">
        <v>29</v>
      </c>
      <c r="AI864">
        <v>1</v>
      </c>
      <c r="AJ864">
        <v>0</v>
      </c>
      <c r="AK864">
        <v>132.64</v>
      </c>
      <c r="AL864" t="s">
        <v>301</v>
      </c>
      <c r="AN864" t="s">
        <v>11050</v>
      </c>
      <c r="AO864">
        <v>15996</v>
      </c>
      <c r="AU864">
        <v>1.2</v>
      </c>
      <c r="AV864" t="s">
        <v>434</v>
      </c>
      <c r="AW864" t="s">
        <v>11495</v>
      </c>
    </row>
    <row r="865" spans="1:50">
      <c r="A865" s="1">
        <f>HYPERLINK("https://cms.ls-nyc.org/matter/dynamic-profile/view/1870396","18-1870396")</f>
        <v>0</v>
      </c>
      <c r="B865" t="s">
        <v>112</v>
      </c>
      <c r="C865" t="s">
        <v>234</v>
      </c>
      <c r="D865" t="s">
        <v>322</v>
      </c>
      <c r="E865" t="s">
        <v>767</v>
      </c>
      <c r="F865" t="s">
        <v>1415</v>
      </c>
      <c r="G865" t="s">
        <v>2687</v>
      </c>
      <c r="H865" t="s">
        <v>3966</v>
      </c>
      <c r="I865" t="s">
        <v>5001</v>
      </c>
      <c r="J865" t="s">
        <v>5337</v>
      </c>
      <c r="K865">
        <v>11372</v>
      </c>
      <c r="L865" t="s">
        <v>5355</v>
      </c>
      <c r="M865" t="s">
        <v>5355</v>
      </c>
      <c r="N865" t="s">
        <v>5392</v>
      </c>
      <c r="O865" t="s">
        <v>6496</v>
      </c>
      <c r="P865" t="s">
        <v>6527</v>
      </c>
      <c r="Q865" t="s">
        <v>6533</v>
      </c>
      <c r="R865" t="s">
        <v>6539</v>
      </c>
      <c r="S865" t="s">
        <v>5355</v>
      </c>
      <c r="U865" t="s">
        <v>6557</v>
      </c>
      <c r="V865" t="s">
        <v>6566</v>
      </c>
      <c r="W865" t="s">
        <v>322</v>
      </c>
      <c r="X865">
        <v>2250</v>
      </c>
      <c r="Y865" t="s">
        <v>6604</v>
      </c>
      <c r="Z865" t="s">
        <v>6615</v>
      </c>
      <c r="AA865" t="s">
        <v>6645</v>
      </c>
      <c r="AB865" t="s">
        <v>7445</v>
      </c>
      <c r="AC865" t="s">
        <v>5392</v>
      </c>
      <c r="AD865" t="s">
        <v>9816</v>
      </c>
      <c r="AE865">
        <v>64</v>
      </c>
      <c r="AF865" t="s">
        <v>11005</v>
      </c>
      <c r="AG865" t="s">
        <v>5406</v>
      </c>
      <c r="AH865">
        <v>14</v>
      </c>
      <c r="AI865">
        <v>3</v>
      </c>
      <c r="AJ865">
        <v>0</v>
      </c>
      <c r="AK865">
        <v>133.19</v>
      </c>
      <c r="AN865" t="s">
        <v>11050</v>
      </c>
      <c r="AO865">
        <v>27676</v>
      </c>
      <c r="AU865">
        <v>0.2</v>
      </c>
      <c r="AV865" t="s">
        <v>767</v>
      </c>
      <c r="AW865" t="s">
        <v>11506</v>
      </c>
    </row>
    <row r="866" spans="1:50">
      <c r="A866" s="1">
        <f>HYPERLINK("https://cms.ls-nyc.org/matter/dynamic-profile/view/1855139","18-1855139")</f>
        <v>0</v>
      </c>
      <c r="B866" t="s">
        <v>169</v>
      </c>
      <c r="C866" t="s">
        <v>234</v>
      </c>
      <c r="D866" t="s">
        <v>269</v>
      </c>
      <c r="E866" t="s">
        <v>605</v>
      </c>
      <c r="F866" t="s">
        <v>1416</v>
      </c>
      <c r="G866" t="s">
        <v>2688</v>
      </c>
      <c r="H866" t="s">
        <v>4023</v>
      </c>
      <c r="I866">
        <v>203</v>
      </c>
      <c r="J866" t="s">
        <v>5323</v>
      </c>
      <c r="K866">
        <v>10035</v>
      </c>
      <c r="L866" t="s">
        <v>5355</v>
      </c>
      <c r="M866" t="s">
        <v>5355</v>
      </c>
      <c r="O866" t="s">
        <v>5393</v>
      </c>
      <c r="P866" t="s">
        <v>6527</v>
      </c>
      <c r="Q866" t="s">
        <v>6535</v>
      </c>
      <c r="R866" t="s">
        <v>6539</v>
      </c>
      <c r="S866" t="s">
        <v>5357</v>
      </c>
      <c r="U866" t="s">
        <v>6557</v>
      </c>
      <c r="W866" t="s">
        <v>6575</v>
      </c>
      <c r="X866">
        <v>1089</v>
      </c>
      <c r="Y866" t="s">
        <v>6608</v>
      </c>
      <c r="Z866" t="s">
        <v>6616</v>
      </c>
      <c r="AA866" t="s">
        <v>6632</v>
      </c>
      <c r="AB866" t="s">
        <v>7446</v>
      </c>
      <c r="AD866" t="s">
        <v>9817</v>
      </c>
      <c r="AE866">
        <v>56</v>
      </c>
      <c r="AF866" t="s">
        <v>11005</v>
      </c>
      <c r="AG866" t="s">
        <v>5406</v>
      </c>
      <c r="AH866">
        <v>5</v>
      </c>
      <c r="AI866">
        <v>1</v>
      </c>
      <c r="AJ866">
        <v>2</v>
      </c>
      <c r="AK866">
        <v>134.46</v>
      </c>
      <c r="AN866" t="s">
        <v>11050</v>
      </c>
      <c r="AO866">
        <v>27456</v>
      </c>
      <c r="AU866">
        <v>29.25</v>
      </c>
      <c r="AV866" t="s">
        <v>817</v>
      </c>
      <c r="AW866" t="s">
        <v>11520</v>
      </c>
    </row>
    <row r="867" spans="1:50">
      <c r="A867" s="1">
        <f>HYPERLINK("https://cms.ls-nyc.org/matter/dynamic-profile/view/1846030","17-1846030")</f>
        <v>0</v>
      </c>
      <c r="B867" t="s">
        <v>131</v>
      </c>
      <c r="C867" t="s">
        <v>234</v>
      </c>
      <c r="D867" t="s">
        <v>371</v>
      </c>
      <c r="E867" t="s">
        <v>686</v>
      </c>
      <c r="F867" t="s">
        <v>1417</v>
      </c>
      <c r="G867" t="s">
        <v>2208</v>
      </c>
      <c r="H867" t="s">
        <v>4024</v>
      </c>
      <c r="I867">
        <v>214</v>
      </c>
      <c r="J867" t="s">
        <v>5323</v>
      </c>
      <c r="K867">
        <v>10034</v>
      </c>
      <c r="L867" t="s">
        <v>5355</v>
      </c>
      <c r="M867" t="s">
        <v>5356</v>
      </c>
      <c r="P867" t="s">
        <v>6527</v>
      </c>
      <c r="Q867" t="s">
        <v>6533</v>
      </c>
      <c r="R867" t="s">
        <v>6539</v>
      </c>
      <c r="S867" t="s">
        <v>5357</v>
      </c>
      <c r="U867" t="s">
        <v>6557</v>
      </c>
      <c r="W867" t="s">
        <v>457</v>
      </c>
      <c r="X867">
        <v>1119.13</v>
      </c>
      <c r="Y867" t="s">
        <v>6608</v>
      </c>
      <c r="Z867" t="s">
        <v>6616</v>
      </c>
      <c r="AA867" t="s">
        <v>6636</v>
      </c>
      <c r="AB867" t="s">
        <v>7447</v>
      </c>
      <c r="AD867" t="s">
        <v>9818</v>
      </c>
      <c r="AE867">
        <v>80</v>
      </c>
      <c r="AF867" t="s">
        <v>11005</v>
      </c>
      <c r="AG867" t="s">
        <v>5406</v>
      </c>
      <c r="AH867">
        <v>40</v>
      </c>
      <c r="AI867">
        <v>2</v>
      </c>
      <c r="AJ867">
        <v>0</v>
      </c>
      <c r="AK867">
        <v>135.59</v>
      </c>
      <c r="AN867" t="s">
        <v>11049</v>
      </c>
      <c r="AO867">
        <v>22020</v>
      </c>
      <c r="AU867">
        <v>14.5</v>
      </c>
      <c r="AV867" t="s">
        <v>675</v>
      </c>
      <c r="AW867" t="s">
        <v>11495</v>
      </c>
    </row>
    <row r="868" spans="1:50">
      <c r="A868" s="1">
        <f>HYPERLINK("https://cms.ls-nyc.org/matter/dynamic-profile/view/1847161","17-1847161")</f>
        <v>0</v>
      </c>
      <c r="B868" t="s">
        <v>92</v>
      </c>
      <c r="C868" t="s">
        <v>235</v>
      </c>
      <c r="D868" t="s">
        <v>415</v>
      </c>
      <c r="F868" t="s">
        <v>1418</v>
      </c>
      <c r="G868" t="s">
        <v>2168</v>
      </c>
      <c r="H868" t="s">
        <v>3534</v>
      </c>
      <c r="I868" t="s">
        <v>4878</v>
      </c>
      <c r="J868" t="s">
        <v>5323</v>
      </c>
      <c r="K868">
        <v>10040</v>
      </c>
      <c r="L868" t="s">
        <v>5355</v>
      </c>
      <c r="M868" t="s">
        <v>5356</v>
      </c>
      <c r="N868" t="s">
        <v>5561</v>
      </c>
      <c r="O868" t="s">
        <v>6499</v>
      </c>
      <c r="P868" t="s">
        <v>6527</v>
      </c>
      <c r="R868" t="s">
        <v>6539</v>
      </c>
      <c r="S868" t="s">
        <v>5357</v>
      </c>
      <c r="U868" t="s">
        <v>6557</v>
      </c>
      <c r="W868" t="s">
        <v>415</v>
      </c>
      <c r="X868">
        <v>1323</v>
      </c>
      <c r="Y868" t="s">
        <v>6608</v>
      </c>
      <c r="Z868" t="s">
        <v>6614</v>
      </c>
      <c r="AB868" t="s">
        <v>7448</v>
      </c>
      <c r="AD868" t="s">
        <v>9819</v>
      </c>
      <c r="AE868">
        <v>43</v>
      </c>
      <c r="AF868" t="s">
        <v>11005</v>
      </c>
      <c r="AG868" t="s">
        <v>11020</v>
      </c>
      <c r="AH868">
        <v>11</v>
      </c>
      <c r="AI868">
        <v>1</v>
      </c>
      <c r="AJ868">
        <v>0</v>
      </c>
      <c r="AK868">
        <v>138.81</v>
      </c>
      <c r="AL868" t="s">
        <v>531</v>
      </c>
      <c r="AN868" t="s">
        <v>11050</v>
      </c>
      <c r="AO868">
        <v>16740</v>
      </c>
      <c r="AU868">
        <v>1.61</v>
      </c>
      <c r="AV868" t="s">
        <v>362</v>
      </c>
      <c r="AW868" t="s">
        <v>11495</v>
      </c>
    </row>
    <row r="869" spans="1:50">
      <c r="A869" s="1">
        <f>HYPERLINK("https://cms.ls-nyc.org/matter/dynamic-profile/view/0799735","16-0799735")</f>
        <v>0</v>
      </c>
      <c r="B869" t="s">
        <v>132</v>
      </c>
      <c r="C869" t="s">
        <v>234</v>
      </c>
      <c r="D869" t="s">
        <v>504</v>
      </c>
      <c r="E869" t="s">
        <v>434</v>
      </c>
      <c r="F869" t="s">
        <v>1419</v>
      </c>
      <c r="G869" t="s">
        <v>2338</v>
      </c>
      <c r="H869" t="s">
        <v>4025</v>
      </c>
      <c r="I869" t="s">
        <v>5002</v>
      </c>
      <c r="J869" t="s">
        <v>5323</v>
      </c>
      <c r="K869">
        <v>10029</v>
      </c>
      <c r="L869" t="s">
        <v>5355</v>
      </c>
      <c r="M869" t="s">
        <v>5356</v>
      </c>
      <c r="O869" t="s">
        <v>5393</v>
      </c>
      <c r="P869" t="s">
        <v>6527</v>
      </c>
      <c r="Q869" t="s">
        <v>6532</v>
      </c>
      <c r="R869" t="s">
        <v>6539</v>
      </c>
      <c r="S869" t="s">
        <v>5357</v>
      </c>
      <c r="U869" t="s">
        <v>6557</v>
      </c>
      <c r="V869" t="s">
        <v>6566</v>
      </c>
      <c r="W869" t="s">
        <v>404</v>
      </c>
      <c r="X869">
        <v>886</v>
      </c>
      <c r="Y869" t="s">
        <v>6608</v>
      </c>
      <c r="Z869" t="s">
        <v>6616</v>
      </c>
      <c r="AA869" t="s">
        <v>6636</v>
      </c>
      <c r="AB869" t="s">
        <v>7449</v>
      </c>
      <c r="AD869" t="s">
        <v>9820</v>
      </c>
      <c r="AE869">
        <v>50</v>
      </c>
      <c r="AF869" t="s">
        <v>11005</v>
      </c>
      <c r="AG869" t="s">
        <v>11020</v>
      </c>
      <c r="AH869">
        <v>40</v>
      </c>
      <c r="AI869">
        <v>2</v>
      </c>
      <c r="AJ869">
        <v>1</v>
      </c>
      <c r="AK869">
        <v>139.74</v>
      </c>
      <c r="AN869" t="s">
        <v>11050</v>
      </c>
      <c r="AO869">
        <v>28170.72</v>
      </c>
      <c r="AU869">
        <v>4.1</v>
      </c>
      <c r="AV869" t="s">
        <v>263</v>
      </c>
      <c r="AW869" t="s">
        <v>11497</v>
      </c>
    </row>
    <row r="870" spans="1:50">
      <c r="A870" s="1">
        <f>HYPERLINK("https://cms.ls-nyc.org/matter/dynamic-profile/view/1864302","18-1864302")</f>
        <v>0</v>
      </c>
      <c r="B870" t="s">
        <v>103</v>
      </c>
      <c r="C870" t="s">
        <v>235</v>
      </c>
      <c r="D870" t="s">
        <v>303</v>
      </c>
      <c r="F870" t="s">
        <v>1420</v>
      </c>
      <c r="G870" t="s">
        <v>2689</v>
      </c>
      <c r="H870" t="s">
        <v>3995</v>
      </c>
      <c r="I870" t="s">
        <v>4849</v>
      </c>
      <c r="J870" t="s">
        <v>5321</v>
      </c>
      <c r="K870">
        <v>10452</v>
      </c>
      <c r="L870" t="s">
        <v>5355</v>
      </c>
      <c r="M870" t="s">
        <v>5356</v>
      </c>
      <c r="P870" t="s">
        <v>6527</v>
      </c>
      <c r="R870" t="s">
        <v>6539</v>
      </c>
      <c r="S870" t="s">
        <v>5355</v>
      </c>
      <c r="U870" t="s">
        <v>6557</v>
      </c>
      <c r="W870" t="s">
        <v>326</v>
      </c>
      <c r="X870">
        <v>1200</v>
      </c>
      <c r="Y870" t="s">
        <v>6606</v>
      </c>
      <c r="Z870" t="s">
        <v>6612</v>
      </c>
      <c r="AB870" t="s">
        <v>7450</v>
      </c>
      <c r="AD870" t="s">
        <v>9821</v>
      </c>
      <c r="AE870">
        <v>0</v>
      </c>
      <c r="AF870" t="s">
        <v>11005</v>
      </c>
      <c r="AG870" t="s">
        <v>5406</v>
      </c>
      <c r="AH870">
        <v>12</v>
      </c>
      <c r="AI870">
        <v>2</v>
      </c>
      <c r="AJ870">
        <v>0</v>
      </c>
      <c r="AK870">
        <v>142.16</v>
      </c>
      <c r="AN870" t="s">
        <v>11050</v>
      </c>
      <c r="AO870">
        <v>23400</v>
      </c>
      <c r="AU870">
        <v>0.8</v>
      </c>
      <c r="AV870" t="s">
        <v>303</v>
      </c>
      <c r="AW870" t="s">
        <v>59</v>
      </c>
    </row>
    <row r="871" spans="1:50">
      <c r="A871" s="1">
        <f>HYPERLINK("https://cms.ls-nyc.org/matter/dynamic-profile/view/1850144","17-1850144")</f>
        <v>0</v>
      </c>
      <c r="B871" t="s">
        <v>82</v>
      </c>
      <c r="C871" t="s">
        <v>235</v>
      </c>
      <c r="D871" t="s">
        <v>418</v>
      </c>
      <c r="F871" t="s">
        <v>1421</v>
      </c>
      <c r="G871" t="s">
        <v>2690</v>
      </c>
      <c r="H871" t="s">
        <v>4026</v>
      </c>
      <c r="I871">
        <v>9</v>
      </c>
      <c r="J871" t="s">
        <v>5323</v>
      </c>
      <c r="K871">
        <v>10032</v>
      </c>
      <c r="L871" t="s">
        <v>5355</v>
      </c>
      <c r="M871" t="s">
        <v>5356</v>
      </c>
      <c r="O871" t="s">
        <v>6499</v>
      </c>
      <c r="P871" t="s">
        <v>6527</v>
      </c>
      <c r="R871" t="s">
        <v>6539</v>
      </c>
      <c r="U871" t="s">
        <v>6557</v>
      </c>
      <c r="W871" t="s">
        <v>294</v>
      </c>
      <c r="X871">
        <v>768.64</v>
      </c>
      <c r="Y871" t="s">
        <v>6608</v>
      </c>
      <c r="Z871" t="s">
        <v>6614</v>
      </c>
      <c r="AB871" t="s">
        <v>7451</v>
      </c>
      <c r="AD871" t="s">
        <v>9822</v>
      </c>
      <c r="AE871">
        <v>0</v>
      </c>
      <c r="AF871" t="s">
        <v>8722</v>
      </c>
      <c r="AG871" t="s">
        <v>5406</v>
      </c>
      <c r="AH871">
        <v>13</v>
      </c>
      <c r="AI871">
        <v>2</v>
      </c>
      <c r="AJ871">
        <v>0</v>
      </c>
      <c r="AK871">
        <v>142.19</v>
      </c>
      <c r="AN871" t="s">
        <v>11049</v>
      </c>
      <c r="AO871">
        <v>23092</v>
      </c>
      <c r="AU871">
        <v>33.1</v>
      </c>
      <c r="AV871" t="s">
        <v>11454</v>
      </c>
      <c r="AW871" t="s">
        <v>11494</v>
      </c>
    </row>
    <row r="872" spans="1:50">
      <c r="A872" s="1">
        <f>HYPERLINK("https://cms.ls-nyc.org/matter/dynamic-profile/view/1836725","17-1836725")</f>
        <v>0</v>
      </c>
      <c r="B872" t="s">
        <v>136</v>
      </c>
      <c r="C872" t="s">
        <v>235</v>
      </c>
      <c r="D872" t="s">
        <v>505</v>
      </c>
      <c r="F872" t="s">
        <v>1282</v>
      </c>
      <c r="G872" t="s">
        <v>2107</v>
      </c>
      <c r="H872" t="s">
        <v>4027</v>
      </c>
      <c r="I872" t="s">
        <v>5003</v>
      </c>
      <c r="J872" t="s">
        <v>5320</v>
      </c>
      <c r="K872">
        <v>11208</v>
      </c>
      <c r="L872" t="s">
        <v>5355</v>
      </c>
      <c r="M872" t="s">
        <v>5356</v>
      </c>
      <c r="N872" t="s">
        <v>5562</v>
      </c>
      <c r="O872" t="s">
        <v>6492</v>
      </c>
      <c r="P872" t="s">
        <v>6527</v>
      </c>
      <c r="R872" t="s">
        <v>6539</v>
      </c>
      <c r="S872" t="s">
        <v>5355</v>
      </c>
      <c r="U872" t="s">
        <v>6558</v>
      </c>
      <c r="W872" t="s">
        <v>419</v>
      </c>
      <c r="X872">
        <v>1515</v>
      </c>
      <c r="Y872" t="s">
        <v>6605</v>
      </c>
      <c r="Z872" t="s">
        <v>6614</v>
      </c>
      <c r="AB872" t="s">
        <v>7452</v>
      </c>
      <c r="AD872" t="s">
        <v>9823</v>
      </c>
      <c r="AE872">
        <v>6</v>
      </c>
      <c r="AF872" t="s">
        <v>11005</v>
      </c>
      <c r="AG872" t="s">
        <v>11021</v>
      </c>
      <c r="AH872">
        <v>2</v>
      </c>
      <c r="AI872">
        <v>2</v>
      </c>
      <c r="AJ872">
        <v>2</v>
      </c>
      <c r="AK872">
        <v>142.28</v>
      </c>
      <c r="AN872" t="s">
        <v>11050</v>
      </c>
      <c r="AO872">
        <v>35000</v>
      </c>
      <c r="AP872" t="s">
        <v>11124</v>
      </c>
      <c r="AU872">
        <v>1.35</v>
      </c>
      <c r="AV872" t="s">
        <v>239</v>
      </c>
      <c r="AW872" t="s">
        <v>228</v>
      </c>
    </row>
    <row r="873" spans="1:50">
      <c r="A873" s="1">
        <f>HYPERLINK("https://cms.ls-nyc.org/matter/dynamic-profile/view/1851636","17-1851636")</f>
        <v>0</v>
      </c>
      <c r="B873" t="s">
        <v>75</v>
      </c>
      <c r="C873" t="s">
        <v>235</v>
      </c>
      <c r="D873" t="s">
        <v>341</v>
      </c>
      <c r="F873" t="s">
        <v>1422</v>
      </c>
      <c r="G873" t="s">
        <v>2691</v>
      </c>
      <c r="H873" t="s">
        <v>3480</v>
      </c>
      <c r="I873" t="s">
        <v>5004</v>
      </c>
      <c r="J873" t="s">
        <v>5320</v>
      </c>
      <c r="K873">
        <v>11213</v>
      </c>
      <c r="L873" t="s">
        <v>5355</v>
      </c>
      <c r="M873" t="s">
        <v>5356</v>
      </c>
      <c r="O873" t="s">
        <v>6497</v>
      </c>
      <c r="P873" t="s">
        <v>6527</v>
      </c>
      <c r="R873" t="s">
        <v>6539</v>
      </c>
      <c r="U873" t="s">
        <v>6558</v>
      </c>
      <c r="W873" t="s">
        <v>363</v>
      </c>
      <c r="X873">
        <v>832.98</v>
      </c>
      <c r="Y873" t="s">
        <v>6605</v>
      </c>
      <c r="AB873" t="s">
        <v>7453</v>
      </c>
      <c r="AC873" t="s">
        <v>8813</v>
      </c>
      <c r="AD873" t="s">
        <v>9824</v>
      </c>
      <c r="AE873">
        <v>107</v>
      </c>
      <c r="AF873" t="s">
        <v>11005</v>
      </c>
      <c r="AH873">
        <v>30</v>
      </c>
      <c r="AI873">
        <v>2</v>
      </c>
      <c r="AJ873">
        <v>1</v>
      </c>
      <c r="AK873">
        <v>144.43</v>
      </c>
      <c r="AL873" t="s">
        <v>266</v>
      </c>
      <c r="AN873" t="s">
        <v>11050</v>
      </c>
      <c r="AO873">
        <v>29492</v>
      </c>
      <c r="AU873">
        <v>22.75</v>
      </c>
      <c r="AV873" t="s">
        <v>468</v>
      </c>
      <c r="AW873" t="s">
        <v>75</v>
      </c>
    </row>
    <row r="874" spans="1:50">
      <c r="A874" s="1">
        <f>HYPERLINK("https://cms.ls-nyc.org/matter/dynamic-profile/view/1852010","17-1852010")</f>
        <v>0</v>
      </c>
      <c r="B874" t="s">
        <v>97</v>
      </c>
      <c r="C874" t="s">
        <v>235</v>
      </c>
      <c r="D874" t="s">
        <v>481</v>
      </c>
      <c r="F874" t="s">
        <v>1423</v>
      </c>
      <c r="G874" t="s">
        <v>1598</v>
      </c>
      <c r="H874" t="s">
        <v>3873</v>
      </c>
      <c r="I874" t="s">
        <v>4826</v>
      </c>
      <c r="J874" t="s">
        <v>5323</v>
      </c>
      <c r="K874">
        <v>10034</v>
      </c>
      <c r="L874" t="s">
        <v>5355</v>
      </c>
      <c r="M874" t="s">
        <v>5356</v>
      </c>
      <c r="O874" t="s">
        <v>6500</v>
      </c>
      <c r="P874" t="s">
        <v>6527</v>
      </c>
      <c r="R874" t="s">
        <v>6539</v>
      </c>
      <c r="S874" t="s">
        <v>5357</v>
      </c>
      <c r="U874" t="s">
        <v>6557</v>
      </c>
      <c r="W874" t="s">
        <v>481</v>
      </c>
      <c r="X874">
        <v>952.4299999999999</v>
      </c>
      <c r="Y874" t="s">
        <v>6608</v>
      </c>
      <c r="Z874" t="s">
        <v>6616</v>
      </c>
      <c r="AB874" t="s">
        <v>7454</v>
      </c>
      <c r="AD874" t="s">
        <v>9825</v>
      </c>
      <c r="AE874">
        <v>25</v>
      </c>
      <c r="AF874" t="s">
        <v>11005</v>
      </c>
      <c r="AG874" t="s">
        <v>11024</v>
      </c>
      <c r="AH874">
        <v>32</v>
      </c>
      <c r="AI874">
        <v>1</v>
      </c>
      <c r="AJ874">
        <v>0</v>
      </c>
      <c r="AK874">
        <v>149.85</v>
      </c>
      <c r="AN874" t="s">
        <v>11049</v>
      </c>
      <c r="AO874">
        <v>18072</v>
      </c>
      <c r="AU874">
        <v>3.4</v>
      </c>
      <c r="AV874" t="s">
        <v>394</v>
      </c>
      <c r="AW874" t="s">
        <v>11495</v>
      </c>
    </row>
    <row r="875" spans="1:50">
      <c r="A875" s="1">
        <f>HYPERLINK("https://cms.ls-nyc.org/matter/dynamic-profile/view/0830650","17-0830650")</f>
        <v>0</v>
      </c>
      <c r="B875" t="s">
        <v>153</v>
      </c>
      <c r="C875" t="s">
        <v>234</v>
      </c>
      <c r="D875" t="s">
        <v>506</v>
      </c>
      <c r="E875" t="s">
        <v>769</v>
      </c>
      <c r="F875" t="s">
        <v>842</v>
      </c>
      <c r="G875" t="s">
        <v>2692</v>
      </c>
      <c r="H875" t="s">
        <v>3937</v>
      </c>
      <c r="I875" t="s">
        <v>5005</v>
      </c>
      <c r="J875" t="s">
        <v>5321</v>
      </c>
      <c r="K875">
        <v>10453</v>
      </c>
      <c r="L875" t="s">
        <v>5355</v>
      </c>
      <c r="M875" t="s">
        <v>5356</v>
      </c>
      <c r="O875" t="s">
        <v>5393</v>
      </c>
      <c r="P875" t="s">
        <v>6527</v>
      </c>
      <c r="Q875" t="s">
        <v>6532</v>
      </c>
      <c r="R875" t="s">
        <v>6539</v>
      </c>
      <c r="S875" t="s">
        <v>5355</v>
      </c>
      <c r="U875" t="s">
        <v>6557</v>
      </c>
      <c r="W875" t="s">
        <v>372</v>
      </c>
      <c r="X875">
        <v>176</v>
      </c>
      <c r="Y875" t="s">
        <v>6606</v>
      </c>
      <c r="Z875" t="s">
        <v>6612</v>
      </c>
      <c r="AA875" t="s">
        <v>6631</v>
      </c>
      <c r="AB875" t="s">
        <v>7455</v>
      </c>
      <c r="AD875" t="s">
        <v>9826</v>
      </c>
      <c r="AE875">
        <v>766</v>
      </c>
      <c r="AF875" t="s">
        <v>11008</v>
      </c>
      <c r="AG875" t="s">
        <v>11020</v>
      </c>
      <c r="AH875">
        <v>28</v>
      </c>
      <c r="AI875">
        <v>1</v>
      </c>
      <c r="AJ875">
        <v>0</v>
      </c>
      <c r="AK875">
        <v>152.16</v>
      </c>
      <c r="AN875" t="s">
        <v>11050</v>
      </c>
      <c r="AO875">
        <v>18351</v>
      </c>
      <c r="AU875">
        <v>169.35</v>
      </c>
      <c r="AV875" t="s">
        <v>322</v>
      </c>
      <c r="AW875" t="s">
        <v>95</v>
      </c>
    </row>
    <row r="876" spans="1:50">
      <c r="A876" s="1">
        <f>HYPERLINK("https://cms.ls-nyc.org/matter/dynamic-profile/view/1868767","18-1868767")</f>
        <v>0</v>
      </c>
      <c r="B876" t="s">
        <v>90</v>
      </c>
      <c r="C876" t="s">
        <v>235</v>
      </c>
      <c r="D876" t="s">
        <v>318</v>
      </c>
      <c r="F876" t="s">
        <v>1424</v>
      </c>
      <c r="G876" t="s">
        <v>2693</v>
      </c>
      <c r="H876" t="s">
        <v>3589</v>
      </c>
      <c r="I876" t="s">
        <v>4750</v>
      </c>
      <c r="J876" t="s">
        <v>5321</v>
      </c>
      <c r="K876">
        <v>10452</v>
      </c>
      <c r="L876" t="s">
        <v>5355</v>
      </c>
      <c r="M876" t="s">
        <v>5356</v>
      </c>
      <c r="O876" t="s">
        <v>5393</v>
      </c>
      <c r="P876" t="s">
        <v>6527</v>
      </c>
      <c r="R876" t="s">
        <v>6539</v>
      </c>
      <c r="S876" t="s">
        <v>5355</v>
      </c>
      <c r="U876" t="s">
        <v>6557</v>
      </c>
      <c r="W876" t="s">
        <v>309</v>
      </c>
      <c r="X876">
        <v>1079</v>
      </c>
      <c r="Y876" t="s">
        <v>6606</v>
      </c>
      <c r="Z876" t="s">
        <v>6625</v>
      </c>
      <c r="AB876" t="s">
        <v>7456</v>
      </c>
      <c r="AC876" t="s">
        <v>8814</v>
      </c>
      <c r="AD876" t="s">
        <v>9827</v>
      </c>
      <c r="AE876">
        <v>60</v>
      </c>
      <c r="AF876" t="s">
        <v>11005</v>
      </c>
      <c r="AG876" t="s">
        <v>5406</v>
      </c>
      <c r="AH876">
        <v>4</v>
      </c>
      <c r="AI876">
        <v>1</v>
      </c>
      <c r="AJ876">
        <v>2</v>
      </c>
      <c r="AK876">
        <v>153.9</v>
      </c>
      <c r="AN876" t="s">
        <v>11049</v>
      </c>
      <c r="AO876">
        <v>31980</v>
      </c>
      <c r="AU876">
        <v>0</v>
      </c>
      <c r="AW876" t="s">
        <v>11492</v>
      </c>
    </row>
    <row r="877" spans="1:50">
      <c r="A877" s="1">
        <f>HYPERLINK("https://cms.ls-nyc.org/matter/dynamic-profile/view/1865221","18-1865221")</f>
        <v>0</v>
      </c>
      <c r="B877" t="s">
        <v>64</v>
      </c>
      <c r="C877" t="s">
        <v>234</v>
      </c>
      <c r="D877" t="s">
        <v>254</v>
      </c>
      <c r="E877" t="s">
        <v>774</v>
      </c>
      <c r="F877" t="s">
        <v>1425</v>
      </c>
      <c r="G877" t="s">
        <v>2694</v>
      </c>
      <c r="H877" t="s">
        <v>4028</v>
      </c>
      <c r="I877">
        <v>17</v>
      </c>
      <c r="J877" t="s">
        <v>5323</v>
      </c>
      <c r="K877">
        <v>10027</v>
      </c>
      <c r="L877" t="s">
        <v>5355</v>
      </c>
      <c r="M877" t="s">
        <v>5355</v>
      </c>
      <c r="P877" t="s">
        <v>6527</v>
      </c>
      <c r="Q877" t="s">
        <v>6531</v>
      </c>
      <c r="R877" t="s">
        <v>6539</v>
      </c>
      <c r="S877" t="s">
        <v>5357</v>
      </c>
      <c r="U877" t="s">
        <v>6557</v>
      </c>
      <c r="W877" t="s">
        <v>298</v>
      </c>
      <c r="X877">
        <v>1238</v>
      </c>
      <c r="Y877" t="s">
        <v>6608</v>
      </c>
      <c r="Z877" t="s">
        <v>6614</v>
      </c>
      <c r="AA877" t="s">
        <v>6632</v>
      </c>
      <c r="AB877" t="s">
        <v>7457</v>
      </c>
      <c r="AD877" t="s">
        <v>9828</v>
      </c>
      <c r="AE877">
        <v>36</v>
      </c>
      <c r="AF877" t="s">
        <v>11013</v>
      </c>
      <c r="AG877" t="s">
        <v>5406</v>
      </c>
      <c r="AH877">
        <v>9</v>
      </c>
      <c r="AI877">
        <v>2</v>
      </c>
      <c r="AJ877">
        <v>1</v>
      </c>
      <c r="AK877">
        <v>158.81</v>
      </c>
      <c r="AN877" t="s">
        <v>11050</v>
      </c>
      <c r="AO877">
        <v>33000</v>
      </c>
      <c r="AU877">
        <v>1</v>
      </c>
      <c r="AV877" t="s">
        <v>239</v>
      </c>
      <c r="AW877" t="s">
        <v>11494</v>
      </c>
    </row>
    <row r="878" spans="1:50">
      <c r="A878" s="1">
        <f>HYPERLINK("https://cms.ls-nyc.org/matter/dynamic-profile/view/1845039","17-1845039")</f>
        <v>0</v>
      </c>
      <c r="B878" t="s">
        <v>77</v>
      </c>
      <c r="C878" t="s">
        <v>234</v>
      </c>
      <c r="D878" t="s">
        <v>419</v>
      </c>
      <c r="E878" t="s">
        <v>721</v>
      </c>
      <c r="F878" t="s">
        <v>1033</v>
      </c>
      <c r="G878" t="s">
        <v>2135</v>
      </c>
      <c r="H878" t="s">
        <v>3773</v>
      </c>
      <c r="I878" t="s">
        <v>4935</v>
      </c>
      <c r="J878" t="s">
        <v>5320</v>
      </c>
      <c r="K878">
        <v>11213</v>
      </c>
      <c r="L878" t="s">
        <v>5355</v>
      </c>
      <c r="M878" t="s">
        <v>5356</v>
      </c>
      <c r="O878" t="s">
        <v>6500</v>
      </c>
      <c r="P878" t="s">
        <v>6527</v>
      </c>
      <c r="Q878" t="s">
        <v>6533</v>
      </c>
      <c r="R878" t="s">
        <v>6539</v>
      </c>
      <c r="S878" t="s">
        <v>5355</v>
      </c>
      <c r="U878" t="s">
        <v>6557</v>
      </c>
      <c r="W878" t="s">
        <v>461</v>
      </c>
      <c r="X878">
        <v>1108</v>
      </c>
      <c r="Y878" t="s">
        <v>6605</v>
      </c>
      <c r="AA878" t="s">
        <v>6640</v>
      </c>
      <c r="AB878" t="s">
        <v>7201</v>
      </c>
      <c r="AD878" t="s">
        <v>9588</v>
      </c>
      <c r="AE878">
        <v>107</v>
      </c>
      <c r="AF878" t="s">
        <v>11005</v>
      </c>
      <c r="AH878">
        <v>0</v>
      </c>
      <c r="AI878">
        <v>2</v>
      </c>
      <c r="AJ878">
        <v>0</v>
      </c>
      <c r="AK878">
        <v>160.1</v>
      </c>
      <c r="AL878" t="s">
        <v>266</v>
      </c>
      <c r="AN878" t="s">
        <v>11050</v>
      </c>
      <c r="AO878">
        <v>26000</v>
      </c>
      <c r="AU878">
        <v>0.35</v>
      </c>
      <c r="AV878" t="s">
        <v>721</v>
      </c>
      <c r="AW878" t="s">
        <v>11489</v>
      </c>
    </row>
    <row r="879" spans="1:50">
      <c r="A879" s="1">
        <f>HYPERLINK("https://cms.ls-nyc.org/matter/dynamic-profile/view/1870511","18-1870511")</f>
        <v>0</v>
      </c>
      <c r="B879" t="s">
        <v>112</v>
      </c>
      <c r="C879" t="s">
        <v>234</v>
      </c>
      <c r="D879" t="s">
        <v>255</v>
      </c>
      <c r="E879" t="s">
        <v>767</v>
      </c>
      <c r="F879" t="s">
        <v>1024</v>
      </c>
      <c r="G879" t="s">
        <v>2695</v>
      </c>
      <c r="H879" t="s">
        <v>3966</v>
      </c>
      <c r="I879" t="s">
        <v>5006</v>
      </c>
      <c r="J879" t="s">
        <v>5337</v>
      </c>
      <c r="K879">
        <v>11372</v>
      </c>
      <c r="L879" t="s">
        <v>5355</v>
      </c>
      <c r="M879" t="s">
        <v>5355</v>
      </c>
      <c r="N879" t="s">
        <v>5383</v>
      </c>
      <c r="O879" t="s">
        <v>6496</v>
      </c>
      <c r="P879" t="s">
        <v>6527</v>
      </c>
      <c r="Q879" t="s">
        <v>6533</v>
      </c>
      <c r="R879" t="s">
        <v>6539</v>
      </c>
      <c r="S879" t="s">
        <v>5355</v>
      </c>
      <c r="U879" t="s">
        <v>6557</v>
      </c>
      <c r="V879" t="s">
        <v>6566</v>
      </c>
      <c r="W879" t="s">
        <v>255</v>
      </c>
      <c r="X879">
        <v>1850</v>
      </c>
      <c r="Y879" t="s">
        <v>6604</v>
      </c>
      <c r="Z879" t="s">
        <v>6615</v>
      </c>
      <c r="AA879" t="s">
        <v>6645</v>
      </c>
      <c r="AB879" t="s">
        <v>7458</v>
      </c>
      <c r="AC879" t="s">
        <v>5392</v>
      </c>
      <c r="AD879" t="s">
        <v>9829</v>
      </c>
      <c r="AE879">
        <v>64</v>
      </c>
      <c r="AF879" t="s">
        <v>8722</v>
      </c>
      <c r="AG879" t="s">
        <v>5406</v>
      </c>
      <c r="AH879">
        <v>6</v>
      </c>
      <c r="AI879">
        <v>2</v>
      </c>
      <c r="AJ879">
        <v>1</v>
      </c>
      <c r="AK879">
        <v>162.66</v>
      </c>
      <c r="AN879" t="s">
        <v>11049</v>
      </c>
      <c r="AO879">
        <v>33800</v>
      </c>
      <c r="AU879">
        <v>0.2</v>
      </c>
      <c r="AV879" t="s">
        <v>767</v>
      </c>
      <c r="AW879" t="s">
        <v>11506</v>
      </c>
    </row>
    <row r="880" spans="1:50">
      <c r="A880" s="1">
        <f>HYPERLINK("https://cms.ls-nyc.org/matter/dynamic-profile/view/1868846","18-1868846")</f>
        <v>0</v>
      </c>
      <c r="B880" t="s">
        <v>170</v>
      </c>
      <c r="C880" t="s">
        <v>234</v>
      </c>
      <c r="D880" t="s">
        <v>315</v>
      </c>
      <c r="E880" t="s">
        <v>775</v>
      </c>
      <c r="F880" t="s">
        <v>1426</v>
      </c>
      <c r="G880" t="s">
        <v>2696</v>
      </c>
      <c r="H880" t="s">
        <v>3864</v>
      </c>
      <c r="I880" t="s">
        <v>4753</v>
      </c>
      <c r="J880" t="s">
        <v>5321</v>
      </c>
      <c r="K880">
        <v>10457</v>
      </c>
      <c r="L880" t="s">
        <v>5355</v>
      </c>
      <c r="M880" t="s">
        <v>5356</v>
      </c>
      <c r="N880" t="s">
        <v>5392</v>
      </c>
      <c r="O880" t="s">
        <v>6512</v>
      </c>
      <c r="P880" t="s">
        <v>6527</v>
      </c>
      <c r="Q880" t="s">
        <v>6532</v>
      </c>
      <c r="R880" t="s">
        <v>6539</v>
      </c>
      <c r="S880" t="s">
        <v>5357</v>
      </c>
      <c r="U880" t="s">
        <v>6560</v>
      </c>
      <c r="W880" t="s">
        <v>315</v>
      </c>
      <c r="X880">
        <v>2100</v>
      </c>
      <c r="Y880" t="s">
        <v>6606</v>
      </c>
      <c r="Z880" t="s">
        <v>6625</v>
      </c>
      <c r="AA880" t="s">
        <v>6632</v>
      </c>
      <c r="AB880" t="s">
        <v>7459</v>
      </c>
      <c r="AC880" t="s">
        <v>8815</v>
      </c>
      <c r="AD880" t="s">
        <v>9830</v>
      </c>
      <c r="AE880">
        <v>0</v>
      </c>
      <c r="AF880" t="s">
        <v>11016</v>
      </c>
      <c r="AG880" t="s">
        <v>11020</v>
      </c>
      <c r="AH880">
        <v>8</v>
      </c>
      <c r="AI880">
        <v>4</v>
      </c>
      <c r="AJ880">
        <v>1</v>
      </c>
      <c r="AK880">
        <v>163.15</v>
      </c>
      <c r="AN880" t="s">
        <v>11050</v>
      </c>
      <c r="AO880">
        <v>48000</v>
      </c>
      <c r="AU880">
        <v>6</v>
      </c>
      <c r="AV880" t="s">
        <v>671</v>
      </c>
      <c r="AW880" t="s">
        <v>11492</v>
      </c>
      <c r="AX880" t="s">
        <v>11564</v>
      </c>
    </row>
    <row r="881" spans="1:49">
      <c r="A881" s="1">
        <f>HYPERLINK("https://cms.ls-nyc.org/matter/dynamic-profile/view/1868764","18-1868764")</f>
        <v>0</v>
      </c>
      <c r="B881" t="s">
        <v>90</v>
      </c>
      <c r="C881" t="s">
        <v>235</v>
      </c>
      <c r="D881" t="s">
        <v>318</v>
      </c>
      <c r="F881" t="s">
        <v>1427</v>
      </c>
      <c r="G881" t="s">
        <v>2697</v>
      </c>
      <c r="H881" t="s">
        <v>3589</v>
      </c>
      <c r="I881" t="s">
        <v>4861</v>
      </c>
      <c r="J881" t="s">
        <v>5321</v>
      </c>
      <c r="K881">
        <v>10452</v>
      </c>
      <c r="L881" t="s">
        <v>5355</v>
      </c>
      <c r="M881" t="s">
        <v>5356</v>
      </c>
      <c r="O881" t="s">
        <v>5393</v>
      </c>
      <c r="P881" t="s">
        <v>6527</v>
      </c>
      <c r="R881" t="s">
        <v>6539</v>
      </c>
      <c r="S881" t="s">
        <v>5355</v>
      </c>
      <c r="U881" t="s">
        <v>6557</v>
      </c>
      <c r="W881" t="s">
        <v>516</v>
      </c>
      <c r="X881">
        <v>1300</v>
      </c>
      <c r="Y881" t="s">
        <v>6606</v>
      </c>
      <c r="Z881" t="s">
        <v>6625</v>
      </c>
      <c r="AB881" t="s">
        <v>7460</v>
      </c>
      <c r="AD881" t="s">
        <v>9831</v>
      </c>
      <c r="AE881">
        <v>60</v>
      </c>
      <c r="AF881" t="s">
        <v>11005</v>
      </c>
      <c r="AG881" t="s">
        <v>5406</v>
      </c>
      <c r="AH881">
        <v>1</v>
      </c>
      <c r="AI881">
        <v>2</v>
      </c>
      <c r="AJ881">
        <v>1</v>
      </c>
      <c r="AK881">
        <v>163.62</v>
      </c>
      <c r="AN881" t="s">
        <v>11050</v>
      </c>
      <c r="AO881">
        <v>34000</v>
      </c>
      <c r="AU881">
        <v>0</v>
      </c>
      <c r="AW881" t="s">
        <v>11492</v>
      </c>
    </row>
    <row r="882" spans="1:49">
      <c r="A882" s="1">
        <f>HYPERLINK("https://cms.ls-nyc.org/matter/dynamic-profile/view/1870636","18-1870636")</f>
        <v>0</v>
      </c>
      <c r="B882" t="s">
        <v>70</v>
      </c>
      <c r="C882" t="s">
        <v>235</v>
      </c>
      <c r="D882" t="s">
        <v>474</v>
      </c>
      <c r="F882" t="s">
        <v>1428</v>
      </c>
      <c r="G882" t="s">
        <v>2698</v>
      </c>
      <c r="H882" t="s">
        <v>4029</v>
      </c>
      <c r="I882">
        <v>12</v>
      </c>
      <c r="J882" t="s">
        <v>5323</v>
      </c>
      <c r="K882">
        <v>10027</v>
      </c>
      <c r="L882" t="s">
        <v>5355</v>
      </c>
      <c r="M882" t="s">
        <v>5356</v>
      </c>
      <c r="O882" t="s">
        <v>5393</v>
      </c>
      <c r="P882" t="s">
        <v>6527</v>
      </c>
      <c r="R882" t="s">
        <v>6539</v>
      </c>
      <c r="U882" t="s">
        <v>6557</v>
      </c>
      <c r="W882" t="s">
        <v>474</v>
      </c>
      <c r="X882">
        <v>1507.97</v>
      </c>
      <c r="Y882" t="s">
        <v>6608</v>
      </c>
      <c r="Z882" t="s">
        <v>6614</v>
      </c>
      <c r="AB882" t="s">
        <v>7461</v>
      </c>
      <c r="AD882" t="s">
        <v>9832</v>
      </c>
      <c r="AE882">
        <v>0</v>
      </c>
      <c r="AF882" t="s">
        <v>8722</v>
      </c>
      <c r="AG882" t="s">
        <v>5406</v>
      </c>
      <c r="AH882">
        <v>15</v>
      </c>
      <c r="AI882">
        <v>4</v>
      </c>
      <c r="AJ882">
        <v>2</v>
      </c>
      <c r="AK882">
        <v>164.16</v>
      </c>
      <c r="AN882" t="s">
        <v>11049</v>
      </c>
      <c r="AO882">
        <v>55387</v>
      </c>
      <c r="AU882">
        <v>2.25</v>
      </c>
      <c r="AV882" t="s">
        <v>427</v>
      </c>
      <c r="AW882" t="s">
        <v>11496</v>
      </c>
    </row>
    <row r="883" spans="1:49">
      <c r="A883" s="1">
        <f>HYPERLINK("https://cms.ls-nyc.org/matter/dynamic-profile/view/1857623","18-1857623")</f>
        <v>0</v>
      </c>
      <c r="B883" t="s">
        <v>63</v>
      </c>
      <c r="C883" t="s">
        <v>235</v>
      </c>
      <c r="D883" t="s">
        <v>436</v>
      </c>
      <c r="F883" t="s">
        <v>1429</v>
      </c>
      <c r="G883" t="s">
        <v>2699</v>
      </c>
      <c r="H883" t="s">
        <v>3960</v>
      </c>
      <c r="I883" t="s">
        <v>4772</v>
      </c>
      <c r="J883" t="s">
        <v>5322</v>
      </c>
      <c r="K883">
        <v>10304</v>
      </c>
      <c r="L883" t="s">
        <v>5355</v>
      </c>
      <c r="M883" t="s">
        <v>5356</v>
      </c>
      <c r="O883" t="s">
        <v>6500</v>
      </c>
      <c r="P883" t="s">
        <v>6527</v>
      </c>
      <c r="R883" t="s">
        <v>6539</v>
      </c>
      <c r="S883" t="s">
        <v>5355</v>
      </c>
      <c r="U883" t="s">
        <v>6557</v>
      </c>
      <c r="W883" t="s">
        <v>436</v>
      </c>
      <c r="X883">
        <v>0</v>
      </c>
      <c r="Y883" t="s">
        <v>6607</v>
      </c>
      <c r="Z883" t="s">
        <v>6612</v>
      </c>
      <c r="AB883" t="s">
        <v>7462</v>
      </c>
      <c r="AD883" t="s">
        <v>9833</v>
      </c>
      <c r="AE883">
        <v>86</v>
      </c>
      <c r="AF883" t="s">
        <v>11005</v>
      </c>
      <c r="AG883" t="s">
        <v>11020</v>
      </c>
      <c r="AH883">
        <v>18</v>
      </c>
      <c r="AI883">
        <v>2</v>
      </c>
      <c r="AJ883">
        <v>0</v>
      </c>
      <c r="AK883">
        <v>165.52</v>
      </c>
      <c r="AO883">
        <v>26880</v>
      </c>
      <c r="AU883">
        <v>0.35</v>
      </c>
      <c r="AV883" t="s">
        <v>275</v>
      </c>
      <c r="AW883" t="s">
        <v>62</v>
      </c>
    </row>
    <row r="884" spans="1:49">
      <c r="A884" s="1">
        <f>HYPERLINK("https://cms.ls-nyc.org/matter/dynamic-profile/view/1832944","17-1832944")</f>
        <v>0</v>
      </c>
      <c r="B884" t="s">
        <v>58</v>
      </c>
      <c r="C884" t="s">
        <v>234</v>
      </c>
      <c r="D884" t="s">
        <v>484</v>
      </c>
      <c r="E884" t="s">
        <v>674</v>
      </c>
      <c r="F884" t="s">
        <v>1430</v>
      </c>
      <c r="G884" t="s">
        <v>2106</v>
      </c>
      <c r="H884" t="s">
        <v>3937</v>
      </c>
      <c r="I884" t="s">
        <v>5007</v>
      </c>
      <c r="J884" t="s">
        <v>5321</v>
      </c>
      <c r="K884">
        <v>10453</v>
      </c>
      <c r="L884" t="s">
        <v>5355</v>
      </c>
      <c r="M884" t="s">
        <v>5356</v>
      </c>
      <c r="O884" t="s">
        <v>5393</v>
      </c>
      <c r="P884" t="s">
        <v>6527</v>
      </c>
      <c r="Q884" t="s">
        <v>6532</v>
      </c>
      <c r="R884" t="s">
        <v>6539</v>
      </c>
      <c r="S884" t="s">
        <v>5355</v>
      </c>
      <c r="U884" t="s">
        <v>6557</v>
      </c>
      <c r="W884" t="s">
        <v>372</v>
      </c>
      <c r="X884">
        <v>432</v>
      </c>
      <c r="Y884" t="s">
        <v>6606</v>
      </c>
      <c r="Z884" t="s">
        <v>6612</v>
      </c>
      <c r="AA884" t="s">
        <v>6636</v>
      </c>
      <c r="AB884" t="s">
        <v>7463</v>
      </c>
      <c r="AD884" t="s">
        <v>9834</v>
      </c>
      <c r="AE884">
        <v>766</v>
      </c>
      <c r="AF884" t="s">
        <v>11008</v>
      </c>
      <c r="AG884" t="s">
        <v>11020</v>
      </c>
      <c r="AH884">
        <v>48</v>
      </c>
      <c r="AI884">
        <v>1</v>
      </c>
      <c r="AJ884">
        <v>0</v>
      </c>
      <c r="AK884">
        <v>165.84</v>
      </c>
      <c r="AN884" t="s">
        <v>11050</v>
      </c>
      <c r="AO884">
        <v>20000</v>
      </c>
      <c r="AU884">
        <v>1.75</v>
      </c>
      <c r="AV884" t="s">
        <v>674</v>
      </c>
      <c r="AW884" t="s">
        <v>11509</v>
      </c>
    </row>
    <row r="885" spans="1:49">
      <c r="A885" s="1">
        <f>HYPERLINK("https://cms.ls-nyc.org/matter/dynamic-profile/view/1873147","18-1873147")</f>
        <v>0</v>
      </c>
      <c r="B885" t="s">
        <v>53</v>
      </c>
      <c r="C885" t="s">
        <v>234</v>
      </c>
      <c r="D885" t="s">
        <v>245</v>
      </c>
      <c r="E885" t="s">
        <v>742</v>
      </c>
      <c r="F885" t="s">
        <v>1431</v>
      </c>
      <c r="G885" t="s">
        <v>2700</v>
      </c>
      <c r="H885" t="s">
        <v>3434</v>
      </c>
      <c r="I885" t="s">
        <v>4941</v>
      </c>
      <c r="J885" t="s">
        <v>5320</v>
      </c>
      <c r="K885">
        <v>11208</v>
      </c>
      <c r="L885" t="s">
        <v>5355</v>
      </c>
      <c r="M885" t="s">
        <v>5355</v>
      </c>
      <c r="O885" t="s">
        <v>6513</v>
      </c>
      <c r="P885" t="s">
        <v>6527</v>
      </c>
      <c r="Q885" t="s">
        <v>6536</v>
      </c>
      <c r="R885" t="s">
        <v>6539</v>
      </c>
      <c r="S885" t="s">
        <v>5355</v>
      </c>
      <c r="U885" t="s">
        <v>6558</v>
      </c>
      <c r="V885" t="s">
        <v>6568</v>
      </c>
      <c r="W885" t="s">
        <v>315</v>
      </c>
      <c r="X885">
        <v>0</v>
      </c>
      <c r="Y885" t="s">
        <v>6605</v>
      </c>
      <c r="Z885" t="s">
        <v>6614</v>
      </c>
      <c r="AA885" t="s">
        <v>6635</v>
      </c>
      <c r="AB885" t="s">
        <v>7464</v>
      </c>
      <c r="AC885" t="s">
        <v>8816</v>
      </c>
      <c r="AD885" t="s">
        <v>9835</v>
      </c>
      <c r="AE885">
        <v>6</v>
      </c>
      <c r="AF885" t="s">
        <v>11005</v>
      </c>
      <c r="AG885" t="s">
        <v>5406</v>
      </c>
      <c r="AH885">
        <v>0</v>
      </c>
      <c r="AI885">
        <v>1</v>
      </c>
      <c r="AJ885">
        <v>0</v>
      </c>
      <c r="AK885">
        <v>168.04</v>
      </c>
      <c r="AO885">
        <v>20400</v>
      </c>
      <c r="AR885" t="s">
        <v>11207</v>
      </c>
      <c r="AS885" t="s">
        <v>11253</v>
      </c>
      <c r="AT885" t="s">
        <v>11265</v>
      </c>
      <c r="AU885">
        <v>12.2</v>
      </c>
      <c r="AV885" t="s">
        <v>456</v>
      </c>
      <c r="AW885" t="s">
        <v>53</v>
      </c>
    </row>
    <row r="886" spans="1:49">
      <c r="A886" s="1">
        <f>HYPERLINK("https://cms.ls-nyc.org/matter/dynamic-profile/view/1858739","18-1858739")</f>
        <v>0</v>
      </c>
      <c r="B886" t="s">
        <v>55</v>
      </c>
      <c r="C886" t="s">
        <v>234</v>
      </c>
      <c r="D886" t="s">
        <v>248</v>
      </c>
      <c r="E886" t="s">
        <v>762</v>
      </c>
      <c r="F886" t="s">
        <v>1432</v>
      </c>
      <c r="G886" t="s">
        <v>2701</v>
      </c>
      <c r="H886" t="s">
        <v>3895</v>
      </c>
      <c r="J886" t="s">
        <v>5320</v>
      </c>
      <c r="K886">
        <v>11203</v>
      </c>
      <c r="L886" t="s">
        <v>5355</v>
      </c>
      <c r="M886" t="s">
        <v>5356</v>
      </c>
      <c r="N886" t="s">
        <v>5563</v>
      </c>
      <c r="O886" t="s">
        <v>6494</v>
      </c>
      <c r="P886" t="s">
        <v>6527</v>
      </c>
      <c r="Q886" t="s">
        <v>6532</v>
      </c>
      <c r="R886" t="s">
        <v>6539</v>
      </c>
      <c r="S886" t="s">
        <v>5355</v>
      </c>
      <c r="T886" t="s">
        <v>6545</v>
      </c>
      <c r="U886" t="s">
        <v>6557</v>
      </c>
      <c r="W886" t="s">
        <v>248</v>
      </c>
      <c r="X886">
        <v>415</v>
      </c>
      <c r="Y886" t="s">
        <v>6605</v>
      </c>
      <c r="Z886" t="s">
        <v>6612</v>
      </c>
      <c r="AA886" t="s">
        <v>6634</v>
      </c>
      <c r="AB886" t="s">
        <v>7465</v>
      </c>
      <c r="AE886">
        <v>50</v>
      </c>
      <c r="AF886" t="s">
        <v>11005</v>
      </c>
      <c r="AH886">
        <v>42</v>
      </c>
      <c r="AI886">
        <v>1</v>
      </c>
      <c r="AJ886">
        <v>0</v>
      </c>
      <c r="AK886">
        <v>169.75</v>
      </c>
      <c r="AN886" t="s">
        <v>11050</v>
      </c>
      <c r="AO886">
        <v>20472</v>
      </c>
      <c r="AR886" t="s">
        <v>11203</v>
      </c>
      <c r="AU886">
        <v>0.62</v>
      </c>
      <c r="AV886" t="s">
        <v>246</v>
      </c>
      <c r="AW886" t="s">
        <v>11490</v>
      </c>
    </row>
    <row r="887" spans="1:49">
      <c r="A887" s="1">
        <f>HYPERLINK("https://cms.ls-nyc.org/matter/dynamic-profile/view/1854403","17-1854403")</f>
        <v>0</v>
      </c>
      <c r="B887" t="s">
        <v>152</v>
      </c>
      <c r="C887" t="s">
        <v>234</v>
      </c>
      <c r="D887" t="s">
        <v>378</v>
      </c>
      <c r="E887" t="s">
        <v>722</v>
      </c>
      <c r="F887" t="s">
        <v>1101</v>
      </c>
      <c r="G887" t="s">
        <v>2355</v>
      </c>
      <c r="H887" t="s">
        <v>3877</v>
      </c>
      <c r="I887" t="s">
        <v>4814</v>
      </c>
      <c r="J887" t="s">
        <v>5323</v>
      </c>
      <c r="K887">
        <v>10034</v>
      </c>
      <c r="L887" t="s">
        <v>5355</v>
      </c>
      <c r="M887" t="s">
        <v>5356</v>
      </c>
      <c r="O887" t="s">
        <v>6501</v>
      </c>
      <c r="P887" t="s">
        <v>6527</v>
      </c>
      <c r="Q887" t="s">
        <v>6532</v>
      </c>
      <c r="R887" t="s">
        <v>6539</v>
      </c>
      <c r="S887" t="s">
        <v>5357</v>
      </c>
      <c r="U887" t="s">
        <v>6557</v>
      </c>
      <c r="W887" t="s">
        <v>579</v>
      </c>
      <c r="X887">
        <v>1800</v>
      </c>
      <c r="Y887" t="s">
        <v>6608</v>
      </c>
      <c r="Z887" t="s">
        <v>6614</v>
      </c>
      <c r="AA887" t="s">
        <v>6636</v>
      </c>
      <c r="AB887" t="s">
        <v>7211</v>
      </c>
      <c r="AD887" t="s">
        <v>9598</v>
      </c>
      <c r="AE887">
        <v>48</v>
      </c>
      <c r="AF887" t="s">
        <v>11005</v>
      </c>
      <c r="AG887" t="s">
        <v>5406</v>
      </c>
      <c r="AH887">
        <v>21</v>
      </c>
      <c r="AI887">
        <v>1</v>
      </c>
      <c r="AJ887">
        <v>0</v>
      </c>
      <c r="AK887">
        <v>172.47</v>
      </c>
      <c r="AN887" t="s">
        <v>11049</v>
      </c>
      <c r="AO887">
        <v>20800</v>
      </c>
      <c r="AU887">
        <v>2.5</v>
      </c>
      <c r="AV887" t="s">
        <v>427</v>
      </c>
      <c r="AW887" t="s">
        <v>11495</v>
      </c>
    </row>
    <row r="888" spans="1:49">
      <c r="A888" s="1">
        <f>HYPERLINK("https://cms.ls-nyc.org/matter/dynamic-profile/view/1869538","18-1869538")</f>
        <v>0</v>
      </c>
      <c r="B888" t="s">
        <v>77</v>
      </c>
      <c r="C888" t="s">
        <v>234</v>
      </c>
      <c r="D888" t="s">
        <v>379</v>
      </c>
      <c r="E888" t="s">
        <v>723</v>
      </c>
      <c r="F888" t="s">
        <v>1026</v>
      </c>
      <c r="G888" t="s">
        <v>2162</v>
      </c>
      <c r="H888" t="s">
        <v>3603</v>
      </c>
      <c r="I888" t="s">
        <v>4840</v>
      </c>
      <c r="J888" t="s">
        <v>5320</v>
      </c>
      <c r="K888">
        <v>11213</v>
      </c>
      <c r="L888" t="s">
        <v>5355</v>
      </c>
      <c r="M888" t="s">
        <v>5356</v>
      </c>
      <c r="O888" t="s">
        <v>5393</v>
      </c>
      <c r="P888" t="s">
        <v>6527</v>
      </c>
      <c r="Q888" t="s">
        <v>6531</v>
      </c>
      <c r="R888" t="s">
        <v>6539</v>
      </c>
      <c r="S888" t="s">
        <v>5355</v>
      </c>
      <c r="U888" t="s">
        <v>6557</v>
      </c>
      <c r="W888" t="s">
        <v>395</v>
      </c>
      <c r="X888">
        <v>909.36</v>
      </c>
      <c r="Y888" t="s">
        <v>6605</v>
      </c>
      <c r="Z888" t="s">
        <v>6622</v>
      </c>
      <c r="AA888" t="s">
        <v>6631</v>
      </c>
      <c r="AB888" t="s">
        <v>6870</v>
      </c>
      <c r="AD888" t="s">
        <v>9291</v>
      </c>
      <c r="AE888">
        <v>27</v>
      </c>
      <c r="AF888" t="s">
        <v>11005</v>
      </c>
      <c r="AG888" t="s">
        <v>5406</v>
      </c>
      <c r="AH888">
        <v>26</v>
      </c>
      <c r="AI888">
        <v>1</v>
      </c>
      <c r="AJ888">
        <v>0</v>
      </c>
      <c r="AK888">
        <v>174.46</v>
      </c>
      <c r="AM888" t="s">
        <v>11045</v>
      </c>
      <c r="AN888" t="s">
        <v>11050</v>
      </c>
      <c r="AO888">
        <v>21180</v>
      </c>
      <c r="AU888">
        <v>0.35</v>
      </c>
      <c r="AV888" t="s">
        <v>723</v>
      </c>
      <c r="AW888" t="s">
        <v>77</v>
      </c>
    </row>
    <row r="889" spans="1:49">
      <c r="A889" s="1">
        <f>HYPERLINK("https://cms.ls-nyc.org/matter/dynamic-profile/view/1867973","18-1867973")</f>
        <v>0</v>
      </c>
      <c r="B889" t="s">
        <v>97</v>
      </c>
      <c r="C889" t="s">
        <v>235</v>
      </c>
      <c r="D889" t="s">
        <v>452</v>
      </c>
      <c r="F889" t="s">
        <v>914</v>
      </c>
      <c r="G889" t="s">
        <v>2531</v>
      </c>
      <c r="H889" t="s">
        <v>3879</v>
      </c>
      <c r="I889">
        <v>46</v>
      </c>
      <c r="J889" t="s">
        <v>5323</v>
      </c>
      <c r="K889">
        <v>10040</v>
      </c>
      <c r="L889" t="s">
        <v>5355</v>
      </c>
      <c r="M889" t="s">
        <v>5356</v>
      </c>
      <c r="O889" t="s">
        <v>6496</v>
      </c>
      <c r="P889" t="s">
        <v>6527</v>
      </c>
      <c r="R889" t="s">
        <v>6539</v>
      </c>
      <c r="S889" t="s">
        <v>5357</v>
      </c>
      <c r="U889" t="s">
        <v>6557</v>
      </c>
      <c r="W889" t="s">
        <v>452</v>
      </c>
      <c r="X889">
        <v>762.01</v>
      </c>
      <c r="Y889" t="s">
        <v>6608</v>
      </c>
      <c r="Z889" t="s">
        <v>6614</v>
      </c>
      <c r="AB889" t="s">
        <v>7218</v>
      </c>
      <c r="AD889" t="s">
        <v>9605</v>
      </c>
      <c r="AE889">
        <v>80</v>
      </c>
      <c r="AF889" t="s">
        <v>11005</v>
      </c>
      <c r="AG889" t="s">
        <v>5406</v>
      </c>
      <c r="AH889">
        <v>37</v>
      </c>
      <c r="AI889">
        <v>2</v>
      </c>
      <c r="AJ889">
        <v>0</v>
      </c>
      <c r="AK889">
        <v>175.65</v>
      </c>
      <c r="AN889" t="s">
        <v>11049</v>
      </c>
      <c r="AO889">
        <v>28911.6</v>
      </c>
      <c r="AU889">
        <v>15.1</v>
      </c>
      <c r="AV889" t="s">
        <v>695</v>
      </c>
      <c r="AW889" t="s">
        <v>11495</v>
      </c>
    </row>
    <row r="890" spans="1:49">
      <c r="A890" s="1">
        <f>HYPERLINK("https://cms.ls-nyc.org/matter/dynamic-profile/view/1840957","17-1840957")</f>
        <v>0</v>
      </c>
      <c r="B890" t="s">
        <v>131</v>
      </c>
      <c r="C890" t="s">
        <v>234</v>
      </c>
      <c r="D890" t="s">
        <v>473</v>
      </c>
      <c r="E890" t="s">
        <v>686</v>
      </c>
      <c r="F890" t="s">
        <v>1433</v>
      </c>
      <c r="G890" t="s">
        <v>2702</v>
      </c>
      <c r="H890" t="s">
        <v>3769</v>
      </c>
      <c r="I890" t="s">
        <v>5008</v>
      </c>
      <c r="J890" t="s">
        <v>5323</v>
      </c>
      <c r="K890">
        <v>10034</v>
      </c>
      <c r="L890" t="s">
        <v>5355</v>
      </c>
      <c r="M890" t="s">
        <v>5356</v>
      </c>
      <c r="O890" t="s">
        <v>5393</v>
      </c>
      <c r="P890" t="s">
        <v>6527</v>
      </c>
      <c r="Q890" t="s">
        <v>6533</v>
      </c>
      <c r="R890" t="s">
        <v>6539</v>
      </c>
      <c r="S890" t="s">
        <v>5357</v>
      </c>
      <c r="U890" t="s">
        <v>6557</v>
      </c>
      <c r="W890" t="s">
        <v>473</v>
      </c>
      <c r="X890">
        <v>1019.79</v>
      </c>
      <c r="Y890" t="s">
        <v>6608</v>
      </c>
      <c r="Z890" t="s">
        <v>6616</v>
      </c>
      <c r="AA890" t="s">
        <v>6636</v>
      </c>
      <c r="AB890" t="s">
        <v>7466</v>
      </c>
      <c r="AD890" t="s">
        <v>9836</v>
      </c>
      <c r="AE890">
        <v>49</v>
      </c>
      <c r="AF890" t="s">
        <v>11005</v>
      </c>
      <c r="AG890" t="s">
        <v>5406</v>
      </c>
      <c r="AH890">
        <v>25</v>
      </c>
      <c r="AI890">
        <v>2</v>
      </c>
      <c r="AJ890">
        <v>0</v>
      </c>
      <c r="AK890">
        <v>176.11</v>
      </c>
      <c r="AN890" t="s">
        <v>11049</v>
      </c>
      <c r="AO890">
        <v>28600</v>
      </c>
      <c r="AU890">
        <v>4.5</v>
      </c>
      <c r="AV890" t="s">
        <v>285</v>
      </c>
      <c r="AW890" t="s">
        <v>11495</v>
      </c>
    </row>
    <row r="891" spans="1:49">
      <c r="A891" s="1">
        <f>HYPERLINK("https://cms.ls-nyc.org/matter/dynamic-profile/view/1861906","18-1861906")</f>
        <v>0</v>
      </c>
      <c r="B891" t="s">
        <v>93</v>
      </c>
      <c r="C891" t="s">
        <v>234</v>
      </c>
      <c r="D891" t="s">
        <v>358</v>
      </c>
      <c r="E891" t="s">
        <v>719</v>
      </c>
      <c r="F891" t="s">
        <v>1043</v>
      </c>
      <c r="G891" t="s">
        <v>2109</v>
      </c>
      <c r="H891" t="s">
        <v>4030</v>
      </c>
      <c r="I891" t="s">
        <v>5009</v>
      </c>
      <c r="J891" t="s">
        <v>5317</v>
      </c>
      <c r="K891">
        <v>11432</v>
      </c>
      <c r="L891" t="s">
        <v>5355</v>
      </c>
      <c r="M891" t="s">
        <v>5356</v>
      </c>
      <c r="N891" t="s">
        <v>5392</v>
      </c>
      <c r="O891" t="s">
        <v>5393</v>
      </c>
      <c r="P891" t="s">
        <v>6527</v>
      </c>
      <c r="Q891" t="s">
        <v>6531</v>
      </c>
      <c r="R891" t="s">
        <v>6539</v>
      </c>
      <c r="S891" t="s">
        <v>5355</v>
      </c>
      <c r="U891" t="s">
        <v>6559</v>
      </c>
      <c r="W891" t="s">
        <v>358</v>
      </c>
      <c r="X891">
        <v>1324.07</v>
      </c>
      <c r="Y891" t="s">
        <v>6604</v>
      </c>
      <c r="Z891" t="s">
        <v>6614</v>
      </c>
      <c r="AA891" t="s">
        <v>6631</v>
      </c>
      <c r="AB891" t="s">
        <v>7463</v>
      </c>
      <c r="AC891" t="s">
        <v>5392</v>
      </c>
      <c r="AD891" t="s">
        <v>9837</v>
      </c>
      <c r="AE891">
        <v>60</v>
      </c>
      <c r="AF891" t="s">
        <v>11005</v>
      </c>
      <c r="AG891" t="s">
        <v>11024</v>
      </c>
      <c r="AH891">
        <v>37</v>
      </c>
      <c r="AI891">
        <v>2</v>
      </c>
      <c r="AJ891">
        <v>0</v>
      </c>
      <c r="AK891">
        <v>176.18</v>
      </c>
      <c r="AL891" t="s">
        <v>485</v>
      </c>
      <c r="AN891" t="s">
        <v>11050</v>
      </c>
      <c r="AO891">
        <v>48000</v>
      </c>
      <c r="AU891">
        <v>3</v>
      </c>
      <c r="AV891" t="s">
        <v>414</v>
      </c>
      <c r="AW891" t="s">
        <v>93</v>
      </c>
    </row>
    <row r="892" spans="1:49">
      <c r="A892" s="1">
        <f>HYPERLINK("https://cms.ls-nyc.org/matter/dynamic-profile/view/1857881","18-1857881")</f>
        <v>0</v>
      </c>
      <c r="B892" t="s">
        <v>92</v>
      </c>
      <c r="C892" t="s">
        <v>234</v>
      </c>
      <c r="D892" t="s">
        <v>262</v>
      </c>
      <c r="E892" t="s">
        <v>695</v>
      </c>
      <c r="F892" t="s">
        <v>1167</v>
      </c>
      <c r="G892" t="s">
        <v>2411</v>
      </c>
      <c r="H892" t="s">
        <v>3764</v>
      </c>
      <c r="I892" t="s">
        <v>5010</v>
      </c>
      <c r="J892" t="s">
        <v>5323</v>
      </c>
      <c r="K892">
        <v>10034</v>
      </c>
      <c r="L892" t="s">
        <v>5355</v>
      </c>
      <c r="M892" t="s">
        <v>5356</v>
      </c>
      <c r="N892" t="s">
        <v>5564</v>
      </c>
      <c r="O892" t="s">
        <v>6500</v>
      </c>
      <c r="P892" t="s">
        <v>6527</v>
      </c>
      <c r="Q892" t="s">
        <v>6532</v>
      </c>
      <c r="R892" t="s">
        <v>6539</v>
      </c>
      <c r="S892" t="s">
        <v>5357</v>
      </c>
      <c r="U892" t="s">
        <v>6557</v>
      </c>
      <c r="W892" t="s">
        <v>262</v>
      </c>
      <c r="X892">
        <v>1068</v>
      </c>
      <c r="Y892" t="s">
        <v>6608</v>
      </c>
      <c r="Z892" t="s">
        <v>6614</v>
      </c>
      <c r="AA892" t="s">
        <v>6637</v>
      </c>
      <c r="AB892" t="s">
        <v>7467</v>
      </c>
      <c r="AD892" t="s">
        <v>9838</v>
      </c>
      <c r="AE892">
        <v>50</v>
      </c>
      <c r="AF892" t="s">
        <v>11005</v>
      </c>
      <c r="AG892" t="s">
        <v>5406</v>
      </c>
      <c r="AH892">
        <v>6</v>
      </c>
      <c r="AI892">
        <v>3</v>
      </c>
      <c r="AJ892">
        <v>2</v>
      </c>
      <c r="AK892">
        <v>178.52</v>
      </c>
      <c r="AN892" t="s">
        <v>11049</v>
      </c>
      <c r="AO892">
        <v>52520</v>
      </c>
      <c r="AU892">
        <v>0.3</v>
      </c>
      <c r="AV892" t="s">
        <v>312</v>
      </c>
      <c r="AW892" t="s">
        <v>11495</v>
      </c>
    </row>
    <row r="893" spans="1:49">
      <c r="A893" s="1">
        <f>HYPERLINK("https://cms.ls-nyc.org/matter/dynamic-profile/view/1850772","17-1850772")</f>
        <v>0</v>
      </c>
      <c r="B893" t="s">
        <v>107</v>
      </c>
      <c r="C893" t="s">
        <v>235</v>
      </c>
      <c r="D893" t="s">
        <v>400</v>
      </c>
      <c r="F893" t="s">
        <v>1004</v>
      </c>
      <c r="G893" t="s">
        <v>2703</v>
      </c>
      <c r="H893" t="s">
        <v>4031</v>
      </c>
      <c r="I893" t="s">
        <v>5011</v>
      </c>
      <c r="J893" t="s">
        <v>5323</v>
      </c>
      <c r="K893">
        <v>10029</v>
      </c>
      <c r="L893" t="s">
        <v>5355</v>
      </c>
      <c r="M893" t="s">
        <v>5356</v>
      </c>
      <c r="O893" t="s">
        <v>6501</v>
      </c>
      <c r="P893" t="s">
        <v>6527</v>
      </c>
      <c r="R893" t="s">
        <v>6539</v>
      </c>
      <c r="S893" t="s">
        <v>5357</v>
      </c>
      <c r="U893" t="s">
        <v>6563</v>
      </c>
      <c r="W893" t="s">
        <v>400</v>
      </c>
      <c r="X893">
        <v>1319.05</v>
      </c>
      <c r="Y893" t="s">
        <v>6608</v>
      </c>
      <c r="Z893" t="s">
        <v>6625</v>
      </c>
      <c r="AB893" t="s">
        <v>7468</v>
      </c>
      <c r="AD893" t="s">
        <v>9839</v>
      </c>
      <c r="AE893">
        <v>936</v>
      </c>
      <c r="AF893" t="s">
        <v>11010</v>
      </c>
      <c r="AG893" t="s">
        <v>5406</v>
      </c>
      <c r="AH893">
        <v>22</v>
      </c>
      <c r="AI893">
        <v>1</v>
      </c>
      <c r="AJ893">
        <v>0</v>
      </c>
      <c r="AK893">
        <v>182.42</v>
      </c>
      <c r="AN893" t="s">
        <v>11049</v>
      </c>
      <c r="AO893">
        <v>22000</v>
      </c>
      <c r="AU893">
        <v>58.5</v>
      </c>
      <c r="AV893" t="s">
        <v>817</v>
      </c>
      <c r="AW893" t="s">
        <v>11497</v>
      </c>
    </row>
    <row r="894" spans="1:49">
      <c r="A894" s="1">
        <f>HYPERLINK("https://cms.ls-nyc.org/matter/dynamic-profile/view/1857427","18-1857427")</f>
        <v>0</v>
      </c>
      <c r="B894" t="s">
        <v>107</v>
      </c>
      <c r="C894" t="s">
        <v>234</v>
      </c>
      <c r="D894" t="s">
        <v>397</v>
      </c>
      <c r="E894" t="s">
        <v>730</v>
      </c>
      <c r="F894" t="s">
        <v>1434</v>
      </c>
      <c r="G894" t="s">
        <v>2704</v>
      </c>
      <c r="H894" t="s">
        <v>4032</v>
      </c>
      <c r="I894">
        <v>311</v>
      </c>
      <c r="J894" t="s">
        <v>5323</v>
      </c>
      <c r="K894">
        <v>10034</v>
      </c>
      <c r="L894" t="s">
        <v>5355</v>
      </c>
      <c r="M894" t="s">
        <v>5356</v>
      </c>
      <c r="O894" t="s">
        <v>6501</v>
      </c>
      <c r="P894" t="s">
        <v>6527</v>
      </c>
      <c r="Q894" t="s">
        <v>6536</v>
      </c>
      <c r="R894" t="s">
        <v>6539</v>
      </c>
      <c r="S894" t="s">
        <v>5357</v>
      </c>
      <c r="U894" t="s">
        <v>6563</v>
      </c>
      <c r="W894" t="s">
        <v>397</v>
      </c>
      <c r="X894">
        <v>846</v>
      </c>
      <c r="Y894" t="s">
        <v>6608</v>
      </c>
      <c r="Z894" t="s">
        <v>6625</v>
      </c>
      <c r="AA894" t="s">
        <v>6635</v>
      </c>
      <c r="AB894" t="s">
        <v>7469</v>
      </c>
      <c r="AD894" t="s">
        <v>9840</v>
      </c>
      <c r="AE894">
        <v>47</v>
      </c>
      <c r="AF894" t="s">
        <v>8722</v>
      </c>
      <c r="AG894" t="s">
        <v>5406</v>
      </c>
      <c r="AH894">
        <v>1</v>
      </c>
      <c r="AI894">
        <v>1</v>
      </c>
      <c r="AJ894">
        <v>0</v>
      </c>
      <c r="AK894">
        <v>183.58</v>
      </c>
      <c r="AN894" t="s">
        <v>11050</v>
      </c>
      <c r="AO894">
        <v>22140</v>
      </c>
      <c r="AU894">
        <v>35.05</v>
      </c>
      <c r="AV894" t="s">
        <v>748</v>
      </c>
      <c r="AW894" t="s">
        <v>11497</v>
      </c>
    </row>
    <row r="895" spans="1:49">
      <c r="A895" s="1">
        <f>HYPERLINK("https://cms.ls-nyc.org/matter/dynamic-profile/view/1849596","17-1849596")</f>
        <v>0</v>
      </c>
      <c r="B895" t="s">
        <v>159</v>
      </c>
      <c r="C895" t="s">
        <v>234</v>
      </c>
      <c r="D895" t="s">
        <v>483</v>
      </c>
      <c r="E895" t="s">
        <v>445</v>
      </c>
      <c r="F895" t="s">
        <v>1201</v>
      </c>
      <c r="G895" t="s">
        <v>2705</v>
      </c>
      <c r="H895" t="s">
        <v>4033</v>
      </c>
      <c r="I895">
        <v>31</v>
      </c>
      <c r="J895" t="s">
        <v>5321</v>
      </c>
      <c r="K895">
        <v>10467</v>
      </c>
      <c r="L895" t="s">
        <v>5355</v>
      </c>
      <c r="M895" t="s">
        <v>5356</v>
      </c>
      <c r="O895" t="s">
        <v>6512</v>
      </c>
      <c r="P895" t="s">
        <v>6527</v>
      </c>
      <c r="Q895" t="s">
        <v>6536</v>
      </c>
      <c r="R895" t="s">
        <v>6539</v>
      </c>
      <c r="S895" t="s">
        <v>5357</v>
      </c>
      <c r="U895" t="s">
        <v>6560</v>
      </c>
      <c r="W895" t="s">
        <v>362</v>
      </c>
      <c r="X895">
        <v>1200</v>
      </c>
      <c r="Y895" t="s">
        <v>6606</v>
      </c>
      <c r="Z895" t="s">
        <v>6611</v>
      </c>
      <c r="AA895" t="s">
        <v>6637</v>
      </c>
      <c r="AB895" t="s">
        <v>7470</v>
      </c>
      <c r="AD895" t="s">
        <v>9841</v>
      </c>
      <c r="AE895">
        <v>36</v>
      </c>
      <c r="AF895" t="s">
        <v>11005</v>
      </c>
      <c r="AG895" t="s">
        <v>11020</v>
      </c>
      <c r="AH895">
        <v>20</v>
      </c>
      <c r="AI895">
        <v>1</v>
      </c>
      <c r="AJ895">
        <v>0</v>
      </c>
      <c r="AK895">
        <v>183.68</v>
      </c>
      <c r="AN895" t="s">
        <v>11050</v>
      </c>
      <c r="AO895">
        <v>22152</v>
      </c>
      <c r="AP895" t="s">
        <v>11125</v>
      </c>
      <c r="AU895">
        <v>3.25</v>
      </c>
      <c r="AV895" t="s">
        <v>303</v>
      </c>
      <c r="AW895" t="s">
        <v>11499</v>
      </c>
    </row>
    <row r="896" spans="1:49">
      <c r="A896" s="1">
        <f>HYPERLINK("https://cms.ls-nyc.org/matter/dynamic-profile/view/1870522","18-1870522")</f>
        <v>0</v>
      </c>
      <c r="B896" t="s">
        <v>112</v>
      </c>
      <c r="C896" t="s">
        <v>235</v>
      </c>
      <c r="D896" t="s">
        <v>255</v>
      </c>
      <c r="F896" t="s">
        <v>1435</v>
      </c>
      <c r="G896" t="s">
        <v>2133</v>
      </c>
      <c r="H896" t="s">
        <v>3966</v>
      </c>
      <c r="I896" t="s">
        <v>5012</v>
      </c>
      <c r="J896" t="s">
        <v>5339</v>
      </c>
      <c r="K896">
        <v>11372</v>
      </c>
      <c r="L896" t="s">
        <v>5355</v>
      </c>
      <c r="M896" t="s">
        <v>5356</v>
      </c>
      <c r="N896" t="s">
        <v>5392</v>
      </c>
      <c r="O896" t="s">
        <v>6496</v>
      </c>
      <c r="P896" t="s">
        <v>6527</v>
      </c>
      <c r="R896" t="s">
        <v>6539</v>
      </c>
      <c r="S896" t="s">
        <v>5355</v>
      </c>
      <c r="U896" t="s">
        <v>6557</v>
      </c>
      <c r="W896" t="s">
        <v>255</v>
      </c>
      <c r="X896">
        <v>2000</v>
      </c>
      <c r="Y896" t="s">
        <v>6604</v>
      </c>
      <c r="Z896" t="s">
        <v>6615</v>
      </c>
      <c r="AB896" t="s">
        <v>6823</v>
      </c>
      <c r="AC896" t="s">
        <v>5392</v>
      </c>
      <c r="AD896" t="s">
        <v>9842</v>
      </c>
      <c r="AE896">
        <v>64</v>
      </c>
      <c r="AF896" t="s">
        <v>8722</v>
      </c>
      <c r="AG896" t="s">
        <v>5406</v>
      </c>
      <c r="AH896">
        <v>9</v>
      </c>
      <c r="AI896">
        <v>2</v>
      </c>
      <c r="AJ896">
        <v>2</v>
      </c>
      <c r="AK896">
        <v>187.25</v>
      </c>
      <c r="AN896" t="s">
        <v>11049</v>
      </c>
      <c r="AO896">
        <v>47000</v>
      </c>
      <c r="AU896">
        <v>0</v>
      </c>
      <c r="AW896" t="s">
        <v>11506</v>
      </c>
    </row>
    <row r="897" spans="1:50">
      <c r="A897" s="1">
        <f>HYPERLINK("https://cms.ls-nyc.org/matter/dynamic-profile/view/1868768","18-1868768")</f>
        <v>0</v>
      </c>
      <c r="B897" t="s">
        <v>90</v>
      </c>
      <c r="C897" t="s">
        <v>235</v>
      </c>
      <c r="D897" t="s">
        <v>318</v>
      </c>
      <c r="F897" t="s">
        <v>908</v>
      </c>
      <c r="G897" t="s">
        <v>2274</v>
      </c>
      <c r="H897" t="s">
        <v>3589</v>
      </c>
      <c r="I897" t="s">
        <v>4788</v>
      </c>
      <c r="J897" t="s">
        <v>5321</v>
      </c>
      <c r="K897">
        <v>10452</v>
      </c>
      <c r="L897" t="s">
        <v>5355</v>
      </c>
      <c r="M897" t="s">
        <v>5356</v>
      </c>
      <c r="O897" t="s">
        <v>5393</v>
      </c>
      <c r="P897" t="s">
        <v>6527</v>
      </c>
      <c r="R897" t="s">
        <v>6539</v>
      </c>
      <c r="S897" t="s">
        <v>5355</v>
      </c>
      <c r="U897" t="s">
        <v>6557</v>
      </c>
      <c r="W897" t="s">
        <v>516</v>
      </c>
      <c r="X897">
        <v>1119.35</v>
      </c>
      <c r="Y897" t="s">
        <v>6606</v>
      </c>
      <c r="Z897" t="s">
        <v>6625</v>
      </c>
      <c r="AB897" t="s">
        <v>7471</v>
      </c>
      <c r="AD897" t="s">
        <v>9843</v>
      </c>
      <c r="AE897">
        <v>60</v>
      </c>
      <c r="AF897" t="s">
        <v>11005</v>
      </c>
      <c r="AG897" t="s">
        <v>5406</v>
      </c>
      <c r="AH897">
        <v>4</v>
      </c>
      <c r="AI897">
        <v>4</v>
      </c>
      <c r="AJ897">
        <v>0</v>
      </c>
      <c r="AK897">
        <v>187.25</v>
      </c>
      <c r="AN897" t="s">
        <v>11049</v>
      </c>
      <c r="AO897">
        <v>47000</v>
      </c>
      <c r="AU897">
        <v>0</v>
      </c>
      <c r="AW897" t="s">
        <v>11492</v>
      </c>
    </row>
    <row r="898" spans="1:50">
      <c r="A898" s="1">
        <f>HYPERLINK("https://cms.ls-nyc.org/matter/dynamic-profile/view/1866497","18-1866497")</f>
        <v>0</v>
      </c>
      <c r="B898" t="s">
        <v>171</v>
      </c>
      <c r="C898" t="s">
        <v>234</v>
      </c>
      <c r="D898" t="s">
        <v>268</v>
      </c>
      <c r="E898" t="s">
        <v>776</v>
      </c>
      <c r="F898" t="s">
        <v>1436</v>
      </c>
      <c r="G898" t="s">
        <v>2706</v>
      </c>
      <c r="H898" t="s">
        <v>4034</v>
      </c>
      <c r="I898">
        <v>3</v>
      </c>
      <c r="J898" t="s">
        <v>5320</v>
      </c>
      <c r="K898">
        <v>11203</v>
      </c>
      <c r="L898" t="s">
        <v>5355</v>
      </c>
      <c r="M898" t="s">
        <v>5356</v>
      </c>
      <c r="O898" t="s">
        <v>6496</v>
      </c>
      <c r="P898" t="s">
        <v>6527</v>
      </c>
      <c r="Q898" t="s">
        <v>6532</v>
      </c>
      <c r="R898" t="s">
        <v>6539</v>
      </c>
      <c r="S898" t="s">
        <v>5357</v>
      </c>
      <c r="U898" t="s">
        <v>6557</v>
      </c>
      <c r="W898" t="s">
        <v>268</v>
      </c>
      <c r="X898">
        <v>821</v>
      </c>
      <c r="Y898" t="s">
        <v>6605</v>
      </c>
      <c r="Z898" t="s">
        <v>6612</v>
      </c>
      <c r="AA898" t="s">
        <v>6631</v>
      </c>
      <c r="AB898" t="s">
        <v>7472</v>
      </c>
      <c r="AD898" t="s">
        <v>9844</v>
      </c>
      <c r="AE898">
        <v>0</v>
      </c>
      <c r="AF898" t="s">
        <v>11005</v>
      </c>
      <c r="AG898" t="s">
        <v>5406</v>
      </c>
      <c r="AH898">
        <v>39</v>
      </c>
      <c r="AI898">
        <v>1</v>
      </c>
      <c r="AJ898">
        <v>0</v>
      </c>
      <c r="AK898">
        <v>187.81</v>
      </c>
      <c r="AO898">
        <v>22800</v>
      </c>
      <c r="AU898">
        <v>3.7</v>
      </c>
      <c r="AV898" t="s">
        <v>776</v>
      </c>
      <c r="AW898" t="s">
        <v>11490</v>
      </c>
    </row>
    <row r="899" spans="1:50">
      <c r="A899" s="1">
        <f>HYPERLINK("https://cms.ls-nyc.org/matter/dynamic-profile/view/1853573","17-1853573")</f>
        <v>0</v>
      </c>
      <c r="B899" t="s">
        <v>132</v>
      </c>
      <c r="C899" t="s">
        <v>234</v>
      </c>
      <c r="D899" t="s">
        <v>327</v>
      </c>
      <c r="E899" t="s">
        <v>475</v>
      </c>
      <c r="F899" t="s">
        <v>1174</v>
      </c>
      <c r="G899" t="s">
        <v>2707</v>
      </c>
      <c r="H899" t="s">
        <v>4035</v>
      </c>
      <c r="I899" t="s">
        <v>5013</v>
      </c>
      <c r="J899" t="s">
        <v>5323</v>
      </c>
      <c r="K899">
        <v>10029</v>
      </c>
      <c r="L899" t="s">
        <v>5355</v>
      </c>
      <c r="M899" t="s">
        <v>5355</v>
      </c>
      <c r="O899" t="s">
        <v>5393</v>
      </c>
      <c r="P899" t="s">
        <v>6527</v>
      </c>
      <c r="Q899" t="s">
        <v>6532</v>
      </c>
      <c r="R899" t="s">
        <v>6539</v>
      </c>
      <c r="S899" t="s">
        <v>5357</v>
      </c>
      <c r="U899" t="s">
        <v>6557</v>
      </c>
      <c r="V899" t="s">
        <v>6566</v>
      </c>
      <c r="W899" t="s">
        <v>439</v>
      </c>
      <c r="X899">
        <v>1029</v>
      </c>
      <c r="Y899" t="s">
        <v>6608</v>
      </c>
      <c r="Z899" t="s">
        <v>6613</v>
      </c>
      <c r="AA899" t="s">
        <v>6631</v>
      </c>
      <c r="AB899" t="s">
        <v>7473</v>
      </c>
      <c r="AD899" t="s">
        <v>9845</v>
      </c>
      <c r="AE899">
        <v>30</v>
      </c>
      <c r="AF899" t="s">
        <v>11005</v>
      </c>
      <c r="AG899" t="s">
        <v>5406</v>
      </c>
      <c r="AH899">
        <v>3</v>
      </c>
      <c r="AI899">
        <v>1</v>
      </c>
      <c r="AJ899">
        <v>0</v>
      </c>
      <c r="AK899">
        <v>188.21</v>
      </c>
      <c r="AN899" t="s">
        <v>11050</v>
      </c>
      <c r="AO899">
        <v>22698</v>
      </c>
      <c r="AU899">
        <v>12.7</v>
      </c>
      <c r="AV899" t="s">
        <v>309</v>
      </c>
      <c r="AW899" t="s">
        <v>11504</v>
      </c>
      <c r="AX899" t="s">
        <v>11564</v>
      </c>
    </row>
    <row r="900" spans="1:50">
      <c r="A900" s="1">
        <f>HYPERLINK("https://cms.ls-nyc.org/matter/dynamic-profile/view/1865908","18-1865908")</f>
        <v>0</v>
      </c>
      <c r="B900" t="s">
        <v>55</v>
      </c>
      <c r="C900" t="s">
        <v>234</v>
      </c>
      <c r="D900" t="s">
        <v>326</v>
      </c>
      <c r="E900" t="s">
        <v>761</v>
      </c>
      <c r="F900" t="s">
        <v>1437</v>
      </c>
      <c r="G900" t="s">
        <v>2708</v>
      </c>
      <c r="H900" t="s">
        <v>4036</v>
      </c>
      <c r="I900" t="s">
        <v>5014</v>
      </c>
      <c r="J900" t="s">
        <v>5320</v>
      </c>
      <c r="K900">
        <v>11213</v>
      </c>
      <c r="L900" t="s">
        <v>5355</v>
      </c>
      <c r="M900" t="s">
        <v>5355</v>
      </c>
      <c r="O900" t="s">
        <v>6496</v>
      </c>
      <c r="P900" t="s">
        <v>6527</v>
      </c>
      <c r="Q900" t="s">
        <v>6532</v>
      </c>
      <c r="R900" t="s">
        <v>6539</v>
      </c>
      <c r="S900" t="s">
        <v>5357</v>
      </c>
      <c r="U900" t="s">
        <v>6557</v>
      </c>
      <c r="W900" t="s">
        <v>516</v>
      </c>
      <c r="X900">
        <v>777.39</v>
      </c>
      <c r="Y900" t="s">
        <v>6605</v>
      </c>
      <c r="Z900" t="s">
        <v>6609</v>
      </c>
      <c r="AA900" t="s">
        <v>6636</v>
      </c>
      <c r="AB900" t="s">
        <v>7474</v>
      </c>
      <c r="AC900">
        <v>1717388</v>
      </c>
      <c r="AD900" t="s">
        <v>9846</v>
      </c>
      <c r="AE900">
        <v>48</v>
      </c>
      <c r="AF900" t="s">
        <v>11005</v>
      </c>
      <c r="AG900" t="s">
        <v>5406</v>
      </c>
      <c r="AH900">
        <v>32</v>
      </c>
      <c r="AI900">
        <v>1</v>
      </c>
      <c r="AJ900">
        <v>0</v>
      </c>
      <c r="AK900">
        <v>189.46</v>
      </c>
      <c r="AN900" t="s">
        <v>11050</v>
      </c>
      <c r="AO900">
        <v>23000</v>
      </c>
      <c r="AU900">
        <v>14.8</v>
      </c>
      <c r="AV900" t="s">
        <v>761</v>
      </c>
      <c r="AW900" t="s">
        <v>11490</v>
      </c>
    </row>
    <row r="901" spans="1:50">
      <c r="A901" s="1">
        <f>HYPERLINK("https://cms.ls-nyc.org/matter/dynamic-profile/view/1843398","17-1843398")</f>
        <v>0</v>
      </c>
      <c r="B901" t="s">
        <v>106</v>
      </c>
      <c r="C901" t="s">
        <v>235</v>
      </c>
      <c r="D901" t="s">
        <v>438</v>
      </c>
      <c r="F901" t="s">
        <v>1438</v>
      </c>
      <c r="G901" t="s">
        <v>2125</v>
      </c>
      <c r="H901" t="s">
        <v>4022</v>
      </c>
      <c r="I901" t="s">
        <v>5015</v>
      </c>
      <c r="J901" t="s">
        <v>5321</v>
      </c>
      <c r="K901">
        <v>10451</v>
      </c>
      <c r="L901" t="s">
        <v>5355</v>
      </c>
      <c r="M901" t="s">
        <v>5356</v>
      </c>
      <c r="O901" t="s">
        <v>6500</v>
      </c>
      <c r="P901" t="s">
        <v>6527</v>
      </c>
      <c r="R901" t="s">
        <v>6539</v>
      </c>
      <c r="S901" t="s">
        <v>5355</v>
      </c>
      <c r="U901" t="s">
        <v>6557</v>
      </c>
      <c r="W901" t="s">
        <v>6572</v>
      </c>
      <c r="X901">
        <v>1106.48</v>
      </c>
      <c r="Y901" t="s">
        <v>6606</v>
      </c>
      <c r="Z901" t="s">
        <v>6616</v>
      </c>
      <c r="AB901" t="s">
        <v>7475</v>
      </c>
      <c r="AD901" t="s">
        <v>9847</v>
      </c>
      <c r="AE901">
        <v>936</v>
      </c>
      <c r="AF901" t="s">
        <v>11010</v>
      </c>
      <c r="AG901" t="s">
        <v>5406</v>
      </c>
      <c r="AH901">
        <v>21</v>
      </c>
      <c r="AI901">
        <v>1</v>
      </c>
      <c r="AJ901">
        <v>0</v>
      </c>
      <c r="AK901">
        <v>189.52</v>
      </c>
      <c r="AL901" t="s">
        <v>6580</v>
      </c>
      <c r="AN901" t="s">
        <v>11050</v>
      </c>
      <c r="AO901">
        <v>22856.16</v>
      </c>
      <c r="AP901" t="s">
        <v>11126</v>
      </c>
      <c r="AU901">
        <v>2.35</v>
      </c>
      <c r="AV901" t="s">
        <v>293</v>
      </c>
      <c r="AW901" t="s">
        <v>11509</v>
      </c>
    </row>
    <row r="902" spans="1:50">
      <c r="A902" s="1">
        <f>HYPERLINK("https://cms.ls-nyc.org/matter/dynamic-profile/view/1847570","17-1847570")</f>
        <v>0</v>
      </c>
      <c r="B902" t="s">
        <v>92</v>
      </c>
      <c r="C902" t="s">
        <v>235</v>
      </c>
      <c r="D902" t="s">
        <v>390</v>
      </c>
      <c r="F902" t="s">
        <v>1439</v>
      </c>
      <c r="G902" t="s">
        <v>2709</v>
      </c>
      <c r="H902" t="s">
        <v>4037</v>
      </c>
      <c r="I902" t="s">
        <v>5016</v>
      </c>
      <c r="J902" t="s">
        <v>5323</v>
      </c>
      <c r="K902">
        <v>10034</v>
      </c>
      <c r="L902" t="s">
        <v>5355</v>
      </c>
      <c r="M902" t="s">
        <v>5356</v>
      </c>
      <c r="O902" t="s">
        <v>5393</v>
      </c>
      <c r="P902" t="s">
        <v>6527</v>
      </c>
      <c r="R902" t="s">
        <v>6539</v>
      </c>
      <c r="S902" t="s">
        <v>5357</v>
      </c>
      <c r="U902" t="s">
        <v>6557</v>
      </c>
      <c r="W902" t="s">
        <v>283</v>
      </c>
      <c r="X902">
        <v>2300</v>
      </c>
      <c r="Y902" t="s">
        <v>6608</v>
      </c>
      <c r="Z902" t="s">
        <v>6616</v>
      </c>
      <c r="AB902" t="s">
        <v>7476</v>
      </c>
      <c r="AD902" t="s">
        <v>9848</v>
      </c>
      <c r="AE902">
        <v>228</v>
      </c>
      <c r="AF902" t="s">
        <v>11005</v>
      </c>
      <c r="AG902" t="s">
        <v>5406</v>
      </c>
      <c r="AH902">
        <v>9</v>
      </c>
      <c r="AI902">
        <v>1</v>
      </c>
      <c r="AJ902">
        <v>0</v>
      </c>
      <c r="AK902">
        <v>190.71</v>
      </c>
      <c r="AN902" t="s">
        <v>11050</v>
      </c>
      <c r="AO902">
        <v>23000</v>
      </c>
      <c r="AU902">
        <v>61.7</v>
      </c>
      <c r="AV902" t="s">
        <v>727</v>
      </c>
      <c r="AW902" t="s">
        <v>11495</v>
      </c>
    </row>
    <row r="903" spans="1:50">
      <c r="A903" s="1">
        <f>HYPERLINK("https://cms.ls-nyc.org/matter/dynamic-profile/view/1845898","17-1845898")</f>
        <v>0</v>
      </c>
      <c r="B903" t="s">
        <v>52</v>
      </c>
      <c r="C903" t="s">
        <v>234</v>
      </c>
      <c r="D903" t="s">
        <v>419</v>
      </c>
      <c r="E903" t="s">
        <v>738</v>
      </c>
      <c r="F903" t="s">
        <v>1440</v>
      </c>
      <c r="G903" t="s">
        <v>2215</v>
      </c>
      <c r="H903" t="s">
        <v>4038</v>
      </c>
      <c r="I903" t="s">
        <v>4771</v>
      </c>
      <c r="J903" t="s">
        <v>5324</v>
      </c>
      <c r="K903">
        <v>11354</v>
      </c>
      <c r="L903" t="s">
        <v>5355</v>
      </c>
      <c r="M903" t="s">
        <v>5355</v>
      </c>
      <c r="N903" t="s">
        <v>5383</v>
      </c>
      <c r="O903" t="s">
        <v>6493</v>
      </c>
      <c r="P903" t="s">
        <v>6527</v>
      </c>
      <c r="Q903" t="s">
        <v>6533</v>
      </c>
      <c r="R903" t="s">
        <v>6539</v>
      </c>
      <c r="S903" t="s">
        <v>5357</v>
      </c>
      <c r="U903" t="s">
        <v>6557</v>
      </c>
      <c r="V903" t="s">
        <v>6566</v>
      </c>
      <c r="W903" t="s">
        <v>419</v>
      </c>
      <c r="X903">
        <v>1423.88</v>
      </c>
      <c r="Y903" t="s">
        <v>6604</v>
      </c>
      <c r="Z903" t="s">
        <v>6620</v>
      </c>
      <c r="AA903" t="s">
        <v>6636</v>
      </c>
      <c r="AB903" t="s">
        <v>7477</v>
      </c>
      <c r="AD903" t="s">
        <v>9166</v>
      </c>
      <c r="AE903">
        <v>87</v>
      </c>
      <c r="AF903" t="s">
        <v>11005</v>
      </c>
      <c r="AG903" t="s">
        <v>11024</v>
      </c>
      <c r="AH903">
        <v>23</v>
      </c>
      <c r="AI903">
        <v>1</v>
      </c>
      <c r="AJ903">
        <v>0</v>
      </c>
      <c r="AK903">
        <v>191.24</v>
      </c>
      <c r="AN903" t="s">
        <v>11050</v>
      </c>
      <c r="AO903">
        <v>23064</v>
      </c>
      <c r="AU903">
        <v>10.98</v>
      </c>
      <c r="AV903" t="s">
        <v>724</v>
      </c>
      <c r="AW903" t="s">
        <v>127</v>
      </c>
    </row>
    <row r="904" spans="1:50">
      <c r="A904" s="1">
        <f>HYPERLINK("https://cms.ls-nyc.org/matter/dynamic-profile/view/1850503","17-1850503")</f>
        <v>0</v>
      </c>
      <c r="B904" t="s">
        <v>131</v>
      </c>
      <c r="C904" t="s">
        <v>234</v>
      </c>
      <c r="D904" t="s">
        <v>366</v>
      </c>
      <c r="E904" t="s">
        <v>686</v>
      </c>
      <c r="F904" t="s">
        <v>1441</v>
      </c>
      <c r="G904" t="s">
        <v>2311</v>
      </c>
      <c r="H904" t="s">
        <v>3769</v>
      </c>
      <c r="I904" t="s">
        <v>5017</v>
      </c>
      <c r="J904" t="s">
        <v>5323</v>
      </c>
      <c r="K904">
        <v>10034</v>
      </c>
      <c r="L904" t="s">
        <v>5355</v>
      </c>
      <c r="M904" t="s">
        <v>5356</v>
      </c>
      <c r="O904" t="s">
        <v>5393</v>
      </c>
      <c r="P904" t="s">
        <v>6527</v>
      </c>
      <c r="Q904" t="s">
        <v>6533</v>
      </c>
      <c r="R904" t="s">
        <v>6539</v>
      </c>
      <c r="S904" t="s">
        <v>5357</v>
      </c>
      <c r="U904" t="s">
        <v>6557</v>
      </c>
      <c r="W904" t="s">
        <v>366</v>
      </c>
      <c r="X904">
        <v>651.42</v>
      </c>
      <c r="Y904" t="s">
        <v>6608</v>
      </c>
      <c r="Z904" t="s">
        <v>6616</v>
      </c>
      <c r="AA904" t="s">
        <v>6637</v>
      </c>
      <c r="AB904" t="s">
        <v>7478</v>
      </c>
      <c r="AD904" t="s">
        <v>9849</v>
      </c>
      <c r="AE904">
        <v>49</v>
      </c>
      <c r="AF904" t="s">
        <v>11005</v>
      </c>
      <c r="AG904" t="s">
        <v>5406</v>
      </c>
      <c r="AH904">
        <v>23</v>
      </c>
      <c r="AI904">
        <v>2</v>
      </c>
      <c r="AJ904">
        <v>0</v>
      </c>
      <c r="AK904">
        <v>192.12</v>
      </c>
      <c r="AN904" t="s">
        <v>11050</v>
      </c>
      <c r="AO904">
        <v>31200</v>
      </c>
      <c r="AU904">
        <v>5</v>
      </c>
      <c r="AV904" t="s">
        <v>680</v>
      </c>
      <c r="AW904" t="s">
        <v>11495</v>
      </c>
    </row>
    <row r="905" spans="1:50">
      <c r="A905" s="1">
        <f>HYPERLINK("https://cms.ls-nyc.org/matter/dynamic-profile/view/0818184","16-0818184")</f>
        <v>0</v>
      </c>
      <c r="B905" t="s">
        <v>111</v>
      </c>
      <c r="C905" t="s">
        <v>235</v>
      </c>
      <c r="D905" t="s">
        <v>507</v>
      </c>
      <c r="F905" t="s">
        <v>1442</v>
      </c>
      <c r="G905" t="s">
        <v>2710</v>
      </c>
      <c r="H905" t="s">
        <v>4039</v>
      </c>
      <c r="I905" t="s">
        <v>4775</v>
      </c>
      <c r="J905" t="s">
        <v>5323</v>
      </c>
      <c r="K905">
        <v>10034</v>
      </c>
      <c r="L905" t="s">
        <v>5355</v>
      </c>
      <c r="M905" t="s">
        <v>5356</v>
      </c>
      <c r="O905" t="s">
        <v>5393</v>
      </c>
      <c r="P905" t="s">
        <v>6527</v>
      </c>
      <c r="R905" t="s">
        <v>6539</v>
      </c>
      <c r="S905" t="s">
        <v>5357</v>
      </c>
      <c r="U905" t="s">
        <v>6557</v>
      </c>
      <c r="W905" t="s">
        <v>405</v>
      </c>
      <c r="X905">
        <v>659.6</v>
      </c>
      <c r="Y905" t="s">
        <v>6608</v>
      </c>
      <c r="Z905" t="s">
        <v>6621</v>
      </c>
      <c r="AB905" t="s">
        <v>7479</v>
      </c>
      <c r="AD905" t="s">
        <v>9850</v>
      </c>
      <c r="AE905">
        <v>30</v>
      </c>
      <c r="AF905" t="s">
        <v>11005</v>
      </c>
      <c r="AG905" t="s">
        <v>5406</v>
      </c>
      <c r="AH905">
        <v>43</v>
      </c>
      <c r="AI905">
        <v>2</v>
      </c>
      <c r="AJ905">
        <v>0</v>
      </c>
      <c r="AK905">
        <v>194.76</v>
      </c>
      <c r="AN905" t="s">
        <v>11049</v>
      </c>
      <c r="AO905">
        <v>31200</v>
      </c>
      <c r="AU905">
        <v>41.3</v>
      </c>
      <c r="AV905" t="s">
        <v>757</v>
      </c>
      <c r="AW905" t="s">
        <v>11527</v>
      </c>
    </row>
    <row r="906" spans="1:50">
      <c r="A906" s="1">
        <f>HYPERLINK("https://cms.ls-nyc.org/matter/dynamic-profile/view/0832652","17-0832652")</f>
        <v>0</v>
      </c>
      <c r="B906" t="s">
        <v>153</v>
      </c>
      <c r="C906" t="s">
        <v>234</v>
      </c>
      <c r="D906" t="s">
        <v>487</v>
      </c>
      <c r="E906" t="s">
        <v>666</v>
      </c>
      <c r="F906" t="s">
        <v>1438</v>
      </c>
      <c r="G906" t="s">
        <v>2270</v>
      </c>
      <c r="H906" t="s">
        <v>3937</v>
      </c>
      <c r="I906" t="s">
        <v>4838</v>
      </c>
      <c r="J906" t="s">
        <v>5321</v>
      </c>
      <c r="K906">
        <v>10453</v>
      </c>
      <c r="L906" t="s">
        <v>5355</v>
      </c>
      <c r="M906" t="s">
        <v>5356</v>
      </c>
      <c r="O906" t="s">
        <v>5393</v>
      </c>
      <c r="P906" t="s">
        <v>6527</v>
      </c>
      <c r="Q906" t="s">
        <v>6534</v>
      </c>
      <c r="R906" t="s">
        <v>6539</v>
      </c>
      <c r="S906" t="s">
        <v>5355</v>
      </c>
      <c r="U906" t="s">
        <v>6557</v>
      </c>
      <c r="W906" t="s">
        <v>372</v>
      </c>
      <c r="X906">
        <v>0</v>
      </c>
      <c r="Y906" t="s">
        <v>6606</v>
      </c>
      <c r="Z906" t="s">
        <v>6612</v>
      </c>
      <c r="AA906" t="s">
        <v>6637</v>
      </c>
      <c r="AB906" t="s">
        <v>7480</v>
      </c>
      <c r="AE906">
        <v>766</v>
      </c>
      <c r="AF906" t="s">
        <v>11008</v>
      </c>
      <c r="AG906" t="s">
        <v>11020</v>
      </c>
      <c r="AH906">
        <v>15</v>
      </c>
      <c r="AI906">
        <v>1</v>
      </c>
      <c r="AJ906">
        <v>0</v>
      </c>
      <c r="AK906">
        <v>197.01</v>
      </c>
      <c r="AN906" t="s">
        <v>11050</v>
      </c>
      <c r="AO906">
        <v>23760</v>
      </c>
      <c r="AU906">
        <v>29.3</v>
      </c>
      <c r="AV906" t="s">
        <v>413</v>
      </c>
      <c r="AW906" t="s">
        <v>11509</v>
      </c>
    </row>
    <row r="907" spans="1:50">
      <c r="A907" s="1">
        <f>HYPERLINK("https://cms.ls-nyc.org/matter/dynamic-profile/view/1858306","18-1858306")</f>
        <v>0</v>
      </c>
      <c r="B907" t="s">
        <v>77</v>
      </c>
      <c r="C907" t="s">
        <v>234</v>
      </c>
      <c r="D907" t="s">
        <v>238</v>
      </c>
      <c r="E907" t="s">
        <v>704</v>
      </c>
      <c r="F907" t="s">
        <v>972</v>
      </c>
      <c r="G907" t="s">
        <v>2215</v>
      </c>
      <c r="H907" t="s">
        <v>3480</v>
      </c>
      <c r="I907" t="s">
        <v>5018</v>
      </c>
      <c r="J907" t="s">
        <v>5320</v>
      </c>
      <c r="K907">
        <v>11213</v>
      </c>
      <c r="L907" t="s">
        <v>5355</v>
      </c>
      <c r="M907" t="s">
        <v>5356</v>
      </c>
      <c r="O907" t="s">
        <v>5393</v>
      </c>
      <c r="P907" t="s">
        <v>6527</v>
      </c>
      <c r="Q907" t="s">
        <v>6532</v>
      </c>
      <c r="R907" t="s">
        <v>6539</v>
      </c>
      <c r="S907" t="s">
        <v>5355</v>
      </c>
      <c r="U907" t="s">
        <v>6557</v>
      </c>
      <c r="W907" t="s">
        <v>436</v>
      </c>
      <c r="X907">
        <v>1042</v>
      </c>
      <c r="Y907" t="s">
        <v>6605</v>
      </c>
      <c r="Z907" t="s">
        <v>6622</v>
      </c>
      <c r="AA907" t="s">
        <v>6634</v>
      </c>
      <c r="AB907" t="s">
        <v>6934</v>
      </c>
      <c r="AD907" t="s">
        <v>9851</v>
      </c>
      <c r="AE907">
        <v>107</v>
      </c>
      <c r="AF907" t="s">
        <v>11005</v>
      </c>
      <c r="AG907" t="s">
        <v>5406</v>
      </c>
      <c r="AH907">
        <v>32</v>
      </c>
      <c r="AI907">
        <v>3</v>
      </c>
      <c r="AJ907">
        <v>1</v>
      </c>
      <c r="AK907">
        <v>197.61</v>
      </c>
      <c r="AL907" t="s">
        <v>266</v>
      </c>
      <c r="AN907" t="s">
        <v>11049</v>
      </c>
      <c r="AO907">
        <v>49600</v>
      </c>
      <c r="AU907">
        <v>1.25</v>
      </c>
      <c r="AV907" t="s">
        <v>704</v>
      </c>
      <c r="AW907" t="s">
        <v>77</v>
      </c>
    </row>
    <row r="908" spans="1:50">
      <c r="A908" s="1">
        <f>HYPERLINK("https://cms.ls-nyc.org/matter/dynamic-profile/view/1857897","18-1857897")</f>
        <v>0</v>
      </c>
      <c r="B908" t="s">
        <v>85</v>
      </c>
      <c r="C908" t="s">
        <v>234</v>
      </c>
      <c r="D908" t="s">
        <v>262</v>
      </c>
      <c r="E908" t="s">
        <v>703</v>
      </c>
      <c r="F908" t="s">
        <v>1443</v>
      </c>
      <c r="G908" t="s">
        <v>2711</v>
      </c>
      <c r="H908" t="s">
        <v>4040</v>
      </c>
      <c r="I908" t="s">
        <v>5019</v>
      </c>
      <c r="J908" t="s">
        <v>5324</v>
      </c>
      <c r="K908">
        <v>11354</v>
      </c>
      <c r="L908" t="s">
        <v>5355</v>
      </c>
      <c r="M908" t="s">
        <v>5357</v>
      </c>
      <c r="N908" t="s">
        <v>5392</v>
      </c>
      <c r="O908" t="s">
        <v>5393</v>
      </c>
      <c r="P908" t="s">
        <v>6527</v>
      </c>
      <c r="Q908" t="s">
        <v>6532</v>
      </c>
      <c r="R908" t="s">
        <v>6539</v>
      </c>
      <c r="S908" t="s">
        <v>5355</v>
      </c>
      <c r="U908" t="s">
        <v>6557</v>
      </c>
      <c r="W908" t="s">
        <v>255</v>
      </c>
      <c r="X908">
        <v>750</v>
      </c>
      <c r="Y908" t="s">
        <v>6604</v>
      </c>
      <c r="Z908" t="s">
        <v>6609</v>
      </c>
      <c r="AA908" t="s">
        <v>6636</v>
      </c>
      <c r="AB908" t="s">
        <v>7481</v>
      </c>
      <c r="AC908" t="s">
        <v>5392</v>
      </c>
      <c r="AD908" t="s">
        <v>9852</v>
      </c>
      <c r="AE908">
        <v>60</v>
      </c>
      <c r="AF908" t="s">
        <v>11012</v>
      </c>
      <c r="AG908" t="s">
        <v>5406</v>
      </c>
      <c r="AH908">
        <v>1</v>
      </c>
      <c r="AI908">
        <v>1</v>
      </c>
      <c r="AJ908">
        <v>0</v>
      </c>
      <c r="AK908">
        <v>199</v>
      </c>
      <c r="AN908" t="s">
        <v>11050</v>
      </c>
      <c r="AO908">
        <v>24000</v>
      </c>
      <c r="AU908">
        <v>3.75</v>
      </c>
      <c r="AV908" t="s">
        <v>361</v>
      </c>
      <c r="AW908" t="s">
        <v>11519</v>
      </c>
    </row>
    <row r="909" spans="1:50">
      <c r="A909" s="1">
        <f>HYPERLINK("https://cms.ls-nyc.org/matter/dynamic-profile/view/1841105","17-1841105")</f>
        <v>0</v>
      </c>
      <c r="B909" t="s">
        <v>58</v>
      </c>
      <c r="C909" t="s">
        <v>235</v>
      </c>
      <c r="D909" t="s">
        <v>276</v>
      </c>
      <c r="F909" t="s">
        <v>1049</v>
      </c>
      <c r="G909" t="s">
        <v>2500</v>
      </c>
      <c r="H909" t="s">
        <v>3754</v>
      </c>
      <c r="I909" t="s">
        <v>4905</v>
      </c>
      <c r="J909" t="s">
        <v>5321</v>
      </c>
      <c r="K909">
        <v>10463</v>
      </c>
      <c r="L909" t="s">
        <v>5355</v>
      </c>
      <c r="M909" t="s">
        <v>5356</v>
      </c>
      <c r="N909" t="s">
        <v>5565</v>
      </c>
      <c r="O909" t="s">
        <v>6496</v>
      </c>
      <c r="P909" t="s">
        <v>6527</v>
      </c>
      <c r="R909" t="s">
        <v>6539</v>
      </c>
      <c r="S909" t="s">
        <v>5355</v>
      </c>
      <c r="U909" t="s">
        <v>6557</v>
      </c>
      <c r="W909" t="s">
        <v>6594</v>
      </c>
      <c r="X909">
        <v>215</v>
      </c>
      <c r="Y909" t="s">
        <v>6606</v>
      </c>
      <c r="Z909" t="s">
        <v>6620</v>
      </c>
      <c r="AB909" t="s">
        <v>7482</v>
      </c>
      <c r="AD909" t="s">
        <v>9853</v>
      </c>
      <c r="AE909">
        <v>67</v>
      </c>
      <c r="AF909" t="s">
        <v>11005</v>
      </c>
      <c r="AH909">
        <v>4</v>
      </c>
      <c r="AI909">
        <v>1</v>
      </c>
      <c r="AJ909">
        <v>0</v>
      </c>
      <c r="AK909">
        <v>199</v>
      </c>
      <c r="AL909" t="s">
        <v>632</v>
      </c>
      <c r="AN909" t="s">
        <v>11050</v>
      </c>
      <c r="AO909">
        <v>24000</v>
      </c>
      <c r="AU909">
        <v>0.1</v>
      </c>
      <c r="AV909" t="s">
        <v>398</v>
      </c>
      <c r="AW909" t="s">
        <v>11537</v>
      </c>
    </row>
    <row r="910" spans="1:50">
      <c r="A910" s="1">
        <f>HYPERLINK("https://cms.ls-nyc.org/matter/dynamic-profile/view/1866379","18-1866379")</f>
        <v>0</v>
      </c>
      <c r="B910" t="s">
        <v>106</v>
      </c>
      <c r="C910" t="s">
        <v>235</v>
      </c>
      <c r="D910" t="s">
        <v>241</v>
      </c>
      <c r="F910" t="s">
        <v>973</v>
      </c>
      <c r="G910" t="s">
        <v>2712</v>
      </c>
      <c r="H910" t="s">
        <v>4041</v>
      </c>
      <c r="I910" t="s">
        <v>4776</v>
      </c>
      <c r="J910" t="s">
        <v>5321</v>
      </c>
      <c r="K910">
        <v>10467</v>
      </c>
      <c r="L910" t="s">
        <v>5355</v>
      </c>
      <c r="M910" t="s">
        <v>5356</v>
      </c>
      <c r="O910" t="s">
        <v>6504</v>
      </c>
      <c r="P910" t="s">
        <v>6527</v>
      </c>
      <c r="R910" t="s">
        <v>6539</v>
      </c>
      <c r="S910" t="s">
        <v>5357</v>
      </c>
      <c r="U910" t="s">
        <v>6560</v>
      </c>
      <c r="W910" t="s">
        <v>391</v>
      </c>
      <c r="X910">
        <v>1800</v>
      </c>
      <c r="Y910" t="s">
        <v>6606</v>
      </c>
      <c r="Z910" t="s">
        <v>6613</v>
      </c>
      <c r="AB910" t="s">
        <v>7483</v>
      </c>
      <c r="AC910" t="s">
        <v>8817</v>
      </c>
      <c r="AD910" t="s">
        <v>9854</v>
      </c>
      <c r="AE910">
        <v>32</v>
      </c>
      <c r="AF910" t="s">
        <v>11005</v>
      </c>
      <c r="AG910" t="s">
        <v>11020</v>
      </c>
      <c r="AH910">
        <v>3</v>
      </c>
      <c r="AI910">
        <v>3</v>
      </c>
      <c r="AJ910">
        <v>0</v>
      </c>
      <c r="AK910">
        <v>202.12</v>
      </c>
      <c r="AL910" t="s">
        <v>11029</v>
      </c>
      <c r="AN910" t="s">
        <v>11049</v>
      </c>
      <c r="AO910">
        <v>42000</v>
      </c>
      <c r="AP910" t="s">
        <v>11127</v>
      </c>
      <c r="AU910">
        <v>17.5</v>
      </c>
      <c r="AV910" t="s">
        <v>835</v>
      </c>
      <c r="AW910" t="s">
        <v>11538</v>
      </c>
    </row>
    <row r="911" spans="1:50">
      <c r="A911" s="1">
        <f>HYPERLINK("https://cms.ls-nyc.org/matter/dynamic-profile/view/1861135","18-1861135")</f>
        <v>0</v>
      </c>
      <c r="B911" t="s">
        <v>65</v>
      </c>
      <c r="C911" t="s">
        <v>234</v>
      </c>
      <c r="D911" t="s">
        <v>259</v>
      </c>
      <c r="E911" t="s">
        <v>758</v>
      </c>
      <c r="F911" t="s">
        <v>992</v>
      </c>
      <c r="G911" t="s">
        <v>2713</v>
      </c>
      <c r="H911" t="s">
        <v>4042</v>
      </c>
      <c r="I911" t="s">
        <v>4783</v>
      </c>
      <c r="J911" t="s">
        <v>5323</v>
      </c>
      <c r="K911">
        <v>10033</v>
      </c>
      <c r="L911" t="s">
        <v>5355</v>
      </c>
      <c r="M911" t="s">
        <v>5355</v>
      </c>
      <c r="O911" t="s">
        <v>5393</v>
      </c>
      <c r="P911" t="s">
        <v>6527</v>
      </c>
      <c r="Q911" t="s">
        <v>6532</v>
      </c>
      <c r="R911" t="s">
        <v>6539</v>
      </c>
      <c r="S911" t="s">
        <v>5357</v>
      </c>
      <c r="U911" t="s">
        <v>6557</v>
      </c>
      <c r="W911" t="s">
        <v>259</v>
      </c>
      <c r="X911">
        <v>1120.21</v>
      </c>
      <c r="Y911" t="s">
        <v>6608</v>
      </c>
      <c r="AA911" t="s">
        <v>6636</v>
      </c>
      <c r="AB911" t="s">
        <v>7484</v>
      </c>
      <c r="AD911" t="s">
        <v>9855</v>
      </c>
      <c r="AE911">
        <v>40</v>
      </c>
      <c r="AF911" t="s">
        <v>11006</v>
      </c>
      <c r="AG911" t="s">
        <v>5406</v>
      </c>
      <c r="AH911">
        <v>24</v>
      </c>
      <c r="AI911">
        <v>2</v>
      </c>
      <c r="AJ911">
        <v>0</v>
      </c>
      <c r="AK911">
        <v>209.18</v>
      </c>
      <c r="AL911" t="s">
        <v>11029</v>
      </c>
      <c r="AN911" t="s">
        <v>11049</v>
      </c>
      <c r="AO911">
        <v>34431</v>
      </c>
      <c r="AU911">
        <v>7</v>
      </c>
      <c r="AV911" t="s">
        <v>317</v>
      </c>
      <c r="AW911" t="s">
        <v>11525</v>
      </c>
    </row>
    <row r="912" spans="1:50">
      <c r="A912" s="1">
        <f>HYPERLINK("https://cms.ls-nyc.org/matter/dynamic-profile/view/1837196","17-1837196")</f>
        <v>0</v>
      </c>
      <c r="B912" t="s">
        <v>77</v>
      </c>
      <c r="C912" t="s">
        <v>234</v>
      </c>
      <c r="D912" t="s">
        <v>508</v>
      </c>
      <c r="E912" t="s">
        <v>723</v>
      </c>
      <c r="F912" t="s">
        <v>1444</v>
      </c>
      <c r="G912" t="s">
        <v>2120</v>
      </c>
      <c r="H912" t="s">
        <v>3878</v>
      </c>
      <c r="I912" t="s">
        <v>4740</v>
      </c>
      <c r="J912" t="s">
        <v>5320</v>
      </c>
      <c r="K912">
        <v>11233</v>
      </c>
      <c r="L912" t="s">
        <v>5355</v>
      </c>
      <c r="M912" t="s">
        <v>5356</v>
      </c>
      <c r="N912" t="s">
        <v>5392</v>
      </c>
      <c r="O912" t="s">
        <v>6500</v>
      </c>
      <c r="P912" t="s">
        <v>6527</v>
      </c>
      <c r="Q912" t="s">
        <v>6531</v>
      </c>
      <c r="R912" t="s">
        <v>6539</v>
      </c>
      <c r="S912" t="s">
        <v>5355</v>
      </c>
      <c r="U912" t="s">
        <v>6557</v>
      </c>
      <c r="W912" t="s">
        <v>6575</v>
      </c>
      <c r="X912">
        <v>600</v>
      </c>
      <c r="Y912" t="s">
        <v>6605</v>
      </c>
      <c r="Z912" t="s">
        <v>6622</v>
      </c>
      <c r="AA912" t="s">
        <v>6631</v>
      </c>
      <c r="AB912" t="s">
        <v>7485</v>
      </c>
      <c r="AC912" t="s">
        <v>8737</v>
      </c>
      <c r="AE912">
        <v>0</v>
      </c>
      <c r="AF912" t="s">
        <v>11005</v>
      </c>
      <c r="AG912" t="s">
        <v>5406</v>
      </c>
      <c r="AH912">
        <v>45</v>
      </c>
      <c r="AI912">
        <v>2</v>
      </c>
      <c r="AJ912">
        <v>0</v>
      </c>
      <c r="AK912">
        <v>215.52</v>
      </c>
      <c r="AL912" t="s">
        <v>11029</v>
      </c>
      <c r="AM912" t="s">
        <v>11045</v>
      </c>
      <c r="AN912" t="s">
        <v>11050</v>
      </c>
      <c r="AO912">
        <v>35000</v>
      </c>
      <c r="AU912">
        <v>1.3</v>
      </c>
      <c r="AV912" t="s">
        <v>723</v>
      </c>
      <c r="AW912" t="s">
        <v>11512</v>
      </c>
    </row>
    <row r="913" spans="1:49">
      <c r="A913" s="1">
        <f>HYPERLINK("https://cms.ls-nyc.org/matter/dynamic-profile/view/1853675","17-1853675")</f>
        <v>0</v>
      </c>
      <c r="B913" t="s">
        <v>76</v>
      </c>
      <c r="C913" t="s">
        <v>234</v>
      </c>
      <c r="D913" t="s">
        <v>509</v>
      </c>
      <c r="E913" t="s">
        <v>726</v>
      </c>
      <c r="F913" t="s">
        <v>1445</v>
      </c>
      <c r="G913" t="s">
        <v>2479</v>
      </c>
      <c r="H913" t="s">
        <v>4043</v>
      </c>
      <c r="I913" t="s">
        <v>5020</v>
      </c>
      <c r="J913" t="s">
        <v>5323</v>
      </c>
      <c r="K913">
        <v>10037</v>
      </c>
      <c r="L913" t="s">
        <v>5355</v>
      </c>
      <c r="M913" t="s">
        <v>5355</v>
      </c>
      <c r="O913" t="s">
        <v>5393</v>
      </c>
      <c r="P913" t="s">
        <v>6527</v>
      </c>
      <c r="Q913" t="s">
        <v>6533</v>
      </c>
      <c r="R913" t="s">
        <v>6539</v>
      </c>
      <c r="S913" t="s">
        <v>5357</v>
      </c>
      <c r="T913" t="s">
        <v>6542</v>
      </c>
      <c r="U913" t="s">
        <v>6557</v>
      </c>
      <c r="V913" t="s">
        <v>6566</v>
      </c>
      <c r="W913" t="s">
        <v>262</v>
      </c>
      <c r="X913">
        <v>1400</v>
      </c>
      <c r="Y913" t="s">
        <v>6608</v>
      </c>
      <c r="Z913" t="s">
        <v>6616</v>
      </c>
      <c r="AA913" t="s">
        <v>6636</v>
      </c>
      <c r="AB913" t="s">
        <v>7486</v>
      </c>
      <c r="AD913" t="s">
        <v>9856</v>
      </c>
      <c r="AE913">
        <v>108</v>
      </c>
      <c r="AF913" t="s">
        <v>11005</v>
      </c>
      <c r="AG913" t="s">
        <v>11020</v>
      </c>
      <c r="AH913">
        <v>34</v>
      </c>
      <c r="AI913">
        <v>1</v>
      </c>
      <c r="AJ913">
        <v>0</v>
      </c>
      <c r="AK913">
        <v>216.42</v>
      </c>
      <c r="AL913" t="s">
        <v>389</v>
      </c>
      <c r="AN913" t="s">
        <v>11050</v>
      </c>
      <c r="AO913">
        <v>26100</v>
      </c>
      <c r="AU913">
        <v>12.4</v>
      </c>
      <c r="AV913" t="s">
        <v>730</v>
      </c>
      <c r="AW913" t="s">
        <v>11497</v>
      </c>
    </row>
    <row r="914" spans="1:49">
      <c r="A914" s="1">
        <f>HYPERLINK("https://cms.ls-nyc.org/matter/dynamic-profile/view/1857600","18-1857600")</f>
        <v>0</v>
      </c>
      <c r="B914" t="s">
        <v>63</v>
      </c>
      <c r="C914" t="s">
        <v>235</v>
      </c>
      <c r="D914" t="s">
        <v>436</v>
      </c>
      <c r="F914" t="s">
        <v>1446</v>
      </c>
      <c r="G914" t="s">
        <v>2714</v>
      </c>
      <c r="H914" t="s">
        <v>3960</v>
      </c>
      <c r="I914" t="s">
        <v>4934</v>
      </c>
      <c r="J914" t="s">
        <v>5322</v>
      </c>
      <c r="K914">
        <v>10304</v>
      </c>
      <c r="L914" t="s">
        <v>5355</v>
      </c>
      <c r="M914" t="s">
        <v>5356</v>
      </c>
      <c r="N914" t="s">
        <v>5366</v>
      </c>
      <c r="O914" t="s">
        <v>6500</v>
      </c>
      <c r="P914" t="s">
        <v>6527</v>
      </c>
      <c r="R914" t="s">
        <v>6539</v>
      </c>
      <c r="S914" t="s">
        <v>5355</v>
      </c>
      <c r="U914" t="s">
        <v>6557</v>
      </c>
      <c r="V914" t="s">
        <v>6566</v>
      </c>
      <c r="W914" t="s">
        <v>436</v>
      </c>
      <c r="X914">
        <v>0</v>
      </c>
      <c r="Y914" t="s">
        <v>6607</v>
      </c>
      <c r="AB914" t="s">
        <v>7487</v>
      </c>
      <c r="AD914" t="s">
        <v>9857</v>
      </c>
      <c r="AE914">
        <v>86</v>
      </c>
      <c r="AH914">
        <v>0</v>
      </c>
      <c r="AI914">
        <v>2</v>
      </c>
      <c r="AJ914">
        <v>0</v>
      </c>
      <c r="AK914">
        <v>216.5</v>
      </c>
      <c r="AL914" t="s">
        <v>297</v>
      </c>
      <c r="AN914" t="s">
        <v>11050</v>
      </c>
      <c r="AO914">
        <v>35160</v>
      </c>
      <c r="AU914">
        <v>2.6</v>
      </c>
      <c r="AV914" t="s">
        <v>275</v>
      </c>
      <c r="AW914" t="s">
        <v>62</v>
      </c>
    </row>
    <row r="915" spans="1:49">
      <c r="A915" s="1">
        <f>HYPERLINK("https://cms.ls-nyc.org/matter/dynamic-profile/view/1865297","18-1865297")</f>
        <v>0</v>
      </c>
      <c r="B915" t="s">
        <v>66</v>
      </c>
      <c r="C915" t="s">
        <v>235</v>
      </c>
      <c r="D915" t="s">
        <v>385</v>
      </c>
      <c r="F915" t="s">
        <v>1447</v>
      </c>
      <c r="G915" t="s">
        <v>2422</v>
      </c>
      <c r="H915" t="s">
        <v>4044</v>
      </c>
      <c r="I915" t="s">
        <v>5021</v>
      </c>
      <c r="J915" t="s">
        <v>5323</v>
      </c>
      <c r="K915">
        <v>10033</v>
      </c>
      <c r="L915" t="s">
        <v>5355</v>
      </c>
      <c r="M915" t="s">
        <v>5356</v>
      </c>
      <c r="O915" t="s">
        <v>6492</v>
      </c>
      <c r="P915" t="s">
        <v>6527</v>
      </c>
      <c r="R915" t="s">
        <v>6539</v>
      </c>
      <c r="S915" t="s">
        <v>5357</v>
      </c>
      <c r="U915" t="s">
        <v>6557</v>
      </c>
      <c r="V915" t="s">
        <v>6566</v>
      </c>
      <c r="W915" t="s">
        <v>385</v>
      </c>
      <c r="X915">
        <v>2070</v>
      </c>
      <c r="Y915" t="s">
        <v>6608</v>
      </c>
      <c r="Z915" t="s">
        <v>6625</v>
      </c>
      <c r="AB915" t="s">
        <v>7488</v>
      </c>
      <c r="AD915" t="s">
        <v>9858</v>
      </c>
      <c r="AE915">
        <v>0</v>
      </c>
      <c r="AG915" t="s">
        <v>5406</v>
      </c>
      <c r="AH915">
        <v>7</v>
      </c>
      <c r="AI915">
        <v>4</v>
      </c>
      <c r="AJ915">
        <v>1</v>
      </c>
      <c r="AK915">
        <v>217.4</v>
      </c>
      <c r="AN915" t="s">
        <v>11049</v>
      </c>
      <c r="AO915">
        <v>126040</v>
      </c>
      <c r="AU915">
        <v>36.8</v>
      </c>
      <c r="AV915" t="s">
        <v>823</v>
      </c>
      <c r="AW915" t="s">
        <v>11494</v>
      </c>
    </row>
    <row r="916" spans="1:49">
      <c r="A916" s="1">
        <f>HYPERLINK("https://cms.ls-nyc.org/matter/dynamic-profile/view/1864241","18-1864241")</f>
        <v>0</v>
      </c>
      <c r="B916" t="s">
        <v>103</v>
      </c>
      <c r="C916" t="s">
        <v>235</v>
      </c>
      <c r="D916" t="s">
        <v>303</v>
      </c>
      <c r="F916" t="s">
        <v>1448</v>
      </c>
      <c r="G916" t="s">
        <v>2715</v>
      </c>
      <c r="H916" t="s">
        <v>3995</v>
      </c>
      <c r="I916" t="s">
        <v>4796</v>
      </c>
      <c r="J916" t="s">
        <v>5321</v>
      </c>
      <c r="K916">
        <v>10452</v>
      </c>
      <c r="L916" t="s">
        <v>5355</v>
      </c>
      <c r="M916" t="s">
        <v>5356</v>
      </c>
      <c r="P916" t="s">
        <v>6527</v>
      </c>
      <c r="R916" t="s">
        <v>6539</v>
      </c>
      <c r="S916" t="s">
        <v>5355</v>
      </c>
      <c r="U916" t="s">
        <v>6557</v>
      </c>
      <c r="W916" t="s">
        <v>326</v>
      </c>
      <c r="X916">
        <v>1042</v>
      </c>
      <c r="Y916" t="s">
        <v>6606</v>
      </c>
      <c r="Z916" t="s">
        <v>6612</v>
      </c>
      <c r="AB916" t="s">
        <v>7489</v>
      </c>
      <c r="AD916" t="s">
        <v>9859</v>
      </c>
      <c r="AE916">
        <v>0</v>
      </c>
      <c r="AF916" t="s">
        <v>11005</v>
      </c>
      <c r="AG916" t="s">
        <v>5406</v>
      </c>
      <c r="AH916">
        <v>32</v>
      </c>
      <c r="AI916">
        <v>1</v>
      </c>
      <c r="AJ916">
        <v>0</v>
      </c>
      <c r="AK916">
        <v>219.93</v>
      </c>
      <c r="AO916">
        <v>26700</v>
      </c>
      <c r="AU916">
        <v>24.5</v>
      </c>
      <c r="AV916" t="s">
        <v>814</v>
      </c>
      <c r="AW916" t="s">
        <v>59</v>
      </c>
    </row>
    <row r="917" spans="1:49">
      <c r="A917" s="1">
        <f>HYPERLINK("https://cms.ls-nyc.org/matter/dynamic-profile/view/1868731","18-1868731")</f>
        <v>0</v>
      </c>
      <c r="B917" t="s">
        <v>90</v>
      </c>
      <c r="C917" t="s">
        <v>235</v>
      </c>
      <c r="D917" t="s">
        <v>318</v>
      </c>
      <c r="F917" t="s">
        <v>1409</v>
      </c>
      <c r="G917" t="s">
        <v>2472</v>
      </c>
      <c r="H917" t="s">
        <v>3949</v>
      </c>
      <c r="I917" t="s">
        <v>4811</v>
      </c>
      <c r="J917" t="s">
        <v>5321</v>
      </c>
      <c r="K917">
        <v>10452</v>
      </c>
      <c r="L917" t="s">
        <v>5355</v>
      </c>
      <c r="M917" t="s">
        <v>5356</v>
      </c>
      <c r="O917" t="s">
        <v>5393</v>
      </c>
      <c r="P917" t="s">
        <v>6527</v>
      </c>
      <c r="R917" t="s">
        <v>6539</v>
      </c>
      <c r="S917" t="s">
        <v>5355</v>
      </c>
      <c r="U917" t="s">
        <v>6557</v>
      </c>
      <c r="W917" t="s">
        <v>516</v>
      </c>
      <c r="X917">
        <v>981</v>
      </c>
      <c r="Y917" t="s">
        <v>6606</v>
      </c>
      <c r="Z917" t="s">
        <v>6625</v>
      </c>
      <c r="AB917" t="s">
        <v>7490</v>
      </c>
      <c r="AE917">
        <v>60</v>
      </c>
      <c r="AF917" t="s">
        <v>11005</v>
      </c>
      <c r="AG917" t="s">
        <v>5406</v>
      </c>
      <c r="AH917">
        <v>43</v>
      </c>
      <c r="AI917">
        <v>2</v>
      </c>
      <c r="AJ917">
        <v>0</v>
      </c>
      <c r="AK917">
        <v>223.09</v>
      </c>
      <c r="AN917" t="s">
        <v>11050</v>
      </c>
      <c r="AO917">
        <v>36720</v>
      </c>
      <c r="AU917">
        <v>0</v>
      </c>
      <c r="AW917" t="s">
        <v>11492</v>
      </c>
    </row>
    <row r="918" spans="1:49">
      <c r="A918" s="1">
        <f>HYPERLINK("https://cms.ls-nyc.org/matter/dynamic-profile/view/1846894","17-1846894")</f>
        <v>0</v>
      </c>
      <c r="B918" t="s">
        <v>92</v>
      </c>
      <c r="C918" t="s">
        <v>235</v>
      </c>
      <c r="D918" t="s">
        <v>510</v>
      </c>
      <c r="F918" t="s">
        <v>903</v>
      </c>
      <c r="G918" t="s">
        <v>2716</v>
      </c>
      <c r="H918" t="s">
        <v>3534</v>
      </c>
      <c r="I918" t="s">
        <v>4772</v>
      </c>
      <c r="J918" t="s">
        <v>5323</v>
      </c>
      <c r="K918">
        <v>10040</v>
      </c>
      <c r="L918" t="s">
        <v>5355</v>
      </c>
      <c r="M918" t="s">
        <v>5356</v>
      </c>
      <c r="N918" t="s">
        <v>5566</v>
      </c>
      <c r="O918" t="s">
        <v>6499</v>
      </c>
      <c r="P918" t="s">
        <v>6527</v>
      </c>
      <c r="R918" t="s">
        <v>6539</v>
      </c>
      <c r="S918" t="s">
        <v>5357</v>
      </c>
      <c r="U918" t="s">
        <v>6557</v>
      </c>
      <c r="W918" t="s">
        <v>510</v>
      </c>
      <c r="X918">
        <v>981.58</v>
      </c>
      <c r="Y918" t="s">
        <v>6608</v>
      </c>
      <c r="Z918" t="s">
        <v>6616</v>
      </c>
      <c r="AB918" t="s">
        <v>7491</v>
      </c>
      <c r="AD918" t="s">
        <v>9860</v>
      </c>
      <c r="AE918">
        <v>43</v>
      </c>
      <c r="AF918" t="s">
        <v>11005</v>
      </c>
      <c r="AG918" t="s">
        <v>5406</v>
      </c>
      <c r="AH918">
        <v>0</v>
      </c>
      <c r="AI918">
        <v>2</v>
      </c>
      <c r="AJ918">
        <v>0</v>
      </c>
      <c r="AK918">
        <v>234.68</v>
      </c>
      <c r="AL918" t="s">
        <v>531</v>
      </c>
      <c r="AN918" t="s">
        <v>11049</v>
      </c>
      <c r="AO918">
        <v>76222.64</v>
      </c>
      <c r="AU918">
        <v>3.26</v>
      </c>
      <c r="AV918" t="s">
        <v>280</v>
      </c>
      <c r="AW918" t="s">
        <v>11495</v>
      </c>
    </row>
    <row r="919" spans="1:49">
      <c r="A919" s="1">
        <f>HYPERLINK("https://cms.ls-nyc.org/matter/dynamic-profile/view/1868594","18-1868594")</f>
        <v>0</v>
      </c>
      <c r="B919" t="s">
        <v>90</v>
      </c>
      <c r="C919" t="s">
        <v>235</v>
      </c>
      <c r="D919" t="s">
        <v>267</v>
      </c>
      <c r="F919" t="s">
        <v>1449</v>
      </c>
      <c r="G919" t="s">
        <v>2115</v>
      </c>
      <c r="H919" t="s">
        <v>3949</v>
      </c>
      <c r="I919" t="s">
        <v>4823</v>
      </c>
      <c r="J919" t="s">
        <v>5321</v>
      </c>
      <c r="K919">
        <v>10452</v>
      </c>
      <c r="L919" t="s">
        <v>5355</v>
      </c>
      <c r="M919" t="s">
        <v>5356</v>
      </c>
      <c r="O919" t="s">
        <v>5393</v>
      </c>
      <c r="P919" t="s">
        <v>6527</v>
      </c>
      <c r="R919" t="s">
        <v>6539</v>
      </c>
      <c r="S919" t="s">
        <v>5355</v>
      </c>
      <c r="U919" t="s">
        <v>6557</v>
      </c>
      <c r="W919" t="s">
        <v>516</v>
      </c>
      <c r="X919">
        <v>980</v>
      </c>
      <c r="Y919" t="s">
        <v>6606</v>
      </c>
      <c r="Z919" t="s">
        <v>6625</v>
      </c>
      <c r="AB919" t="s">
        <v>7492</v>
      </c>
      <c r="AD919" t="s">
        <v>9861</v>
      </c>
      <c r="AE919">
        <v>60</v>
      </c>
      <c r="AF919" t="s">
        <v>11005</v>
      </c>
      <c r="AG919" t="s">
        <v>5406</v>
      </c>
      <c r="AH919">
        <v>29</v>
      </c>
      <c r="AI919">
        <v>5</v>
      </c>
      <c r="AJ919">
        <v>0</v>
      </c>
      <c r="AK919">
        <v>237.25</v>
      </c>
      <c r="AN919" t="s">
        <v>11049</v>
      </c>
      <c r="AO919">
        <v>69800</v>
      </c>
      <c r="AU919">
        <v>0</v>
      </c>
      <c r="AW919" t="s">
        <v>11492</v>
      </c>
    </row>
    <row r="920" spans="1:49">
      <c r="A920" s="1">
        <f>HYPERLINK("https://cms.ls-nyc.org/matter/dynamic-profile/view/1865490","18-1865490")</f>
        <v>0</v>
      </c>
      <c r="B920" t="s">
        <v>124</v>
      </c>
      <c r="C920" t="s">
        <v>234</v>
      </c>
      <c r="D920" t="s">
        <v>502</v>
      </c>
      <c r="E920" t="s">
        <v>719</v>
      </c>
      <c r="F920" t="s">
        <v>1450</v>
      </c>
      <c r="G920" t="s">
        <v>2717</v>
      </c>
      <c r="H920" t="s">
        <v>3807</v>
      </c>
      <c r="I920">
        <v>4</v>
      </c>
      <c r="J920" t="s">
        <v>5323</v>
      </c>
      <c r="K920">
        <v>10034</v>
      </c>
      <c r="L920" t="s">
        <v>5355</v>
      </c>
      <c r="M920" t="s">
        <v>5355</v>
      </c>
      <c r="O920" t="s">
        <v>6500</v>
      </c>
      <c r="P920" t="s">
        <v>6527</v>
      </c>
      <c r="Q920" t="s">
        <v>6532</v>
      </c>
      <c r="R920" t="s">
        <v>6539</v>
      </c>
      <c r="S920" t="s">
        <v>5357</v>
      </c>
      <c r="U920" t="s">
        <v>6557</v>
      </c>
      <c r="W920" t="s">
        <v>502</v>
      </c>
      <c r="X920">
        <v>930</v>
      </c>
      <c r="Y920" t="s">
        <v>6608</v>
      </c>
      <c r="Z920" t="s">
        <v>6493</v>
      </c>
      <c r="AA920" t="s">
        <v>6636</v>
      </c>
      <c r="AB920" t="s">
        <v>7493</v>
      </c>
      <c r="AD920" t="s">
        <v>9862</v>
      </c>
      <c r="AE920">
        <v>26</v>
      </c>
      <c r="AF920" t="s">
        <v>11005</v>
      </c>
      <c r="AG920" t="s">
        <v>5406</v>
      </c>
      <c r="AH920">
        <v>44</v>
      </c>
      <c r="AI920">
        <v>2</v>
      </c>
      <c r="AJ920">
        <v>0</v>
      </c>
      <c r="AK920">
        <v>242.77</v>
      </c>
      <c r="AL920" t="s">
        <v>11029</v>
      </c>
      <c r="AN920" t="s">
        <v>11049</v>
      </c>
      <c r="AO920">
        <v>39960</v>
      </c>
      <c r="AU920">
        <v>28.3</v>
      </c>
      <c r="AV920" t="s">
        <v>668</v>
      </c>
      <c r="AW920" t="s">
        <v>11495</v>
      </c>
    </row>
    <row r="921" spans="1:49">
      <c r="A921" s="1">
        <f>HYPERLINK("https://cms.ls-nyc.org/matter/dynamic-profile/view/1869879","18-1869879")</f>
        <v>0</v>
      </c>
      <c r="B921" t="s">
        <v>111</v>
      </c>
      <c r="C921" t="s">
        <v>235</v>
      </c>
      <c r="D921" t="s">
        <v>313</v>
      </c>
      <c r="F921" t="s">
        <v>1164</v>
      </c>
      <c r="G921" t="s">
        <v>1742</v>
      </c>
      <c r="H921" t="s">
        <v>3903</v>
      </c>
      <c r="I921" t="s">
        <v>5022</v>
      </c>
      <c r="J921" t="s">
        <v>5323</v>
      </c>
      <c r="K921">
        <v>10034</v>
      </c>
      <c r="L921" t="s">
        <v>5355</v>
      </c>
      <c r="M921" t="s">
        <v>5356</v>
      </c>
      <c r="O921" t="s">
        <v>6507</v>
      </c>
      <c r="P921" t="s">
        <v>6527</v>
      </c>
      <c r="R921" t="s">
        <v>6539</v>
      </c>
      <c r="S921" t="s">
        <v>5355</v>
      </c>
      <c r="U921" t="s">
        <v>6557</v>
      </c>
      <c r="W921" t="s">
        <v>313</v>
      </c>
      <c r="X921">
        <v>1700</v>
      </c>
      <c r="Y921" t="s">
        <v>6608</v>
      </c>
      <c r="Z921" t="s">
        <v>6616</v>
      </c>
      <c r="AB921" t="s">
        <v>7494</v>
      </c>
      <c r="AD921" t="s">
        <v>9863</v>
      </c>
      <c r="AE921">
        <v>228</v>
      </c>
      <c r="AF921" t="s">
        <v>11005</v>
      </c>
      <c r="AG921" t="s">
        <v>5406</v>
      </c>
      <c r="AH921">
        <v>4</v>
      </c>
      <c r="AI921">
        <v>1</v>
      </c>
      <c r="AJ921">
        <v>1</v>
      </c>
      <c r="AK921">
        <v>243.01</v>
      </c>
      <c r="AN921" t="s">
        <v>11050</v>
      </c>
      <c r="AO921">
        <v>40000</v>
      </c>
      <c r="AU921">
        <v>3.55</v>
      </c>
      <c r="AV921" t="s">
        <v>733</v>
      </c>
      <c r="AW921" t="s">
        <v>11495</v>
      </c>
    </row>
    <row r="922" spans="1:49">
      <c r="A922" s="1">
        <f>HYPERLINK("https://cms.ls-nyc.org/matter/dynamic-profile/view/1867367","18-1867367")</f>
        <v>0</v>
      </c>
      <c r="B922" t="s">
        <v>90</v>
      </c>
      <c r="C922" t="s">
        <v>235</v>
      </c>
      <c r="D922" t="s">
        <v>267</v>
      </c>
      <c r="F922" t="s">
        <v>1245</v>
      </c>
      <c r="G922" t="s">
        <v>2718</v>
      </c>
      <c r="H922" t="s">
        <v>3949</v>
      </c>
      <c r="I922" t="s">
        <v>4783</v>
      </c>
      <c r="J922" t="s">
        <v>5321</v>
      </c>
      <c r="K922">
        <v>10452</v>
      </c>
      <c r="L922" t="s">
        <v>5355</v>
      </c>
      <c r="M922" t="s">
        <v>5356</v>
      </c>
      <c r="O922" t="s">
        <v>5393</v>
      </c>
      <c r="P922" t="s">
        <v>6527</v>
      </c>
      <c r="R922" t="s">
        <v>6539</v>
      </c>
      <c r="S922" t="s">
        <v>5355</v>
      </c>
      <c r="U922" t="s">
        <v>6557</v>
      </c>
      <c r="W922" t="s">
        <v>275</v>
      </c>
      <c r="X922">
        <v>1079</v>
      </c>
      <c r="Y922" t="s">
        <v>6606</v>
      </c>
      <c r="Z922" t="s">
        <v>6625</v>
      </c>
      <c r="AB922" t="s">
        <v>7495</v>
      </c>
      <c r="AC922" t="s">
        <v>8818</v>
      </c>
      <c r="AD922" t="s">
        <v>9864</v>
      </c>
      <c r="AE922">
        <v>60</v>
      </c>
      <c r="AF922" t="s">
        <v>11005</v>
      </c>
      <c r="AG922" t="s">
        <v>11020</v>
      </c>
      <c r="AH922">
        <v>29</v>
      </c>
      <c r="AI922">
        <v>2</v>
      </c>
      <c r="AJ922">
        <v>0</v>
      </c>
      <c r="AK922">
        <v>244.84</v>
      </c>
      <c r="AN922" t="s">
        <v>11049</v>
      </c>
      <c r="AO922">
        <v>40300</v>
      </c>
      <c r="AU922">
        <v>61.45</v>
      </c>
      <c r="AV922" t="s">
        <v>11451</v>
      </c>
      <c r="AW922" t="s">
        <v>11505</v>
      </c>
    </row>
    <row r="923" spans="1:49">
      <c r="A923" s="1">
        <f>HYPERLINK("https://cms.ls-nyc.org/matter/dynamic-profile/view/1867296","18-1867296")</f>
        <v>0</v>
      </c>
      <c r="B923" t="s">
        <v>135</v>
      </c>
      <c r="C923" t="s">
        <v>235</v>
      </c>
      <c r="D923" t="s">
        <v>447</v>
      </c>
      <c r="F923" t="s">
        <v>1451</v>
      </c>
      <c r="G923" t="s">
        <v>2719</v>
      </c>
      <c r="H923" t="s">
        <v>3739</v>
      </c>
      <c r="I923" t="s">
        <v>4772</v>
      </c>
      <c r="J923" t="s">
        <v>5320</v>
      </c>
      <c r="K923">
        <v>11212</v>
      </c>
      <c r="L923" t="s">
        <v>5355</v>
      </c>
      <c r="M923" t="s">
        <v>5356</v>
      </c>
      <c r="O923" t="s">
        <v>6500</v>
      </c>
      <c r="P923" t="s">
        <v>6527</v>
      </c>
      <c r="R923" t="s">
        <v>6539</v>
      </c>
      <c r="S923" t="s">
        <v>5355</v>
      </c>
      <c r="U923" t="s">
        <v>6557</v>
      </c>
      <c r="W923" t="s">
        <v>298</v>
      </c>
      <c r="X923">
        <v>983.42</v>
      </c>
      <c r="Y923" t="s">
        <v>6605</v>
      </c>
      <c r="Z923" t="s">
        <v>6493</v>
      </c>
      <c r="AB923" t="s">
        <v>7496</v>
      </c>
      <c r="AD923" t="s">
        <v>9865</v>
      </c>
      <c r="AE923">
        <v>32</v>
      </c>
      <c r="AF923" t="s">
        <v>11005</v>
      </c>
      <c r="AH923">
        <v>11</v>
      </c>
      <c r="AI923">
        <v>1</v>
      </c>
      <c r="AJ923">
        <v>1</v>
      </c>
      <c r="AK923">
        <v>255.16</v>
      </c>
      <c r="AN923" t="s">
        <v>11050</v>
      </c>
      <c r="AO923">
        <v>42000</v>
      </c>
      <c r="AU923">
        <v>0</v>
      </c>
      <c r="AW923" t="s">
        <v>11512</v>
      </c>
    </row>
    <row r="924" spans="1:49">
      <c r="A924" s="1">
        <f>HYPERLINK("https://cms.ls-nyc.org/matter/dynamic-profile/view/1842621","17-1842621")</f>
        <v>0</v>
      </c>
      <c r="B924" t="s">
        <v>92</v>
      </c>
      <c r="C924" t="s">
        <v>235</v>
      </c>
      <c r="D924" t="s">
        <v>511</v>
      </c>
      <c r="F924" t="s">
        <v>907</v>
      </c>
      <c r="G924" t="s">
        <v>2720</v>
      </c>
      <c r="H924" t="s">
        <v>3534</v>
      </c>
      <c r="I924" t="s">
        <v>4837</v>
      </c>
      <c r="J924" t="s">
        <v>5323</v>
      </c>
      <c r="K924">
        <v>10040</v>
      </c>
      <c r="L924" t="s">
        <v>5355</v>
      </c>
      <c r="M924" t="s">
        <v>5356</v>
      </c>
      <c r="N924" t="s">
        <v>5567</v>
      </c>
      <c r="O924" t="s">
        <v>6499</v>
      </c>
      <c r="P924" t="s">
        <v>6527</v>
      </c>
      <c r="R924" t="s">
        <v>6539</v>
      </c>
      <c r="S924" t="s">
        <v>5355</v>
      </c>
      <c r="U924" t="s">
        <v>6557</v>
      </c>
      <c r="W924" t="s">
        <v>511</v>
      </c>
      <c r="X924">
        <v>1300</v>
      </c>
      <c r="Y924" t="s">
        <v>6608</v>
      </c>
      <c r="Z924" t="s">
        <v>6616</v>
      </c>
      <c r="AB924" t="s">
        <v>7497</v>
      </c>
      <c r="AD924" t="s">
        <v>9866</v>
      </c>
      <c r="AE924">
        <v>43</v>
      </c>
      <c r="AF924" t="s">
        <v>11005</v>
      </c>
      <c r="AG924" t="s">
        <v>5406</v>
      </c>
      <c r="AH924">
        <v>17</v>
      </c>
      <c r="AI924">
        <v>3</v>
      </c>
      <c r="AJ924">
        <v>3</v>
      </c>
      <c r="AK924">
        <v>257.89</v>
      </c>
      <c r="AL924" t="s">
        <v>531</v>
      </c>
      <c r="AN924" t="s">
        <v>11050</v>
      </c>
      <c r="AO924">
        <v>85000</v>
      </c>
      <c r="AU924">
        <v>15.75</v>
      </c>
      <c r="AV924" t="s">
        <v>398</v>
      </c>
      <c r="AW924" t="s">
        <v>11495</v>
      </c>
    </row>
    <row r="925" spans="1:49">
      <c r="A925" s="1">
        <f>HYPERLINK("https://cms.ls-nyc.org/matter/dynamic-profile/view/1839980","17-1839980")</f>
        <v>0</v>
      </c>
      <c r="B925" t="s">
        <v>92</v>
      </c>
      <c r="C925" t="s">
        <v>234</v>
      </c>
      <c r="D925" t="s">
        <v>412</v>
      </c>
      <c r="E925" t="s">
        <v>695</v>
      </c>
      <c r="F925" t="s">
        <v>1452</v>
      </c>
      <c r="G925" t="s">
        <v>2595</v>
      </c>
      <c r="H925" t="s">
        <v>4045</v>
      </c>
      <c r="I925" t="s">
        <v>4771</v>
      </c>
      <c r="J925" t="s">
        <v>5323</v>
      </c>
      <c r="K925">
        <v>10034</v>
      </c>
      <c r="L925" t="s">
        <v>5355</v>
      </c>
      <c r="M925" t="s">
        <v>5356</v>
      </c>
      <c r="O925" t="s">
        <v>5393</v>
      </c>
      <c r="P925" t="s">
        <v>6527</v>
      </c>
      <c r="Q925" t="s">
        <v>6533</v>
      </c>
      <c r="R925" t="s">
        <v>6539</v>
      </c>
      <c r="S925" t="s">
        <v>5357</v>
      </c>
      <c r="U925" t="s">
        <v>6557</v>
      </c>
      <c r="W925" t="s">
        <v>460</v>
      </c>
      <c r="X925">
        <v>197.36</v>
      </c>
      <c r="Y925" t="s">
        <v>6608</v>
      </c>
      <c r="Z925" t="s">
        <v>6616</v>
      </c>
      <c r="AA925" t="s">
        <v>6636</v>
      </c>
      <c r="AB925" t="s">
        <v>7498</v>
      </c>
      <c r="AE925">
        <v>48</v>
      </c>
      <c r="AF925" t="s">
        <v>11006</v>
      </c>
      <c r="AG925" t="s">
        <v>5406</v>
      </c>
      <c r="AH925">
        <v>49</v>
      </c>
      <c r="AI925">
        <v>2</v>
      </c>
      <c r="AJ925">
        <v>1</v>
      </c>
      <c r="AK925">
        <v>260.53</v>
      </c>
      <c r="AL925" t="s">
        <v>11029</v>
      </c>
      <c r="AN925" t="s">
        <v>11049</v>
      </c>
      <c r="AO925">
        <v>53200</v>
      </c>
      <c r="AP925" t="s">
        <v>11128</v>
      </c>
      <c r="AU925">
        <v>4.43</v>
      </c>
      <c r="AV925" t="s">
        <v>270</v>
      </c>
      <c r="AW925" t="s">
        <v>11495</v>
      </c>
    </row>
    <row r="926" spans="1:49">
      <c r="A926" s="1">
        <f>HYPERLINK("https://cms.ls-nyc.org/matter/dynamic-profile/view/1832958","17-1832958")</f>
        <v>0</v>
      </c>
      <c r="B926" t="s">
        <v>58</v>
      </c>
      <c r="C926" t="s">
        <v>234</v>
      </c>
      <c r="D926" t="s">
        <v>484</v>
      </c>
      <c r="E926" t="s">
        <v>674</v>
      </c>
      <c r="F926" t="s">
        <v>1453</v>
      </c>
      <c r="G926" t="s">
        <v>1367</v>
      </c>
      <c r="H926" t="s">
        <v>3937</v>
      </c>
      <c r="I926" t="s">
        <v>5023</v>
      </c>
      <c r="J926" t="s">
        <v>5321</v>
      </c>
      <c r="K926">
        <v>10453</v>
      </c>
      <c r="L926" t="s">
        <v>5355</v>
      </c>
      <c r="M926" t="s">
        <v>5356</v>
      </c>
      <c r="O926" t="s">
        <v>5393</v>
      </c>
      <c r="P926" t="s">
        <v>6527</v>
      </c>
      <c r="Q926" t="s">
        <v>6532</v>
      </c>
      <c r="R926" t="s">
        <v>6539</v>
      </c>
      <c r="S926" t="s">
        <v>5355</v>
      </c>
      <c r="U926" t="s">
        <v>6557</v>
      </c>
      <c r="W926" t="s">
        <v>372</v>
      </c>
      <c r="X926">
        <v>1133.5</v>
      </c>
      <c r="Y926" t="s">
        <v>6606</v>
      </c>
      <c r="Z926" t="s">
        <v>6612</v>
      </c>
      <c r="AA926" t="s">
        <v>6636</v>
      </c>
      <c r="AB926" t="s">
        <v>7499</v>
      </c>
      <c r="AD926" t="s">
        <v>9867</v>
      </c>
      <c r="AE926">
        <v>766</v>
      </c>
      <c r="AF926" t="s">
        <v>11008</v>
      </c>
      <c r="AG926" t="s">
        <v>11020</v>
      </c>
      <c r="AH926">
        <v>41</v>
      </c>
      <c r="AI926">
        <v>2</v>
      </c>
      <c r="AJ926">
        <v>0</v>
      </c>
      <c r="AK926">
        <v>264.96</v>
      </c>
      <c r="AN926" t="s">
        <v>11050</v>
      </c>
      <c r="AO926">
        <v>43029.84</v>
      </c>
      <c r="AU926">
        <v>0.6</v>
      </c>
      <c r="AV926" t="s">
        <v>674</v>
      </c>
      <c r="AW926" t="s">
        <v>11509</v>
      </c>
    </row>
    <row r="927" spans="1:49">
      <c r="A927" s="1">
        <f>HYPERLINK("https://cms.ls-nyc.org/matter/dynamic-profile/view/1868610","18-1868610")</f>
        <v>0</v>
      </c>
      <c r="B927" t="s">
        <v>90</v>
      </c>
      <c r="C927" t="s">
        <v>235</v>
      </c>
      <c r="D927" t="s">
        <v>267</v>
      </c>
      <c r="F927" t="s">
        <v>1454</v>
      </c>
      <c r="G927" t="s">
        <v>2473</v>
      </c>
      <c r="H927" t="s">
        <v>3949</v>
      </c>
      <c r="I927" t="s">
        <v>4765</v>
      </c>
      <c r="J927" t="s">
        <v>5321</v>
      </c>
      <c r="K927">
        <v>10452</v>
      </c>
      <c r="L927" t="s">
        <v>5355</v>
      </c>
      <c r="M927" t="s">
        <v>5356</v>
      </c>
      <c r="O927" t="s">
        <v>5393</v>
      </c>
      <c r="P927" t="s">
        <v>6527</v>
      </c>
      <c r="R927" t="s">
        <v>6539</v>
      </c>
      <c r="S927" t="s">
        <v>5355</v>
      </c>
      <c r="U927" t="s">
        <v>6557</v>
      </c>
      <c r="W927" t="s">
        <v>516</v>
      </c>
      <c r="X927">
        <v>1182</v>
      </c>
      <c r="Y927" t="s">
        <v>6606</v>
      </c>
      <c r="Z927" t="s">
        <v>6625</v>
      </c>
      <c r="AB927" t="s">
        <v>7500</v>
      </c>
      <c r="AD927" t="s">
        <v>9868</v>
      </c>
      <c r="AE927">
        <v>60</v>
      </c>
      <c r="AF927" t="s">
        <v>11005</v>
      </c>
      <c r="AG927" t="s">
        <v>5406</v>
      </c>
      <c r="AH927">
        <v>1</v>
      </c>
      <c r="AI927">
        <v>2</v>
      </c>
      <c r="AJ927">
        <v>0</v>
      </c>
      <c r="AK927">
        <v>284.33</v>
      </c>
      <c r="AL927" t="s">
        <v>11029</v>
      </c>
      <c r="AN927" t="s">
        <v>11049</v>
      </c>
      <c r="AO927">
        <v>46800</v>
      </c>
      <c r="AU927">
        <v>0</v>
      </c>
      <c r="AW927" t="s">
        <v>11492</v>
      </c>
    </row>
    <row r="928" spans="1:49">
      <c r="A928" s="1">
        <f>HYPERLINK("https://cms.ls-nyc.org/matter/dynamic-profile/view/1859316","18-1859316")</f>
        <v>0</v>
      </c>
      <c r="B928" t="s">
        <v>131</v>
      </c>
      <c r="C928" t="s">
        <v>234</v>
      </c>
      <c r="D928" t="s">
        <v>284</v>
      </c>
      <c r="E928" t="s">
        <v>713</v>
      </c>
      <c r="F928" t="s">
        <v>966</v>
      </c>
      <c r="G928" t="s">
        <v>2721</v>
      </c>
      <c r="H928" t="s">
        <v>4046</v>
      </c>
      <c r="I928">
        <v>21</v>
      </c>
      <c r="J928" t="s">
        <v>5323</v>
      </c>
      <c r="K928">
        <v>10034</v>
      </c>
      <c r="L928" t="s">
        <v>5355</v>
      </c>
      <c r="M928" t="s">
        <v>5356</v>
      </c>
      <c r="O928" t="s">
        <v>6496</v>
      </c>
      <c r="P928" t="s">
        <v>6527</v>
      </c>
      <c r="Q928" t="s">
        <v>6533</v>
      </c>
      <c r="R928" t="s">
        <v>6539</v>
      </c>
      <c r="S928" t="s">
        <v>5357</v>
      </c>
      <c r="U928" t="s">
        <v>6557</v>
      </c>
      <c r="W928" t="s">
        <v>284</v>
      </c>
      <c r="X928">
        <v>1395.35</v>
      </c>
      <c r="Y928" t="s">
        <v>6608</v>
      </c>
      <c r="Z928" t="s">
        <v>6616</v>
      </c>
      <c r="AA928" t="s">
        <v>6636</v>
      </c>
      <c r="AB928" t="s">
        <v>7501</v>
      </c>
      <c r="AD928" t="s">
        <v>9869</v>
      </c>
      <c r="AE928">
        <v>20</v>
      </c>
      <c r="AF928" t="s">
        <v>11005</v>
      </c>
      <c r="AG928" t="s">
        <v>5406</v>
      </c>
      <c r="AH928">
        <v>22</v>
      </c>
      <c r="AI928">
        <v>3</v>
      </c>
      <c r="AJ928">
        <v>2</v>
      </c>
      <c r="AK928">
        <v>289.09</v>
      </c>
      <c r="AL928" t="s">
        <v>11029</v>
      </c>
      <c r="AN928" t="s">
        <v>11049</v>
      </c>
      <c r="AO928">
        <v>83200</v>
      </c>
      <c r="AU928">
        <v>26.4</v>
      </c>
      <c r="AV928" t="s">
        <v>695</v>
      </c>
      <c r="AW928" t="s">
        <v>11495</v>
      </c>
    </row>
    <row r="929" spans="1:50">
      <c r="A929" s="1">
        <f>HYPERLINK("https://cms.ls-nyc.org/matter/dynamic-profile/view/1870000","18-1870000")</f>
        <v>0</v>
      </c>
      <c r="B929" t="s">
        <v>71</v>
      </c>
      <c r="C929" t="s">
        <v>235</v>
      </c>
      <c r="D929" t="s">
        <v>307</v>
      </c>
      <c r="F929" t="s">
        <v>1455</v>
      </c>
      <c r="G929" t="s">
        <v>2722</v>
      </c>
      <c r="H929" t="s">
        <v>3505</v>
      </c>
      <c r="I929" t="s">
        <v>4838</v>
      </c>
      <c r="J929" t="s">
        <v>5321</v>
      </c>
      <c r="K929">
        <v>10452</v>
      </c>
      <c r="L929" t="s">
        <v>5355</v>
      </c>
      <c r="M929" t="s">
        <v>5356</v>
      </c>
      <c r="O929" t="s">
        <v>6498</v>
      </c>
      <c r="P929" t="s">
        <v>6527</v>
      </c>
      <c r="R929" t="s">
        <v>6539</v>
      </c>
      <c r="S929" t="s">
        <v>5357</v>
      </c>
      <c r="U929" t="s">
        <v>6559</v>
      </c>
      <c r="W929" t="s">
        <v>516</v>
      </c>
      <c r="X929">
        <v>1333.03</v>
      </c>
      <c r="Y929" t="s">
        <v>6606</v>
      </c>
      <c r="AB929" t="s">
        <v>7502</v>
      </c>
      <c r="AD929" t="s">
        <v>9870</v>
      </c>
      <c r="AE929">
        <v>0</v>
      </c>
      <c r="AF929" t="s">
        <v>11005</v>
      </c>
      <c r="AH929">
        <v>20</v>
      </c>
      <c r="AI929">
        <v>2</v>
      </c>
      <c r="AJ929">
        <v>0</v>
      </c>
      <c r="AK929">
        <v>292.27</v>
      </c>
      <c r="AN929" t="s">
        <v>11049</v>
      </c>
      <c r="AO929">
        <v>48108</v>
      </c>
      <c r="AU929">
        <v>0.6</v>
      </c>
      <c r="AV929" t="s">
        <v>287</v>
      </c>
      <c r="AW929" t="s">
        <v>69</v>
      </c>
    </row>
    <row r="930" spans="1:50">
      <c r="A930" s="1">
        <f>HYPERLINK("https://cms.ls-nyc.org/matter/dynamic-profile/view/1863628","18-1863628")</f>
        <v>0</v>
      </c>
      <c r="B930" t="s">
        <v>92</v>
      </c>
      <c r="C930" t="s">
        <v>234</v>
      </c>
      <c r="D930" t="s">
        <v>263</v>
      </c>
      <c r="E930" t="s">
        <v>718</v>
      </c>
      <c r="F930" t="s">
        <v>1249</v>
      </c>
      <c r="G930" t="s">
        <v>2723</v>
      </c>
      <c r="H930" t="s">
        <v>4047</v>
      </c>
      <c r="I930" t="s">
        <v>4777</v>
      </c>
      <c r="J930" t="s">
        <v>5323</v>
      </c>
      <c r="K930">
        <v>10034</v>
      </c>
      <c r="L930" t="s">
        <v>5355</v>
      </c>
      <c r="M930" t="s">
        <v>5355</v>
      </c>
      <c r="O930" t="s">
        <v>5393</v>
      </c>
      <c r="P930" t="s">
        <v>6527</v>
      </c>
      <c r="Q930" t="s">
        <v>6533</v>
      </c>
      <c r="R930" t="s">
        <v>6539</v>
      </c>
      <c r="S930" t="s">
        <v>5357</v>
      </c>
      <c r="U930" t="s">
        <v>6557</v>
      </c>
      <c r="V930" t="s">
        <v>6566</v>
      </c>
      <c r="W930" t="s">
        <v>263</v>
      </c>
      <c r="X930">
        <v>819.97</v>
      </c>
      <c r="Y930" t="s">
        <v>6608</v>
      </c>
      <c r="Z930" t="s">
        <v>6616</v>
      </c>
      <c r="AA930" t="s">
        <v>6637</v>
      </c>
      <c r="AB930" t="s">
        <v>7503</v>
      </c>
      <c r="AD930" t="s">
        <v>9871</v>
      </c>
      <c r="AE930">
        <v>40</v>
      </c>
      <c r="AF930" t="s">
        <v>11005</v>
      </c>
      <c r="AG930" t="s">
        <v>5406</v>
      </c>
      <c r="AH930">
        <v>47</v>
      </c>
      <c r="AI930">
        <v>2</v>
      </c>
      <c r="AJ930">
        <v>0</v>
      </c>
      <c r="AK930">
        <v>294.39</v>
      </c>
      <c r="AL930" t="s">
        <v>11029</v>
      </c>
      <c r="AN930" t="s">
        <v>11050</v>
      </c>
      <c r="AO930">
        <v>48456</v>
      </c>
      <c r="AU930">
        <v>5.85</v>
      </c>
      <c r="AV930" t="s">
        <v>307</v>
      </c>
      <c r="AW930" t="s">
        <v>11495</v>
      </c>
    </row>
    <row r="931" spans="1:50">
      <c r="A931" s="1">
        <f>HYPERLINK("https://cms.ls-nyc.org/matter/dynamic-profile/view/1870851","18-1870851")</f>
        <v>0</v>
      </c>
      <c r="B931" t="s">
        <v>90</v>
      </c>
      <c r="C931" t="s">
        <v>235</v>
      </c>
      <c r="D931" t="s">
        <v>328</v>
      </c>
      <c r="F931" t="s">
        <v>1456</v>
      </c>
      <c r="G931" t="s">
        <v>2412</v>
      </c>
      <c r="H931" t="s">
        <v>3949</v>
      </c>
      <c r="I931" t="s">
        <v>4791</v>
      </c>
      <c r="J931" t="s">
        <v>5321</v>
      </c>
      <c r="K931">
        <v>10452</v>
      </c>
      <c r="L931" t="s">
        <v>5355</v>
      </c>
      <c r="M931" t="s">
        <v>5355</v>
      </c>
      <c r="O931" t="s">
        <v>5393</v>
      </c>
      <c r="P931" t="s">
        <v>6527</v>
      </c>
      <c r="R931" t="s">
        <v>6539</v>
      </c>
      <c r="S931" t="s">
        <v>5355</v>
      </c>
      <c r="U931" t="s">
        <v>6557</v>
      </c>
      <c r="W931" t="s">
        <v>516</v>
      </c>
      <c r="X931">
        <v>1112.67</v>
      </c>
      <c r="Y931" t="s">
        <v>6606</v>
      </c>
      <c r="Z931" t="s">
        <v>6614</v>
      </c>
      <c r="AB931" t="s">
        <v>7504</v>
      </c>
      <c r="AD931" t="s">
        <v>9872</v>
      </c>
      <c r="AE931">
        <v>60</v>
      </c>
      <c r="AF931" t="s">
        <v>11005</v>
      </c>
      <c r="AG931" t="s">
        <v>5406</v>
      </c>
      <c r="AH931">
        <v>16</v>
      </c>
      <c r="AI931">
        <v>3</v>
      </c>
      <c r="AJ931">
        <v>2</v>
      </c>
      <c r="AK931">
        <v>305.06</v>
      </c>
      <c r="AN931" t="s">
        <v>11050</v>
      </c>
      <c r="AO931">
        <v>89750</v>
      </c>
      <c r="AU931">
        <v>0</v>
      </c>
      <c r="AW931" t="s">
        <v>11492</v>
      </c>
    </row>
    <row r="932" spans="1:50">
      <c r="A932" s="1">
        <f>HYPERLINK("https://cms.ls-nyc.org/matter/dynamic-profile/view/1841986","17-1841986")</f>
        <v>0</v>
      </c>
      <c r="B932" t="s">
        <v>131</v>
      </c>
      <c r="C932" t="s">
        <v>234</v>
      </c>
      <c r="D932" t="s">
        <v>305</v>
      </c>
      <c r="E932" t="s">
        <v>680</v>
      </c>
      <c r="F932" t="s">
        <v>893</v>
      </c>
      <c r="G932" t="s">
        <v>2724</v>
      </c>
      <c r="H932" t="s">
        <v>3574</v>
      </c>
      <c r="I932" t="s">
        <v>5024</v>
      </c>
      <c r="J932" t="s">
        <v>5323</v>
      </c>
      <c r="K932">
        <v>10034</v>
      </c>
      <c r="L932" t="s">
        <v>5355</v>
      </c>
      <c r="M932" t="s">
        <v>5355</v>
      </c>
      <c r="O932" t="s">
        <v>6494</v>
      </c>
      <c r="P932" t="s">
        <v>6527</v>
      </c>
      <c r="Q932" t="s">
        <v>6532</v>
      </c>
      <c r="R932" t="s">
        <v>6539</v>
      </c>
      <c r="S932" t="s">
        <v>5355</v>
      </c>
      <c r="U932" t="s">
        <v>6557</v>
      </c>
      <c r="W932" t="s">
        <v>404</v>
      </c>
      <c r="X932">
        <v>1913.3</v>
      </c>
      <c r="Y932" t="s">
        <v>6608</v>
      </c>
      <c r="Z932" t="s">
        <v>6616</v>
      </c>
      <c r="AA932" t="s">
        <v>6631</v>
      </c>
      <c r="AB932" t="s">
        <v>7505</v>
      </c>
      <c r="AE932">
        <v>65</v>
      </c>
      <c r="AF932" t="s">
        <v>11005</v>
      </c>
      <c r="AG932" t="s">
        <v>5406</v>
      </c>
      <c r="AH932">
        <v>1</v>
      </c>
      <c r="AI932">
        <v>2</v>
      </c>
      <c r="AJ932">
        <v>0</v>
      </c>
      <c r="AK932">
        <v>307.88</v>
      </c>
      <c r="AN932" t="s">
        <v>11050</v>
      </c>
      <c r="AO932">
        <v>50000</v>
      </c>
      <c r="AU932">
        <v>0.3</v>
      </c>
      <c r="AV932" t="s">
        <v>680</v>
      </c>
      <c r="AW932" t="s">
        <v>11495</v>
      </c>
    </row>
    <row r="933" spans="1:50">
      <c r="A933" s="1">
        <f>HYPERLINK("https://cms.ls-nyc.org/matter/dynamic-profile/view/1857680","18-1857680")</f>
        <v>0</v>
      </c>
      <c r="B933" t="s">
        <v>172</v>
      </c>
      <c r="C933" t="s">
        <v>234</v>
      </c>
      <c r="D933" t="s">
        <v>436</v>
      </c>
      <c r="E933" t="s">
        <v>725</v>
      </c>
      <c r="F933" t="s">
        <v>1457</v>
      </c>
      <c r="G933" t="s">
        <v>2725</v>
      </c>
      <c r="H933" t="s">
        <v>4048</v>
      </c>
      <c r="I933">
        <v>25</v>
      </c>
      <c r="J933" t="s">
        <v>5323</v>
      </c>
      <c r="K933">
        <v>10033</v>
      </c>
      <c r="L933" t="s">
        <v>5355</v>
      </c>
      <c r="M933" t="s">
        <v>5356</v>
      </c>
      <c r="O933" t="s">
        <v>6500</v>
      </c>
      <c r="P933" t="s">
        <v>6527</v>
      </c>
      <c r="Q933" t="s">
        <v>6535</v>
      </c>
      <c r="R933" t="s">
        <v>6539</v>
      </c>
      <c r="S933" t="s">
        <v>5357</v>
      </c>
      <c r="T933" t="s">
        <v>6542</v>
      </c>
      <c r="U933" t="s">
        <v>6557</v>
      </c>
      <c r="W933" t="s">
        <v>436</v>
      </c>
      <c r="X933">
        <v>397.21</v>
      </c>
      <c r="Y933" t="s">
        <v>6608</v>
      </c>
      <c r="Z933" t="s">
        <v>6616</v>
      </c>
      <c r="AA933" t="s">
        <v>6642</v>
      </c>
      <c r="AB933" t="s">
        <v>7506</v>
      </c>
      <c r="AD933" t="s">
        <v>9873</v>
      </c>
      <c r="AE933">
        <v>37</v>
      </c>
      <c r="AF933" t="s">
        <v>11006</v>
      </c>
      <c r="AG933" t="s">
        <v>5406</v>
      </c>
      <c r="AH933">
        <v>76</v>
      </c>
      <c r="AI933">
        <v>1</v>
      </c>
      <c r="AJ933">
        <v>0</v>
      </c>
      <c r="AK933">
        <v>312.12</v>
      </c>
      <c r="AL933" t="s">
        <v>11029</v>
      </c>
      <c r="AN933" t="s">
        <v>11050</v>
      </c>
      <c r="AO933">
        <v>37641.96</v>
      </c>
      <c r="AU933">
        <v>12.05</v>
      </c>
      <c r="AV933" t="s">
        <v>11436</v>
      </c>
      <c r="AW933" t="s">
        <v>11495</v>
      </c>
    </row>
    <row r="934" spans="1:50">
      <c r="A934" s="1">
        <f>HYPERLINK("https://cms.ls-nyc.org/matter/dynamic-profile/view/1864526","18-1864526")</f>
        <v>0</v>
      </c>
      <c r="B934" t="s">
        <v>92</v>
      </c>
      <c r="C934" t="s">
        <v>234</v>
      </c>
      <c r="D934" t="s">
        <v>256</v>
      </c>
      <c r="E934" t="s">
        <v>680</v>
      </c>
      <c r="F934" t="s">
        <v>972</v>
      </c>
      <c r="G934" t="s">
        <v>2718</v>
      </c>
      <c r="H934" t="s">
        <v>4049</v>
      </c>
      <c r="I934" t="s">
        <v>4854</v>
      </c>
      <c r="J934" t="s">
        <v>5323</v>
      </c>
      <c r="K934">
        <v>10034</v>
      </c>
      <c r="L934" t="s">
        <v>5355</v>
      </c>
      <c r="M934" t="s">
        <v>5355</v>
      </c>
      <c r="O934" t="s">
        <v>5393</v>
      </c>
      <c r="P934" t="s">
        <v>6527</v>
      </c>
      <c r="Q934" t="s">
        <v>6533</v>
      </c>
      <c r="R934" t="s">
        <v>6539</v>
      </c>
      <c r="S934" t="s">
        <v>5357</v>
      </c>
      <c r="U934" t="s">
        <v>6557</v>
      </c>
      <c r="V934" t="s">
        <v>6566</v>
      </c>
      <c r="W934" t="s">
        <v>312</v>
      </c>
      <c r="X934">
        <v>1054.71</v>
      </c>
      <c r="Y934" t="s">
        <v>6608</v>
      </c>
      <c r="Z934" t="s">
        <v>6614</v>
      </c>
      <c r="AA934" t="s">
        <v>6637</v>
      </c>
      <c r="AB934" t="s">
        <v>7507</v>
      </c>
      <c r="AD934" t="s">
        <v>9874</v>
      </c>
      <c r="AE934">
        <v>36</v>
      </c>
      <c r="AF934" t="s">
        <v>11005</v>
      </c>
      <c r="AG934" t="s">
        <v>5406</v>
      </c>
      <c r="AH934">
        <v>32</v>
      </c>
      <c r="AI934">
        <v>3</v>
      </c>
      <c r="AJ934">
        <v>0</v>
      </c>
      <c r="AK934">
        <v>329.16</v>
      </c>
      <c r="AN934" t="s">
        <v>11049</v>
      </c>
      <c r="AO934">
        <v>130800</v>
      </c>
      <c r="AU934">
        <v>11.1</v>
      </c>
      <c r="AV934" t="s">
        <v>801</v>
      </c>
      <c r="AW934" t="s">
        <v>11495</v>
      </c>
    </row>
    <row r="935" spans="1:50">
      <c r="A935" s="1">
        <f>HYPERLINK("https://cms.ls-nyc.org/matter/dynamic-profile/view/1851960","17-1851960")</f>
        <v>0</v>
      </c>
      <c r="B935" t="s">
        <v>58</v>
      </c>
      <c r="C935" t="s">
        <v>235</v>
      </c>
      <c r="D935" t="s">
        <v>344</v>
      </c>
      <c r="F935" t="s">
        <v>1458</v>
      </c>
      <c r="G935" t="s">
        <v>2726</v>
      </c>
      <c r="H935" t="s">
        <v>4007</v>
      </c>
      <c r="J935" t="s">
        <v>5321</v>
      </c>
      <c r="K935">
        <v>10452</v>
      </c>
      <c r="L935" t="s">
        <v>5355</v>
      </c>
      <c r="M935" t="s">
        <v>5356</v>
      </c>
      <c r="P935" t="s">
        <v>6527</v>
      </c>
      <c r="R935" t="s">
        <v>6539</v>
      </c>
      <c r="S935" t="s">
        <v>5355</v>
      </c>
      <c r="U935" t="s">
        <v>6557</v>
      </c>
      <c r="W935" t="s">
        <v>480</v>
      </c>
      <c r="X935">
        <v>1329.18</v>
      </c>
      <c r="Y935" t="s">
        <v>6606</v>
      </c>
      <c r="Z935" t="s">
        <v>6493</v>
      </c>
      <c r="AB935" t="s">
        <v>7508</v>
      </c>
      <c r="AD935" t="s">
        <v>9875</v>
      </c>
      <c r="AE935">
        <v>122</v>
      </c>
      <c r="AF935" t="s">
        <v>11005</v>
      </c>
      <c r="AG935" t="s">
        <v>5406</v>
      </c>
      <c r="AH935">
        <v>9</v>
      </c>
      <c r="AI935">
        <v>1</v>
      </c>
      <c r="AJ935">
        <v>0</v>
      </c>
      <c r="AK935">
        <v>331.67</v>
      </c>
      <c r="AM935" t="s">
        <v>11043</v>
      </c>
      <c r="AN935" t="s">
        <v>11050</v>
      </c>
      <c r="AO935">
        <v>40000</v>
      </c>
      <c r="AU935">
        <v>2.05</v>
      </c>
      <c r="AV935" t="s">
        <v>11454</v>
      </c>
      <c r="AW935" t="s">
        <v>11539</v>
      </c>
    </row>
    <row r="936" spans="1:50">
      <c r="A936" s="1">
        <f>HYPERLINK("https://cms.ls-nyc.org/matter/dynamic-profile/view/1864253","18-1864253")</f>
        <v>0</v>
      </c>
      <c r="B936" t="s">
        <v>103</v>
      </c>
      <c r="C936" t="s">
        <v>235</v>
      </c>
      <c r="D936" t="s">
        <v>303</v>
      </c>
      <c r="F936" t="s">
        <v>1459</v>
      </c>
      <c r="G936" t="s">
        <v>2727</v>
      </c>
      <c r="H936" t="s">
        <v>3995</v>
      </c>
      <c r="I936" t="s">
        <v>4823</v>
      </c>
      <c r="J936" t="s">
        <v>5321</v>
      </c>
      <c r="K936">
        <v>10452</v>
      </c>
      <c r="L936" t="s">
        <v>5355</v>
      </c>
      <c r="M936" t="s">
        <v>5356</v>
      </c>
      <c r="P936" t="s">
        <v>6527</v>
      </c>
      <c r="R936" t="s">
        <v>6539</v>
      </c>
      <c r="S936" t="s">
        <v>5355</v>
      </c>
      <c r="U936" t="s">
        <v>6557</v>
      </c>
      <c r="W936" t="s">
        <v>326</v>
      </c>
      <c r="X936">
        <v>827.3099999999999</v>
      </c>
      <c r="Y936" t="s">
        <v>6606</v>
      </c>
      <c r="Z936" t="s">
        <v>6612</v>
      </c>
      <c r="AB936" t="s">
        <v>7509</v>
      </c>
      <c r="AD936" t="s">
        <v>9876</v>
      </c>
      <c r="AE936">
        <v>0</v>
      </c>
      <c r="AF936" t="s">
        <v>11005</v>
      </c>
      <c r="AG936" t="s">
        <v>5406</v>
      </c>
      <c r="AH936">
        <v>36</v>
      </c>
      <c r="AI936">
        <v>1</v>
      </c>
      <c r="AJ936">
        <v>0</v>
      </c>
      <c r="AK936">
        <v>365.73</v>
      </c>
      <c r="AN936" t="s">
        <v>11050</v>
      </c>
      <c r="AO936">
        <v>44400</v>
      </c>
      <c r="AU936">
        <v>0.7</v>
      </c>
      <c r="AV936" t="s">
        <v>303</v>
      </c>
      <c r="AW936" t="s">
        <v>59</v>
      </c>
    </row>
    <row r="937" spans="1:50">
      <c r="A937" s="1">
        <f>HYPERLINK("https://cms.ls-nyc.org/matter/dynamic-profile/view/1859114","18-1859114")</f>
        <v>0</v>
      </c>
      <c r="B937" t="s">
        <v>55</v>
      </c>
      <c r="C937" t="s">
        <v>234</v>
      </c>
      <c r="D937" t="s">
        <v>424</v>
      </c>
      <c r="E937" t="s">
        <v>762</v>
      </c>
      <c r="F937" t="s">
        <v>1267</v>
      </c>
      <c r="G937" t="s">
        <v>878</v>
      </c>
      <c r="H937" t="s">
        <v>3895</v>
      </c>
      <c r="I937" t="s">
        <v>5014</v>
      </c>
      <c r="J937" t="s">
        <v>5320</v>
      </c>
      <c r="K937">
        <v>11203</v>
      </c>
      <c r="L937" t="s">
        <v>5355</v>
      </c>
      <c r="M937" t="s">
        <v>5356</v>
      </c>
      <c r="N937" t="s">
        <v>5541</v>
      </c>
      <c r="O937" t="s">
        <v>6494</v>
      </c>
      <c r="P937" t="s">
        <v>6527</v>
      </c>
      <c r="Q937" t="s">
        <v>6533</v>
      </c>
      <c r="R937" t="s">
        <v>6539</v>
      </c>
      <c r="S937" t="s">
        <v>5355</v>
      </c>
      <c r="T937" t="s">
        <v>6545</v>
      </c>
      <c r="U937" t="s">
        <v>6557</v>
      </c>
      <c r="W937" t="s">
        <v>424</v>
      </c>
      <c r="X937">
        <v>0</v>
      </c>
      <c r="Y937" t="s">
        <v>6605</v>
      </c>
      <c r="Z937" t="s">
        <v>6612</v>
      </c>
      <c r="AA937" t="s">
        <v>6634</v>
      </c>
      <c r="AB937" t="s">
        <v>7510</v>
      </c>
      <c r="AE937">
        <v>50</v>
      </c>
      <c r="AF937" t="s">
        <v>11005</v>
      </c>
      <c r="AH937">
        <v>0</v>
      </c>
      <c r="AI937">
        <v>1</v>
      </c>
      <c r="AJ937">
        <v>0</v>
      </c>
      <c r="AK937">
        <v>373.13</v>
      </c>
      <c r="AL937" t="s">
        <v>11029</v>
      </c>
      <c r="AN937" t="s">
        <v>11050</v>
      </c>
      <c r="AO937">
        <v>45000</v>
      </c>
      <c r="AR937" t="s">
        <v>11203</v>
      </c>
      <c r="AU937">
        <v>0.5</v>
      </c>
      <c r="AV937" t="s">
        <v>522</v>
      </c>
      <c r="AW937" t="s">
        <v>11490</v>
      </c>
    </row>
    <row r="938" spans="1:50">
      <c r="A938" s="1">
        <f>HYPERLINK("https://cms.ls-nyc.org/matter/dynamic-profile/view/1841982","17-1841982")</f>
        <v>0</v>
      </c>
      <c r="B938" t="s">
        <v>131</v>
      </c>
      <c r="C938" t="s">
        <v>234</v>
      </c>
      <c r="D938" t="s">
        <v>305</v>
      </c>
      <c r="E938" t="s">
        <v>680</v>
      </c>
      <c r="F938" t="s">
        <v>1460</v>
      </c>
      <c r="G938" t="s">
        <v>2728</v>
      </c>
      <c r="H938" t="s">
        <v>3574</v>
      </c>
      <c r="I938" t="s">
        <v>5025</v>
      </c>
      <c r="J938" t="s">
        <v>5323</v>
      </c>
      <c r="K938">
        <v>10034</v>
      </c>
      <c r="L938" t="s">
        <v>5355</v>
      </c>
      <c r="M938" t="s">
        <v>5355</v>
      </c>
      <c r="O938" t="s">
        <v>6494</v>
      </c>
      <c r="P938" t="s">
        <v>6527</v>
      </c>
      <c r="Q938" t="s">
        <v>6532</v>
      </c>
      <c r="R938" t="s">
        <v>6539</v>
      </c>
      <c r="S938" t="s">
        <v>5355</v>
      </c>
      <c r="U938" t="s">
        <v>6557</v>
      </c>
      <c r="W938" t="s">
        <v>404</v>
      </c>
      <c r="X938">
        <v>1695</v>
      </c>
      <c r="Y938" t="s">
        <v>6608</v>
      </c>
      <c r="Z938" t="s">
        <v>6616</v>
      </c>
      <c r="AA938" t="s">
        <v>6651</v>
      </c>
      <c r="AB938" t="s">
        <v>7511</v>
      </c>
      <c r="AD938" t="s">
        <v>9877</v>
      </c>
      <c r="AE938">
        <v>65</v>
      </c>
      <c r="AF938" t="s">
        <v>11005</v>
      </c>
      <c r="AG938" t="s">
        <v>5406</v>
      </c>
      <c r="AH938">
        <v>1</v>
      </c>
      <c r="AI938">
        <v>2</v>
      </c>
      <c r="AJ938">
        <v>0</v>
      </c>
      <c r="AK938">
        <v>381.77</v>
      </c>
      <c r="AN938" t="s">
        <v>11050</v>
      </c>
      <c r="AO938">
        <v>62000</v>
      </c>
      <c r="AU938">
        <v>0.3</v>
      </c>
      <c r="AV938" t="s">
        <v>680</v>
      </c>
      <c r="AW938" t="s">
        <v>11495</v>
      </c>
    </row>
    <row r="939" spans="1:50">
      <c r="A939" s="1">
        <f>HYPERLINK("https://cms.ls-nyc.org/matter/dynamic-profile/view/1836535","17-1836535")</f>
        <v>0</v>
      </c>
      <c r="B939" t="s">
        <v>131</v>
      </c>
      <c r="C939" t="s">
        <v>234</v>
      </c>
      <c r="D939" t="s">
        <v>442</v>
      </c>
      <c r="E939" t="s">
        <v>427</v>
      </c>
      <c r="F939" t="s">
        <v>1461</v>
      </c>
      <c r="G939" t="s">
        <v>2451</v>
      </c>
      <c r="H939" t="s">
        <v>4050</v>
      </c>
      <c r="I939" t="s">
        <v>5026</v>
      </c>
      <c r="J939" t="s">
        <v>5323</v>
      </c>
      <c r="K939">
        <v>10034</v>
      </c>
      <c r="L939" t="s">
        <v>5355</v>
      </c>
      <c r="M939" t="s">
        <v>5356</v>
      </c>
      <c r="O939" t="s">
        <v>6491</v>
      </c>
      <c r="P939" t="s">
        <v>6527</v>
      </c>
      <c r="Q939" t="s">
        <v>6532</v>
      </c>
      <c r="R939" t="s">
        <v>6539</v>
      </c>
      <c r="S939" t="s">
        <v>5357</v>
      </c>
      <c r="U939" t="s">
        <v>6557</v>
      </c>
      <c r="W939" t="s">
        <v>404</v>
      </c>
      <c r="X939">
        <v>240.99</v>
      </c>
      <c r="Y939" t="s">
        <v>6608</v>
      </c>
      <c r="Z939" t="s">
        <v>6617</v>
      </c>
      <c r="AA939" t="s">
        <v>6632</v>
      </c>
      <c r="AB939" t="s">
        <v>7512</v>
      </c>
      <c r="AD939" t="s">
        <v>9878</v>
      </c>
      <c r="AE939">
        <v>50</v>
      </c>
      <c r="AF939" t="s">
        <v>11005</v>
      </c>
      <c r="AG939" t="s">
        <v>5406</v>
      </c>
      <c r="AH939">
        <v>25</v>
      </c>
      <c r="AI939">
        <v>2</v>
      </c>
      <c r="AJ939">
        <v>0</v>
      </c>
      <c r="AK939">
        <v>383</v>
      </c>
      <c r="AL939" t="s">
        <v>11029</v>
      </c>
      <c r="AN939" t="s">
        <v>11049</v>
      </c>
      <c r="AO939">
        <v>62200</v>
      </c>
      <c r="AU939">
        <v>1.2</v>
      </c>
      <c r="AV939" t="s">
        <v>427</v>
      </c>
      <c r="AW939" t="s">
        <v>11497</v>
      </c>
    </row>
    <row r="940" spans="1:50">
      <c r="A940" s="1">
        <f>HYPERLINK("https://cms.ls-nyc.org/matter/dynamic-profile/view/1857114","18-1857114")</f>
        <v>0</v>
      </c>
      <c r="B940" t="s">
        <v>173</v>
      </c>
      <c r="C940" t="s">
        <v>234</v>
      </c>
      <c r="D940" t="s">
        <v>286</v>
      </c>
      <c r="E940" t="s">
        <v>777</v>
      </c>
      <c r="F940" t="s">
        <v>1462</v>
      </c>
      <c r="G940" t="s">
        <v>2125</v>
      </c>
      <c r="H940" t="s">
        <v>4051</v>
      </c>
      <c r="I940" t="s">
        <v>4752</v>
      </c>
      <c r="J940" t="s">
        <v>5323</v>
      </c>
      <c r="K940">
        <v>10035</v>
      </c>
      <c r="L940" t="s">
        <v>5355</v>
      </c>
      <c r="M940" t="s">
        <v>5355</v>
      </c>
      <c r="O940" t="s">
        <v>6513</v>
      </c>
      <c r="P940" t="s">
        <v>6527</v>
      </c>
      <c r="Q940" t="s">
        <v>6533</v>
      </c>
      <c r="R940" t="s">
        <v>6539</v>
      </c>
      <c r="S940" t="s">
        <v>5357</v>
      </c>
      <c r="U940" t="s">
        <v>6563</v>
      </c>
      <c r="V940" t="s">
        <v>6566</v>
      </c>
      <c r="W940" t="s">
        <v>286</v>
      </c>
      <c r="X940">
        <v>1234</v>
      </c>
      <c r="Y940" t="s">
        <v>6608</v>
      </c>
      <c r="Z940" t="s">
        <v>6625</v>
      </c>
      <c r="AA940" t="s">
        <v>6652</v>
      </c>
      <c r="AB940" t="s">
        <v>7513</v>
      </c>
      <c r="AD940" t="s">
        <v>9879</v>
      </c>
      <c r="AE940">
        <v>17</v>
      </c>
      <c r="AF940" t="s">
        <v>11014</v>
      </c>
      <c r="AG940" t="s">
        <v>5406</v>
      </c>
      <c r="AH940">
        <v>1</v>
      </c>
      <c r="AI940">
        <v>1</v>
      </c>
      <c r="AJ940">
        <v>0</v>
      </c>
      <c r="AK940">
        <v>387.15</v>
      </c>
      <c r="AL940" t="s">
        <v>11033</v>
      </c>
      <c r="AN940" t="s">
        <v>11050</v>
      </c>
      <c r="AO940">
        <v>47000</v>
      </c>
      <c r="AU940">
        <v>61.2</v>
      </c>
      <c r="AV940" t="s">
        <v>823</v>
      </c>
      <c r="AW940" t="s">
        <v>107</v>
      </c>
      <c r="AX940" t="s">
        <v>11564</v>
      </c>
    </row>
    <row r="941" spans="1:50">
      <c r="A941" s="1">
        <f>HYPERLINK("https://cms.ls-nyc.org/matter/dynamic-profile/view/0832644","17-0832644")</f>
        <v>0</v>
      </c>
      <c r="B941" t="s">
        <v>58</v>
      </c>
      <c r="C941" t="s">
        <v>234</v>
      </c>
      <c r="D941" t="s">
        <v>487</v>
      </c>
      <c r="E941" t="s">
        <v>674</v>
      </c>
      <c r="F941" t="s">
        <v>957</v>
      </c>
      <c r="G941" t="s">
        <v>2729</v>
      </c>
      <c r="H941" t="s">
        <v>3937</v>
      </c>
      <c r="I941" t="s">
        <v>4939</v>
      </c>
      <c r="J941" t="s">
        <v>5321</v>
      </c>
      <c r="K941">
        <v>10453</v>
      </c>
      <c r="L941" t="s">
        <v>5355</v>
      </c>
      <c r="M941" t="s">
        <v>5356</v>
      </c>
      <c r="O941" t="s">
        <v>5393</v>
      </c>
      <c r="P941" t="s">
        <v>6527</v>
      </c>
      <c r="Q941" t="s">
        <v>6532</v>
      </c>
      <c r="R941" t="s">
        <v>6539</v>
      </c>
      <c r="S941" t="s">
        <v>5355</v>
      </c>
      <c r="U941" t="s">
        <v>6557</v>
      </c>
      <c r="W941" t="s">
        <v>372</v>
      </c>
      <c r="X941">
        <v>1272</v>
      </c>
      <c r="Y941" t="s">
        <v>6606</v>
      </c>
      <c r="Z941" t="s">
        <v>6612</v>
      </c>
      <c r="AA941" t="s">
        <v>6636</v>
      </c>
      <c r="AB941" t="s">
        <v>7514</v>
      </c>
      <c r="AD941" t="s">
        <v>9880</v>
      </c>
      <c r="AE941">
        <v>766</v>
      </c>
      <c r="AF941" t="s">
        <v>11008</v>
      </c>
      <c r="AG941" t="s">
        <v>5406</v>
      </c>
      <c r="AH941">
        <v>34</v>
      </c>
      <c r="AI941">
        <v>2</v>
      </c>
      <c r="AJ941">
        <v>0</v>
      </c>
      <c r="AK941">
        <v>430.57</v>
      </c>
      <c r="AN941" t="s">
        <v>11050</v>
      </c>
      <c r="AO941">
        <v>85524</v>
      </c>
      <c r="AU941">
        <v>0.75</v>
      </c>
      <c r="AV941" t="s">
        <v>674</v>
      </c>
      <c r="AW941" t="s">
        <v>11509</v>
      </c>
    </row>
    <row r="942" spans="1:50">
      <c r="A942" s="1">
        <f>HYPERLINK("https://cms.ls-nyc.org/matter/dynamic-profile/view/1835474","17-1835474")</f>
        <v>0</v>
      </c>
      <c r="B942" t="s">
        <v>58</v>
      </c>
      <c r="C942" t="s">
        <v>234</v>
      </c>
      <c r="D942" t="s">
        <v>512</v>
      </c>
      <c r="E942" t="s">
        <v>674</v>
      </c>
      <c r="F942" t="s">
        <v>1463</v>
      </c>
      <c r="G942" t="s">
        <v>2730</v>
      </c>
      <c r="H942" t="s">
        <v>3937</v>
      </c>
      <c r="I942">
        <v>10453</v>
      </c>
      <c r="J942" t="s">
        <v>5321</v>
      </c>
      <c r="K942">
        <v>10453</v>
      </c>
      <c r="L942" t="s">
        <v>5355</v>
      </c>
      <c r="M942" t="s">
        <v>5356</v>
      </c>
      <c r="O942" t="s">
        <v>5393</v>
      </c>
      <c r="P942" t="s">
        <v>6527</v>
      </c>
      <c r="Q942" t="s">
        <v>6532</v>
      </c>
      <c r="R942" t="s">
        <v>6539</v>
      </c>
      <c r="S942" t="s">
        <v>5355</v>
      </c>
      <c r="U942" t="s">
        <v>6557</v>
      </c>
      <c r="W942" t="s">
        <v>372</v>
      </c>
      <c r="X942">
        <v>1297</v>
      </c>
      <c r="Y942" t="s">
        <v>6606</v>
      </c>
      <c r="Z942" t="s">
        <v>6616</v>
      </c>
      <c r="AA942" t="s">
        <v>6636</v>
      </c>
      <c r="AB942" t="s">
        <v>7370</v>
      </c>
      <c r="AD942" t="s">
        <v>9881</v>
      </c>
      <c r="AE942">
        <v>766</v>
      </c>
      <c r="AF942" t="s">
        <v>11008</v>
      </c>
      <c r="AG942" t="s">
        <v>11020</v>
      </c>
      <c r="AH942">
        <v>38</v>
      </c>
      <c r="AI942">
        <v>1</v>
      </c>
      <c r="AJ942">
        <v>0</v>
      </c>
      <c r="AK942">
        <v>497.51</v>
      </c>
      <c r="AN942" t="s">
        <v>11050</v>
      </c>
      <c r="AO942">
        <v>60000</v>
      </c>
      <c r="AU942">
        <v>1.75</v>
      </c>
      <c r="AV942" t="s">
        <v>674</v>
      </c>
      <c r="AW942" t="s">
        <v>11540</v>
      </c>
    </row>
    <row r="943" spans="1:50">
      <c r="A943" s="1">
        <f>HYPERLINK("https://cms.ls-nyc.org/matter/dynamic-profile/view/1863626","18-1863626")</f>
        <v>0</v>
      </c>
      <c r="B943" t="s">
        <v>103</v>
      </c>
      <c r="C943" t="s">
        <v>235</v>
      </c>
      <c r="D943" t="s">
        <v>263</v>
      </c>
      <c r="F943" t="s">
        <v>1270</v>
      </c>
      <c r="G943" t="s">
        <v>1965</v>
      </c>
      <c r="H943" t="s">
        <v>3995</v>
      </c>
      <c r="I943" t="s">
        <v>5027</v>
      </c>
      <c r="J943" t="s">
        <v>5321</v>
      </c>
      <c r="K943">
        <v>10452</v>
      </c>
      <c r="L943" t="s">
        <v>5355</v>
      </c>
      <c r="M943" t="s">
        <v>5356</v>
      </c>
      <c r="O943" t="s">
        <v>6500</v>
      </c>
      <c r="P943" t="s">
        <v>6527</v>
      </c>
      <c r="R943" t="s">
        <v>6539</v>
      </c>
      <c r="S943" t="s">
        <v>5355</v>
      </c>
      <c r="U943" t="s">
        <v>6557</v>
      </c>
      <c r="W943" t="s">
        <v>326</v>
      </c>
      <c r="X943">
        <v>771</v>
      </c>
      <c r="Y943" t="s">
        <v>6606</v>
      </c>
      <c r="Z943" t="s">
        <v>6612</v>
      </c>
      <c r="AB943" t="s">
        <v>7515</v>
      </c>
      <c r="AD943" t="s">
        <v>9882</v>
      </c>
      <c r="AE943">
        <v>0</v>
      </c>
      <c r="AF943" t="s">
        <v>11005</v>
      </c>
      <c r="AG943" t="s">
        <v>5406</v>
      </c>
      <c r="AH943">
        <v>30</v>
      </c>
      <c r="AI943">
        <v>2</v>
      </c>
      <c r="AJ943">
        <v>1</v>
      </c>
      <c r="AK943">
        <v>500.48</v>
      </c>
      <c r="AN943" t="s">
        <v>11050</v>
      </c>
      <c r="AO943">
        <v>104000</v>
      </c>
      <c r="AU943">
        <v>68.5</v>
      </c>
      <c r="AV943" t="s">
        <v>832</v>
      </c>
      <c r="AW943" t="s">
        <v>59</v>
      </c>
    </row>
    <row r="944" spans="1:50">
      <c r="A944" s="1">
        <f>HYPERLINK("https://cms.ls-nyc.org/matter/dynamic-profile/view/0830619","17-0830619")</f>
        <v>0</v>
      </c>
      <c r="B944" t="s">
        <v>102</v>
      </c>
      <c r="C944" t="s">
        <v>235</v>
      </c>
      <c r="D944" t="s">
        <v>506</v>
      </c>
      <c r="F944" t="s">
        <v>1464</v>
      </c>
      <c r="G944" t="s">
        <v>2197</v>
      </c>
      <c r="H944" t="s">
        <v>3928</v>
      </c>
      <c r="I944" t="s">
        <v>4905</v>
      </c>
      <c r="J944" t="s">
        <v>5321</v>
      </c>
      <c r="K944">
        <v>10452</v>
      </c>
      <c r="L944" t="s">
        <v>5355</v>
      </c>
      <c r="M944" t="s">
        <v>5356</v>
      </c>
      <c r="O944" t="s">
        <v>6493</v>
      </c>
      <c r="P944" t="s">
        <v>6527</v>
      </c>
      <c r="R944" t="s">
        <v>6539</v>
      </c>
      <c r="S944" t="s">
        <v>5355</v>
      </c>
      <c r="U944" t="s">
        <v>6557</v>
      </c>
      <c r="W944" t="s">
        <v>406</v>
      </c>
      <c r="X944">
        <v>748.29</v>
      </c>
      <c r="Y944" t="s">
        <v>6606</v>
      </c>
      <c r="Z944" t="s">
        <v>6612</v>
      </c>
      <c r="AB944" t="s">
        <v>7516</v>
      </c>
      <c r="AD944" t="s">
        <v>9883</v>
      </c>
      <c r="AE944">
        <v>130</v>
      </c>
      <c r="AF944" t="s">
        <v>11005</v>
      </c>
      <c r="AH944">
        <v>10</v>
      </c>
      <c r="AI944">
        <v>2</v>
      </c>
      <c r="AJ944">
        <v>0</v>
      </c>
      <c r="AK944">
        <v>512.3200000000001</v>
      </c>
      <c r="AN944" t="s">
        <v>11050</v>
      </c>
      <c r="AO944">
        <v>83200</v>
      </c>
      <c r="AU944">
        <v>2.75</v>
      </c>
      <c r="AV944" t="s">
        <v>273</v>
      </c>
      <c r="AW944" t="s">
        <v>11509</v>
      </c>
    </row>
    <row r="945" spans="1:49">
      <c r="A945" s="1">
        <f>HYPERLINK("https://cms.ls-nyc.org/matter/dynamic-profile/view/1863590","18-1863590")</f>
        <v>0</v>
      </c>
      <c r="B945" t="s">
        <v>158</v>
      </c>
      <c r="C945" t="s">
        <v>235</v>
      </c>
      <c r="D945" t="s">
        <v>373</v>
      </c>
      <c r="F945" t="s">
        <v>1465</v>
      </c>
      <c r="G945" t="s">
        <v>2193</v>
      </c>
      <c r="H945" t="s">
        <v>4052</v>
      </c>
      <c r="I945" t="s">
        <v>5028</v>
      </c>
      <c r="J945" t="s">
        <v>5321</v>
      </c>
      <c r="K945">
        <v>10451</v>
      </c>
      <c r="L945" t="s">
        <v>5355</v>
      </c>
      <c r="M945" t="s">
        <v>5356</v>
      </c>
      <c r="O945" t="s">
        <v>6500</v>
      </c>
      <c r="P945" t="s">
        <v>6527</v>
      </c>
      <c r="R945" t="s">
        <v>6539</v>
      </c>
      <c r="S945" t="s">
        <v>5357</v>
      </c>
      <c r="U945" t="s">
        <v>6557</v>
      </c>
      <c r="W945" t="s">
        <v>275</v>
      </c>
      <c r="X945">
        <v>1064.5</v>
      </c>
      <c r="Y945" t="s">
        <v>6606</v>
      </c>
      <c r="Z945" t="s">
        <v>6616</v>
      </c>
      <c r="AB945" t="s">
        <v>7517</v>
      </c>
      <c r="AD945" t="s">
        <v>9884</v>
      </c>
      <c r="AE945">
        <v>81</v>
      </c>
      <c r="AF945" t="s">
        <v>11005</v>
      </c>
      <c r="AG945" t="s">
        <v>5406</v>
      </c>
      <c r="AH945">
        <v>21</v>
      </c>
      <c r="AI945">
        <v>1</v>
      </c>
      <c r="AJ945">
        <v>0</v>
      </c>
      <c r="AK945">
        <v>535.42</v>
      </c>
      <c r="AN945" t="s">
        <v>11050</v>
      </c>
      <c r="AO945">
        <v>65000</v>
      </c>
      <c r="AP945" t="s">
        <v>11085</v>
      </c>
      <c r="AU945">
        <v>16.3</v>
      </c>
      <c r="AV945" t="s">
        <v>834</v>
      </c>
      <c r="AW945" t="s">
        <v>59</v>
      </c>
    </row>
    <row r="946" spans="1:49">
      <c r="A946" s="1">
        <f>HYPERLINK("https://cms.ls-nyc.org/matter/dynamic-profile/view/1867161","18-1867161")</f>
        <v>0</v>
      </c>
      <c r="B946" t="s">
        <v>131</v>
      </c>
      <c r="C946" t="s">
        <v>234</v>
      </c>
      <c r="D946" t="s">
        <v>391</v>
      </c>
      <c r="E946" t="s">
        <v>282</v>
      </c>
      <c r="F946" t="s">
        <v>1466</v>
      </c>
      <c r="G946" t="s">
        <v>2731</v>
      </c>
      <c r="H946" t="s">
        <v>4053</v>
      </c>
      <c r="I946" t="s">
        <v>4819</v>
      </c>
      <c r="J946" t="s">
        <v>5323</v>
      </c>
      <c r="K946">
        <v>10034</v>
      </c>
      <c r="L946" t="s">
        <v>5355</v>
      </c>
      <c r="M946" t="s">
        <v>5356</v>
      </c>
      <c r="O946" t="s">
        <v>6494</v>
      </c>
      <c r="P946" t="s">
        <v>6527</v>
      </c>
      <c r="Q946" t="s">
        <v>6531</v>
      </c>
      <c r="R946" t="s">
        <v>6539</v>
      </c>
      <c r="S946" t="s">
        <v>5357</v>
      </c>
      <c r="U946" t="s">
        <v>6557</v>
      </c>
      <c r="W946" t="s">
        <v>391</v>
      </c>
      <c r="X946">
        <v>1900</v>
      </c>
      <c r="Y946" t="s">
        <v>6608</v>
      </c>
      <c r="Z946" t="s">
        <v>6616</v>
      </c>
      <c r="AA946" t="s">
        <v>6631</v>
      </c>
      <c r="AB946" t="s">
        <v>7518</v>
      </c>
      <c r="AD946" t="s">
        <v>9885</v>
      </c>
      <c r="AE946">
        <v>0</v>
      </c>
      <c r="AF946" t="s">
        <v>11005</v>
      </c>
      <c r="AG946" t="s">
        <v>5406</v>
      </c>
      <c r="AH946">
        <v>3</v>
      </c>
      <c r="AI946">
        <v>2</v>
      </c>
      <c r="AJ946">
        <v>0</v>
      </c>
      <c r="AK946">
        <v>540.58</v>
      </c>
      <c r="AN946" t="s">
        <v>11050</v>
      </c>
      <c r="AO946">
        <v>88978.85000000001</v>
      </c>
      <c r="AU946">
        <v>0.1</v>
      </c>
      <c r="AV946" t="s">
        <v>282</v>
      </c>
      <c r="AW946" t="s">
        <v>11495</v>
      </c>
    </row>
    <row r="947" spans="1:49">
      <c r="A947" s="1">
        <f>HYPERLINK("https://cms.ls-nyc.org/matter/dynamic-profile/view/1853703","17-1853703")</f>
        <v>0</v>
      </c>
      <c r="B947" t="s">
        <v>71</v>
      </c>
      <c r="C947" t="s">
        <v>235</v>
      </c>
      <c r="D947" t="s">
        <v>509</v>
      </c>
      <c r="F947" t="s">
        <v>1467</v>
      </c>
      <c r="G947" t="s">
        <v>2732</v>
      </c>
      <c r="H947" t="s">
        <v>3606</v>
      </c>
      <c r="I947" t="s">
        <v>4840</v>
      </c>
      <c r="J947" t="s">
        <v>5321</v>
      </c>
      <c r="K947">
        <v>10453</v>
      </c>
      <c r="L947" t="s">
        <v>5355</v>
      </c>
      <c r="M947" t="s">
        <v>5356</v>
      </c>
      <c r="O947" t="s">
        <v>5393</v>
      </c>
      <c r="P947" t="s">
        <v>6527</v>
      </c>
      <c r="R947" t="s">
        <v>6539</v>
      </c>
      <c r="U947" t="s">
        <v>6557</v>
      </c>
      <c r="W947" t="s">
        <v>343</v>
      </c>
      <c r="X947">
        <v>921.09</v>
      </c>
      <c r="Y947" t="s">
        <v>6606</v>
      </c>
      <c r="Z947" t="s">
        <v>6612</v>
      </c>
      <c r="AB947" t="s">
        <v>7519</v>
      </c>
      <c r="AD947" t="s">
        <v>9886</v>
      </c>
      <c r="AE947">
        <v>21</v>
      </c>
      <c r="AF947" t="s">
        <v>11005</v>
      </c>
      <c r="AG947" t="s">
        <v>5406</v>
      </c>
      <c r="AH947">
        <v>11</v>
      </c>
      <c r="AI947">
        <v>1</v>
      </c>
      <c r="AJ947">
        <v>0</v>
      </c>
      <c r="AK947">
        <v>547.26</v>
      </c>
      <c r="AN947" t="s">
        <v>11050</v>
      </c>
      <c r="AO947">
        <v>66000</v>
      </c>
      <c r="AP947" t="s">
        <v>11129</v>
      </c>
      <c r="AU947">
        <v>1.7</v>
      </c>
      <c r="AV947" t="s">
        <v>246</v>
      </c>
      <c r="AW947" t="s">
        <v>11509</v>
      </c>
    </row>
    <row r="948" spans="1:49">
      <c r="A948" s="1">
        <f>HYPERLINK("https://cms.ls-nyc.org/matter/dynamic-profile/view/0832606","17-0832606")</f>
        <v>0</v>
      </c>
      <c r="B948" t="s">
        <v>58</v>
      </c>
      <c r="C948" t="s">
        <v>234</v>
      </c>
      <c r="D948" t="s">
        <v>487</v>
      </c>
      <c r="E948" t="s">
        <v>674</v>
      </c>
      <c r="F948" t="s">
        <v>1468</v>
      </c>
      <c r="G948" t="s">
        <v>2733</v>
      </c>
      <c r="H948" t="s">
        <v>3937</v>
      </c>
      <c r="I948" t="s">
        <v>4853</v>
      </c>
      <c r="J948" t="s">
        <v>5321</v>
      </c>
      <c r="K948">
        <v>10453</v>
      </c>
      <c r="L948" t="s">
        <v>5355</v>
      </c>
      <c r="M948" t="s">
        <v>5356</v>
      </c>
      <c r="O948" t="s">
        <v>5393</v>
      </c>
      <c r="P948" t="s">
        <v>6527</v>
      </c>
      <c r="Q948" t="s">
        <v>6532</v>
      </c>
      <c r="R948" t="s">
        <v>6539</v>
      </c>
      <c r="S948" t="s">
        <v>5355</v>
      </c>
      <c r="U948" t="s">
        <v>6557</v>
      </c>
      <c r="W948" t="s">
        <v>372</v>
      </c>
      <c r="X948">
        <v>1272</v>
      </c>
      <c r="Y948" t="s">
        <v>6606</v>
      </c>
      <c r="Z948" t="s">
        <v>6612</v>
      </c>
      <c r="AA948" t="s">
        <v>6636</v>
      </c>
      <c r="AB948" t="s">
        <v>7520</v>
      </c>
      <c r="AE948">
        <v>766</v>
      </c>
      <c r="AF948" t="s">
        <v>11008</v>
      </c>
      <c r="AG948" t="s">
        <v>5406</v>
      </c>
      <c r="AH948">
        <v>45</v>
      </c>
      <c r="AI948">
        <v>1</v>
      </c>
      <c r="AJ948">
        <v>0</v>
      </c>
      <c r="AK948">
        <v>555.5599999999999</v>
      </c>
      <c r="AN948" t="s">
        <v>11050</v>
      </c>
      <c r="AO948">
        <v>67000</v>
      </c>
      <c r="AU948">
        <v>3.5</v>
      </c>
      <c r="AV948" t="s">
        <v>674</v>
      </c>
      <c r="AW948" t="s">
        <v>11509</v>
      </c>
    </row>
    <row r="949" spans="1:49">
      <c r="A949" s="1">
        <f>HYPERLINK("https://cms.ls-nyc.org/matter/dynamic-profile/view/1887811","19-1887811")</f>
        <v>0</v>
      </c>
      <c r="B949" t="s">
        <v>135</v>
      </c>
      <c r="C949" t="s">
        <v>235</v>
      </c>
      <c r="D949" t="s">
        <v>513</v>
      </c>
      <c r="F949" t="s">
        <v>1128</v>
      </c>
      <c r="G949" t="s">
        <v>2376</v>
      </c>
      <c r="H949" t="s">
        <v>3735</v>
      </c>
      <c r="I949" t="s">
        <v>4879</v>
      </c>
      <c r="J949" t="s">
        <v>5320</v>
      </c>
      <c r="K949">
        <v>11225</v>
      </c>
      <c r="L949" t="s">
        <v>5355</v>
      </c>
      <c r="M949" t="s">
        <v>5355</v>
      </c>
      <c r="O949" t="s">
        <v>6507</v>
      </c>
      <c r="P949" t="s">
        <v>6528</v>
      </c>
      <c r="R949" t="s">
        <v>6539</v>
      </c>
      <c r="S949" t="s">
        <v>5355</v>
      </c>
      <c r="U949" t="s">
        <v>6557</v>
      </c>
      <c r="W949" t="s">
        <v>523</v>
      </c>
      <c r="X949">
        <v>757.21</v>
      </c>
      <c r="Y949" t="s">
        <v>6605</v>
      </c>
      <c r="AB949" t="s">
        <v>6994</v>
      </c>
      <c r="AD949" t="s">
        <v>9401</v>
      </c>
      <c r="AE949">
        <v>89</v>
      </c>
      <c r="AF949" t="s">
        <v>11005</v>
      </c>
      <c r="AG949" t="s">
        <v>5406</v>
      </c>
      <c r="AH949">
        <v>29</v>
      </c>
      <c r="AI949">
        <v>2</v>
      </c>
      <c r="AJ949">
        <v>2</v>
      </c>
      <c r="AK949">
        <v>0</v>
      </c>
      <c r="AN949" t="s">
        <v>11050</v>
      </c>
      <c r="AO949">
        <v>0</v>
      </c>
      <c r="AU949">
        <v>0</v>
      </c>
      <c r="AW949" t="s">
        <v>11516</v>
      </c>
    </row>
    <row r="950" spans="1:49">
      <c r="A950" s="1">
        <f>HYPERLINK("https://cms.ls-nyc.org/matter/dynamic-profile/view/1887833","19-1887833")</f>
        <v>0</v>
      </c>
      <c r="B950" t="s">
        <v>135</v>
      </c>
      <c r="C950" t="s">
        <v>235</v>
      </c>
      <c r="D950" t="s">
        <v>513</v>
      </c>
      <c r="F950" t="s">
        <v>900</v>
      </c>
      <c r="G950" t="s">
        <v>2144</v>
      </c>
      <c r="H950" t="s">
        <v>3735</v>
      </c>
      <c r="I950" t="s">
        <v>4880</v>
      </c>
      <c r="J950" t="s">
        <v>5320</v>
      </c>
      <c r="K950">
        <v>11225</v>
      </c>
      <c r="L950" t="s">
        <v>5355</v>
      </c>
      <c r="M950" t="s">
        <v>5356</v>
      </c>
      <c r="O950" t="s">
        <v>6507</v>
      </c>
      <c r="P950" t="s">
        <v>6528</v>
      </c>
      <c r="R950" t="s">
        <v>6539</v>
      </c>
      <c r="S950" t="s">
        <v>5355</v>
      </c>
      <c r="U950" t="s">
        <v>6557</v>
      </c>
      <c r="W950" t="s">
        <v>523</v>
      </c>
      <c r="X950">
        <v>1021</v>
      </c>
      <c r="Y950" t="s">
        <v>6605</v>
      </c>
      <c r="Z950" t="s">
        <v>6622</v>
      </c>
      <c r="AB950" t="s">
        <v>6995</v>
      </c>
      <c r="AD950" t="s">
        <v>9402</v>
      </c>
      <c r="AE950">
        <v>89</v>
      </c>
      <c r="AF950" t="s">
        <v>11005</v>
      </c>
      <c r="AG950" t="s">
        <v>5406</v>
      </c>
      <c r="AH950">
        <v>17</v>
      </c>
      <c r="AI950">
        <v>1</v>
      </c>
      <c r="AJ950">
        <v>0</v>
      </c>
      <c r="AK950">
        <v>0</v>
      </c>
      <c r="AN950" t="s">
        <v>11050</v>
      </c>
      <c r="AO950">
        <v>0</v>
      </c>
      <c r="AU950">
        <v>0</v>
      </c>
      <c r="AW950" t="s">
        <v>11516</v>
      </c>
    </row>
    <row r="951" spans="1:49">
      <c r="A951" s="1">
        <f>HYPERLINK("https://cms.ls-nyc.org/matter/dynamic-profile/view/0798605","16-0798605")</f>
        <v>0</v>
      </c>
      <c r="B951" t="s">
        <v>174</v>
      </c>
      <c r="C951" t="s">
        <v>234</v>
      </c>
      <c r="D951" t="s">
        <v>514</v>
      </c>
      <c r="E951" t="s">
        <v>665</v>
      </c>
      <c r="F951" t="s">
        <v>1241</v>
      </c>
      <c r="G951" t="s">
        <v>2734</v>
      </c>
      <c r="H951" t="s">
        <v>4054</v>
      </c>
      <c r="I951">
        <v>9</v>
      </c>
      <c r="J951" t="s">
        <v>5320</v>
      </c>
      <c r="K951">
        <v>11216</v>
      </c>
      <c r="L951" t="s">
        <v>5355</v>
      </c>
      <c r="M951" t="s">
        <v>5356</v>
      </c>
      <c r="O951" t="s">
        <v>6499</v>
      </c>
      <c r="P951" t="s">
        <v>6528</v>
      </c>
      <c r="Q951" t="s">
        <v>6536</v>
      </c>
      <c r="R951" t="s">
        <v>6539</v>
      </c>
      <c r="U951" t="s">
        <v>6557</v>
      </c>
      <c r="W951" t="s">
        <v>6595</v>
      </c>
      <c r="X951">
        <v>285</v>
      </c>
      <c r="Y951" t="s">
        <v>6605</v>
      </c>
      <c r="Z951" t="s">
        <v>6627</v>
      </c>
      <c r="AA951" t="s">
        <v>6645</v>
      </c>
      <c r="AB951" t="s">
        <v>7521</v>
      </c>
      <c r="AD951" t="s">
        <v>9887</v>
      </c>
      <c r="AE951">
        <v>8</v>
      </c>
      <c r="AF951" t="s">
        <v>11005</v>
      </c>
      <c r="AH951">
        <v>28</v>
      </c>
      <c r="AI951">
        <v>1</v>
      </c>
      <c r="AJ951">
        <v>0</v>
      </c>
      <c r="AK951">
        <v>0</v>
      </c>
      <c r="AN951" t="s">
        <v>11050</v>
      </c>
      <c r="AO951">
        <v>0</v>
      </c>
      <c r="AU951">
        <v>54.25</v>
      </c>
      <c r="AV951" t="s">
        <v>668</v>
      </c>
      <c r="AW951" t="s">
        <v>11490</v>
      </c>
    </row>
    <row r="952" spans="1:49">
      <c r="A952" s="1">
        <f>HYPERLINK("https://cms.ls-nyc.org/matter/dynamic-profile/view/1867085","18-1867085")</f>
        <v>0</v>
      </c>
      <c r="B952" t="s">
        <v>135</v>
      </c>
      <c r="C952" t="s">
        <v>235</v>
      </c>
      <c r="D952" t="s">
        <v>244</v>
      </c>
      <c r="F952" t="s">
        <v>1132</v>
      </c>
      <c r="G952" t="s">
        <v>2380</v>
      </c>
      <c r="H952" t="s">
        <v>3739</v>
      </c>
      <c r="I952" t="s">
        <v>4852</v>
      </c>
      <c r="J952" t="s">
        <v>5320</v>
      </c>
      <c r="K952">
        <v>11212</v>
      </c>
      <c r="L952" t="s">
        <v>5355</v>
      </c>
      <c r="M952" t="s">
        <v>5356</v>
      </c>
      <c r="O952" t="s">
        <v>6500</v>
      </c>
      <c r="P952" t="s">
        <v>6528</v>
      </c>
      <c r="R952" t="s">
        <v>6539</v>
      </c>
      <c r="S952" t="s">
        <v>5355</v>
      </c>
      <c r="U952" t="s">
        <v>6557</v>
      </c>
      <c r="W952" t="s">
        <v>298</v>
      </c>
      <c r="X952">
        <v>1180.14</v>
      </c>
      <c r="Y952" t="s">
        <v>6605</v>
      </c>
      <c r="Z952" t="s">
        <v>6493</v>
      </c>
      <c r="AB952" t="s">
        <v>7000</v>
      </c>
      <c r="AD952" t="s">
        <v>9407</v>
      </c>
      <c r="AE952">
        <v>0</v>
      </c>
      <c r="AF952" t="s">
        <v>11005</v>
      </c>
      <c r="AH952">
        <v>16</v>
      </c>
      <c r="AI952">
        <v>1</v>
      </c>
      <c r="AJ952">
        <v>0</v>
      </c>
      <c r="AK952">
        <v>0</v>
      </c>
      <c r="AN952" t="s">
        <v>11050</v>
      </c>
      <c r="AO952">
        <v>0</v>
      </c>
      <c r="AU952">
        <v>0</v>
      </c>
      <c r="AW952" t="s">
        <v>11512</v>
      </c>
    </row>
    <row r="953" spans="1:49">
      <c r="A953" s="1">
        <f>HYPERLINK("https://cms.ls-nyc.org/matter/dynamic-profile/view/1851821","17-1851821")</f>
        <v>0</v>
      </c>
      <c r="B953" t="s">
        <v>129</v>
      </c>
      <c r="C953" t="s">
        <v>234</v>
      </c>
      <c r="D953" t="s">
        <v>300</v>
      </c>
      <c r="E953" t="s">
        <v>600</v>
      </c>
      <c r="F953" t="s">
        <v>1443</v>
      </c>
      <c r="G953" t="s">
        <v>2735</v>
      </c>
      <c r="H953" t="s">
        <v>4055</v>
      </c>
      <c r="I953" t="s">
        <v>4777</v>
      </c>
      <c r="J953" t="s">
        <v>5321</v>
      </c>
      <c r="K953">
        <v>10468</v>
      </c>
      <c r="L953" t="s">
        <v>5355</v>
      </c>
      <c r="M953" t="s">
        <v>5356</v>
      </c>
      <c r="N953" t="s">
        <v>5568</v>
      </c>
      <c r="O953" t="s">
        <v>6499</v>
      </c>
      <c r="P953" t="s">
        <v>6528</v>
      </c>
      <c r="Q953" t="s">
        <v>6536</v>
      </c>
      <c r="R953" t="s">
        <v>6539</v>
      </c>
      <c r="S953" t="s">
        <v>5355</v>
      </c>
      <c r="U953" t="s">
        <v>6557</v>
      </c>
      <c r="W953" t="s">
        <v>300</v>
      </c>
      <c r="X953">
        <v>864</v>
      </c>
      <c r="Y953" t="s">
        <v>6606</v>
      </c>
      <c r="Z953" t="s">
        <v>6620</v>
      </c>
      <c r="AA953" t="s">
        <v>6634</v>
      </c>
      <c r="AB953" t="s">
        <v>7522</v>
      </c>
      <c r="AD953" t="s">
        <v>9888</v>
      </c>
      <c r="AE953">
        <v>47</v>
      </c>
      <c r="AF953" t="s">
        <v>11005</v>
      </c>
      <c r="AG953" t="s">
        <v>5406</v>
      </c>
      <c r="AH953">
        <v>25</v>
      </c>
      <c r="AI953">
        <v>1</v>
      </c>
      <c r="AJ953">
        <v>0</v>
      </c>
      <c r="AK953">
        <v>0</v>
      </c>
      <c r="AL953" t="s">
        <v>463</v>
      </c>
      <c r="AN953" t="s">
        <v>11050</v>
      </c>
      <c r="AO953">
        <v>0</v>
      </c>
      <c r="AU953">
        <v>0.5</v>
      </c>
      <c r="AV953" t="s">
        <v>300</v>
      </c>
      <c r="AW953" t="s">
        <v>11499</v>
      </c>
    </row>
    <row r="954" spans="1:49">
      <c r="A954" s="1">
        <f>HYPERLINK("https://cms.ls-nyc.org/matter/dynamic-profile/view/0816930","16-0816930")</f>
        <v>0</v>
      </c>
      <c r="B954" t="s">
        <v>129</v>
      </c>
      <c r="C954" t="s">
        <v>235</v>
      </c>
      <c r="D954" t="s">
        <v>515</v>
      </c>
      <c r="F954" t="s">
        <v>914</v>
      </c>
      <c r="G954" t="s">
        <v>2736</v>
      </c>
      <c r="H954" t="s">
        <v>4056</v>
      </c>
      <c r="I954" t="s">
        <v>4750</v>
      </c>
      <c r="J954" t="s">
        <v>5321</v>
      </c>
      <c r="K954">
        <v>10457</v>
      </c>
      <c r="L954" t="s">
        <v>5355</v>
      </c>
      <c r="M954" t="s">
        <v>5356</v>
      </c>
      <c r="O954" t="s">
        <v>6499</v>
      </c>
      <c r="P954" t="s">
        <v>6528</v>
      </c>
      <c r="R954" t="s">
        <v>6539</v>
      </c>
      <c r="S954" t="s">
        <v>5355</v>
      </c>
      <c r="U954" t="s">
        <v>6557</v>
      </c>
      <c r="W954" t="s">
        <v>315</v>
      </c>
      <c r="X954">
        <v>0</v>
      </c>
      <c r="Y954" t="s">
        <v>6606</v>
      </c>
      <c r="Z954" t="s">
        <v>6621</v>
      </c>
      <c r="AB954" t="s">
        <v>7031</v>
      </c>
      <c r="AE954">
        <v>0</v>
      </c>
      <c r="AF954" t="s">
        <v>11005</v>
      </c>
      <c r="AH954">
        <v>0</v>
      </c>
      <c r="AI954">
        <v>1</v>
      </c>
      <c r="AJ954">
        <v>0</v>
      </c>
      <c r="AK954">
        <v>0</v>
      </c>
      <c r="AN954" t="s">
        <v>11049</v>
      </c>
      <c r="AO954">
        <v>0</v>
      </c>
      <c r="AU954">
        <v>0.5</v>
      </c>
      <c r="AV954" t="s">
        <v>515</v>
      </c>
      <c r="AW954" t="s">
        <v>11509</v>
      </c>
    </row>
    <row r="955" spans="1:49">
      <c r="A955" s="1">
        <f>HYPERLINK("https://cms.ls-nyc.org/matter/dynamic-profile/view/1840691","17-1840691")</f>
        <v>0</v>
      </c>
      <c r="B955" t="s">
        <v>129</v>
      </c>
      <c r="C955" t="s">
        <v>234</v>
      </c>
      <c r="D955" t="s">
        <v>348</v>
      </c>
      <c r="E955" t="s">
        <v>583</v>
      </c>
      <c r="F955" t="s">
        <v>914</v>
      </c>
      <c r="G955" t="s">
        <v>1742</v>
      </c>
      <c r="H955" t="s">
        <v>3721</v>
      </c>
      <c r="I955" t="s">
        <v>4890</v>
      </c>
      <c r="J955" t="s">
        <v>5321</v>
      </c>
      <c r="K955">
        <v>10453</v>
      </c>
      <c r="L955" t="s">
        <v>5355</v>
      </c>
      <c r="M955" t="s">
        <v>5356</v>
      </c>
      <c r="O955" t="s">
        <v>6499</v>
      </c>
      <c r="P955" t="s">
        <v>6528</v>
      </c>
      <c r="Q955" t="s">
        <v>6536</v>
      </c>
      <c r="R955" t="s">
        <v>6539</v>
      </c>
      <c r="S955" t="s">
        <v>5355</v>
      </c>
      <c r="U955" t="s">
        <v>6557</v>
      </c>
      <c r="W955" t="s">
        <v>6572</v>
      </c>
      <c r="X955">
        <v>1102.5</v>
      </c>
      <c r="Y955" t="s">
        <v>6606</v>
      </c>
      <c r="Z955" t="s">
        <v>6612</v>
      </c>
      <c r="AA955" t="s">
        <v>6636</v>
      </c>
      <c r="AB955" t="s">
        <v>7523</v>
      </c>
      <c r="AD955" t="s">
        <v>9889</v>
      </c>
      <c r="AE955">
        <v>170</v>
      </c>
      <c r="AF955" t="s">
        <v>11005</v>
      </c>
      <c r="AG955" t="s">
        <v>5406</v>
      </c>
      <c r="AH955">
        <v>1</v>
      </c>
      <c r="AI955">
        <v>2</v>
      </c>
      <c r="AJ955">
        <v>0</v>
      </c>
      <c r="AK955">
        <v>0</v>
      </c>
      <c r="AN955" t="s">
        <v>11049</v>
      </c>
      <c r="AO955">
        <v>0</v>
      </c>
      <c r="AU955">
        <v>0.8</v>
      </c>
      <c r="AV955" t="s">
        <v>583</v>
      </c>
      <c r="AW955" t="s">
        <v>11509</v>
      </c>
    </row>
    <row r="956" spans="1:49">
      <c r="A956" s="1">
        <f>HYPERLINK("https://cms.ls-nyc.org/matter/dynamic-profile/view/1853337","17-1853337")</f>
        <v>0</v>
      </c>
      <c r="B956" t="s">
        <v>71</v>
      </c>
      <c r="C956" t="s">
        <v>235</v>
      </c>
      <c r="D956" t="s">
        <v>289</v>
      </c>
      <c r="F956" t="s">
        <v>883</v>
      </c>
      <c r="G956" t="s">
        <v>2737</v>
      </c>
      <c r="H956" t="s">
        <v>3606</v>
      </c>
      <c r="I956" t="s">
        <v>5029</v>
      </c>
      <c r="J956" t="s">
        <v>5321</v>
      </c>
      <c r="K956">
        <v>10453</v>
      </c>
      <c r="L956" t="s">
        <v>5355</v>
      </c>
      <c r="M956" t="s">
        <v>5356</v>
      </c>
      <c r="N956" t="s">
        <v>5569</v>
      </c>
      <c r="O956" t="s">
        <v>6499</v>
      </c>
      <c r="P956" t="s">
        <v>6528</v>
      </c>
      <c r="R956" t="s">
        <v>6539</v>
      </c>
      <c r="S956" t="s">
        <v>5355</v>
      </c>
      <c r="U956" t="s">
        <v>6557</v>
      </c>
      <c r="W956" t="s">
        <v>6572</v>
      </c>
      <c r="X956">
        <v>900.11</v>
      </c>
      <c r="Y956" t="s">
        <v>6606</v>
      </c>
      <c r="Z956" t="s">
        <v>6612</v>
      </c>
      <c r="AB956" t="s">
        <v>7524</v>
      </c>
      <c r="AD956" t="s">
        <v>9890</v>
      </c>
      <c r="AE956">
        <v>21</v>
      </c>
      <c r="AF956" t="s">
        <v>11005</v>
      </c>
      <c r="AH956">
        <v>0</v>
      </c>
      <c r="AI956">
        <v>2</v>
      </c>
      <c r="AJ956">
        <v>2</v>
      </c>
      <c r="AK956">
        <v>0</v>
      </c>
      <c r="AN956" t="s">
        <v>11049</v>
      </c>
      <c r="AO956">
        <v>0</v>
      </c>
      <c r="AU956">
        <v>0</v>
      </c>
      <c r="AW956" t="s">
        <v>11523</v>
      </c>
    </row>
    <row r="957" spans="1:49">
      <c r="A957" s="1">
        <f>HYPERLINK("https://cms.ls-nyc.org/matter/dynamic-profile/view/1866509","18-1866509")</f>
        <v>0</v>
      </c>
      <c r="B957" t="s">
        <v>129</v>
      </c>
      <c r="C957" t="s">
        <v>234</v>
      </c>
      <c r="D957" t="s">
        <v>268</v>
      </c>
      <c r="E957" t="s">
        <v>749</v>
      </c>
      <c r="F957" t="s">
        <v>1469</v>
      </c>
      <c r="G957" t="s">
        <v>2168</v>
      </c>
      <c r="H957" t="s">
        <v>3706</v>
      </c>
      <c r="I957">
        <v>41</v>
      </c>
      <c r="J957" t="s">
        <v>5321</v>
      </c>
      <c r="K957">
        <v>10453</v>
      </c>
      <c r="L957" t="s">
        <v>5355</v>
      </c>
      <c r="M957" t="s">
        <v>5356</v>
      </c>
      <c r="N957" t="s">
        <v>5570</v>
      </c>
      <c r="O957" t="s">
        <v>6499</v>
      </c>
      <c r="P957" t="s">
        <v>6528</v>
      </c>
      <c r="Q957" t="s">
        <v>6536</v>
      </c>
      <c r="R957" t="s">
        <v>6539</v>
      </c>
      <c r="S957" t="s">
        <v>5355</v>
      </c>
      <c r="U957" t="s">
        <v>6557</v>
      </c>
      <c r="W957" t="s">
        <v>275</v>
      </c>
      <c r="X957">
        <v>1175.29</v>
      </c>
      <c r="Y957" t="s">
        <v>6606</v>
      </c>
      <c r="Z957" t="s">
        <v>6622</v>
      </c>
      <c r="AA957" t="s">
        <v>6636</v>
      </c>
      <c r="AB957" t="s">
        <v>7525</v>
      </c>
      <c r="AD957" t="s">
        <v>9891</v>
      </c>
      <c r="AE957">
        <v>46</v>
      </c>
      <c r="AF957" t="s">
        <v>11005</v>
      </c>
      <c r="AG957" t="s">
        <v>11021</v>
      </c>
      <c r="AH957">
        <v>8</v>
      </c>
      <c r="AI957">
        <v>1</v>
      </c>
      <c r="AJ957">
        <v>0</v>
      </c>
      <c r="AK957">
        <v>0</v>
      </c>
      <c r="AN957" t="s">
        <v>11050</v>
      </c>
      <c r="AO957">
        <v>0</v>
      </c>
      <c r="AU957">
        <v>0.4</v>
      </c>
      <c r="AV957" t="s">
        <v>749</v>
      </c>
      <c r="AW957" t="s">
        <v>11499</v>
      </c>
    </row>
    <row r="958" spans="1:49">
      <c r="A958" s="1">
        <f>HYPERLINK("https://cms.ls-nyc.org/matter/dynamic-profile/view/1857277","18-1857277")</f>
        <v>0</v>
      </c>
      <c r="B958" t="s">
        <v>104</v>
      </c>
      <c r="C958" t="s">
        <v>235</v>
      </c>
      <c r="D958" t="s">
        <v>297</v>
      </c>
      <c r="F958" t="s">
        <v>903</v>
      </c>
      <c r="G958" t="s">
        <v>2197</v>
      </c>
      <c r="H958" t="s">
        <v>4007</v>
      </c>
      <c r="I958" t="s">
        <v>5030</v>
      </c>
      <c r="J958" t="s">
        <v>5321</v>
      </c>
      <c r="K958">
        <v>10452</v>
      </c>
      <c r="L958" t="s">
        <v>5355</v>
      </c>
      <c r="M958" t="s">
        <v>5356</v>
      </c>
      <c r="N958" t="s">
        <v>5571</v>
      </c>
      <c r="O958" t="s">
        <v>6499</v>
      </c>
      <c r="P958" t="s">
        <v>6528</v>
      </c>
      <c r="R958" t="s">
        <v>6539</v>
      </c>
      <c r="U958" t="s">
        <v>6557</v>
      </c>
      <c r="W958" t="s">
        <v>433</v>
      </c>
      <c r="X958">
        <v>0</v>
      </c>
      <c r="Y958" t="s">
        <v>6606</v>
      </c>
      <c r="Z958" t="s">
        <v>6612</v>
      </c>
      <c r="AB958" t="s">
        <v>7526</v>
      </c>
      <c r="AE958">
        <v>122</v>
      </c>
      <c r="AF958" t="s">
        <v>11005</v>
      </c>
      <c r="AH958">
        <v>0</v>
      </c>
      <c r="AI958">
        <v>1</v>
      </c>
      <c r="AJ958">
        <v>0</v>
      </c>
      <c r="AK958">
        <v>0</v>
      </c>
      <c r="AN958" t="s">
        <v>11049</v>
      </c>
      <c r="AO958">
        <v>0</v>
      </c>
      <c r="AU958">
        <v>0.1</v>
      </c>
      <c r="AV958" t="s">
        <v>11449</v>
      </c>
      <c r="AW958" t="s">
        <v>11492</v>
      </c>
    </row>
    <row r="959" spans="1:49">
      <c r="A959" s="1">
        <f>HYPERLINK("https://cms.ls-nyc.org/matter/dynamic-profile/view/1842829","17-1842829")</f>
        <v>0</v>
      </c>
      <c r="B959" t="s">
        <v>63</v>
      </c>
      <c r="C959" t="s">
        <v>235</v>
      </c>
      <c r="D959" t="s">
        <v>472</v>
      </c>
      <c r="F959" t="s">
        <v>1020</v>
      </c>
      <c r="G959" t="s">
        <v>2738</v>
      </c>
      <c r="H959" t="s">
        <v>4057</v>
      </c>
      <c r="I959" t="s">
        <v>5031</v>
      </c>
      <c r="J959" t="s">
        <v>5322</v>
      </c>
      <c r="K959">
        <v>10314</v>
      </c>
      <c r="L959" t="s">
        <v>5355</v>
      </c>
      <c r="M959" t="s">
        <v>5356</v>
      </c>
      <c r="N959" t="s">
        <v>5572</v>
      </c>
      <c r="O959" t="s">
        <v>6499</v>
      </c>
      <c r="P959" t="s">
        <v>6528</v>
      </c>
      <c r="R959" t="s">
        <v>6539</v>
      </c>
      <c r="S959" t="s">
        <v>5355</v>
      </c>
      <c r="U959" t="s">
        <v>6557</v>
      </c>
      <c r="W959" t="s">
        <v>388</v>
      </c>
      <c r="X959">
        <v>1500</v>
      </c>
      <c r="Y959" t="s">
        <v>6607</v>
      </c>
      <c r="Z959" t="s">
        <v>6622</v>
      </c>
      <c r="AB959" t="s">
        <v>7527</v>
      </c>
      <c r="AD959" t="s">
        <v>9892</v>
      </c>
      <c r="AE959">
        <v>96</v>
      </c>
      <c r="AF959" t="s">
        <v>11005</v>
      </c>
      <c r="AG959" t="s">
        <v>5406</v>
      </c>
      <c r="AH959">
        <v>2</v>
      </c>
      <c r="AI959">
        <v>1</v>
      </c>
      <c r="AJ959">
        <v>0</v>
      </c>
      <c r="AK959">
        <v>0</v>
      </c>
      <c r="AL959" t="s">
        <v>11034</v>
      </c>
      <c r="AN959" t="s">
        <v>11050</v>
      </c>
      <c r="AO959">
        <v>0</v>
      </c>
      <c r="AU959">
        <v>0.6</v>
      </c>
      <c r="AV959" t="s">
        <v>807</v>
      </c>
      <c r="AW959" t="s">
        <v>140</v>
      </c>
    </row>
    <row r="960" spans="1:49">
      <c r="A960" s="1">
        <f>HYPERLINK("https://cms.ls-nyc.org/matter/dynamic-profile/view/1848788","17-1848788")</f>
        <v>0</v>
      </c>
      <c r="B960" t="s">
        <v>107</v>
      </c>
      <c r="C960" t="s">
        <v>234</v>
      </c>
      <c r="D960" t="s">
        <v>340</v>
      </c>
      <c r="E960" t="s">
        <v>605</v>
      </c>
      <c r="F960" t="s">
        <v>1470</v>
      </c>
      <c r="G960" t="s">
        <v>2385</v>
      </c>
      <c r="H960" t="s">
        <v>3473</v>
      </c>
      <c r="I960" t="s">
        <v>5032</v>
      </c>
      <c r="J960" t="s">
        <v>5323</v>
      </c>
      <c r="K960">
        <v>10035</v>
      </c>
      <c r="L960" t="s">
        <v>5355</v>
      </c>
      <c r="M960" t="s">
        <v>5355</v>
      </c>
      <c r="O960" t="s">
        <v>6501</v>
      </c>
      <c r="P960" t="s">
        <v>6528</v>
      </c>
      <c r="Q960" t="s">
        <v>6536</v>
      </c>
      <c r="R960" t="s">
        <v>6539</v>
      </c>
      <c r="S960" t="s">
        <v>5357</v>
      </c>
      <c r="U960" t="s">
        <v>6563</v>
      </c>
      <c r="W960" t="s">
        <v>340</v>
      </c>
      <c r="X960">
        <v>2225</v>
      </c>
      <c r="Y960" t="s">
        <v>6608</v>
      </c>
      <c r="Z960" t="s">
        <v>6625</v>
      </c>
      <c r="AA960" t="s">
        <v>6635</v>
      </c>
      <c r="AB960" t="s">
        <v>7528</v>
      </c>
      <c r="AD960" t="s">
        <v>9893</v>
      </c>
      <c r="AE960">
        <v>341</v>
      </c>
      <c r="AF960" t="s">
        <v>11005</v>
      </c>
      <c r="AG960" t="s">
        <v>11020</v>
      </c>
      <c r="AH960">
        <v>19</v>
      </c>
      <c r="AI960">
        <v>1</v>
      </c>
      <c r="AJ960">
        <v>0</v>
      </c>
      <c r="AK960">
        <v>0</v>
      </c>
      <c r="AN960" t="s">
        <v>11050</v>
      </c>
      <c r="AO960">
        <v>9276</v>
      </c>
      <c r="AU960">
        <v>14.25</v>
      </c>
      <c r="AV960" t="s">
        <v>685</v>
      </c>
      <c r="AW960" t="s">
        <v>11497</v>
      </c>
    </row>
    <row r="961" spans="1:49">
      <c r="A961" s="1">
        <f>HYPERLINK("https://cms.ls-nyc.org/matter/dynamic-profile/view/1843042","17-1843042")</f>
        <v>0</v>
      </c>
      <c r="B961" t="s">
        <v>92</v>
      </c>
      <c r="C961" t="s">
        <v>234</v>
      </c>
      <c r="D961" t="s">
        <v>283</v>
      </c>
      <c r="E961" t="s">
        <v>704</v>
      </c>
      <c r="F961" t="s">
        <v>1192</v>
      </c>
      <c r="G961" t="s">
        <v>2573</v>
      </c>
      <c r="H961" t="s">
        <v>4058</v>
      </c>
      <c r="I961" t="s">
        <v>4766</v>
      </c>
      <c r="J961" t="s">
        <v>5323</v>
      </c>
      <c r="K961">
        <v>10034</v>
      </c>
      <c r="L961" t="s">
        <v>5355</v>
      </c>
      <c r="M961" t="s">
        <v>5355</v>
      </c>
      <c r="N961" t="s">
        <v>5573</v>
      </c>
      <c r="O961" t="s">
        <v>6501</v>
      </c>
      <c r="P961" t="s">
        <v>6528</v>
      </c>
      <c r="Q961" t="s">
        <v>6533</v>
      </c>
      <c r="R961" t="s">
        <v>6539</v>
      </c>
      <c r="S961" t="s">
        <v>5357</v>
      </c>
      <c r="U961" t="s">
        <v>6563</v>
      </c>
      <c r="V961" t="s">
        <v>6567</v>
      </c>
      <c r="W961" t="s">
        <v>262</v>
      </c>
      <c r="X961">
        <v>831.14</v>
      </c>
      <c r="Y961" t="s">
        <v>6608</v>
      </c>
      <c r="Z961" t="s">
        <v>6620</v>
      </c>
      <c r="AA961" t="s">
        <v>6635</v>
      </c>
      <c r="AB961" t="s">
        <v>7529</v>
      </c>
      <c r="AC961" t="s">
        <v>8819</v>
      </c>
      <c r="AE961">
        <v>73</v>
      </c>
      <c r="AF961" t="s">
        <v>11005</v>
      </c>
      <c r="AG961" t="s">
        <v>5406</v>
      </c>
      <c r="AH961">
        <v>17</v>
      </c>
      <c r="AI961">
        <v>1</v>
      </c>
      <c r="AJ961">
        <v>0</v>
      </c>
      <c r="AK961">
        <v>0</v>
      </c>
      <c r="AN961" t="s">
        <v>11049</v>
      </c>
      <c r="AO961">
        <v>0</v>
      </c>
      <c r="AP961" t="s">
        <v>11130</v>
      </c>
      <c r="AQ961" t="s">
        <v>11191</v>
      </c>
      <c r="AR961" t="s">
        <v>11208</v>
      </c>
      <c r="AS961" t="s">
        <v>11253</v>
      </c>
      <c r="AT961" t="s">
        <v>11266</v>
      </c>
      <c r="AU961">
        <v>3.8</v>
      </c>
      <c r="AV961" t="s">
        <v>541</v>
      </c>
      <c r="AW961" t="s">
        <v>11495</v>
      </c>
    </row>
    <row r="962" spans="1:49">
      <c r="A962" s="1">
        <f>HYPERLINK("https://cms.ls-nyc.org/matter/dynamic-profile/view/1851825","17-1851825")</f>
        <v>0</v>
      </c>
      <c r="B962" t="s">
        <v>129</v>
      </c>
      <c r="C962" t="s">
        <v>234</v>
      </c>
      <c r="D962" t="s">
        <v>300</v>
      </c>
      <c r="E962" t="s">
        <v>600</v>
      </c>
      <c r="F962" t="s">
        <v>1131</v>
      </c>
      <c r="G962" t="s">
        <v>2739</v>
      </c>
      <c r="H962" t="s">
        <v>4055</v>
      </c>
      <c r="I962" t="s">
        <v>4818</v>
      </c>
      <c r="J962" t="s">
        <v>5321</v>
      </c>
      <c r="K962">
        <v>10468</v>
      </c>
      <c r="L962" t="s">
        <v>5355</v>
      </c>
      <c r="M962" t="s">
        <v>5356</v>
      </c>
      <c r="N962" t="s">
        <v>5568</v>
      </c>
      <c r="O962" t="s">
        <v>6499</v>
      </c>
      <c r="P962" t="s">
        <v>6528</v>
      </c>
      <c r="Q962" t="s">
        <v>6536</v>
      </c>
      <c r="R962" t="s">
        <v>6539</v>
      </c>
      <c r="S962" t="s">
        <v>5355</v>
      </c>
      <c r="U962" t="s">
        <v>6557</v>
      </c>
      <c r="W962" t="s">
        <v>300</v>
      </c>
      <c r="X962">
        <v>1379</v>
      </c>
      <c r="Y962" t="s">
        <v>6606</v>
      </c>
      <c r="Z962" t="s">
        <v>6620</v>
      </c>
      <c r="AA962" t="s">
        <v>6634</v>
      </c>
      <c r="AB962" t="s">
        <v>7530</v>
      </c>
      <c r="AD962" t="s">
        <v>9894</v>
      </c>
      <c r="AE962">
        <v>47</v>
      </c>
      <c r="AF962" t="s">
        <v>11005</v>
      </c>
      <c r="AG962" t="s">
        <v>5406</v>
      </c>
      <c r="AH962">
        <v>19</v>
      </c>
      <c r="AI962">
        <v>2</v>
      </c>
      <c r="AJ962">
        <v>0</v>
      </c>
      <c r="AK962">
        <v>6.5</v>
      </c>
      <c r="AL962" t="s">
        <v>463</v>
      </c>
      <c r="AN962" t="s">
        <v>11050</v>
      </c>
      <c r="AO962">
        <v>1056</v>
      </c>
      <c r="AU962">
        <v>0.5</v>
      </c>
      <c r="AV962" t="s">
        <v>300</v>
      </c>
      <c r="AW962" t="s">
        <v>11499</v>
      </c>
    </row>
    <row r="963" spans="1:49">
      <c r="A963" s="1">
        <f>HYPERLINK("https://cms.ls-nyc.org/matter/dynamic-profile/view/1863409","18-1863409")</f>
        <v>0</v>
      </c>
      <c r="B963" t="s">
        <v>107</v>
      </c>
      <c r="C963" t="s">
        <v>234</v>
      </c>
      <c r="D963" t="s">
        <v>377</v>
      </c>
      <c r="E963" t="s">
        <v>730</v>
      </c>
      <c r="F963" t="s">
        <v>1471</v>
      </c>
      <c r="G963" t="s">
        <v>2740</v>
      </c>
      <c r="H963" t="s">
        <v>3765</v>
      </c>
      <c r="I963">
        <v>427</v>
      </c>
      <c r="J963" t="s">
        <v>5323</v>
      </c>
      <c r="K963">
        <v>10029</v>
      </c>
      <c r="L963" t="s">
        <v>5355</v>
      </c>
      <c r="M963" t="s">
        <v>5356</v>
      </c>
      <c r="O963" t="s">
        <v>6501</v>
      </c>
      <c r="P963" t="s">
        <v>6528</v>
      </c>
      <c r="Q963" t="s">
        <v>6536</v>
      </c>
      <c r="R963" t="s">
        <v>6539</v>
      </c>
      <c r="S963" t="s">
        <v>5357</v>
      </c>
      <c r="U963" t="s">
        <v>6563</v>
      </c>
      <c r="W963" t="s">
        <v>377</v>
      </c>
      <c r="X963">
        <v>2000</v>
      </c>
      <c r="Y963" t="s">
        <v>6608</v>
      </c>
      <c r="Z963" t="s">
        <v>6625</v>
      </c>
      <c r="AA963" t="s">
        <v>6635</v>
      </c>
      <c r="AB963" t="s">
        <v>7531</v>
      </c>
      <c r="AD963" t="s">
        <v>9895</v>
      </c>
      <c r="AE963">
        <v>135</v>
      </c>
      <c r="AF963" t="s">
        <v>11008</v>
      </c>
      <c r="AG963" t="s">
        <v>11020</v>
      </c>
      <c r="AH963">
        <v>31</v>
      </c>
      <c r="AI963">
        <v>1</v>
      </c>
      <c r="AJ963">
        <v>2</v>
      </c>
      <c r="AK963">
        <v>7.51</v>
      </c>
      <c r="AN963" t="s">
        <v>11050</v>
      </c>
      <c r="AO963">
        <v>1560</v>
      </c>
      <c r="AU963">
        <v>6</v>
      </c>
      <c r="AV963" t="s">
        <v>748</v>
      </c>
      <c r="AW963" t="s">
        <v>11497</v>
      </c>
    </row>
    <row r="964" spans="1:49">
      <c r="A964" s="1">
        <f>HYPERLINK("https://cms.ls-nyc.org/matter/dynamic-profile/view/1854455","17-1854455")</f>
        <v>0</v>
      </c>
      <c r="B964" t="s">
        <v>129</v>
      </c>
      <c r="C964" t="s">
        <v>234</v>
      </c>
      <c r="D964" t="s">
        <v>308</v>
      </c>
      <c r="E964" t="s">
        <v>778</v>
      </c>
      <c r="F964" t="s">
        <v>1472</v>
      </c>
      <c r="G964" t="s">
        <v>2741</v>
      </c>
      <c r="H964" t="s">
        <v>3721</v>
      </c>
      <c r="I964" t="s">
        <v>4899</v>
      </c>
      <c r="J964" t="s">
        <v>5321</v>
      </c>
      <c r="K964">
        <v>10453</v>
      </c>
      <c r="L964" t="s">
        <v>5355</v>
      </c>
      <c r="M964" t="s">
        <v>5356</v>
      </c>
      <c r="O964" t="s">
        <v>6499</v>
      </c>
      <c r="P964" t="s">
        <v>6528</v>
      </c>
      <c r="Q964" t="s">
        <v>6536</v>
      </c>
      <c r="R964" t="s">
        <v>6539</v>
      </c>
      <c r="U964" t="s">
        <v>6557</v>
      </c>
      <c r="W964" t="s">
        <v>298</v>
      </c>
      <c r="X964">
        <v>793.54</v>
      </c>
      <c r="Y964" t="s">
        <v>6606</v>
      </c>
      <c r="Z964" t="s">
        <v>6612</v>
      </c>
      <c r="AA964" t="s">
        <v>6636</v>
      </c>
      <c r="AB964" t="s">
        <v>7532</v>
      </c>
      <c r="AD964" t="s">
        <v>9896</v>
      </c>
      <c r="AE964">
        <v>170</v>
      </c>
      <c r="AF964" t="s">
        <v>11005</v>
      </c>
      <c r="AG964" t="s">
        <v>5406</v>
      </c>
      <c r="AH964">
        <v>37</v>
      </c>
      <c r="AI964">
        <v>1</v>
      </c>
      <c r="AJ964">
        <v>0</v>
      </c>
      <c r="AK964">
        <v>10.78</v>
      </c>
      <c r="AN964" t="s">
        <v>11050</v>
      </c>
      <c r="AO964">
        <v>1300</v>
      </c>
      <c r="AU964">
        <v>0.35</v>
      </c>
      <c r="AV964" t="s">
        <v>778</v>
      </c>
      <c r="AW964" t="s">
        <v>95</v>
      </c>
    </row>
    <row r="965" spans="1:49">
      <c r="A965" s="1">
        <f>HYPERLINK("https://cms.ls-nyc.org/matter/dynamic-profile/view/1854896","17-1854896")</f>
        <v>0</v>
      </c>
      <c r="B965" t="s">
        <v>90</v>
      </c>
      <c r="C965" t="s">
        <v>235</v>
      </c>
      <c r="D965" t="s">
        <v>469</v>
      </c>
      <c r="F965" t="s">
        <v>1069</v>
      </c>
      <c r="G965" t="s">
        <v>2742</v>
      </c>
      <c r="H965" t="s">
        <v>4059</v>
      </c>
      <c r="I965" t="s">
        <v>5033</v>
      </c>
      <c r="J965" t="s">
        <v>5321</v>
      </c>
      <c r="K965">
        <v>10452</v>
      </c>
      <c r="L965" t="s">
        <v>5355</v>
      </c>
      <c r="M965" t="s">
        <v>5356</v>
      </c>
      <c r="N965" t="s">
        <v>5574</v>
      </c>
      <c r="O965" t="s">
        <v>6499</v>
      </c>
      <c r="P965" t="s">
        <v>6528</v>
      </c>
      <c r="R965" t="s">
        <v>6539</v>
      </c>
      <c r="S965" t="s">
        <v>5355</v>
      </c>
      <c r="U965" t="s">
        <v>6557</v>
      </c>
      <c r="W965" t="s">
        <v>247</v>
      </c>
      <c r="X965">
        <v>1233</v>
      </c>
      <c r="Y965" t="s">
        <v>6606</v>
      </c>
      <c r="Z965" t="s">
        <v>6612</v>
      </c>
      <c r="AB965" t="s">
        <v>7533</v>
      </c>
      <c r="AD965" t="s">
        <v>9897</v>
      </c>
      <c r="AE965">
        <v>62</v>
      </c>
      <c r="AF965" t="s">
        <v>11005</v>
      </c>
      <c r="AG965" t="s">
        <v>11026</v>
      </c>
      <c r="AH965">
        <v>6</v>
      </c>
      <c r="AI965">
        <v>1</v>
      </c>
      <c r="AJ965">
        <v>0</v>
      </c>
      <c r="AK965">
        <v>14.73</v>
      </c>
      <c r="AN965" t="s">
        <v>11050</v>
      </c>
      <c r="AO965">
        <v>1776</v>
      </c>
      <c r="AU965">
        <v>0.4</v>
      </c>
      <c r="AV965" t="s">
        <v>469</v>
      </c>
      <c r="AW965" t="s">
        <v>59</v>
      </c>
    </row>
    <row r="966" spans="1:49">
      <c r="A966" s="1">
        <f>HYPERLINK("https://cms.ls-nyc.org/matter/dynamic-profile/view/1857239","18-1857239")</f>
        <v>0</v>
      </c>
      <c r="B966" t="s">
        <v>104</v>
      </c>
      <c r="C966" t="s">
        <v>235</v>
      </c>
      <c r="D966" t="s">
        <v>297</v>
      </c>
      <c r="F966" t="s">
        <v>1473</v>
      </c>
      <c r="G966" t="s">
        <v>2239</v>
      </c>
      <c r="H966" t="s">
        <v>4007</v>
      </c>
      <c r="I966" t="s">
        <v>5034</v>
      </c>
      <c r="J966" t="s">
        <v>5321</v>
      </c>
      <c r="K966">
        <v>10452</v>
      </c>
      <c r="L966" t="s">
        <v>5355</v>
      </c>
      <c r="M966" t="s">
        <v>5356</v>
      </c>
      <c r="N966" t="s">
        <v>5571</v>
      </c>
      <c r="O966" t="s">
        <v>6499</v>
      </c>
      <c r="P966" t="s">
        <v>6528</v>
      </c>
      <c r="R966" t="s">
        <v>6539</v>
      </c>
      <c r="S966" t="s">
        <v>5355</v>
      </c>
      <c r="U966" t="s">
        <v>6557</v>
      </c>
      <c r="W966" t="s">
        <v>6592</v>
      </c>
      <c r="X966">
        <v>1385.93</v>
      </c>
      <c r="Y966" t="s">
        <v>6606</v>
      </c>
      <c r="Z966" t="s">
        <v>6612</v>
      </c>
      <c r="AB966" t="s">
        <v>7534</v>
      </c>
      <c r="AC966" t="s">
        <v>8820</v>
      </c>
      <c r="AD966" t="s">
        <v>9898</v>
      </c>
      <c r="AE966">
        <v>122</v>
      </c>
      <c r="AF966" t="s">
        <v>11005</v>
      </c>
      <c r="AG966" t="s">
        <v>11020</v>
      </c>
      <c r="AH966">
        <v>25</v>
      </c>
      <c r="AI966">
        <v>1</v>
      </c>
      <c r="AJ966">
        <v>0</v>
      </c>
      <c r="AK966">
        <v>17.29</v>
      </c>
      <c r="AN966" t="s">
        <v>11050</v>
      </c>
      <c r="AO966">
        <v>2085.2</v>
      </c>
      <c r="AU966">
        <v>0</v>
      </c>
      <c r="AW966" t="s">
        <v>11492</v>
      </c>
    </row>
    <row r="967" spans="1:49">
      <c r="A967" s="1">
        <f>HYPERLINK("https://cms.ls-nyc.org/matter/dynamic-profile/view/1866794","18-1866794")</f>
        <v>0</v>
      </c>
      <c r="B967" t="s">
        <v>90</v>
      </c>
      <c r="C967" t="s">
        <v>235</v>
      </c>
      <c r="D967" t="s">
        <v>355</v>
      </c>
      <c r="F967" t="s">
        <v>1168</v>
      </c>
      <c r="G967" t="s">
        <v>2743</v>
      </c>
      <c r="H967" t="s">
        <v>3549</v>
      </c>
      <c r="I967" t="s">
        <v>4791</v>
      </c>
      <c r="J967" t="s">
        <v>5321</v>
      </c>
      <c r="K967">
        <v>10452</v>
      </c>
      <c r="L967" t="s">
        <v>5355</v>
      </c>
      <c r="M967" t="s">
        <v>5356</v>
      </c>
      <c r="O967" t="s">
        <v>6499</v>
      </c>
      <c r="P967" t="s">
        <v>6528</v>
      </c>
      <c r="R967" t="s">
        <v>6539</v>
      </c>
      <c r="S967" t="s">
        <v>5355</v>
      </c>
      <c r="U967" t="s">
        <v>6557</v>
      </c>
      <c r="W967" t="s">
        <v>355</v>
      </c>
      <c r="X967">
        <v>1275</v>
      </c>
      <c r="Y967" t="s">
        <v>6606</v>
      </c>
      <c r="Z967" t="s">
        <v>6612</v>
      </c>
      <c r="AB967" t="s">
        <v>7535</v>
      </c>
      <c r="AD967" t="s">
        <v>9899</v>
      </c>
      <c r="AE967">
        <v>0</v>
      </c>
      <c r="AF967" t="s">
        <v>11005</v>
      </c>
      <c r="AG967" t="s">
        <v>6493</v>
      </c>
      <c r="AH967">
        <v>16</v>
      </c>
      <c r="AI967">
        <v>1</v>
      </c>
      <c r="AJ967">
        <v>0</v>
      </c>
      <c r="AK967">
        <v>19.77</v>
      </c>
      <c r="AN967" t="s">
        <v>11050</v>
      </c>
      <c r="AO967">
        <v>2400</v>
      </c>
      <c r="AU967">
        <v>0</v>
      </c>
      <c r="AW967" t="s">
        <v>59</v>
      </c>
    </row>
    <row r="968" spans="1:49">
      <c r="A968" s="1">
        <f>HYPERLINK("https://cms.ls-nyc.org/matter/dynamic-profile/view/1863429","18-1863429")</f>
        <v>0</v>
      </c>
      <c r="B968" t="s">
        <v>107</v>
      </c>
      <c r="C968" t="s">
        <v>235</v>
      </c>
      <c r="D968" t="s">
        <v>377</v>
      </c>
      <c r="F968" t="s">
        <v>1474</v>
      </c>
      <c r="G968" t="s">
        <v>1739</v>
      </c>
      <c r="H968" t="s">
        <v>4060</v>
      </c>
      <c r="I968" t="s">
        <v>4814</v>
      </c>
      <c r="J968" t="s">
        <v>5323</v>
      </c>
      <c r="K968">
        <v>10029</v>
      </c>
      <c r="L968" t="s">
        <v>5355</v>
      </c>
      <c r="M968" t="s">
        <v>5356</v>
      </c>
      <c r="O968" t="s">
        <v>6501</v>
      </c>
      <c r="P968" t="s">
        <v>6528</v>
      </c>
      <c r="R968" t="s">
        <v>6539</v>
      </c>
      <c r="S968" t="s">
        <v>5357</v>
      </c>
      <c r="U968" t="s">
        <v>6563</v>
      </c>
      <c r="W968" t="s">
        <v>377</v>
      </c>
      <c r="X968">
        <v>2065</v>
      </c>
      <c r="Y968" t="s">
        <v>6608</v>
      </c>
      <c r="Z968" t="s">
        <v>6625</v>
      </c>
      <c r="AB968" t="s">
        <v>7536</v>
      </c>
      <c r="AD968" t="s">
        <v>9900</v>
      </c>
      <c r="AE968">
        <v>32</v>
      </c>
      <c r="AF968" t="s">
        <v>11005</v>
      </c>
      <c r="AG968" t="s">
        <v>5406</v>
      </c>
      <c r="AH968">
        <v>8</v>
      </c>
      <c r="AI968">
        <v>1</v>
      </c>
      <c r="AJ968">
        <v>1</v>
      </c>
      <c r="AK968">
        <v>21.73</v>
      </c>
      <c r="AN968" t="s">
        <v>11050</v>
      </c>
      <c r="AO968">
        <v>3576</v>
      </c>
      <c r="AU968">
        <v>15</v>
      </c>
      <c r="AV968" t="s">
        <v>747</v>
      </c>
      <c r="AW968" t="s">
        <v>11497</v>
      </c>
    </row>
    <row r="969" spans="1:49">
      <c r="A969" s="1">
        <f>HYPERLINK("https://cms.ls-nyc.org/matter/dynamic-profile/view/1859708","18-1859708")</f>
        <v>0</v>
      </c>
      <c r="B969" t="s">
        <v>106</v>
      </c>
      <c r="C969" t="s">
        <v>235</v>
      </c>
      <c r="D969" t="s">
        <v>316</v>
      </c>
      <c r="F969" t="s">
        <v>1475</v>
      </c>
      <c r="G969" t="s">
        <v>2178</v>
      </c>
      <c r="H969" t="s">
        <v>4061</v>
      </c>
      <c r="I969" t="s">
        <v>5035</v>
      </c>
      <c r="J969" t="s">
        <v>5321</v>
      </c>
      <c r="K969">
        <v>10451</v>
      </c>
      <c r="L969" t="s">
        <v>5355</v>
      </c>
      <c r="M969" t="s">
        <v>5356</v>
      </c>
      <c r="N969">
        <v>884266</v>
      </c>
      <c r="O969" t="s">
        <v>6506</v>
      </c>
      <c r="P969" t="s">
        <v>6528</v>
      </c>
      <c r="R969" t="s">
        <v>6540</v>
      </c>
      <c r="S969" t="s">
        <v>5357</v>
      </c>
      <c r="U969" t="s">
        <v>6564</v>
      </c>
      <c r="W969" t="s">
        <v>319</v>
      </c>
      <c r="X969">
        <v>122</v>
      </c>
      <c r="Y969" t="s">
        <v>6606</v>
      </c>
      <c r="Z969" t="s">
        <v>6610</v>
      </c>
      <c r="AB969" t="s">
        <v>7537</v>
      </c>
      <c r="AC969" t="s">
        <v>8821</v>
      </c>
      <c r="AD969" t="s">
        <v>9901</v>
      </c>
      <c r="AE969">
        <v>1023</v>
      </c>
      <c r="AF969" t="s">
        <v>11016</v>
      </c>
      <c r="AG969" t="s">
        <v>5406</v>
      </c>
      <c r="AH969">
        <v>1</v>
      </c>
      <c r="AI969">
        <v>1</v>
      </c>
      <c r="AJ969">
        <v>2</v>
      </c>
      <c r="AK969">
        <v>29.09</v>
      </c>
      <c r="AL969" t="s">
        <v>11028</v>
      </c>
      <c r="AN969" t="s">
        <v>11050</v>
      </c>
      <c r="AO969">
        <v>5940</v>
      </c>
      <c r="AU969">
        <v>34.85</v>
      </c>
      <c r="AV969" t="s">
        <v>829</v>
      </c>
      <c r="AW969" t="s">
        <v>57</v>
      </c>
    </row>
    <row r="970" spans="1:49">
      <c r="A970" s="1">
        <f>HYPERLINK("https://cms.ls-nyc.org/matter/dynamic-profile/view/1840709","17-1840709")</f>
        <v>0</v>
      </c>
      <c r="B970" t="s">
        <v>129</v>
      </c>
      <c r="C970" t="s">
        <v>234</v>
      </c>
      <c r="D970" t="s">
        <v>348</v>
      </c>
      <c r="E970" t="s">
        <v>778</v>
      </c>
      <c r="F970" t="s">
        <v>1476</v>
      </c>
      <c r="G970" t="s">
        <v>2744</v>
      </c>
      <c r="H970" t="s">
        <v>3721</v>
      </c>
      <c r="I970" t="s">
        <v>4843</v>
      </c>
      <c r="J970" t="s">
        <v>5321</v>
      </c>
      <c r="K970">
        <v>10453</v>
      </c>
      <c r="L970" t="s">
        <v>5355</v>
      </c>
      <c r="M970" t="s">
        <v>5356</v>
      </c>
      <c r="O970" t="s">
        <v>6499</v>
      </c>
      <c r="P970" t="s">
        <v>6528</v>
      </c>
      <c r="Q970" t="s">
        <v>6536</v>
      </c>
      <c r="R970" t="s">
        <v>6539</v>
      </c>
      <c r="S970" t="s">
        <v>5355</v>
      </c>
      <c r="U970" t="s">
        <v>6557</v>
      </c>
      <c r="W970" t="s">
        <v>404</v>
      </c>
      <c r="X970">
        <v>1184</v>
      </c>
      <c r="Y970" t="s">
        <v>6606</v>
      </c>
      <c r="Z970" t="s">
        <v>6612</v>
      </c>
      <c r="AA970" t="s">
        <v>6636</v>
      </c>
      <c r="AB970" t="s">
        <v>7538</v>
      </c>
      <c r="AC970">
        <v>9903850</v>
      </c>
      <c r="AE970">
        <v>170</v>
      </c>
      <c r="AF970" t="s">
        <v>11005</v>
      </c>
      <c r="AG970" t="s">
        <v>11023</v>
      </c>
      <c r="AH970">
        <v>14</v>
      </c>
      <c r="AI970">
        <v>1</v>
      </c>
      <c r="AJ970">
        <v>3</v>
      </c>
      <c r="AK970">
        <v>29.27</v>
      </c>
      <c r="AN970" t="s">
        <v>11049</v>
      </c>
      <c r="AO970">
        <v>7200</v>
      </c>
      <c r="AU970">
        <v>0.1</v>
      </c>
      <c r="AV970" t="s">
        <v>778</v>
      </c>
      <c r="AW970" t="s">
        <v>11509</v>
      </c>
    </row>
    <row r="971" spans="1:49">
      <c r="A971" s="1">
        <f>HYPERLINK("https://cms.ls-nyc.org/matter/dynamic-profile/view/1841809","17-1841809")</f>
        <v>0</v>
      </c>
      <c r="B971" t="s">
        <v>129</v>
      </c>
      <c r="C971" t="s">
        <v>235</v>
      </c>
      <c r="D971" t="s">
        <v>323</v>
      </c>
      <c r="F971" t="s">
        <v>1104</v>
      </c>
      <c r="G971" t="s">
        <v>2247</v>
      </c>
      <c r="H971" t="s">
        <v>3854</v>
      </c>
      <c r="I971" t="s">
        <v>4907</v>
      </c>
      <c r="J971" t="s">
        <v>5321</v>
      </c>
      <c r="K971">
        <v>10452</v>
      </c>
      <c r="L971" t="s">
        <v>5355</v>
      </c>
      <c r="M971" t="s">
        <v>5356</v>
      </c>
      <c r="O971" t="s">
        <v>6499</v>
      </c>
      <c r="P971" t="s">
        <v>6528</v>
      </c>
      <c r="R971" t="s">
        <v>6539</v>
      </c>
      <c r="S971" t="s">
        <v>5355</v>
      </c>
      <c r="U971" t="s">
        <v>6557</v>
      </c>
      <c r="W971" t="s">
        <v>343</v>
      </c>
      <c r="X971">
        <v>1200</v>
      </c>
      <c r="Y971" t="s">
        <v>6606</v>
      </c>
      <c r="AB971" t="s">
        <v>7539</v>
      </c>
      <c r="AD971" t="s">
        <v>9902</v>
      </c>
      <c r="AE971">
        <v>65</v>
      </c>
      <c r="AG971" t="s">
        <v>5406</v>
      </c>
      <c r="AH971">
        <v>3</v>
      </c>
      <c r="AI971">
        <v>1</v>
      </c>
      <c r="AJ971">
        <v>0</v>
      </c>
      <c r="AK971">
        <v>30.35</v>
      </c>
      <c r="AN971" t="s">
        <v>11050</v>
      </c>
      <c r="AO971">
        <v>3660</v>
      </c>
      <c r="AU971">
        <v>1.5</v>
      </c>
      <c r="AV971" t="s">
        <v>473</v>
      </c>
      <c r="AW971" t="s">
        <v>11509</v>
      </c>
    </row>
    <row r="972" spans="1:49">
      <c r="A972" s="1">
        <f>HYPERLINK("https://cms.ls-nyc.org/matter/dynamic-profile/view/1841811","17-1841811")</f>
        <v>0</v>
      </c>
      <c r="B972" t="s">
        <v>129</v>
      </c>
      <c r="C972" t="s">
        <v>235</v>
      </c>
      <c r="D972" t="s">
        <v>323</v>
      </c>
      <c r="F972" t="s">
        <v>1104</v>
      </c>
      <c r="G972" t="s">
        <v>2247</v>
      </c>
      <c r="H972" t="s">
        <v>3854</v>
      </c>
      <c r="I972" t="s">
        <v>4907</v>
      </c>
      <c r="J972" t="s">
        <v>5321</v>
      </c>
      <c r="K972">
        <v>10452</v>
      </c>
      <c r="L972" t="s">
        <v>5355</v>
      </c>
      <c r="M972" t="s">
        <v>5356</v>
      </c>
      <c r="O972" t="s">
        <v>6499</v>
      </c>
      <c r="P972" t="s">
        <v>6528</v>
      </c>
      <c r="R972" t="s">
        <v>6539</v>
      </c>
      <c r="S972" t="s">
        <v>5355</v>
      </c>
      <c r="U972" t="s">
        <v>6557</v>
      </c>
      <c r="W972" t="s">
        <v>6572</v>
      </c>
      <c r="X972">
        <v>1200</v>
      </c>
      <c r="Y972" t="s">
        <v>6606</v>
      </c>
      <c r="AB972" t="s">
        <v>7539</v>
      </c>
      <c r="AD972" t="s">
        <v>9902</v>
      </c>
      <c r="AE972">
        <v>65</v>
      </c>
      <c r="AG972" t="s">
        <v>5406</v>
      </c>
      <c r="AH972">
        <v>3</v>
      </c>
      <c r="AI972">
        <v>1</v>
      </c>
      <c r="AJ972">
        <v>0</v>
      </c>
      <c r="AK972">
        <v>30.35</v>
      </c>
      <c r="AN972" t="s">
        <v>11050</v>
      </c>
      <c r="AO972">
        <v>3660</v>
      </c>
      <c r="AU972">
        <v>0</v>
      </c>
      <c r="AW972" t="s">
        <v>11509</v>
      </c>
    </row>
    <row r="973" spans="1:49">
      <c r="A973" s="1">
        <f>HYPERLINK("https://cms.ls-nyc.org/matter/dynamic-profile/view/1841813","17-1841813")</f>
        <v>0</v>
      </c>
      <c r="B973" t="s">
        <v>129</v>
      </c>
      <c r="C973" t="s">
        <v>235</v>
      </c>
      <c r="D973" t="s">
        <v>323</v>
      </c>
      <c r="F973" t="s">
        <v>1104</v>
      </c>
      <c r="G973" t="s">
        <v>2247</v>
      </c>
      <c r="H973" t="s">
        <v>3854</v>
      </c>
      <c r="I973" t="s">
        <v>4907</v>
      </c>
      <c r="J973" t="s">
        <v>5321</v>
      </c>
      <c r="K973">
        <v>10452</v>
      </c>
      <c r="L973" t="s">
        <v>5355</v>
      </c>
      <c r="M973" t="s">
        <v>5356</v>
      </c>
      <c r="O973" t="s">
        <v>6499</v>
      </c>
      <c r="P973" t="s">
        <v>6528</v>
      </c>
      <c r="R973" t="s">
        <v>6539</v>
      </c>
      <c r="S973" t="s">
        <v>5355</v>
      </c>
      <c r="U973" t="s">
        <v>6557</v>
      </c>
      <c r="W973" t="s">
        <v>6572</v>
      </c>
      <c r="X973">
        <v>1200</v>
      </c>
      <c r="Y973" t="s">
        <v>6606</v>
      </c>
      <c r="AB973" t="s">
        <v>7539</v>
      </c>
      <c r="AD973" t="s">
        <v>9902</v>
      </c>
      <c r="AE973">
        <v>65</v>
      </c>
      <c r="AG973" t="s">
        <v>5406</v>
      </c>
      <c r="AH973">
        <v>3</v>
      </c>
      <c r="AI973">
        <v>1</v>
      </c>
      <c r="AJ973">
        <v>0</v>
      </c>
      <c r="AK973">
        <v>30.35</v>
      </c>
      <c r="AN973" t="s">
        <v>11050</v>
      </c>
      <c r="AO973">
        <v>3660</v>
      </c>
      <c r="AU973">
        <v>0.25</v>
      </c>
      <c r="AV973" t="s">
        <v>335</v>
      </c>
      <c r="AW973" t="s">
        <v>11509</v>
      </c>
    </row>
    <row r="974" spans="1:49">
      <c r="A974" s="1">
        <f>HYPERLINK("https://cms.ls-nyc.org/matter/dynamic-profile/view/1854886","17-1854886")</f>
        <v>0</v>
      </c>
      <c r="B974" t="s">
        <v>90</v>
      </c>
      <c r="C974" t="s">
        <v>235</v>
      </c>
      <c r="D974" t="s">
        <v>469</v>
      </c>
      <c r="F974" t="s">
        <v>959</v>
      </c>
      <c r="G974" t="s">
        <v>2349</v>
      </c>
      <c r="H974" t="s">
        <v>4059</v>
      </c>
      <c r="I974" t="s">
        <v>4833</v>
      </c>
      <c r="J974" t="s">
        <v>5321</v>
      </c>
      <c r="K974">
        <v>10452</v>
      </c>
      <c r="L974" t="s">
        <v>5355</v>
      </c>
      <c r="M974" t="s">
        <v>5356</v>
      </c>
      <c r="N974" t="s">
        <v>5574</v>
      </c>
      <c r="O974" t="s">
        <v>6499</v>
      </c>
      <c r="P974" t="s">
        <v>6528</v>
      </c>
      <c r="R974" t="s">
        <v>6539</v>
      </c>
      <c r="S974" t="s">
        <v>5355</v>
      </c>
      <c r="U974" t="s">
        <v>6557</v>
      </c>
      <c r="W974" t="s">
        <v>247</v>
      </c>
      <c r="X974">
        <v>1914.66</v>
      </c>
      <c r="Y974" t="s">
        <v>6606</v>
      </c>
      <c r="AB974" t="s">
        <v>7540</v>
      </c>
      <c r="AC974">
        <v>2642556</v>
      </c>
      <c r="AD974" t="s">
        <v>9903</v>
      </c>
      <c r="AE974">
        <v>62</v>
      </c>
      <c r="AF974" t="s">
        <v>11005</v>
      </c>
      <c r="AG974" t="s">
        <v>11020</v>
      </c>
      <c r="AH974">
        <v>12</v>
      </c>
      <c r="AI974">
        <v>2</v>
      </c>
      <c r="AJ974">
        <v>1</v>
      </c>
      <c r="AK974">
        <v>31.91</v>
      </c>
      <c r="AN974" t="s">
        <v>11049</v>
      </c>
      <c r="AO974">
        <v>6516</v>
      </c>
      <c r="AU974">
        <v>0.4</v>
      </c>
      <c r="AV974" t="s">
        <v>469</v>
      </c>
      <c r="AW974" t="s">
        <v>59</v>
      </c>
    </row>
    <row r="975" spans="1:49">
      <c r="A975" s="1">
        <f>HYPERLINK("https://cms.ls-nyc.org/matter/dynamic-profile/view/1855244","18-1855244")</f>
        <v>0</v>
      </c>
      <c r="B975" t="s">
        <v>90</v>
      </c>
      <c r="C975" t="s">
        <v>235</v>
      </c>
      <c r="D975" t="s">
        <v>351</v>
      </c>
      <c r="F975" t="s">
        <v>959</v>
      </c>
      <c r="G975" t="s">
        <v>2349</v>
      </c>
      <c r="H975" t="s">
        <v>4059</v>
      </c>
      <c r="I975" t="s">
        <v>4833</v>
      </c>
      <c r="J975" t="s">
        <v>5321</v>
      </c>
      <c r="K975">
        <v>10452</v>
      </c>
      <c r="L975" t="s">
        <v>5355</v>
      </c>
      <c r="M975" t="s">
        <v>5356</v>
      </c>
      <c r="N975" t="s">
        <v>5575</v>
      </c>
      <c r="O975" t="s">
        <v>6499</v>
      </c>
      <c r="P975" t="s">
        <v>6528</v>
      </c>
      <c r="R975" t="s">
        <v>6539</v>
      </c>
      <c r="S975" t="s">
        <v>5355</v>
      </c>
      <c r="U975" t="s">
        <v>6557</v>
      </c>
      <c r="W975" t="s">
        <v>247</v>
      </c>
      <c r="X975">
        <v>1914.66</v>
      </c>
      <c r="Y975" t="s">
        <v>6606</v>
      </c>
      <c r="Z975" t="s">
        <v>6612</v>
      </c>
      <c r="AB975" t="s">
        <v>7540</v>
      </c>
      <c r="AC975">
        <v>2642556</v>
      </c>
      <c r="AD975" t="s">
        <v>9903</v>
      </c>
      <c r="AE975">
        <v>62</v>
      </c>
      <c r="AF975" t="s">
        <v>11005</v>
      </c>
      <c r="AG975" t="s">
        <v>11020</v>
      </c>
      <c r="AH975">
        <v>12</v>
      </c>
      <c r="AI975">
        <v>2</v>
      </c>
      <c r="AJ975">
        <v>1</v>
      </c>
      <c r="AK975">
        <v>31.91</v>
      </c>
      <c r="AN975" t="s">
        <v>11049</v>
      </c>
      <c r="AO975">
        <v>6516</v>
      </c>
      <c r="AU975">
        <v>0</v>
      </c>
      <c r="AW975" t="s">
        <v>11509</v>
      </c>
    </row>
    <row r="976" spans="1:49">
      <c r="A976" s="1">
        <f>HYPERLINK("https://cms.ls-nyc.org/matter/dynamic-profile/view/1865230","18-1865230")</f>
        <v>0</v>
      </c>
      <c r="B976" t="s">
        <v>106</v>
      </c>
      <c r="C976" t="s">
        <v>235</v>
      </c>
      <c r="D976" t="s">
        <v>254</v>
      </c>
      <c r="F976" t="s">
        <v>1477</v>
      </c>
      <c r="G976" t="s">
        <v>2745</v>
      </c>
      <c r="H976" t="s">
        <v>4062</v>
      </c>
      <c r="I976" t="s">
        <v>5036</v>
      </c>
      <c r="J976" t="s">
        <v>5321</v>
      </c>
      <c r="K976">
        <v>10452</v>
      </c>
      <c r="L976" t="s">
        <v>5355</v>
      </c>
      <c r="M976" t="s">
        <v>5356</v>
      </c>
      <c r="N976" t="s">
        <v>5576</v>
      </c>
      <c r="O976" t="s">
        <v>6499</v>
      </c>
      <c r="P976" t="s">
        <v>6528</v>
      </c>
      <c r="R976" t="s">
        <v>6539</v>
      </c>
      <c r="S976" t="s">
        <v>5355</v>
      </c>
      <c r="U976" t="s">
        <v>6557</v>
      </c>
      <c r="W976" t="s">
        <v>316</v>
      </c>
      <c r="X976">
        <v>1285</v>
      </c>
      <c r="Y976" t="s">
        <v>6606</v>
      </c>
      <c r="Z976" t="s">
        <v>6614</v>
      </c>
      <c r="AB976" t="s">
        <v>7541</v>
      </c>
      <c r="AC976" t="s">
        <v>8822</v>
      </c>
      <c r="AD976" t="s">
        <v>9904</v>
      </c>
      <c r="AE976">
        <v>71</v>
      </c>
      <c r="AF976" t="s">
        <v>11005</v>
      </c>
      <c r="AG976" t="s">
        <v>5406</v>
      </c>
      <c r="AH976">
        <v>15</v>
      </c>
      <c r="AI976">
        <v>1</v>
      </c>
      <c r="AJ976">
        <v>4</v>
      </c>
      <c r="AK976">
        <v>36.38</v>
      </c>
      <c r="AN976" t="s">
        <v>11061</v>
      </c>
      <c r="AO976">
        <v>10704</v>
      </c>
      <c r="AU976">
        <v>0</v>
      </c>
      <c r="AW976" t="s">
        <v>11492</v>
      </c>
    </row>
    <row r="977" spans="1:50">
      <c r="A977" s="1">
        <f>HYPERLINK("https://cms.ls-nyc.org/matter/dynamic-profile/view/1872151","18-1872151")</f>
        <v>0</v>
      </c>
      <c r="B977" t="s">
        <v>106</v>
      </c>
      <c r="C977" t="s">
        <v>235</v>
      </c>
      <c r="D977" t="s">
        <v>516</v>
      </c>
      <c r="F977" t="s">
        <v>1477</v>
      </c>
      <c r="G977" t="s">
        <v>2745</v>
      </c>
      <c r="H977" t="s">
        <v>4062</v>
      </c>
      <c r="I977" t="s">
        <v>5036</v>
      </c>
      <c r="J977" t="s">
        <v>5321</v>
      </c>
      <c r="K977">
        <v>10452</v>
      </c>
      <c r="L977" t="s">
        <v>5355</v>
      </c>
      <c r="M977" t="s">
        <v>5356</v>
      </c>
      <c r="O977" t="s">
        <v>6499</v>
      </c>
      <c r="P977" t="s">
        <v>6528</v>
      </c>
      <c r="R977" t="s">
        <v>6539</v>
      </c>
      <c r="S977" t="s">
        <v>5355</v>
      </c>
      <c r="U977" t="s">
        <v>6557</v>
      </c>
      <c r="W977" t="s">
        <v>516</v>
      </c>
      <c r="X977">
        <v>1285</v>
      </c>
      <c r="Y977" t="s">
        <v>6606</v>
      </c>
      <c r="Z977" t="s">
        <v>6614</v>
      </c>
      <c r="AB977" t="s">
        <v>7541</v>
      </c>
      <c r="AC977" t="s">
        <v>8822</v>
      </c>
      <c r="AD977" t="s">
        <v>9904</v>
      </c>
      <c r="AE977">
        <v>71</v>
      </c>
      <c r="AF977" t="s">
        <v>11005</v>
      </c>
      <c r="AG977" t="s">
        <v>5406</v>
      </c>
      <c r="AH977">
        <v>15</v>
      </c>
      <c r="AI977">
        <v>1</v>
      </c>
      <c r="AJ977">
        <v>4</v>
      </c>
      <c r="AK977">
        <v>36.38</v>
      </c>
      <c r="AN977" t="s">
        <v>11061</v>
      </c>
      <c r="AO977">
        <v>10704</v>
      </c>
      <c r="AP977" t="s">
        <v>11131</v>
      </c>
      <c r="AU977">
        <v>0</v>
      </c>
      <c r="AW977" t="s">
        <v>11499</v>
      </c>
    </row>
    <row r="978" spans="1:50">
      <c r="A978" s="1">
        <f>HYPERLINK("https://cms.ls-nyc.org/matter/dynamic-profile/view/1852102","17-1852102")</f>
        <v>0</v>
      </c>
      <c r="B978" t="s">
        <v>104</v>
      </c>
      <c r="C978" t="s">
        <v>235</v>
      </c>
      <c r="D978" t="s">
        <v>481</v>
      </c>
      <c r="F978" t="s">
        <v>1478</v>
      </c>
      <c r="G978" t="s">
        <v>2105</v>
      </c>
      <c r="H978" t="s">
        <v>3571</v>
      </c>
      <c r="I978" t="s">
        <v>5037</v>
      </c>
      <c r="J978" t="s">
        <v>5321</v>
      </c>
      <c r="K978">
        <v>10453</v>
      </c>
      <c r="L978" t="s">
        <v>5355</v>
      </c>
      <c r="M978" t="s">
        <v>5355</v>
      </c>
      <c r="N978" t="s">
        <v>5577</v>
      </c>
      <c r="O978" t="s">
        <v>6499</v>
      </c>
      <c r="P978" t="s">
        <v>6528</v>
      </c>
      <c r="R978" t="s">
        <v>6539</v>
      </c>
      <c r="S978" t="s">
        <v>5357</v>
      </c>
      <c r="U978" t="s">
        <v>6557</v>
      </c>
      <c r="W978" t="s">
        <v>6572</v>
      </c>
      <c r="X978">
        <v>1583</v>
      </c>
      <c r="Y978" t="s">
        <v>6606</v>
      </c>
      <c r="Z978" t="s">
        <v>6625</v>
      </c>
      <c r="AB978" t="s">
        <v>7542</v>
      </c>
      <c r="AD978" t="s">
        <v>9905</v>
      </c>
      <c r="AE978">
        <v>64</v>
      </c>
      <c r="AF978" t="s">
        <v>11005</v>
      </c>
      <c r="AG978" t="s">
        <v>11020</v>
      </c>
      <c r="AH978">
        <v>27</v>
      </c>
      <c r="AI978">
        <v>3</v>
      </c>
      <c r="AJ978">
        <v>0</v>
      </c>
      <c r="AK978">
        <v>37.02</v>
      </c>
      <c r="AN978" t="s">
        <v>11049</v>
      </c>
      <c r="AO978">
        <v>7560</v>
      </c>
      <c r="AU978">
        <v>2.6</v>
      </c>
      <c r="AV978" t="s">
        <v>244</v>
      </c>
      <c r="AW978" t="s">
        <v>11509</v>
      </c>
    </row>
    <row r="979" spans="1:50">
      <c r="A979" s="1">
        <f>HYPERLINK("https://cms.ls-nyc.org/matter/dynamic-profile/view/1884734","18-1884734")</f>
        <v>0</v>
      </c>
      <c r="B979" t="s">
        <v>107</v>
      </c>
      <c r="C979" t="s">
        <v>235</v>
      </c>
      <c r="D979" t="s">
        <v>517</v>
      </c>
      <c r="F979" t="s">
        <v>1040</v>
      </c>
      <c r="G979" t="s">
        <v>2746</v>
      </c>
      <c r="H979" t="s">
        <v>3929</v>
      </c>
      <c r="I979" t="s">
        <v>4941</v>
      </c>
      <c r="J979" t="s">
        <v>5320</v>
      </c>
      <c r="K979">
        <v>11237</v>
      </c>
      <c r="L979" t="s">
        <v>5355</v>
      </c>
      <c r="M979" t="s">
        <v>5355</v>
      </c>
      <c r="N979" t="s">
        <v>5393</v>
      </c>
      <c r="O979" t="s">
        <v>6513</v>
      </c>
      <c r="P979" t="s">
        <v>6528</v>
      </c>
      <c r="R979" t="s">
        <v>6539</v>
      </c>
      <c r="S979" t="s">
        <v>5357</v>
      </c>
      <c r="U979" t="s">
        <v>6558</v>
      </c>
      <c r="V979" t="s">
        <v>6567</v>
      </c>
      <c r="W979" t="s">
        <v>236</v>
      </c>
      <c r="X979">
        <v>978</v>
      </c>
      <c r="Y979" t="s">
        <v>6605</v>
      </c>
      <c r="Z979" t="s">
        <v>6612</v>
      </c>
      <c r="AB979" t="s">
        <v>7543</v>
      </c>
      <c r="AC979" t="s">
        <v>8823</v>
      </c>
      <c r="AD979" t="s">
        <v>9906</v>
      </c>
      <c r="AE979">
        <v>8</v>
      </c>
      <c r="AF979" t="s">
        <v>11005</v>
      </c>
      <c r="AH979">
        <v>20</v>
      </c>
      <c r="AI979">
        <v>1</v>
      </c>
      <c r="AJ979">
        <v>0</v>
      </c>
      <c r="AK979">
        <v>38.34</v>
      </c>
      <c r="AN979" t="s">
        <v>11050</v>
      </c>
      <c r="AO979">
        <v>4654</v>
      </c>
      <c r="AP979" t="s">
        <v>11132</v>
      </c>
      <c r="AU979">
        <v>54</v>
      </c>
      <c r="AV979" t="s">
        <v>729</v>
      </c>
      <c r="AW979" t="s">
        <v>11512</v>
      </c>
    </row>
    <row r="980" spans="1:50">
      <c r="A980" s="1">
        <f>HYPERLINK("https://cms.ls-nyc.org/matter/dynamic-profile/view/1862833","18-1862833")</f>
        <v>0</v>
      </c>
      <c r="B980" t="s">
        <v>129</v>
      </c>
      <c r="C980" t="s">
        <v>235</v>
      </c>
      <c r="D980" t="s">
        <v>293</v>
      </c>
      <c r="F980" t="s">
        <v>1231</v>
      </c>
      <c r="G980" t="s">
        <v>2445</v>
      </c>
      <c r="H980" t="s">
        <v>4056</v>
      </c>
      <c r="I980" t="s">
        <v>4844</v>
      </c>
      <c r="J980" t="s">
        <v>5321</v>
      </c>
      <c r="K980">
        <v>10457</v>
      </c>
      <c r="L980" t="s">
        <v>5355</v>
      </c>
      <c r="M980" t="s">
        <v>5356</v>
      </c>
      <c r="N980" t="s">
        <v>5578</v>
      </c>
      <c r="O980" t="s">
        <v>6499</v>
      </c>
      <c r="P980" t="s">
        <v>6528</v>
      </c>
      <c r="R980" t="s">
        <v>6539</v>
      </c>
      <c r="S980" t="s">
        <v>5355</v>
      </c>
      <c r="U980" t="s">
        <v>6557</v>
      </c>
      <c r="W980" t="s">
        <v>298</v>
      </c>
      <c r="X980">
        <v>1200</v>
      </c>
      <c r="Y980" t="s">
        <v>6606</v>
      </c>
      <c r="Z980" t="s">
        <v>6614</v>
      </c>
      <c r="AB980" t="s">
        <v>7544</v>
      </c>
      <c r="AC980" t="s">
        <v>8824</v>
      </c>
      <c r="AE980">
        <v>100</v>
      </c>
      <c r="AF980" t="s">
        <v>11005</v>
      </c>
      <c r="AH980">
        <v>7</v>
      </c>
      <c r="AI980">
        <v>3</v>
      </c>
      <c r="AJ980">
        <v>1</v>
      </c>
      <c r="AK980">
        <v>39.82</v>
      </c>
      <c r="AN980" t="s">
        <v>11049</v>
      </c>
      <c r="AO980">
        <v>15196</v>
      </c>
      <c r="AU980">
        <v>0.4</v>
      </c>
      <c r="AV980" t="s">
        <v>293</v>
      </c>
      <c r="AW980" t="s">
        <v>11499</v>
      </c>
    </row>
    <row r="981" spans="1:50">
      <c r="A981" s="1">
        <f>HYPERLINK("https://cms.ls-nyc.org/matter/dynamic-profile/view/0814008","16-0814008")</f>
        <v>0</v>
      </c>
      <c r="B981" t="s">
        <v>175</v>
      </c>
      <c r="C981" t="s">
        <v>235</v>
      </c>
      <c r="D981" t="s">
        <v>518</v>
      </c>
      <c r="F981" t="s">
        <v>1479</v>
      </c>
      <c r="G981" t="s">
        <v>2747</v>
      </c>
      <c r="H981" t="s">
        <v>4063</v>
      </c>
      <c r="I981" t="s">
        <v>5038</v>
      </c>
      <c r="J981" t="s">
        <v>5320</v>
      </c>
      <c r="K981">
        <v>11225</v>
      </c>
      <c r="L981" t="s">
        <v>5355</v>
      </c>
      <c r="M981" t="s">
        <v>5356</v>
      </c>
      <c r="O981" t="s">
        <v>6499</v>
      </c>
      <c r="P981" t="s">
        <v>6528</v>
      </c>
      <c r="R981" t="s">
        <v>6539</v>
      </c>
      <c r="T981" t="s">
        <v>6544</v>
      </c>
      <c r="U981" t="s">
        <v>6557</v>
      </c>
      <c r="W981" t="s">
        <v>6583</v>
      </c>
      <c r="X981">
        <v>0</v>
      </c>
      <c r="Y981" t="s">
        <v>6605</v>
      </c>
      <c r="AB981" t="s">
        <v>7545</v>
      </c>
      <c r="AD981" t="s">
        <v>9907</v>
      </c>
      <c r="AE981">
        <v>12</v>
      </c>
      <c r="AH981">
        <v>0</v>
      </c>
      <c r="AI981">
        <v>1</v>
      </c>
      <c r="AJ981">
        <v>0</v>
      </c>
      <c r="AK981">
        <v>41.89</v>
      </c>
      <c r="AN981" t="s">
        <v>11050</v>
      </c>
      <c r="AO981">
        <v>4976.4</v>
      </c>
      <c r="AU981">
        <v>48.17</v>
      </c>
      <c r="AV981" t="s">
        <v>719</v>
      </c>
      <c r="AW981" t="s">
        <v>11541</v>
      </c>
    </row>
    <row r="982" spans="1:50">
      <c r="A982" s="1">
        <f>HYPERLINK("https://cms.ls-nyc.org/matter/dynamic-profile/view/1868346","18-1868346")</f>
        <v>0</v>
      </c>
      <c r="B982" t="s">
        <v>106</v>
      </c>
      <c r="C982" t="s">
        <v>235</v>
      </c>
      <c r="D982" t="s">
        <v>365</v>
      </c>
      <c r="F982" t="s">
        <v>1207</v>
      </c>
      <c r="G982" t="s">
        <v>2748</v>
      </c>
      <c r="H982" t="s">
        <v>4064</v>
      </c>
      <c r="I982" t="s">
        <v>4754</v>
      </c>
      <c r="J982" t="s">
        <v>5321</v>
      </c>
      <c r="K982">
        <v>10452</v>
      </c>
      <c r="L982" t="s">
        <v>5355</v>
      </c>
      <c r="M982" t="s">
        <v>5356</v>
      </c>
      <c r="N982" t="s">
        <v>5579</v>
      </c>
      <c r="O982" t="s">
        <v>6499</v>
      </c>
      <c r="P982" t="s">
        <v>6528</v>
      </c>
      <c r="R982" t="s">
        <v>6539</v>
      </c>
      <c r="S982" t="s">
        <v>5355</v>
      </c>
      <c r="U982" t="s">
        <v>6557</v>
      </c>
      <c r="W982" t="s">
        <v>316</v>
      </c>
      <c r="X982">
        <v>668.39</v>
      </c>
      <c r="Y982" t="s">
        <v>6606</v>
      </c>
      <c r="Z982" t="s">
        <v>6614</v>
      </c>
      <c r="AB982" t="s">
        <v>7546</v>
      </c>
      <c r="AD982" t="s">
        <v>9908</v>
      </c>
      <c r="AE982">
        <v>70</v>
      </c>
      <c r="AF982" t="s">
        <v>11005</v>
      </c>
      <c r="AG982" t="s">
        <v>5406</v>
      </c>
      <c r="AH982">
        <v>38</v>
      </c>
      <c r="AI982">
        <v>2</v>
      </c>
      <c r="AJ982">
        <v>0</v>
      </c>
      <c r="AK982">
        <v>42.65</v>
      </c>
      <c r="AN982" t="s">
        <v>11050</v>
      </c>
      <c r="AO982">
        <v>7020</v>
      </c>
      <c r="AP982" t="s">
        <v>11133</v>
      </c>
      <c r="AU982">
        <v>17.6</v>
      </c>
      <c r="AV982" t="s">
        <v>683</v>
      </c>
      <c r="AW982" t="s">
        <v>11499</v>
      </c>
    </row>
    <row r="983" spans="1:50">
      <c r="A983" s="1">
        <f>HYPERLINK("https://cms.ls-nyc.org/matter/dynamic-profile/view/1872189","18-1872189")</f>
        <v>0</v>
      </c>
      <c r="B983" t="s">
        <v>106</v>
      </c>
      <c r="C983" t="s">
        <v>235</v>
      </c>
      <c r="D983" t="s">
        <v>516</v>
      </c>
      <c r="F983" t="s">
        <v>1207</v>
      </c>
      <c r="G983" t="s">
        <v>2748</v>
      </c>
      <c r="H983" t="s">
        <v>4064</v>
      </c>
      <c r="I983" t="s">
        <v>4754</v>
      </c>
      <c r="J983" t="s">
        <v>5321</v>
      </c>
      <c r="K983">
        <v>10452</v>
      </c>
      <c r="L983" t="s">
        <v>5355</v>
      </c>
      <c r="M983" t="s">
        <v>5356</v>
      </c>
      <c r="O983" t="s">
        <v>6499</v>
      </c>
      <c r="P983" t="s">
        <v>6528</v>
      </c>
      <c r="R983" t="s">
        <v>6539</v>
      </c>
      <c r="S983" t="s">
        <v>5355</v>
      </c>
      <c r="U983" t="s">
        <v>6557</v>
      </c>
      <c r="W983" t="s">
        <v>516</v>
      </c>
      <c r="X983">
        <v>668.39</v>
      </c>
      <c r="Y983" t="s">
        <v>6606</v>
      </c>
      <c r="Z983" t="s">
        <v>6614</v>
      </c>
      <c r="AB983" t="s">
        <v>7546</v>
      </c>
      <c r="AD983" t="s">
        <v>9908</v>
      </c>
      <c r="AE983">
        <v>70</v>
      </c>
      <c r="AH983">
        <v>38</v>
      </c>
      <c r="AI983">
        <v>2</v>
      </c>
      <c r="AJ983">
        <v>0</v>
      </c>
      <c r="AK983">
        <v>42.65</v>
      </c>
      <c r="AN983" t="s">
        <v>11050</v>
      </c>
      <c r="AO983">
        <v>7020</v>
      </c>
      <c r="AP983" t="s">
        <v>11134</v>
      </c>
      <c r="AU983">
        <v>0</v>
      </c>
      <c r="AW983" t="s">
        <v>11499</v>
      </c>
    </row>
    <row r="984" spans="1:50">
      <c r="A984" s="1">
        <f>HYPERLINK("https://cms.ls-nyc.org/matter/dynamic-profile/view/1872780","18-1872780")</f>
        <v>0</v>
      </c>
      <c r="B984" t="s">
        <v>106</v>
      </c>
      <c r="C984" t="s">
        <v>235</v>
      </c>
      <c r="D984" t="s">
        <v>316</v>
      </c>
      <c r="F984" t="s">
        <v>1480</v>
      </c>
      <c r="G984" t="s">
        <v>2473</v>
      </c>
      <c r="H984" t="s">
        <v>4064</v>
      </c>
      <c r="I984" t="s">
        <v>4936</v>
      </c>
      <c r="J984" t="s">
        <v>5321</v>
      </c>
      <c r="K984">
        <v>10452</v>
      </c>
      <c r="L984" t="s">
        <v>5355</v>
      </c>
      <c r="M984" t="s">
        <v>5356</v>
      </c>
      <c r="N984" t="s">
        <v>5576</v>
      </c>
      <c r="O984" t="s">
        <v>6499</v>
      </c>
      <c r="P984" t="s">
        <v>6528</v>
      </c>
      <c r="R984" t="s">
        <v>6539</v>
      </c>
      <c r="S984" t="s">
        <v>5355</v>
      </c>
      <c r="U984" t="s">
        <v>6557</v>
      </c>
      <c r="W984" t="s">
        <v>316</v>
      </c>
      <c r="X984">
        <v>1714.94</v>
      </c>
      <c r="Y984" t="s">
        <v>6606</v>
      </c>
      <c r="Z984" t="s">
        <v>6612</v>
      </c>
      <c r="AB984" t="s">
        <v>7547</v>
      </c>
      <c r="AD984" t="s">
        <v>9909</v>
      </c>
      <c r="AE984">
        <v>0</v>
      </c>
      <c r="AF984" t="s">
        <v>11005</v>
      </c>
      <c r="AG984" t="s">
        <v>5406</v>
      </c>
      <c r="AH984">
        <v>8</v>
      </c>
      <c r="AI984">
        <v>1</v>
      </c>
      <c r="AJ984">
        <v>5</v>
      </c>
      <c r="AK984">
        <v>43.15</v>
      </c>
      <c r="AN984" t="s">
        <v>11050</v>
      </c>
      <c r="AO984">
        <v>14560</v>
      </c>
      <c r="AU984">
        <v>0.25</v>
      </c>
      <c r="AV984" t="s">
        <v>265</v>
      </c>
      <c r="AW984" t="s">
        <v>11499</v>
      </c>
    </row>
    <row r="985" spans="1:50">
      <c r="A985" s="1">
        <f>HYPERLINK("https://cms.ls-nyc.org/matter/dynamic-profile/view/1872785","18-1872785")</f>
        <v>0</v>
      </c>
      <c r="B985" t="s">
        <v>106</v>
      </c>
      <c r="C985" t="s">
        <v>235</v>
      </c>
      <c r="D985" t="s">
        <v>516</v>
      </c>
      <c r="F985" t="s">
        <v>1480</v>
      </c>
      <c r="G985" t="s">
        <v>2473</v>
      </c>
      <c r="H985" t="s">
        <v>4064</v>
      </c>
      <c r="I985" t="s">
        <v>4936</v>
      </c>
      <c r="J985" t="s">
        <v>5321</v>
      </c>
      <c r="K985">
        <v>10452</v>
      </c>
      <c r="L985" t="s">
        <v>5355</v>
      </c>
      <c r="M985" t="s">
        <v>5356</v>
      </c>
      <c r="O985" t="s">
        <v>6499</v>
      </c>
      <c r="P985" t="s">
        <v>6528</v>
      </c>
      <c r="R985" t="s">
        <v>6539</v>
      </c>
      <c r="S985" t="s">
        <v>5355</v>
      </c>
      <c r="U985" t="s">
        <v>6557</v>
      </c>
      <c r="W985" t="s">
        <v>516</v>
      </c>
      <c r="X985">
        <v>1714.94</v>
      </c>
      <c r="Y985" t="s">
        <v>6606</v>
      </c>
      <c r="Z985" t="s">
        <v>6612</v>
      </c>
      <c r="AB985" t="s">
        <v>7547</v>
      </c>
      <c r="AD985" t="s">
        <v>9909</v>
      </c>
      <c r="AE985">
        <v>0</v>
      </c>
      <c r="AF985" t="s">
        <v>11005</v>
      </c>
      <c r="AG985" t="s">
        <v>5406</v>
      </c>
      <c r="AH985">
        <v>8</v>
      </c>
      <c r="AI985">
        <v>1</v>
      </c>
      <c r="AJ985">
        <v>5</v>
      </c>
      <c r="AK985">
        <v>43.15</v>
      </c>
      <c r="AN985" t="s">
        <v>11050</v>
      </c>
      <c r="AO985">
        <v>14560</v>
      </c>
      <c r="AU985">
        <v>0.5</v>
      </c>
      <c r="AV985" t="s">
        <v>265</v>
      </c>
      <c r="AW985" t="s">
        <v>11499</v>
      </c>
    </row>
    <row r="986" spans="1:50">
      <c r="A986" s="1">
        <f>HYPERLINK("https://cms.ls-nyc.org/matter/dynamic-profile/view/1842875","17-1842875")</f>
        <v>0</v>
      </c>
      <c r="B986" t="s">
        <v>63</v>
      </c>
      <c r="C986" t="s">
        <v>235</v>
      </c>
      <c r="D986" t="s">
        <v>388</v>
      </c>
      <c r="F986" t="s">
        <v>1227</v>
      </c>
      <c r="G986" t="s">
        <v>2749</v>
      </c>
      <c r="H986" t="s">
        <v>4057</v>
      </c>
      <c r="I986" t="s">
        <v>5039</v>
      </c>
      <c r="J986" t="s">
        <v>5322</v>
      </c>
      <c r="K986">
        <v>10314</v>
      </c>
      <c r="L986" t="s">
        <v>5355</v>
      </c>
      <c r="M986" t="s">
        <v>5356</v>
      </c>
      <c r="N986" t="s">
        <v>5572</v>
      </c>
      <c r="O986" t="s">
        <v>6499</v>
      </c>
      <c r="P986" t="s">
        <v>6528</v>
      </c>
      <c r="R986" t="s">
        <v>6539</v>
      </c>
      <c r="S986" t="s">
        <v>5355</v>
      </c>
      <c r="U986" t="s">
        <v>6557</v>
      </c>
      <c r="W986" t="s">
        <v>388</v>
      </c>
      <c r="X986">
        <v>1788</v>
      </c>
      <c r="Y986" t="s">
        <v>6607</v>
      </c>
      <c r="Z986" t="s">
        <v>6614</v>
      </c>
      <c r="AB986" t="s">
        <v>7548</v>
      </c>
      <c r="AD986" t="s">
        <v>9910</v>
      </c>
      <c r="AE986">
        <v>96</v>
      </c>
      <c r="AF986" t="s">
        <v>11005</v>
      </c>
      <c r="AG986" t="s">
        <v>11024</v>
      </c>
      <c r="AH986">
        <v>8</v>
      </c>
      <c r="AI986">
        <v>2</v>
      </c>
      <c r="AJ986">
        <v>0</v>
      </c>
      <c r="AK986">
        <v>43.3</v>
      </c>
      <c r="AL986" t="s">
        <v>11034</v>
      </c>
      <c r="AN986" t="s">
        <v>11050</v>
      </c>
      <c r="AO986">
        <v>7032</v>
      </c>
      <c r="AU986">
        <v>0.6</v>
      </c>
      <c r="AV986" t="s">
        <v>11442</v>
      </c>
      <c r="AW986" t="s">
        <v>62</v>
      </c>
      <c r="AX986" t="s">
        <v>11564</v>
      </c>
    </row>
    <row r="987" spans="1:50">
      <c r="A987" s="1">
        <f>HYPERLINK("https://cms.ls-nyc.org/matter/dynamic-profile/view/1868961","18-1868961")</f>
        <v>0</v>
      </c>
      <c r="B987" t="s">
        <v>75</v>
      </c>
      <c r="C987" t="s">
        <v>235</v>
      </c>
      <c r="D987" t="s">
        <v>280</v>
      </c>
      <c r="F987" t="s">
        <v>1446</v>
      </c>
      <c r="G987" t="s">
        <v>2750</v>
      </c>
      <c r="H987" t="s">
        <v>4065</v>
      </c>
      <c r="I987" t="s">
        <v>4781</v>
      </c>
      <c r="J987" t="s">
        <v>5320</v>
      </c>
      <c r="K987">
        <v>11208</v>
      </c>
      <c r="L987" t="s">
        <v>5355</v>
      </c>
      <c r="M987" t="s">
        <v>5356</v>
      </c>
      <c r="N987" t="s">
        <v>5580</v>
      </c>
      <c r="O987" t="s">
        <v>6497</v>
      </c>
      <c r="P987" t="s">
        <v>6528</v>
      </c>
      <c r="R987" t="s">
        <v>6539</v>
      </c>
      <c r="S987" t="s">
        <v>5357</v>
      </c>
      <c r="U987" t="s">
        <v>6558</v>
      </c>
      <c r="W987" t="s">
        <v>280</v>
      </c>
      <c r="X987">
        <v>1166.88</v>
      </c>
      <c r="Y987" t="s">
        <v>6605</v>
      </c>
      <c r="Z987" t="s">
        <v>6614</v>
      </c>
      <c r="AB987" t="s">
        <v>7549</v>
      </c>
      <c r="AC987" t="s">
        <v>8825</v>
      </c>
      <c r="AD987" t="s">
        <v>9911</v>
      </c>
      <c r="AE987">
        <v>6</v>
      </c>
      <c r="AF987" t="s">
        <v>11005</v>
      </c>
      <c r="AH987">
        <v>11</v>
      </c>
      <c r="AI987">
        <v>1</v>
      </c>
      <c r="AJ987">
        <v>1</v>
      </c>
      <c r="AK987">
        <v>43.74</v>
      </c>
      <c r="AM987" t="s">
        <v>11045</v>
      </c>
      <c r="AN987" t="s">
        <v>11050</v>
      </c>
      <c r="AO987">
        <v>7200</v>
      </c>
      <c r="AU987">
        <v>19.25</v>
      </c>
      <c r="AV987" t="s">
        <v>669</v>
      </c>
      <c r="AW987" t="s">
        <v>75</v>
      </c>
    </row>
    <row r="988" spans="1:50">
      <c r="A988" s="1">
        <f>HYPERLINK("https://cms.ls-nyc.org/matter/dynamic-profile/view/1842143","17-1842143")</f>
        <v>0</v>
      </c>
      <c r="B988" t="s">
        <v>129</v>
      </c>
      <c r="C988" t="s">
        <v>234</v>
      </c>
      <c r="D988" t="s">
        <v>519</v>
      </c>
      <c r="E988" t="s">
        <v>778</v>
      </c>
      <c r="F988" t="s">
        <v>1130</v>
      </c>
      <c r="G988" t="s">
        <v>2718</v>
      </c>
      <c r="H988" t="s">
        <v>3721</v>
      </c>
      <c r="I988" t="s">
        <v>5040</v>
      </c>
      <c r="J988" t="s">
        <v>5321</v>
      </c>
      <c r="K988">
        <v>10453</v>
      </c>
      <c r="L988" t="s">
        <v>5355</v>
      </c>
      <c r="M988" t="s">
        <v>5356</v>
      </c>
      <c r="O988" t="s">
        <v>6499</v>
      </c>
      <c r="P988" t="s">
        <v>6528</v>
      </c>
      <c r="Q988" t="s">
        <v>6536</v>
      </c>
      <c r="R988" t="s">
        <v>6539</v>
      </c>
      <c r="S988" t="s">
        <v>5355</v>
      </c>
      <c r="U988" t="s">
        <v>6557</v>
      </c>
      <c r="W988" t="s">
        <v>404</v>
      </c>
      <c r="X988">
        <v>1071</v>
      </c>
      <c r="Y988" t="s">
        <v>6606</v>
      </c>
      <c r="Z988" t="s">
        <v>6612</v>
      </c>
      <c r="AA988" t="s">
        <v>6636</v>
      </c>
      <c r="AB988" t="s">
        <v>7550</v>
      </c>
      <c r="AC988">
        <v>8001843</v>
      </c>
      <c r="AD988" t="s">
        <v>9912</v>
      </c>
      <c r="AE988">
        <v>170</v>
      </c>
      <c r="AF988" t="s">
        <v>11005</v>
      </c>
      <c r="AG988" t="s">
        <v>11023</v>
      </c>
      <c r="AH988">
        <v>9</v>
      </c>
      <c r="AI988">
        <v>1</v>
      </c>
      <c r="AJ988">
        <v>2</v>
      </c>
      <c r="AK988">
        <v>45.43</v>
      </c>
      <c r="AN988" t="s">
        <v>11049</v>
      </c>
      <c r="AO988">
        <v>9276</v>
      </c>
      <c r="AU988">
        <v>0.1</v>
      </c>
      <c r="AV988" t="s">
        <v>778</v>
      </c>
      <c r="AW988" t="s">
        <v>11509</v>
      </c>
    </row>
    <row r="989" spans="1:50">
      <c r="A989" s="1">
        <f>HYPERLINK("https://cms.ls-nyc.org/matter/dynamic-profile/view/1860830","18-1860830")</f>
        <v>0</v>
      </c>
      <c r="B989" t="s">
        <v>52</v>
      </c>
      <c r="C989" t="s">
        <v>235</v>
      </c>
      <c r="D989" t="s">
        <v>306</v>
      </c>
      <c r="F989" t="s">
        <v>1481</v>
      </c>
      <c r="G989" t="s">
        <v>2751</v>
      </c>
      <c r="H989" t="s">
        <v>4066</v>
      </c>
      <c r="I989" t="s">
        <v>4743</v>
      </c>
      <c r="J989" t="s">
        <v>5324</v>
      </c>
      <c r="K989">
        <v>11354</v>
      </c>
      <c r="L989" t="s">
        <v>5355</v>
      </c>
      <c r="M989" t="s">
        <v>5356</v>
      </c>
      <c r="N989" t="s">
        <v>5581</v>
      </c>
      <c r="O989" t="s">
        <v>6499</v>
      </c>
      <c r="P989" t="s">
        <v>6528</v>
      </c>
      <c r="R989" t="s">
        <v>6539</v>
      </c>
      <c r="S989" t="s">
        <v>5357</v>
      </c>
      <c r="U989" t="s">
        <v>6559</v>
      </c>
      <c r="W989" t="s">
        <v>306</v>
      </c>
      <c r="X989">
        <v>1500</v>
      </c>
      <c r="Y989" t="s">
        <v>6604</v>
      </c>
      <c r="Z989" t="s">
        <v>6620</v>
      </c>
      <c r="AB989" t="s">
        <v>7551</v>
      </c>
      <c r="AC989" t="s">
        <v>5392</v>
      </c>
      <c r="AD989" t="s">
        <v>9913</v>
      </c>
      <c r="AE989">
        <v>16</v>
      </c>
      <c r="AF989" t="s">
        <v>11005</v>
      </c>
      <c r="AG989" t="s">
        <v>5406</v>
      </c>
      <c r="AH989">
        <v>2</v>
      </c>
      <c r="AI989">
        <v>1</v>
      </c>
      <c r="AJ989">
        <v>0</v>
      </c>
      <c r="AK989">
        <v>49.42</v>
      </c>
      <c r="AN989" t="s">
        <v>11053</v>
      </c>
      <c r="AO989">
        <v>6000</v>
      </c>
      <c r="AU989">
        <v>9.800000000000001</v>
      </c>
      <c r="AV989" t="s">
        <v>810</v>
      </c>
      <c r="AW989" t="s">
        <v>11506</v>
      </c>
    </row>
    <row r="990" spans="1:50">
      <c r="A990" s="1">
        <f>HYPERLINK("https://cms.ls-nyc.org/matter/dynamic-profile/view/1857132","18-1857132")</f>
        <v>0</v>
      </c>
      <c r="B990" t="s">
        <v>104</v>
      </c>
      <c r="C990" t="s">
        <v>235</v>
      </c>
      <c r="D990" t="s">
        <v>286</v>
      </c>
      <c r="F990" t="s">
        <v>1113</v>
      </c>
      <c r="G990" t="s">
        <v>2752</v>
      </c>
      <c r="H990" t="s">
        <v>4007</v>
      </c>
      <c r="I990" t="s">
        <v>5041</v>
      </c>
      <c r="J990" t="s">
        <v>5321</v>
      </c>
      <c r="K990">
        <v>10452</v>
      </c>
      <c r="L990" t="s">
        <v>5355</v>
      </c>
      <c r="M990" t="s">
        <v>5356</v>
      </c>
      <c r="N990" t="s">
        <v>5571</v>
      </c>
      <c r="O990" t="s">
        <v>6499</v>
      </c>
      <c r="P990" t="s">
        <v>6528</v>
      </c>
      <c r="R990" t="s">
        <v>6539</v>
      </c>
      <c r="S990" t="s">
        <v>5355</v>
      </c>
      <c r="U990" t="s">
        <v>6557</v>
      </c>
      <c r="W990" t="s">
        <v>6592</v>
      </c>
      <c r="X990">
        <v>706.95</v>
      </c>
      <c r="Y990" t="s">
        <v>6606</v>
      </c>
      <c r="Z990" t="s">
        <v>6612</v>
      </c>
      <c r="AB990" t="s">
        <v>7552</v>
      </c>
      <c r="AD990" t="s">
        <v>9914</v>
      </c>
      <c r="AE990">
        <v>122</v>
      </c>
      <c r="AF990" t="s">
        <v>11005</v>
      </c>
      <c r="AG990" t="s">
        <v>5406</v>
      </c>
      <c r="AH990">
        <v>26</v>
      </c>
      <c r="AI990">
        <v>3</v>
      </c>
      <c r="AJ990">
        <v>0</v>
      </c>
      <c r="AK990">
        <v>52.89</v>
      </c>
      <c r="AN990" t="s">
        <v>11050</v>
      </c>
      <c r="AO990">
        <v>10800</v>
      </c>
      <c r="AU990">
        <v>71.75</v>
      </c>
      <c r="AV990" t="s">
        <v>349</v>
      </c>
      <c r="AW990" t="s">
        <v>11492</v>
      </c>
    </row>
    <row r="991" spans="1:50">
      <c r="A991" s="1">
        <f>HYPERLINK("https://cms.ls-nyc.org/matter/dynamic-profile/view/1864222","18-1864222")</f>
        <v>0</v>
      </c>
      <c r="B991" t="s">
        <v>129</v>
      </c>
      <c r="C991" t="s">
        <v>234</v>
      </c>
      <c r="D991" t="s">
        <v>303</v>
      </c>
      <c r="E991" t="s">
        <v>757</v>
      </c>
      <c r="F991" t="s">
        <v>1482</v>
      </c>
      <c r="G991" t="s">
        <v>2237</v>
      </c>
      <c r="H991" t="s">
        <v>3706</v>
      </c>
      <c r="I991">
        <v>47</v>
      </c>
      <c r="J991" t="s">
        <v>5321</v>
      </c>
      <c r="K991">
        <v>10453</v>
      </c>
      <c r="L991" t="s">
        <v>5355</v>
      </c>
      <c r="M991" t="s">
        <v>5356</v>
      </c>
      <c r="N991" t="s">
        <v>5570</v>
      </c>
      <c r="O991" t="s">
        <v>6499</v>
      </c>
      <c r="P991" t="s">
        <v>6528</v>
      </c>
      <c r="Q991" t="s">
        <v>6536</v>
      </c>
      <c r="R991" t="s">
        <v>6539</v>
      </c>
      <c r="S991" t="s">
        <v>5355</v>
      </c>
      <c r="U991" t="s">
        <v>6557</v>
      </c>
      <c r="W991" t="s">
        <v>326</v>
      </c>
      <c r="X991">
        <v>1345</v>
      </c>
      <c r="Y991" t="s">
        <v>6606</v>
      </c>
      <c r="Z991" t="s">
        <v>6622</v>
      </c>
      <c r="AA991" t="s">
        <v>6636</v>
      </c>
      <c r="AB991" t="s">
        <v>7553</v>
      </c>
      <c r="AD991" t="s">
        <v>9915</v>
      </c>
      <c r="AE991">
        <v>43</v>
      </c>
      <c r="AF991" t="s">
        <v>11005</v>
      </c>
      <c r="AG991" t="s">
        <v>11020</v>
      </c>
      <c r="AH991">
        <v>18</v>
      </c>
      <c r="AI991">
        <v>2</v>
      </c>
      <c r="AJ991">
        <v>1</v>
      </c>
      <c r="AK991">
        <v>52.94</v>
      </c>
      <c r="AN991" t="s">
        <v>11049</v>
      </c>
      <c r="AO991">
        <v>11000</v>
      </c>
      <c r="AU991">
        <v>0.3</v>
      </c>
      <c r="AV991" t="s">
        <v>303</v>
      </c>
      <c r="AW991" t="s">
        <v>11499</v>
      </c>
    </row>
    <row r="992" spans="1:50">
      <c r="A992" s="1">
        <f>HYPERLINK("https://cms.ls-nyc.org/matter/dynamic-profile/view/1848261","17-1848261")</f>
        <v>0</v>
      </c>
      <c r="B992" t="s">
        <v>102</v>
      </c>
      <c r="C992" t="s">
        <v>234</v>
      </c>
      <c r="D992" t="s">
        <v>411</v>
      </c>
      <c r="E992" t="s">
        <v>708</v>
      </c>
      <c r="F992" t="s">
        <v>1483</v>
      </c>
      <c r="G992" t="s">
        <v>2753</v>
      </c>
      <c r="H992" t="s">
        <v>4067</v>
      </c>
      <c r="I992" t="s">
        <v>5042</v>
      </c>
      <c r="J992" t="s">
        <v>5321</v>
      </c>
      <c r="K992">
        <v>10453</v>
      </c>
      <c r="L992" t="s">
        <v>5355</v>
      </c>
      <c r="M992" t="s">
        <v>5356</v>
      </c>
      <c r="O992" t="s">
        <v>6503</v>
      </c>
      <c r="P992" t="s">
        <v>6528</v>
      </c>
      <c r="Q992" t="s">
        <v>6536</v>
      </c>
      <c r="R992" t="s">
        <v>6539</v>
      </c>
      <c r="S992" t="s">
        <v>5357</v>
      </c>
      <c r="U992" t="s">
        <v>6560</v>
      </c>
      <c r="W992" t="s">
        <v>372</v>
      </c>
      <c r="X992">
        <v>1400</v>
      </c>
      <c r="Y992" t="s">
        <v>6606</v>
      </c>
      <c r="Z992" t="s">
        <v>6625</v>
      </c>
      <c r="AA992" t="s">
        <v>6633</v>
      </c>
      <c r="AB992" t="s">
        <v>7554</v>
      </c>
      <c r="AC992" t="s">
        <v>8826</v>
      </c>
      <c r="AD992" t="s">
        <v>9916</v>
      </c>
      <c r="AE992">
        <v>46</v>
      </c>
      <c r="AF992" t="s">
        <v>11005</v>
      </c>
      <c r="AG992" t="s">
        <v>5406</v>
      </c>
      <c r="AH992">
        <v>2</v>
      </c>
      <c r="AI992">
        <v>1</v>
      </c>
      <c r="AJ992">
        <v>1</v>
      </c>
      <c r="AK992">
        <v>54.31</v>
      </c>
      <c r="AN992" t="s">
        <v>11050</v>
      </c>
      <c r="AO992">
        <v>17640</v>
      </c>
      <c r="AU992">
        <v>12.05</v>
      </c>
      <c r="AV992" t="s">
        <v>256</v>
      </c>
      <c r="AW992" t="s">
        <v>11491</v>
      </c>
    </row>
    <row r="993" spans="1:49">
      <c r="A993" s="1">
        <f>HYPERLINK("https://cms.ls-nyc.org/matter/dynamic-profile/view/1860335","18-1860335")</f>
        <v>0</v>
      </c>
      <c r="B993" t="s">
        <v>176</v>
      </c>
      <c r="C993" t="s">
        <v>235</v>
      </c>
      <c r="D993" t="s">
        <v>236</v>
      </c>
      <c r="F993" t="s">
        <v>1484</v>
      </c>
      <c r="G993" t="s">
        <v>2754</v>
      </c>
      <c r="H993" t="s">
        <v>4030</v>
      </c>
      <c r="I993" t="s">
        <v>4817</v>
      </c>
      <c r="J993" t="s">
        <v>5317</v>
      </c>
      <c r="K993">
        <v>11432</v>
      </c>
      <c r="L993" t="s">
        <v>5355</v>
      </c>
      <c r="M993" t="s">
        <v>5356</v>
      </c>
      <c r="N993" t="s">
        <v>5582</v>
      </c>
      <c r="O993" t="s">
        <v>6499</v>
      </c>
      <c r="P993" t="s">
        <v>6528</v>
      </c>
      <c r="R993" t="s">
        <v>6539</v>
      </c>
      <c r="S993" t="s">
        <v>5355</v>
      </c>
      <c r="U993" t="s">
        <v>6559</v>
      </c>
      <c r="W993" t="s">
        <v>6575</v>
      </c>
      <c r="X993">
        <v>1600</v>
      </c>
      <c r="Y993" t="s">
        <v>6604</v>
      </c>
      <c r="Z993" t="s">
        <v>6623</v>
      </c>
      <c r="AB993" t="s">
        <v>7555</v>
      </c>
      <c r="AC993" t="s">
        <v>5392</v>
      </c>
      <c r="AD993" t="s">
        <v>9917</v>
      </c>
      <c r="AE993">
        <v>60</v>
      </c>
      <c r="AF993" t="s">
        <v>11005</v>
      </c>
      <c r="AG993" t="s">
        <v>5406</v>
      </c>
      <c r="AH993">
        <v>35</v>
      </c>
      <c r="AI993">
        <v>2</v>
      </c>
      <c r="AJ993">
        <v>0</v>
      </c>
      <c r="AK993">
        <v>55.19</v>
      </c>
      <c r="AL993" t="s">
        <v>485</v>
      </c>
      <c r="AN993" t="s">
        <v>11050</v>
      </c>
      <c r="AO993">
        <v>18047.52</v>
      </c>
      <c r="AU993">
        <v>0.2</v>
      </c>
      <c r="AV993" t="s">
        <v>677</v>
      </c>
      <c r="AW993" t="s">
        <v>93</v>
      </c>
    </row>
    <row r="994" spans="1:49">
      <c r="A994" s="1">
        <f>HYPERLINK("https://cms.ls-nyc.org/matter/dynamic-profile/view/1860226","18-1860226")</f>
        <v>0</v>
      </c>
      <c r="B994" t="s">
        <v>176</v>
      </c>
      <c r="C994" t="s">
        <v>235</v>
      </c>
      <c r="D994" t="s">
        <v>236</v>
      </c>
      <c r="F994" t="s">
        <v>1484</v>
      </c>
      <c r="G994" t="s">
        <v>2754</v>
      </c>
      <c r="H994" t="s">
        <v>4030</v>
      </c>
      <c r="I994" t="s">
        <v>4817</v>
      </c>
      <c r="J994" t="s">
        <v>5317</v>
      </c>
      <c r="K994">
        <v>11432</v>
      </c>
      <c r="L994" t="s">
        <v>5355</v>
      </c>
      <c r="M994" t="s">
        <v>5356</v>
      </c>
      <c r="N994" t="s">
        <v>5583</v>
      </c>
      <c r="O994" t="s">
        <v>6499</v>
      </c>
      <c r="P994" t="s">
        <v>6528</v>
      </c>
      <c r="R994" t="s">
        <v>6539</v>
      </c>
      <c r="S994" t="s">
        <v>5355</v>
      </c>
      <c r="U994" t="s">
        <v>6559</v>
      </c>
      <c r="W994" t="s">
        <v>6575</v>
      </c>
      <c r="X994">
        <v>1600</v>
      </c>
      <c r="Y994" t="s">
        <v>6604</v>
      </c>
      <c r="Z994" t="s">
        <v>6623</v>
      </c>
      <c r="AB994" t="s">
        <v>7555</v>
      </c>
      <c r="AC994" t="s">
        <v>5392</v>
      </c>
      <c r="AD994" t="s">
        <v>9917</v>
      </c>
      <c r="AE994">
        <v>60</v>
      </c>
      <c r="AF994" t="s">
        <v>11005</v>
      </c>
      <c r="AG994" t="s">
        <v>5406</v>
      </c>
      <c r="AH994">
        <v>31</v>
      </c>
      <c r="AI994">
        <v>2</v>
      </c>
      <c r="AJ994">
        <v>0</v>
      </c>
      <c r="AK994">
        <v>55.93</v>
      </c>
      <c r="AL994" t="s">
        <v>485</v>
      </c>
      <c r="AN994" t="s">
        <v>11050</v>
      </c>
      <c r="AO994">
        <v>9083.52</v>
      </c>
      <c r="AU994">
        <v>0.2</v>
      </c>
      <c r="AV994" t="s">
        <v>677</v>
      </c>
      <c r="AW994" t="s">
        <v>93</v>
      </c>
    </row>
    <row r="995" spans="1:49">
      <c r="A995" s="1">
        <f>HYPERLINK("https://cms.ls-nyc.org/matter/dynamic-profile/view/1841655","17-1841655")</f>
        <v>0</v>
      </c>
      <c r="B995" t="s">
        <v>129</v>
      </c>
      <c r="C995" t="s">
        <v>234</v>
      </c>
      <c r="D995" t="s">
        <v>497</v>
      </c>
      <c r="E995" t="s">
        <v>779</v>
      </c>
      <c r="F995" t="s">
        <v>1485</v>
      </c>
      <c r="G995" t="s">
        <v>2472</v>
      </c>
      <c r="H995" t="s">
        <v>3721</v>
      </c>
      <c r="I995" t="s">
        <v>5043</v>
      </c>
      <c r="J995" t="s">
        <v>5321</v>
      </c>
      <c r="K995">
        <v>10453</v>
      </c>
      <c r="L995" t="s">
        <v>5355</v>
      </c>
      <c r="M995" t="s">
        <v>5356</v>
      </c>
      <c r="O995" t="s">
        <v>6499</v>
      </c>
      <c r="P995" t="s">
        <v>6528</v>
      </c>
      <c r="Q995" t="s">
        <v>6536</v>
      </c>
      <c r="R995" t="s">
        <v>6539</v>
      </c>
      <c r="S995" t="s">
        <v>5355</v>
      </c>
      <c r="U995" t="s">
        <v>6557</v>
      </c>
      <c r="W995" t="s">
        <v>404</v>
      </c>
      <c r="X995">
        <v>1485.71</v>
      </c>
      <c r="Y995" t="s">
        <v>6606</v>
      </c>
      <c r="Z995" t="s">
        <v>6612</v>
      </c>
      <c r="AA995" t="s">
        <v>6636</v>
      </c>
      <c r="AB995" t="s">
        <v>7556</v>
      </c>
      <c r="AC995">
        <v>15937401</v>
      </c>
      <c r="AD995" t="s">
        <v>9918</v>
      </c>
      <c r="AE995">
        <v>170</v>
      </c>
      <c r="AF995" t="s">
        <v>11005</v>
      </c>
      <c r="AG995" t="s">
        <v>11020</v>
      </c>
      <c r="AH995">
        <v>8</v>
      </c>
      <c r="AI995">
        <v>1</v>
      </c>
      <c r="AJ995">
        <v>3</v>
      </c>
      <c r="AK995">
        <v>56.59</v>
      </c>
      <c r="AN995" t="s">
        <v>11049</v>
      </c>
      <c r="AO995">
        <v>13920</v>
      </c>
      <c r="AU995">
        <v>0.1</v>
      </c>
      <c r="AV995" t="s">
        <v>779</v>
      </c>
      <c r="AW995" t="s">
        <v>11509</v>
      </c>
    </row>
    <row r="996" spans="1:49">
      <c r="A996" s="1">
        <f>HYPERLINK("https://cms.ls-nyc.org/matter/dynamic-profile/view/1841657","17-1841657")</f>
        <v>0</v>
      </c>
      <c r="B996" t="s">
        <v>129</v>
      </c>
      <c r="C996" t="s">
        <v>234</v>
      </c>
      <c r="D996" t="s">
        <v>497</v>
      </c>
      <c r="E996" t="s">
        <v>583</v>
      </c>
      <c r="F996" t="s">
        <v>1485</v>
      </c>
      <c r="G996" t="s">
        <v>2472</v>
      </c>
      <c r="H996" t="s">
        <v>3721</v>
      </c>
      <c r="I996" t="s">
        <v>5043</v>
      </c>
      <c r="J996" t="s">
        <v>5321</v>
      </c>
      <c r="K996">
        <v>10453</v>
      </c>
      <c r="L996" t="s">
        <v>5355</v>
      </c>
      <c r="M996" t="s">
        <v>5356</v>
      </c>
      <c r="N996" t="s">
        <v>5584</v>
      </c>
      <c r="O996" t="s">
        <v>6499</v>
      </c>
      <c r="P996" t="s">
        <v>6528</v>
      </c>
      <c r="Q996" t="s">
        <v>6536</v>
      </c>
      <c r="R996" t="s">
        <v>6539</v>
      </c>
      <c r="S996" t="s">
        <v>5355</v>
      </c>
      <c r="U996" t="s">
        <v>6557</v>
      </c>
      <c r="W996" t="s">
        <v>294</v>
      </c>
      <c r="X996">
        <v>1485.71</v>
      </c>
      <c r="Y996" t="s">
        <v>6606</v>
      </c>
      <c r="Z996" t="s">
        <v>6612</v>
      </c>
      <c r="AA996" t="s">
        <v>6636</v>
      </c>
      <c r="AB996" t="s">
        <v>7556</v>
      </c>
      <c r="AC996">
        <v>15937401</v>
      </c>
      <c r="AD996" t="s">
        <v>9918</v>
      </c>
      <c r="AE996">
        <v>170</v>
      </c>
      <c r="AF996" t="s">
        <v>11005</v>
      </c>
      <c r="AG996" t="s">
        <v>11020</v>
      </c>
      <c r="AH996">
        <v>8</v>
      </c>
      <c r="AI996">
        <v>1</v>
      </c>
      <c r="AJ996">
        <v>3</v>
      </c>
      <c r="AK996">
        <v>56.59</v>
      </c>
      <c r="AN996" t="s">
        <v>11049</v>
      </c>
      <c r="AO996">
        <v>13920</v>
      </c>
      <c r="AP996" t="s">
        <v>11135</v>
      </c>
      <c r="AU996">
        <v>0.1</v>
      </c>
      <c r="AV996" t="s">
        <v>583</v>
      </c>
      <c r="AW996" t="s">
        <v>11509</v>
      </c>
    </row>
    <row r="997" spans="1:49">
      <c r="A997" s="1">
        <f>HYPERLINK("https://cms.ls-nyc.org/matter/dynamic-profile/view/1864562","18-1864562")</f>
        <v>0</v>
      </c>
      <c r="B997" t="s">
        <v>107</v>
      </c>
      <c r="C997" t="s">
        <v>234</v>
      </c>
      <c r="D997" t="s">
        <v>520</v>
      </c>
      <c r="E997" t="s">
        <v>730</v>
      </c>
      <c r="F997" t="s">
        <v>1486</v>
      </c>
      <c r="G997" t="s">
        <v>2755</v>
      </c>
      <c r="H997" t="s">
        <v>4068</v>
      </c>
      <c r="I997" t="s">
        <v>4765</v>
      </c>
      <c r="J997" t="s">
        <v>5323</v>
      </c>
      <c r="K997">
        <v>10029</v>
      </c>
      <c r="L997" t="s">
        <v>5355</v>
      </c>
      <c r="M997" t="s">
        <v>5356</v>
      </c>
      <c r="O997" t="s">
        <v>6501</v>
      </c>
      <c r="P997" t="s">
        <v>6528</v>
      </c>
      <c r="Q997" t="s">
        <v>6536</v>
      </c>
      <c r="R997" t="s">
        <v>6539</v>
      </c>
      <c r="S997" t="s">
        <v>5357</v>
      </c>
      <c r="U997" t="s">
        <v>6563</v>
      </c>
      <c r="W997" t="s">
        <v>357</v>
      </c>
      <c r="X997">
        <v>3118</v>
      </c>
      <c r="Y997" t="s">
        <v>6608</v>
      </c>
      <c r="Z997" t="s">
        <v>6625</v>
      </c>
      <c r="AA997" t="s">
        <v>6635</v>
      </c>
      <c r="AB997" t="s">
        <v>7557</v>
      </c>
      <c r="AD997" t="s">
        <v>9919</v>
      </c>
      <c r="AE997">
        <v>147</v>
      </c>
      <c r="AF997" t="s">
        <v>11005</v>
      </c>
      <c r="AG997" t="s">
        <v>11020</v>
      </c>
      <c r="AH997">
        <v>7</v>
      </c>
      <c r="AI997">
        <v>2</v>
      </c>
      <c r="AJ997">
        <v>3</v>
      </c>
      <c r="AK997">
        <v>58.32</v>
      </c>
      <c r="AN997" t="s">
        <v>11050</v>
      </c>
      <c r="AO997">
        <v>43994.64</v>
      </c>
      <c r="AU997">
        <v>17.75</v>
      </c>
      <c r="AV997" t="s">
        <v>11459</v>
      </c>
      <c r="AW997" t="s">
        <v>107</v>
      </c>
    </row>
    <row r="998" spans="1:49">
      <c r="A998" s="1">
        <f>HYPERLINK("https://cms.ls-nyc.org/matter/dynamic-profile/view/1854099","17-1854099")</f>
        <v>0</v>
      </c>
      <c r="B998" t="s">
        <v>129</v>
      </c>
      <c r="C998" t="s">
        <v>235</v>
      </c>
      <c r="D998" t="s">
        <v>439</v>
      </c>
      <c r="F998" t="s">
        <v>1106</v>
      </c>
      <c r="G998" t="s">
        <v>2105</v>
      </c>
      <c r="H998" t="s">
        <v>3808</v>
      </c>
      <c r="I998" t="s">
        <v>4972</v>
      </c>
      <c r="J998" t="s">
        <v>5321</v>
      </c>
      <c r="K998">
        <v>10456</v>
      </c>
      <c r="L998" t="s">
        <v>5355</v>
      </c>
      <c r="M998" t="s">
        <v>5356</v>
      </c>
      <c r="N998" t="s">
        <v>5585</v>
      </c>
      <c r="O998" t="s">
        <v>6499</v>
      </c>
      <c r="P998" t="s">
        <v>6528</v>
      </c>
      <c r="R998" t="s">
        <v>6539</v>
      </c>
      <c r="S998" t="s">
        <v>5355</v>
      </c>
      <c r="U998" t="s">
        <v>6557</v>
      </c>
      <c r="W998" t="s">
        <v>6572</v>
      </c>
      <c r="X998">
        <v>1290</v>
      </c>
      <c r="Y998" t="s">
        <v>6606</v>
      </c>
      <c r="Z998" t="s">
        <v>6612</v>
      </c>
      <c r="AB998" t="s">
        <v>7558</v>
      </c>
      <c r="AD998" t="s">
        <v>9920</v>
      </c>
      <c r="AE998">
        <v>61</v>
      </c>
      <c r="AF998" t="s">
        <v>11005</v>
      </c>
      <c r="AG998" t="s">
        <v>11020</v>
      </c>
      <c r="AH998">
        <v>21</v>
      </c>
      <c r="AI998">
        <v>1</v>
      </c>
      <c r="AJ998">
        <v>1</v>
      </c>
      <c r="AK998">
        <v>58.6</v>
      </c>
      <c r="AL998" t="s">
        <v>366</v>
      </c>
      <c r="AN998" t="s">
        <v>11049</v>
      </c>
      <c r="AO998">
        <v>9516</v>
      </c>
      <c r="AU998">
        <v>0</v>
      </c>
      <c r="AW998" t="s">
        <v>11509</v>
      </c>
    </row>
    <row r="999" spans="1:49">
      <c r="A999" s="1">
        <f>HYPERLINK("https://cms.ls-nyc.org/matter/dynamic-profile/view/1857283","18-1857283")</f>
        <v>0</v>
      </c>
      <c r="B999" t="s">
        <v>58</v>
      </c>
      <c r="C999" t="s">
        <v>235</v>
      </c>
      <c r="D999" t="s">
        <v>297</v>
      </c>
      <c r="F999" t="s">
        <v>1487</v>
      </c>
      <c r="G999" t="s">
        <v>2756</v>
      </c>
      <c r="H999" t="s">
        <v>4007</v>
      </c>
      <c r="I999" t="s">
        <v>5044</v>
      </c>
      <c r="J999" t="s">
        <v>5321</v>
      </c>
      <c r="K999">
        <v>10452</v>
      </c>
      <c r="L999" t="s">
        <v>5355</v>
      </c>
      <c r="M999" t="s">
        <v>5356</v>
      </c>
      <c r="N999" t="s">
        <v>5571</v>
      </c>
      <c r="O999" t="s">
        <v>6499</v>
      </c>
      <c r="P999" t="s">
        <v>6528</v>
      </c>
      <c r="R999" t="s">
        <v>6539</v>
      </c>
      <c r="S999" t="s">
        <v>5355</v>
      </c>
      <c r="U999" t="s">
        <v>6557</v>
      </c>
      <c r="W999" t="s">
        <v>6592</v>
      </c>
      <c r="X999">
        <v>652</v>
      </c>
      <c r="Y999" t="s">
        <v>6606</v>
      </c>
      <c r="Z999" t="s">
        <v>6612</v>
      </c>
      <c r="AB999" t="s">
        <v>7559</v>
      </c>
      <c r="AD999" t="s">
        <v>9921</v>
      </c>
      <c r="AE999">
        <v>122</v>
      </c>
      <c r="AF999" t="s">
        <v>11005</v>
      </c>
      <c r="AH999">
        <v>15</v>
      </c>
      <c r="AI999">
        <v>1</v>
      </c>
      <c r="AJ999">
        <v>2</v>
      </c>
      <c r="AK999">
        <v>58.77</v>
      </c>
      <c r="AN999" t="s">
        <v>11050</v>
      </c>
      <c r="AO999">
        <v>12000</v>
      </c>
      <c r="AU999">
        <v>0.1</v>
      </c>
      <c r="AV999" t="s">
        <v>732</v>
      </c>
      <c r="AW999" t="s">
        <v>11492</v>
      </c>
    </row>
    <row r="1000" spans="1:49">
      <c r="A1000" s="1">
        <f>HYPERLINK("https://cms.ls-nyc.org/matter/dynamic-profile/view/1854948","18-1854948")</f>
        <v>0</v>
      </c>
      <c r="B1000" t="s">
        <v>90</v>
      </c>
      <c r="C1000" t="s">
        <v>235</v>
      </c>
      <c r="D1000" t="s">
        <v>521</v>
      </c>
      <c r="F1000" t="s">
        <v>1179</v>
      </c>
      <c r="G1000" t="s">
        <v>2757</v>
      </c>
      <c r="H1000" t="s">
        <v>4059</v>
      </c>
      <c r="I1000" t="s">
        <v>4768</v>
      </c>
      <c r="J1000" t="s">
        <v>5321</v>
      </c>
      <c r="K1000">
        <v>10452</v>
      </c>
      <c r="L1000" t="s">
        <v>5355</v>
      </c>
      <c r="M1000" t="s">
        <v>5356</v>
      </c>
      <c r="N1000" t="s">
        <v>5575</v>
      </c>
      <c r="O1000" t="s">
        <v>6499</v>
      </c>
      <c r="P1000" t="s">
        <v>6528</v>
      </c>
      <c r="R1000" t="s">
        <v>6539</v>
      </c>
      <c r="S1000" t="s">
        <v>5355</v>
      </c>
      <c r="U1000" t="s">
        <v>6557</v>
      </c>
      <c r="W1000" t="s">
        <v>247</v>
      </c>
      <c r="X1000">
        <v>854.7</v>
      </c>
      <c r="Y1000" t="s">
        <v>6606</v>
      </c>
      <c r="Z1000" t="s">
        <v>6612</v>
      </c>
      <c r="AB1000" t="s">
        <v>7560</v>
      </c>
      <c r="AD1000" t="s">
        <v>9922</v>
      </c>
      <c r="AE1000">
        <v>62</v>
      </c>
      <c r="AF1000" t="s">
        <v>11005</v>
      </c>
      <c r="AG1000" t="s">
        <v>5406</v>
      </c>
      <c r="AH1000">
        <v>20</v>
      </c>
      <c r="AI1000">
        <v>2</v>
      </c>
      <c r="AJ1000">
        <v>2</v>
      </c>
      <c r="AK1000">
        <v>59.02</v>
      </c>
      <c r="AN1000" t="s">
        <v>11050</v>
      </c>
      <c r="AO1000">
        <v>14520</v>
      </c>
      <c r="AU1000">
        <v>0</v>
      </c>
      <c r="AW1000" t="s">
        <v>11509</v>
      </c>
    </row>
    <row r="1001" spans="1:49">
      <c r="A1001" s="1">
        <f>HYPERLINK("https://cms.ls-nyc.org/matter/dynamic-profile/view/1859264","18-1859264")</f>
        <v>0</v>
      </c>
      <c r="B1001" t="s">
        <v>102</v>
      </c>
      <c r="C1001" t="s">
        <v>235</v>
      </c>
      <c r="D1001" t="s">
        <v>467</v>
      </c>
      <c r="F1001" t="s">
        <v>1193</v>
      </c>
      <c r="G1001" t="s">
        <v>2758</v>
      </c>
      <c r="H1001" t="s">
        <v>3526</v>
      </c>
      <c r="I1001">
        <v>120</v>
      </c>
      <c r="J1001" t="s">
        <v>5321</v>
      </c>
      <c r="K1001">
        <v>10453</v>
      </c>
      <c r="L1001" t="s">
        <v>5355</v>
      </c>
      <c r="M1001" t="s">
        <v>5356</v>
      </c>
      <c r="O1001" t="s">
        <v>6499</v>
      </c>
      <c r="P1001" t="s">
        <v>6528</v>
      </c>
      <c r="R1001" t="s">
        <v>6539</v>
      </c>
      <c r="S1001" t="s">
        <v>5355</v>
      </c>
      <c r="U1001" t="s">
        <v>6557</v>
      </c>
      <c r="W1001" t="s">
        <v>373</v>
      </c>
      <c r="X1001">
        <v>725.22</v>
      </c>
      <c r="Y1001" t="s">
        <v>6606</v>
      </c>
      <c r="Z1001" t="s">
        <v>6622</v>
      </c>
      <c r="AB1001" t="s">
        <v>7561</v>
      </c>
      <c r="AC1001" t="s">
        <v>8827</v>
      </c>
      <c r="AD1001" t="s">
        <v>9923</v>
      </c>
      <c r="AE1001">
        <v>146</v>
      </c>
      <c r="AF1001" t="s">
        <v>11005</v>
      </c>
      <c r="AG1001" t="s">
        <v>11024</v>
      </c>
      <c r="AH1001">
        <v>34</v>
      </c>
      <c r="AI1001">
        <v>1</v>
      </c>
      <c r="AJ1001">
        <v>1</v>
      </c>
      <c r="AK1001">
        <v>59.11</v>
      </c>
      <c r="AN1001" t="s">
        <v>11050</v>
      </c>
      <c r="AO1001">
        <v>9600</v>
      </c>
      <c r="AU1001">
        <v>2.4</v>
      </c>
      <c r="AV1001" t="s">
        <v>745</v>
      </c>
      <c r="AW1001" t="s">
        <v>11492</v>
      </c>
    </row>
    <row r="1002" spans="1:49">
      <c r="A1002" s="1">
        <f>HYPERLINK("https://cms.ls-nyc.org/matter/dynamic-profile/view/1867088","18-1867088")</f>
        <v>0</v>
      </c>
      <c r="B1002" t="s">
        <v>135</v>
      </c>
      <c r="C1002" t="s">
        <v>235</v>
      </c>
      <c r="D1002" t="s">
        <v>244</v>
      </c>
      <c r="F1002" t="s">
        <v>1148</v>
      </c>
      <c r="G1002" t="s">
        <v>2410</v>
      </c>
      <c r="H1002" t="s">
        <v>3739</v>
      </c>
      <c r="I1002" t="s">
        <v>4791</v>
      </c>
      <c r="J1002" t="s">
        <v>5320</v>
      </c>
      <c r="K1002">
        <v>11212</v>
      </c>
      <c r="L1002" t="s">
        <v>5355</v>
      </c>
      <c r="M1002" t="s">
        <v>5356</v>
      </c>
      <c r="O1002" t="s">
        <v>6500</v>
      </c>
      <c r="P1002" t="s">
        <v>6528</v>
      </c>
      <c r="R1002" t="s">
        <v>6539</v>
      </c>
      <c r="S1002" t="s">
        <v>5355</v>
      </c>
      <c r="U1002" t="s">
        <v>6557</v>
      </c>
      <c r="W1002" t="s">
        <v>298</v>
      </c>
      <c r="X1002">
        <v>840</v>
      </c>
      <c r="Y1002" t="s">
        <v>6605</v>
      </c>
      <c r="Z1002" t="s">
        <v>6493</v>
      </c>
      <c r="AB1002" t="s">
        <v>7038</v>
      </c>
      <c r="AD1002" t="s">
        <v>9439</v>
      </c>
      <c r="AE1002">
        <v>32</v>
      </c>
      <c r="AF1002" t="s">
        <v>11005</v>
      </c>
      <c r="AH1002">
        <v>19</v>
      </c>
      <c r="AI1002">
        <v>2</v>
      </c>
      <c r="AJ1002">
        <v>0</v>
      </c>
      <c r="AK1002">
        <v>60.73</v>
      </c>
      <c r="AN1002" t="s">
        <v>11050</v>
      </c>
      <c r="AO1002">
        <v>9996</v>
      </c>
      <c r="AU1002">
        <v>0</v>
      </c>
      <c r="AW1002" t="s">
        <v>11512</v>
      </c>
    </row>
    <row r="1003" spans="1:49">
      <c r="A1003" s="1">
        <f>HYPERLINK("https://cms.ls-nyc.org/matter/dynamic-profile/view/1871730","18-1871730")</f>
        <v>0</v>
      </c>
      <c r="B1003" t="s">
        <v>135</v>
      </c>
      <c r="C1003" t="s">
        <v>235</v>
      </c>
      <c r="D1003" t="s">
        <v>445</v>
      </c>
      <c r="F1003" t="s">
        <v>1179</v>
      </c>
      <c r="G1003" t="s">
        <v>1742</v>
      </c>
      <c r="H1003" t="s">
        <v>3762</v>
      </c>
      <c r="I1003" t="s">
        <v>4746</v>
      </c>
      <c r="J1003" t="s">
        <v>5320</v>
      </c>
      <c r="K1003">
        <v>11206</v>
      </c>
      <c r="L1003" t="s">
        <v>5355</v>
      </c>
      <c r="M1003" t="s">
        <v>5355</v>
      </c>
      <c r="O1003" t="s">
        <v>6500</v>
      </c>
      <c r="P1003" t="s">
        <v>6528</v>
      </c>
      <c r="R1003" t="s">
        <v>6539</v>
      </c>
      <c r="S1003" t="s">
        <v>5355</v>
      </c>
      <c r="U1003" t="s">
        <v>6557</v>
      </c>
      <c r="W1003" t="s">
        <v>6589</v>
      </c>
      <c r="X1003">
        <v>1283</v>
      </c>
      <c r="Y1003" t="s">
        <v>6605</v>
      </c>
      <c r="AB1003" t="s">
        <v>7065</v>
      </c>
      <c r="AD1003" t="s">
        <v>9464</v>
      </c>
      <c r="AE1003">
        <v>29</v>
      </c>
      <c r="AF1003" t="s">
        <v>11005</v>
      </c>
      <c r="AG1003" t="s">
        <v>11019</v>
      </c>
      <c r="AH1003">
        <v>2</v>
      </c>
      <c r="AI1003">
        <v>2</v>
      </c>
      <c r="AJ1003">
        <v>0</v>
      </c>
      <c r="AK1003">
        <v>62.11</v>
      </c>
      <c r="AN1003" t="s">
        <v>11050</v>
      </c>
      <c r="AO1003">
        <v>10224</v>
      </c>
      <c r="AP1003" t="s">
        <v>11094</v>
      </c>
      <c r="AU1003">
        <v>0</v>
      </c>
      <c r="AW1003" t="s">
        <v>11517</v>
      </c>
    </row>
    <row r="1004" spans="1:49">
      <c r="A1004" s="1">
        <f>HYPERLINK("https://cms.ls-nyc.org/matter/dynamic-profile/view/1887830","19-1887830")</f>
        <v>0</v>
      </c>
      <c r="B1004" t="s">
        <v>135</v>
      </c>
      <c r="C1004" t="s">
        <v>235</v>
      </c>
      <c r="D1004" t="s">
        <v>513</v>
      </c>
      <c r="F1004" t="s">
        <v>1176</v>
      </c>
      <c r="G1004" t="s">
        <v>2425</v>
      </c>
      <c r="H1004" t="s">
        <v>3735</v>
      </c>
      <c r="I1004" t="s">
        <v>4897</v>
      </c>
      <c r="J1004" t="s">
        <v>5320</v>
      </c>
      <c r="K1004">
        <v>11225</v>
      </c>
      <c r="L1004" t="s">
        <v>5355</v>
      </c>
      <c r="M1004" t="s">
        <v>5356</v>
      </c>
      <c r="O1004" t="s">
        <v>6507</v>
      </c>
      <c r="P1004" t="s">
        <v>6528</v>
      </c>
      <c r="R1004" t="s">
        <v>6539</v>
      </c>
      <c r="S1004" t="s">
        <v>5355</v>
      </c>
      <c r="U1004" t="s">
        <v>6557</v>
      </c>
      <c r="W1004" t="s">
        <v>523</v>
      </c>
      <c r="X1004">
        <v>745.62</v>
      </c>
      <c r="Y1004" t="s">
        <v>6605</v>
      </c>
      <c r="Z1004" t="s">
        <v>6622</v>
      </c>
      <c r="AB1004" t="s">
        <v>7062</v>
      </c>
      <c r="AD1004" t="s">
        <v>9461</v>
      </c>
      <c r="AE1004">
        <v>89</v>
      </c>
      <c r="AF1004" t="s">
        <v>11005</v>
      </c>
      <c r="AG1004" t="s">
        <v>5406</v>
      </c>
      <c r="AH1004">
        <v>40</v>
      </c>
      <c r="AI1004">
        <v>4</v>
      </c>
      <c r="AJ1004">
        <v>0</v>
      </c>
      <c r="AK1004">
        <v>62.15</v>
      </c>
      <c r="AN1004" t="s">
        <v>11050</v>
      </c>
      <c r="AO1004">
        <v>15600</v>
      </c>
      <c r="AU1004">
        <v>0</v>
      </c>
      <c r="AW1004" t="s">
        <v>11516</v>
      </c>
    </row>
    <row r="1005" spans="1:49">
      <c r="A1005" s="1">
        <f>HYPERLINK("https://cms.ls-nyc.org/matter/dynamic-profile/view/1869439","18-1869439")</f>
        <v>0</v>
      </c>
      <c r="B1005" t="s">
        <v>60</v>
      </c>
      <c r="C1005" t="s">
        <v>234</v>
      </c>
      <c r="D1005" t="s">
        <v>379</v>
      </c>
      <c r="E1005" t="s">
        <v>679</v>
      </c>
      <c r="F1005" t="s">
        <v>1488</v>
      </c>
      <c r="G1005" t="s">
        <v>2759</v>
      </c>
      <c r="H1005" t="s">
        <v>4069</v>
      </c>
      <c r="I1005" t="s">
        <v>4814</v>
      </c>
      <c r="J1005" t="s">
        <v>5321</v>
      </c>
      <c r="K1005">
        <v>10453</v>
      </c>
      <c r="L1005" t="s">
        <v>5355</v>
      </c>
      <c r="M1005" t="s">
        <v>5355</v>
      </c>
      <c r="N1005" t="s">
        <v>5586</v>
      </c>
      <c r="O1005" t="s">
        <v>6499</v>
      </c>
      <c r="P1005" t="s">
        <v>6528</v>
      </c>
      <c r="Q1005" t="s">
        <v>6536</v>
      </c>
      <c r="R1005" t="s">
        <v>6539</v>
      </c>
      <c r="S1005" t="s">
        <v>5357</v>
      </c>
      <c r="U1005" t="s">
        <v>6557</v>
      </c>
      <c r="W1005" t="s">
        <v>252</v>
      </c>
      <c r="X1005">
        <v>925</v>
      </c>
      <c r="Y1005" t="s">
        <v>6606</v>
      </c>
      <c r="Z1005" t="s">
        <v>6614</v>
      </c>
      <c r="AA1005" t="s">
        <v>6634</v>
      </c>
      <c r="AB1005" t="s">
        <v>7562</v>
      </c>
      <c r="AC1005" t="s">
        <v>8828</v>
      </c>
      <c r="AD1005" t="s">
        <v>9924</v>
      </c>
      <c r="AE1005">
        <v>24</v>
      </c>
      <c r="AF1005" t="s">
        <v>11005</v>
      </c>
      <c r="AG1005" t="s">
        <v>5406</v>
      </c>
      <c r="AH1005">
        <v>12</v>
      </c>
      <c r="AI1005">
        <v>4</v>
      </c>
      <c r="AJ1005">
        <v>0</v>
      </c>
      <c r="AK1005">
        <v>62.15</v>
      </c>
      <c r="AN1005" t="s">
        <v>11049</v>
      </c>
      <c r="AO1005">
        <v>15600</v>
      </c>
      <c r="AU1005">
        <v>4.85</v>
      </c>
      <c r="AV1005" t="s">
        <v>679</v>
      </c>
      <c r="AW1005" t="s">
        <v>11499</v>
      </c>
    </row>
    <row r="1006" spans="1:49">
      <c r="A1006" s="1">
        <f>HYPERLINK("https://cms.ls-nyc.org/matter/dynamic-profile/view/1863416","18-1863416")</f>
        <v>0</v>
      </c>
      <c r="B1006" t="s">
        <v>107</v>
      </c>
      <c r="C1006" t="s">
        <v>235</v>
      </c>
      <c r="D1006" t="s">
        <v>377</v>
      </c>
      <c r="F1006" t="s">
        <v>1489</v>
      </c>
      <c r="G1006" t="s">
        <v>2760</v>
      </c>
      <c r="H1006" t="s">
        <v>4070</v>
      </c>
      <c r="I1006" t="s">
        <v>4787</v>
      </c>
      <c r="J1006" t="s">
        <v>5323</v>
      </c>
      <c r="K1006">
        <v>10034</v>
      </c>
      <c r="L1006" t="s">
        <v>5355</v>
      </c>
      <c r="M1006" t="s">
        <v>5356</v>
      </c>
      <c r="O1006" t="s">
        <v>6497</v>
      </c>
      <c r="P1006" t="s">
        <v>6528</v>
      </c>
      <c r="R1006" t="s">
        <v>6539</v>
      </c>
      <c r="S1006" t="s">
        <v>5357</v>
      </c>
      <c r="U1006" t="s">
        <v>6563</v>
      </c>
      <c r="W1006" t="s">
        <v>377</v>
      </c>
      <c r="X1006">
        <v>1554.47</v>
      </c>
      <c r="Y1006" t="s">
        <v>6608</v>
      </c>
      <c r="Z1006" t="s">
        <v>6625</v>
      </c>
      <c r="AB1006" t="s">
        <v>7563</v>
      </c>
      <c r="AD1006" t="s">
        <v>9925</v>
      </c>
      <c r="AE1006">
        <v>48</v>
      </c>
      <c r="AF1006" t="s">
        <v>11005</v>
      </c>
      <c r="AG1006" t="s">
        <v>6493</v>
      </c>
      <c r="AH1006">
        <v>13</v>
      </c>
      <c r="AI1006">
        <v>2</v>
      </c>
      <c r="AJ1006">
        <v>2</v>
      </c>
      <c r="AK1006">
        <v>62.63</v>
      </c>
      <c r="AN1006" t="s">
        <v>11049</v>
      </c>
      <c r="AO1006">
        <v>15720</v>
      </c>
      <c r="AU1006">
        <v>62.75</v>
      </c>
      <c r="AV1006" t="s">
        <v>685</v>
      </c>
      <c r="AW1006" t="s">
        <v>11497</v>
      </c>
    </row>
    <row r="1007" spans="1:49">
      <c r="A1007" s="1">
        <f>HYPERLINK("https://cms.ls-nyc.org/matter/dynamic-profile/view/1840495","17-1840495")</f>
        <v>0</v>
      </c>
      <c r="B1007" t="s">
        <v>129</v>
      </c>
      <c r="C1007" t="s">
        <v>234</v>
      </c>
      <c r="D1007" t="s">
        <v>441</v>
      </c>
      <c r="E1007" t="s">
        <v>778</v>
      </c>
      <c r="F1007" t="s">
        <v>1490</v>
      </c>
      <c r="G1007" t="s">
        <v>2761</v>
      </c>
      <c r="H1007" t="s">
        <v>3721</v>
      </c>
      <c r="I1007" t="s">
        <v>4787</v>
      </c>
      <c r="J1007" t="s">
        <v>5321</v>
      </c>
      <c r="K1007">
        <v>10453</v>
      </c>
      <c r="L1007" t="s">
        <v>5355</v>
      </c>
      <c r="M1007" t="s">
        <v>5356</v>
      </c>
      <c r="O1007" t="s">
        <v>6499</v>
      </c>
      <c r="P1007" t="s">
        <v>6528</v>
      </c>
      <c r="Q1007" t="s">
        <v>6536</v>
      </c>
      <c r="R1007" t="s">
        <v>6539</v>
      </c>
      <c r="S1007" t="s">
        <v>5355</v>
      </c>
      <c r="U1007" t="s">
        <v>6557</v>
      </c>
      <c r="W1007" t="s">
        <v>404</v>
      </c>
      <c r="X1007">
        <v>1273</v>
      </c>
      <c r="Y1007" t="s">
        <v>6606</v>
      </c>
      <c r="Z1007" t="s">
        <v>6612</v>
      </c>
      <c r="AA1007" t="s">
        <v>6636</v>
      </c>
      <c r="AB1007" t="s">
        <v>7564</v>
      </c>
      <c r="AE1007">
        <v>170</v>
      </c>
      <c r="AF1007" t="s">
        <v>11005</v>
      </c>
      <c r="AG1007" t="s">
        <v>5406</v>
      </c>
      <c r="AH1007">
        <v>2</v>
      </c>
      <c r="AI1007">
        <v>2</v>
      </c>
      <c r="AJ1007">
        <v>2</v>
      </c>
      <c r="AK1007">
        <v>63.41</v>
      </c>
      <c r="AN1007" t="s">
        <v>11049</v>
      </c>
      <c r="AO1007">
        <v>15600</v>
      </c>
      <c r="AP1007" t="s">
        <v>11075</v>
      </c>
      <c r="AU1007">
        <v>0.1</v>
      </c>
      <c r="AV1007" t="s">
        <v>778</v>
      </c>
      <c r="AW1007" t="s">
        <v>11509</v>
      </c>
    </row>
    <row r="1008" spans="1:49">
      <c r="A1008" s="1">
        <f>HYPERLINK("https://cms.ls-nyc.org/matter/dynamic-profile/view/1854880","17-1854880")</f>
        <v>0</v>
      </c>
      <c r="B1008" t="s">
        <v>90</v>
      </c>
      <c r="C1008" t="s">
        <v>235</v>
      </c>
      <c r="D1008" t="s">
        <v>469</v>
      </c>
      <c r="F1008" t="s">
        <v>994</v>
      </c>
      <c r="G1008" t="s">
        <v>2239</v>
      </c>
      <c r="H1008" t="s">
        <v>4059</v>
      </c>
      <c r="I1008" t="s">
        <v>4740</v>
      </c>
      <c r="J1008" t="s">
        <v>5321</v>
      </c>
      <c r="K1008">
        <v>10452</v>
      </c>
      <c r="L1008" t="s">
        <v>5355</v>
      </c>
      <c r="M1008" t="s">
        <v>5356</v>
      </c>
      <c r="N1008" t="s">
        <v>5574</v>
      </c>
      <c r="O1008" t="s">
        <v>6499</v>
      </c>
      <c r="P1008" t="s">
        <v>6528</v>
      </c>
      <c r="R1008" t="s">
        <v>6539</v>
      </c>
      <c r="S1008" t="s">
        <v>5355</v>
      </c>
      <c r="U1008" t="s">
        <v>6557</v>
      </c>
      <c r="W1008" t="s">
        <v>247</v>
      </c>
      <c r="X1008">
        <v>2006</v>
      </c>
      <c r="Y1008" t="s">
        <v>6606</v>
      </c>
      <c r="Z1008" t="s">
        <v>6612</v>
      </c>
      <c r="AB1008" t="s">
        <v>7565</v>
      </c>
      <c r="AD1008" t="s">
        <v>9926</v>
      </c>
      <c r="AE1008">
        <v>62</v>
      </c>
      <c r="AF1008" t="s">
        <v>11005</v>
      </c>
      <c r="AG1008" t="s">
        <v>11020</v>
      </c>
      <c r="AH1008">
        <v>3</v>
      </c>
      <c r="AI1008">
        <v>2</v>
      </c>
      <c r="AJ1008">
        <v>3</v>
      </c>
      <c r="AK1008">
        <v>63.65</v>
      </c>
      <c r="AN1008" t="s">
        <v>11050</v>
      </c>
      <c r="AO1008">
        <v>18317.52</v>
      </c>
      <c r="AU1008">
        <v>0.4</v>
      </c>
      <c r="AV1008" t="s">
        <v>469</v>
      </c>
      <c r="AW1008" t="s">
        <v>59</v>
      </c>
    </row>
    <row r="1009" spans="1:49">
      <c r="A1009" s="1">
        <f>HYPERLINK("https://cms.ls-nyc.org/matter/dynamic-profile/view/1854975","18-1854975")</f>
        <v>0</v>
      </c>
      <c r="B1009" t="s">
        <v>90</v>
      </c>
      <c r="C1009" t="s">
        <v>235</v>
      </c>
      <c r="D1009" t="s">
        <v>521</v>
      </c>
      <c r="F1009" t="s">
        <v>994</v>
      </c>
      <c r="G1009" t="s">
        <v>2239</v>
      </c>
      <c r="H1009" t="s">
        <v>4059</v>
      </c>
      <c r="I1009" t="s">
        <v>4740</v>
      </c>
      <c r="J1009" t="s">
        <v>5321</v>
      </c>
      <c r="K1009">
        <v>10452</v>
      </c>
      <c r="L1009" t="s">
        <v>5355</v>
      </c>
      <c r="M1009" t="s">
        <v>5356</v>
      </c>
      <c r="N1009" t="s">
        <v>5575</v>
      </c>
      <c r="O1009" t="s">
        <v>6499</v>
      </c>
      <c r="P1009" t="s">
        <v>6528</v>
      </c>
      <c r="R1009" t="s">
        <v>6539</v>
      </c>
      <c r="S1009" t="s">
        <v>5355</v>
      </c>
      <c r="U1009" t="s">
        <v>6557</v>
      </c>
      <c r="W1009" t="s">
        <v>247</v>
      </c>
      <c r="X1009">
        <v>2006</v>
      </c>
      <c r="Y1009" t="s">
        <v>6606</v>
      </c>
      <c r="Z1009" t="s">
        <v>6612</v>
      </c>
      <c r="AB1009" t="s">
        <v>7565</v>
      </c>
      <c r="AD1009" t="s">
        <v>9926</v>
      </c>
      <c r="AE1009">
        <v>62</v>
      </c>
      <c r="AF1009" t="s">
        <v>11005</v>
      </c>
      <c r="AG1009" t="s">
        <v>11020</v>
      </c>
      <c r="AH1009">
        <v>3</v>
      </c>
      <c r="AI1009">
        <v>2</v>
      </c>
      <c r="AJ1009">
        <v>3</v>
      </c>
      <c r="AK1009">
        <v>63.65</v>
      </c>
      <c r="AN1009" t="s">
        <v>11050</v>
      </c>
      <c r="AO1009">
        <v>18317.52</v>
      </c>
      <c r="AU1009">
        <v>0</v>
      </c>
      <c r="AW1009" t="s">
        <v>11509</v>
      </c>
    </row>
    <row r="1010" spans="1:49">
      <c r="A1010" s="1">
        <f>HYPERLINK("https://cms.ls-nyc.org/matter/dynamic-profile/view/1857002","18-1857002")</f>
        <v>0</v>
      </c>
      <c r="B1010" t="s">
        <v>104</v>
      </c>
      <c r="C1010" t="s">
        <v>235</v>
      </c>
      <c r="D1010" t="s">
        <v>249</v>
      </c>
      <c r="F1010" t="s">
        <v>1491</v>
      </c>
      <c r="G1010" t="s">
        <v>2762</v>
      </c>
      <c r="H1010" t="s">
        <v>4007</v>
      </c>
      <c r="I1010" t="s">
        <v>4807</v>
      </c>
      <c r="J1010" t="s">
        <v>5321</v>
      </c>
      <c r="K1010">
        <v>10452</v>
      </c>
      <c r="L1010" t="s">
        <v>5355</v>
      </c>
      <c r="M1010" t="s">
        <v>5356</v>
      </c>
      <c r="N1010" t="s">
        <v>5587</v>
      </c>
      <c r="O1010" t="s">
        <v>6499</v>
      </c>
      <c r="P1010" t="s">
        <v>6528</v>
      </c>
      <c r="R1010" t="s">
        <v>6539</v>
      </c>
      <c r="S1010" t="s">
        <v>5355</v>
      </c>
      <c r="U1010" t="s">
        <v>6557</v>
      </c>
      <c r="W1010" t="s">
        <v>236</v>
      </c>
      <c r="X1010">
        <v>1050</v>
      </c>
      <c r="Y1010" t="s">
        <v>6606</v>
      </c>
      <c r="Z1010" t="s">
        <v>6612</v>
      </c>
      <c r="AB1010" t="s">
        <v>7230</v>
      </c>
      <c r="AD1010" t="s">
        <v>9927</v>
      </c>
      <c r="AE1010">
        <v>122</v>
      </c>
      <c r="AF1010" t="s">
        <v>11005</v>
      </c>
      <c r="AG1010" t="s">
        <v>5406</v>
      </c>
      <c r="AH1010">
        <v>14</v>
      </c>
      <c r="AI1010">
        <v>3</v>
      </c>
      <c r="AJ1010">
        <v>1</v>
      </c>
      <c r="AK1010">
        <v>65.04000000000001</v>
      </c>
      <c r="AN1010" t="s">
        <v>11050</v>
      </c>
      <c r="AO1010">
        <v>15999.96</v>
      </c>
      <c r="AU1010">
        <v>0</v>
      </c>
      <c r="AW1010" t="s">
        <v>11492</v>
      </c>
    </row>
    <row r="1011" spans="1:49">
      <c r="A1011" s="1">
        <f>HYPERLINK("https://cms.ls-nyc.org/matter/dynamic-profile/view/1887824","19-1887824")</f>
        <v>0</v>
      </c>
      <c r="B1011" t="s">
        <v>135</v>
      </c>
      <c r="C1011" t="s">
        <v>235</v>
      </c>
      <c r="D1011" t="s">
        <v>513</v>
      </c>
      <c r="F1011" t="s">
        <v>1186</v>
      </c>
      <c r="G1011" t="s">
        <v>2433</v>
      </c>
      <c r="H1011" t="s">
        <v>3735</v>
      </c>
      <c r="I1011" t="s">
        <v>4902</v>
      </c>
      <c r="J1011" t="s">
        <v>5320</v>
      </c>
      <c r="K1011">
        <v>11225</v>
      </c>
      <c r="L1011" t="s">
        <v>5355</v>
      </c>
      <c r="M1011" t="s">
        <v>5356</v>
      </c>
      <c r="O1011" t="s">
        <v>6507</v>
      </c>
      <c r="P1011" t="s">
        <v>6528</v>
      </c>
      <c r="R1011" t="s">
        <v>6539</v>
      </c>
      <c r="S1011" t="s">
        <v>5355</v>
      </c>
      <c r="U1011" t="s">
        <v>6557</v>
      </c>
      <c r="W1011" t="s">
        <v>523</v>
      </c>
      <c r="X1011">
        <v>432.05</v>
      </c>
      <c r="Y1011" t="s">
        <v>6605</v>
      </c>
      <c r="Z1011" t="s">
        <v>6622</v>
      </c>
      <c r="AB1011" t="s">
        <v>7072</v>
      </c>
      <c r="AD1011" t="s">
        <v>9470</v>
      </c>
      <c r="AE1011">
        <v>89</v>
      </c>
      <c r="AF1011" t="s">
        <v>11005</v>
      </c>
      <c r="AG1011" t="s">
        <v>11024</v>
      </c>
      <c r="AH1011">
        <v>34</v>
      </c>
      <c r="AI1011">
        <v>2</v>
      </c>
      <c r="AJ1011">
        <v>0</v>
      </c>
      <c r="AK1011">
        <v>65.83</v>
      </c>
      <c r="AN1011" t="s">
        <v>11050</v>
      </c>
      <c r="AO1011">
        <v>10836</v>
      </c>
      <c r="AU1011">
        <v>0</v>
      </c>
      <c r="AW1011" t="s">
        <v>11516</v>
      </c>
    </row>
    <row r="1012" spans="1:49">
      <c r="A1012" s="1">
        <f>HYPERLINK("https://cms.ls-nyc.org/matter/dynamic-profile/view/1861830","18-1861830")</f>
        <v>0</v>
      </c>
      <c r="B1012" t="s">
        <v>55</v>
      </c>
      <c r="C1012" t="s">
        <v>235</v>
      </c>
      <c r="D1012" t="s">
        <v>522</v>
      </c>
      <c r="F1012" t="s">
        <v>1492</v>
      </c>
      <c r="G1012" t="s">
        <v>2763</v>
      </c>
      <c r="H1012" t="s">
        <v>4071</v>
      </c>
      <c r="I1012">
        <v>415</v>
      </c>
      <c r="J1012" t="s">
        <v>5320</v>
      </c>
      <c r="K1012">
        <v>11225</v>
      </c>
      <c r="L1012" t="s">
        <v>5355</v>
      </c>
      <c r="M1012" t="s">
        <v>5355</v>
      </c>
      <c r="O1012" t="s">
        <v>6514</v>
      </c>
      <c r="P1012" t="s">
        <v>6528</v>
      </c>
      <c r="R1012" t="s">
        <v>6539</v>
      </c>
      <c r="S1012" t="s">
        <v>5357</v>
      </c>
      <c r="T1012" t="s">
        <v>6545</v>
      </c>
      <c r="U1012" t="s">
        <v>6557</v>
      </c>
      <c r="W1012" t="s">
        <v>516</v>
      </c>
      <c r="X1012">
        <v>1100</v>
      </c>
      <c r="Y1012" t="s">
        <v>6605</v>
      </c>
      <c r="Z1012" t="s">
        <v>6612</v>
      </c>
      <c r="AB1012" t="s">
        <v>7566</v>
      </c>
      <c r="AE1012">
        <v>42</v>
      </c>
      <c r="AF1012" t="s">
        <v>11005</v>
      </c>
      <c r="AG1012" t="s">
        <v>11020</v>
      </c>
      <c r="AH1012">
        <v>28</v>
      </c>
      <c r="AI1012">
        <v>2</v>
      </c>
      <c r="AJ1012">
        <v>0</v>
      </c>
      <c r="AK1012">
        <v>68.17</v>
      </c>
      <c r="AN1012" t="s">
        <v>11050</v>
      </c>
      <c r="AO1012">
        <v>11220</v>
      </c>
      <c r="AU1012">
        <v>5.55</v>
      </c>
      <c r="AV1012" t="s">
        <v>761</v>
      </c>
      <c r="AW1012" t="s">
        <v>11490</v>
      </c>
    </row>
    <row r="1013" spans="1:49">
      <c r="A1013" s="1">
        <f>HYPERLINK("https://cms.ls-nyc.org/matter/dynamic-profile/view/1854940","18-1854940")</f>
        <v>0</v>
      </c>
      <c r="B1013" t="s">
        <v>90</v>
      </c>
      <c r="C1013" t="s">
        <v>235</v>
      </c>
      <c r="D1013" t="s">
        <v>521</v>
      </c>
      <c r="F1013" t="s">
        <v>1493</v>
      </c>
      <c r="G1013" t="s">
        <v>2764</v>
      </c>
      <c r="H1013" t="s">
        <v>4059</v>
      </c>
      <c r="I1013" t="s">
        <v>4907</v>
      </c>
      <c r="J1013" t="s">
        <v>5321</v>
      </c>
      <c r="K1013">
        <v>10452</v>
      </c>
      <c r="L1013" t="s">
        <v>5355</v>
      </c>
      <c r="M1013" t="s">
        <v>5356</v>
      </c>
      <c r="N1013" t="s">
        <v>5575</v>
      </c>
      <c r="O1013" t="s">
        <v>6499</v>
      </c>
      <c r="P1013" t="s">
        <v>6528</v>
      </c>
      <c r="R1013" t="s">
        <v>6539</v>
      </c>
      <c r="S1013" t="s">
        <v>5355</v>
      </c>
      <c r="U1013" t="s">
        <v>6557</v>
      </c>
      <c r="W1013" t="s">
        <v>247</v>
      </c>
      <c r="X1013">
        <v>1906</v>
      </c>
      <c r="Y1013" t="s">
        <v>6606</v>
      </c>
      <c r="Z1013" t="s">
        <v>6612</v>
      </c>
      <c r="AB1013" t="s">
        <v>7567</v>
      </c>
      <c r="AD1013" t="s">
        <v>9928</v>
      </c>
      <c r="AE1013">
        <v>62</v>
      </c>
      <c r="AF1013" t="s">
        <v>11005</v>
      </c>
      <c r="AG1013" t="s">
        <v>5406</v>
      </c>
      <c r="AH1013">
        <v>10</v>
      </c>
      <c r="AI1013">
        <v>3</v>
      </c>
      <c r="AJ1013">
        <v>0</v>
      </c>
      <c r="AK1013">
        <v>68.56</v>
      </c>
      <c r="AN1013" t="s">
        <v>11049</v>
      </c>
      <c r="AO1013">
        <v>14000</v>
      </c>
      <c r="AU1013">
        <v>0</v>
      </c>
      <c r="AW1013" t="s">
        <v>11509</v>
      </c>
    </row>
    <row r="1014" spans="1:49">
      <c r="A1014" s="1">
        <f>HYPERLINK("https://cms.ls-nyc.org/matter/dynamic-profile/view/1859656","18-1859656")</f>
        <v>0</v>
      </c>
      <c r="B1014" t="s">
        <v>102</v>
      </c>
      <c r="C1014" t="s">
        <v>235</v>
      </c>
      <c r="D1014" t="s">
        <v>523</v>
      </c>
      <c r="F1014" t="s">
        <v>1494</v>
      </c>
      <c r="G1014" t="s">
        <v>2765</v>
      </c>
      <c r="H1014" t="s">
        <v>3526</v>
      </c>
      <c r="I1014">
        <v>516</v>
      </c>
      <c r="J1014" t="s">
        <v>5321</v>
      </c>
      <c r="K1014">
        <v>10453</v>
      </c>
      <c r="L1014" t="s">
        <v>5355</v>
      </c>
      <c r="M1014" t="s">
        <v>5356</v>
      </c>
      <c r="O1014" t="s">
        <v>6499</v>
      </c>
      <c r="P1014" t="s">
        <v>6528</v>
      </c>
      <c r="R1014" t="s">
        <v>6539</v>
      </c>
      <c r="S1014" t="s">
        <v>5355</v>
      </c>
      <c r="U1014" t="s">
        <v>6557</v>
      </c>
      <c r="W1014" t="s">
        <v>373</v>
      </c>
      <c r="X1014">
        <v>965</v>
      </c>
      <c r="Y1014" t="s">
        <v>6606</v>
      </c>
      <c r="Z1014" t="s">
        <v>6622</v>
      </c>
      <c r="AB1014" t="s">
        <v>7568</v>
      </c>
      <c r="AD1014" t="s">
        <v>9929</v>
      </c>
      <c r="AE1014">
        <v>146</v>
      </c>
      <c r="AF1014" t="s">
        <v>11005</v>
      </c>
      <c r="AG1014" t="s">
        <v>11019</v>
      </c>
      <c r="AH1014">
        <v>11</v>
      </c>
      <c r="AI1014">
        <v>1</v>
      </c>
      <c r="AJ1014">
        <v>2</v>
      </c>
      <c r="AK1014">
        <v>69.27</v>
      </c>
      <c r="AN1014" t="s">
        <v>11049</v>
      </c>
      <c r="AO1014">
        <v>14144</v>
      </c>
      <c r="AU1014">
        <v>1.1</v>
      </c>
      <c r="AV1014" t="s">
        <v>257</v>
      </c>
      <c r="AW1014" t="s">
        <v>11492</v>
      </c>
    </row>
    <row r="1015" spans="1:49">
      <c r="A1015" s="1">
        <f>HYPERLINK("https://cms.ls-nyc.org/matter/dynamic-profile/view/1859384","18-1859384")</f>
        <v>0</v>
      </c>
      <c r="B1015" t="s">
        <v>102</v>
      </c>
      <c r="C1015" t="s">
        <v>235</v>
      </c>
      <c r="D1015" t="s">
        <v>284</v>
      </c>
      <c r="F1015" t="s">
        <v>1495</v>
      </c>
      <c r="G1015" t="s">
        <v>2766</v>
      </c>
      <c r="H1015" t="s">
        <v>3526</v>
      </c>
      <c r="I1015">
        <v>616</v>
      </c>
      <c r="J1015" t="s">
        <v>5321</v>
      </c>
      <c r="K1015">
        <v>10453</v>
      </c>
      <c r="L1015" t="s">
        <v>5355</v>
      </c>
      <c r="M1015" t="s">
        <v>5356</v>
      </c>
      <c r="O1015" t="s">
        <v>6499</v>
      </c>
      <c r="P1015" t="s">
        <v>6528</v>
      </c>
      <c r="R1015" t="s">
        <v>6539</v>
      </c>
      <c r="S1015" t="s">
        <v>5355</v>
      </c>
      <c r="U1015" t="s">
        <v>6557</v>
      </c>
      <c r="W1015" t="s">
        <v>373</v>
      </c>
      <c r="X1015">
        <v>671</v>
      </c>
      <c r="Y1015" t="s">
        <v>6606</v>
      </c>
      <c r="Z1015" t="s">
        <v>6622</v>
      </c>
      <c r="AB1015" t="s">
        <v>7569</v>
      </c>
      <c r="AD1015" t="s">
        <v>9930</v>
      </c>
      <c r="AE1015">
        <v>146</v>
      </c>
      <c r="AF1015" t="s">
        <v>11005</v>
      </c>
      <c r="AG1015" t="s">
        <v>11024</v>
      </c>
      <c r="AH1015">
        <v>30</v>
      </c>
      <c r="AI1015">
        <v>1</v>
      </c>
      <c r="AJ1015">
        <v>0</v>
      </c>
      <c r="AK1015">
        <v>69.65000000000001</v>
      </c>
      <c r="AN1015" t="s">
        <v>11050</v>
      </c>
      <c r="AO1015">
        <v>8400</v>
      </c>
      <c r="AU1015">
        <v>0.1</v>
      </c>
      <c r="AV1015" t="s">
        <v>409</v>
      </c>
      <c r="AW1015" t="s">
        <v>11492</v>
      </c>
    </row>
    <row r="1016" spans="1:49">
      <c r="A1016" s="1">
        <f>HYPERLINK("https://cms.ls-nyc.org/matter/dynamic-profile/view/1863492","18-1863492")</f>
        <v>0</v>
      </c>
      <c r="B1016" t="s">
        <v>106</v>
      </c>
      <c r="C1016" t="s">
        <v>235</v>
      </c>
      <c r="D1016" t="s">
        <v>377</v>
      </c>
      <c r="F1016" t="s">
        <v>1496</v>
      </c>
      <c r="G1016" t="s">
        <v>2767</v>
      </c>
      <c r="H1016" t="s">
        <v>4064</v>
      </c>
      <c r="I1016" t="s">
        <v>5045</v>
      </c>
      <c r="J1016" t="s">
        <v>5321</v>
      </c>
      <c r="K1016">
        <v>10452</v>
      </c>
      <c r="L1016" t="s">
        <v>5355</v>
      </c>
      <c r="M1016" t="s">
        <v>5356</v>
      </c>
      <c r="N1016" t="s">
        <v>5579</v>
      </c>
      <c r="O1016" t="s">
        <v>6499</v>
      </c>
      <c r="P1016" t="s">
        <v>6528</v>
      </c>
      <c r="R1016" t="s">
        <v>6539</v>
      </c>
      <c r="S1016" t="s">
        <v>5355</v>
      </c>
      <c r="U1016" t="s">
        <v>6557</v>
      </c>
      <c r="W1016" t="s">
        <v>316</v>
      </c>
      <c r="X1016">
        <v>1514</v>
      </c>
      <c r="Y1016" t="s">
        <v>6606</v>
      </c>
      <c r="Z1016" t="s">
        <v>6612</v>
      </c>
      <c r="AB1016" t="s">
        <v>7570</v>
      </c>
      <c r="AC1016" t="s">
        <v>8829</v>
      </c>
      <c r="AD1016" t="s">
        <v>9931</v>
      </c>
      <c r="AE1016">
        <v>70</v>
      </c>
      <c r="AF1016" t="s">
        <v>11005</v>
      </c>
      <c r="AG1016" t="s">
        <v>11020</v>
      </c>
      <c r="AH1016">
        <v>4</v>
      </c>
      <c r="AI1016">
        <v>2</v>
      </c>
      <c r="AJ1016">
        <v>2</v>
      </c>
      <c r="AK1016">
        <v>69.94</v>
      </c>
      <c r="AN1016" t="s">
        <v>11050</v>
      </c>
      <c r="AO1016">
        <v>31032</v>
      </c>
      <c r="AU1016">
        <v>0</v>
      </c>
      <c r="AW1016" t="s">
        <v>11492</v>
      </c>
    </row>
    <row r="1017" spans="1:49">
      <c r="A1017" s="1">
        <f>HYPERLINK("https://cms.ls-nyc.org/matter/dynamic-profile/view/1859930","18-1859930")</f>
        <v>0</v>
      </c>
      <c r="B1017" t="s">
        <v>176</v>
      </c>
      <c r="C1017" t="s">
        <v>235</v>
      </c>
      <c r="D1017" t="s">
        <v>291</v>
      </c>
      <c r="F1017" t="s">
        <v>1178</v>
      </c>
      <c r="G1017" t="s">
        <v>2768</v>
      </c>
      <c r="H1017" t="s">
        <v>4030</v>
      </c>
      <c r="I1017" t="s">
        <v>5046</v>
      </c>
      <c r="J1017" t="s">
        <v>5317</v>
      </c>
      <c r="K1017">
        <v>11432</v>
      </c>
      <c r="L1017" t="s">
        <v>5355</v>
      </c>
      <c r="M1017" t="s">
        <v>5356</v>
      </c>
      <c r="N1017" t="s">
        <v>5583</v>
      </c>
      <c r="O1017" t="s">
        <v>6499</v>
      </c>
      <c r="P1017" t="s">
        <v>6528</v>
      </c>
      <c r="R1017" t="s">
        <v>6539</v>
      </c>
      <c r="S1017" t="s">
        <v>5355</v>
      </c>
      <c r="U1017" t="s">
        <v>6557</v>
      </c>
      <c r="W1017" t="s">
        <v>291</v>
      </c>
      <c r="X1017">
        <v>1850</v>
      </c>
      <c r="Y1017" t="s">
        <v>6604</v>
      </c>
      <c r="Z1017" t="s">
        <v>6609</v>
      </c>
      <c r="AB1017" t="s">
        <v>7571</v>
      </c>
      <c r="AC1017" t="s">
        <v>5392</v>
      </c>
      <c r="AD1017" t="s">
        <v>9932</v>
      </c>
      <c r="AE1017">
        <v>60</v>
      </c>
      <c r="AF1017" t="s">
        <v>11006</v>
      </c>
      <c r="AG1017" t="s">
        <v>5406</v>
      </c>
      <c r="AH1017">
        <v>40</v>
      </c>
      <c r="AI1017">
        <v>3</v>
      </c>
      <c r="AJ1017">
        <v>0</v>
      </c>
      <c r="AK1017">
        <v>70.52</v>
      </c>
      <c r="AL1017" t="s">
        <v>485</v>
      </c>
      <c r="AN1017" t="s">
        <v>11050</v>
      </c>
      <c r="AO1017">
        <v>28800</v>
      </c>
      <c r="AU1017">
        <v>46.4</v>
      </c>
      <c r="AV1017" t="s">
        <v>11435</v>
      </c>
      <c r="AW1017" t="s">
        <v>11506</v>
      </c>
    </row>
    <row r="1018" spans="1:49">
      <c r="A1018" s="1">
        <f>HYPERLINK("https://cms.ls-nyc.org/matter/dynamic-profile/view/1859936","18-1859936")</f>
        <v>0</v>
      </c>
      <c r="B1018" t="s">
        <v>176</v>
      </c>
      <c r="C1018" t="s">
        <v>235</v>
      </c>
      <c r="D1018" t="s">
        <v>291</v>
      </c>
      <c r="F1018" t="s">
        <v>1178</v>
      </c>
      <c r="G1018" t="s">
        <v>2768</v>
      </c>
      <c r="H1018" t="s">
        <v>4030</v>
      </c>
      <c r="I1018" t="s">
        <v>5046</v>
      </c>
      <c r="J1018" t="s">
        <v>5317</v>
      </c>
      <c r="K1018">
        <v>11432</v>
      </c>
      <c r="L1018" t="s">
        <v>5355</v>
      </c>
      <c r="M1018" t="s">
        <v>5356</v>
      </c>
      <c r="N1018" t="s">
        <v>5582</v>
      </c>
      <c r="O1018" t="s">
        <v>6499</v>
      </c>
      <c r="P1018" t="s">
        <v>6528</v>
      </c>
      <c r="R1018" t="s">
        <v>6539</v>
      </c>
      <c r="S1018" t="s">
        <v>5355</v>
      </c>
      <c r="U1018" t="s">
        <v>6557</v>
      </c>
      <c r="W1018" t="s">
        <v>291</v>
      </c>
      <c r="X1018">
        <v>1850</v>
      </c>
      <c r="Y1018" t="s">
        <v>6604</v>
      </c>
      <c r="Z1018" t="s">
        <v>6609</v>
      </c>
      <c r="AB1018" t="s">
        <v>7571</v>
      </c>
      <c r="AC1018" t="s">
        <v>5392</v>
      </c>
      <c r="AD1018" t="s">
        <v>9932</v>
      </c>
      <c r="AE1018">
        <v>60</v>
      </c>
      <c r="AF1018" t="s">
        <v>11006</v>
      </c>
      <c r="AG1018" t="s">
        <v>5406</v>
      </c>
      <c r="AH1018">
        <v>40</v>
      </c>
      <c r="AI1018">
        <v>3</v>
      </c>
      <c r="AJ1018">
        <v>0</v>
      </c>
      <c r="AK1018">
        <v>70.52</v>
      </c>
      <c r="AL1018" t="s">
        <v>485</v>
      </c>
      <c r="AN1018" t="s">
        <v>11050</v>
      </c>
      <c r="AO1018">
        <v>28800</v>
      </c>
      <c r="AU1018">
        <v>9.6</v>
      </c>
      <c r="AV1018" t="s">
        <v>687</v>
      </c>
      <c r="AW1018" t="s">
        <v>11506</v>
      </c>
    </row>
    <row r="1019" spans="1:49">
      <c r="A1019" s="1">
        <f>HYPERLINK("https://cms.ls-nyc.org/matter/dynamic-profile/view/1856751","18-1856751")</f>
        <v>0</v>
      </c>
      <c r="B1019" t="s">
        <v>129</v>
      </c>
      <c r="C1019" t="s">
        <v>235</v>
      </c>
      <c r="D1019" t="s">
        <v>310</v>
      </c>
      <c r="F1019" t="s">
        <v>986</v>
      </c>
      <c r="G1019" t="s">
        <v>2105</v>
      </c>
      <c r="H1019" t="s">
        <v>3808</v>
      </c>
      <c r="I1019" t="s">
        <v>4740</v>
      </c>
      <c r="J1019" t="s">
        <v>5321</v>
      </c>
      <c r="K1019">
        <v>10456</v>
      </c>
      <c r="L1019" t="s">
        <v>5355</v>
      </c>
      <c r="M1019" t="s">
        <v>5356</v>
      </c>
      <c r="N1019" t="s">
        <v>5585</v>
      </c>
      <c r="O1019" t="s">
        <v>6499</v>
      </c>
      <c r="P1019" t="s">
        <v>6528</v>
      </c>
      <c r="R1019" t="s">
        <v>6539</v>
      </c>
      <c r="S1019" t="s">
        <v>5355</v>
      </c>
      <c r="U1019" t="s">
        <v>6557</v>
      </c>
      <c r="W1019" t="s">
        <v>247</v>
      </c>
      <c r="X1019">
        <v>1165</v>
      </c>
      <c r="Y1019" t="s">
        <v>6606</v>
      </c>
      <c r="AB1019" t="s">
        <v>7572</v>
      </c>
      <c r="AD1019" t="s">
        <v>9933</v>
      </c>
      <c r="AE1019">
        <v>61</v>
      </c>
      <c r="AF1019" t="s">
        <v>11005</v>
      </c>
      <c r="AG1019" t="s">
        <v>11020</v>
      </c>
      <c r="AH1019">
        <v>22</v>
      </c>
      <c r="AI1019">
        <v>1</v>
      </c>
      <c r="AJ1019">
        <v>0</v>
      </c>
      <c r="AK1019">
        <v>70.55</v>
      </c>
      <c r="AL1019" t="s">
        <v>366</v>
      </c>
      <c r="AN1019" t="s">
        <v>11049</v>
      </c>
      <c r="AO1019">
        <v>8508</v>
      </c>
      <c r="AU1019">
        <v>1</v>
      </c>
      <c r="AV1019" t="s">
        <v>735</v>
      </c>
      <c r="AW1019" t="s">
        <v>11499</v>
      </c>
    </row>
    <row r="1020" spans="1:49">
      <c r="A1020" s="1">
        <f>HYPERLINK("https://cms.ls-nyc.org/matter/dynamic-profile/view/1854341","17-1854341")</f>
        <v>0</v>
      </c>
      <c r="B1020" t="s">
        <v>90</v>
      </c>
      <c r="C1020" t="s">
        <v>235</v>
      </c>
      <c r="D1020" t="s">
        <v>422</v>
      </c>
      <c r="F1020" t="s">
        <v>903</v>
      </c>
      <c r="G1020" t="s">
        <v>2769</v>
      </c>
      <c r="H1020" t="s">
        <v>4059</v>
      </c>
      <c r="I1020" t="s">
        <v>4823</v>
      </c>
      <c r="J1020" t="s">
        <v>5321</v>
      </c>
      <c r="K1020">
        <v>10452</v>
      </c>
      <c r="L1020" t="s">
        <v>5355</v>
      </c>
      <c r="M1020" t="s">
        <v>5356</v>
      </c>
      <c r="N1020" t="s">
        <v>5574</v>
      </c>
      <c r="O1020" t="s">
        <v>6499</v>
      </c>
      <c r="P1020" t="s">
        <v>6528</v>
      </c>
      <c r="R1020" t="s">
        <v>6539</v>
      </c>
      <c r="S1020" t="s">
        <v>5355</v>
      </c>
      <c r="U1020" t="s">
        <v>6557</v>
      </c>
      <c r="W1020" t="s">
        <v>247</v>
      </c>
      <c r="X1020">
        <v>812</v>
      </c>
      <c r="Y1020" t="s">
        <v>6606</v>
      </c>
      <c r="Z1020" t="s">
        <v>6612</v>
      </c>
      <c r="AB1020" t="s">
        <v>7573</v>
      </c>
      <c r="AD1020" t="s">
        <v>9934</v>
      </c>
      <c r="AE1020">
        <v>62</v>
      </c>
      <c r="AF1020" t="s">
        <v>11005</v>
      </c>
      <c r="AG1020" t="s">
        <v>11020</v>
      </c>
      <c r="AH1020">
        <v>35</v>
      </c>
      <c r="AI1020">
        <v>1</v>
      </c>
      <c r="AJ1020">
        <v>0</v>
      </c>
      <c r="AK1020">
        <v>71.73999999999999</v>
      </c>
      <c r="AN1020" t="s">
        <v>11049</v>
      </c>
      <c r="AO1020">
        <v>8652</v>
      </c>
      <c r="AU1020">
        <v>0.8</v>
      </c>
      <c r="AV1020" t="s">
        <v>369</v>
      </c>
      <c r="AW1020" t="s">
        <v>59</v>
      </c>
    </row>
    <row r="1021" spans="1:49">
      <c r="A1021" s="1">
        <f>HYPERLINK("https://cms.ls-nyc.org/matter/dynamic-profile/view/1855062","18-1855062")</f>
        <v>0</v>
      </c>
      <c r="B1021" t="s">
        <v>90</v>
      </c>
      <c r="C1021" t="s">
        <v>235</v>
      </c>
      <c r="D1021" t="s">
        <v>269</v>
      </c>
      <c r="F1021" t="s">
        <v>903</v>
      </c>
      <c r="G1021" t="s">
        <v>2769</v>
      </c>
      <c r="H1021" t="s">
        <v>4059</v>
      </c>
      <c r="I1021" t="s">
        <v>4823</v>
      </c>
      <c r="J1021" t="s">
        <v>5321</v>
      </c>
      <c r="K1021">
        <v>10452</v>
      </c>
      <c r="L1021" t="s">
        <v>5355</v>
      </c>
      <c r="M1021" t="s">
        <v>5356</v>
      </c>
      <c r="N1021" t="s">
        <v>5575</v>
      </c>
      <c r="O1021" t="s">
        <v>6499</v>
      </c>
      <c r="P1021" t="s">
        <v>6528</v>
      </c>
      <c r="R1021" t="s">
        <v>6539</v>
      </c>
      <c r="S1021" t="s">
        <v>5355</v>
      </c>
      <c r="U1021" t="s">
        <v>6557</v>
      </c>
      <c r="W1021" t="s">
        <v>247</v>
      </c>
      <c r="X1021">
        <v>812</v>
      </c>
      <c r="Y1021" t="s">
        <v>6606</v>
      </c>
      <c r="Z1021" t="s">
        <v>6612</v>
      </c>
      <c r="AB1021" t="s">
        <v>7573</v>
      </c>
      <c r="AD1021" t="s">
        <v>9934</v>
      </c>
      <c r="AE1021">
        <v>62</v>
      </c>
      <c r="AF1021" t="s">
        <v>11005</v>
      </c>
      <c r="AG1021" t="s">
        <v>11020</v>
      </c>
      <c r="AH1021">
        <v>35</v>
      </c>
      <c r="AI1021">
        <v>1</v>
      </c>
      <c r="AJ1021">
        <v>0</v>
      </c>
      <c r="AK1021">
        <v>71.73999999999999</v>
      </c>
      <c r="AN1021" t="s">
        <v>11049</v>
      </c>
      <c r="AO1021">
        <v>8652</v>
      </c>
      <c r="AU1021">
        <v>0</v>
      </c>
      <c r="AW1021" t="s">
        <v>11509</v>
      </c>
    </row>
    <row r="1022" spans="1:49">
      <c r="A1022" s="1">
        <f>HYPERLINK("https://cms.ls-nyc.org/matter/dynamic-profile/view/1856807","18-1856807")</f>
        <v>0</v>
      </c>
      <c r="B1022" t="s">
        <v>71</v>
      </c>
      <c r="C1022" t="s">
        <v>235</v>
      </c>
      <c r="D1022" t="s">
        <v>310</v>
      </c>
      <c r="F1022" t="s">
        <v>914</v>
      </c>
      <c r="G1022" t="s">
        <v>2355</v>
      </c>
      <c r="H1022" t="s">
        <v>3606</v>
      </c>
      <c r="I1022" t="s">
        <v>4772</v>
      </c>
      <c r="J1022" t="s">
        <v>5321</v>
      </c>
      <c r="K1022">
        <v>10453</v>
      </c>
      <c r="L1022" t="s">
        <v>5355</v>
      </c>
      <c r="M1022" t="s">
        <v>5356</v>
      </c>
      <c r="O1022" t="s">
        <v>6499</v>
      </c>
      <c r="P1022" t="s">
        <v>6528</v>
      </c>
      <c r="R1022" t="s">
        <v>6539</v>
      </c>
      <c r="S1022" t="s">
        <v>5357</v>
      </c>
      <c r="U1022" t="s">
        <v>6557</v>
      </c>
      <c r="W1022" t="s">
        <v>247</v>
      </c>
      <c r="X1022">
        <v>866.08</v>
      </c>
      <c r="Y1022" t="s">
        <v>6606</v>
      </c>
      <c r="Z1022" t="s">
        <v>6612</v>
      </c>
      <c r="AB1022" t="s">
        <v>7574</v>
      </c>
      <c r="AC1022" t="s">
        <v>8830</v>
      </c>
      <c r="AD1022" t="s">
        <v>9935</v>
      </c>
      <c r="AE1022">
        <v>21</v>
      </c>
      <c r="AF1022" t="s">
        <v>11005</v>
      </c>
      <c r="AG1022" t="s">
        <v>5406</v>
      </c>
      <c r="AH1022">
        <v>8</v>
      </c>
      <c r="AI1022">
        <v>1</v>
      </c>
      <c r="AJ1022">
        <v>0</v>
      </c>
      <c r="AK1022">
        <v>72.23999999999999</v>
      </c>
      <c r="AN1022" t="s">
        <v>11049</v>
      </c>
      <c r="AO1022">
        <v>8712</v>
      </c>
      <c r="AU1022">
        <v>4.25</v>
      </c>
      <c r="AV1022" t="s">
        <v>347</v>
      </c>
      <c r="AW1022" t="s">
        <v>11499</v>
      </c>
    </row>
    <row r="1023" spans="1:49">
      <c r="A1023" s="1">
        <f>HYPERLINK("https://cms.ls-nyc.org/matter/dynamic-profile/view/0785003","15-0785003")</f>
        <v>0</v>
      </c>
      <c r="B1023" t="s">
        <v>93</v>
      </c>
      <c r="C1023" t="s">
        <v>234</v>
      </c>
      <c r="D1023" t="s">
        <v>524</v>
      </c>
      <c r="E1023" t="s">
        <v>719</v>
      </c>
      <c r="F1023" t="s">
        <v>1497</v>
      </c>
      <c r="G1023" t="s">
        <v>2770</v>
      </c>
      <c r="H1023" t="s">
        <v>4072</v>
      </c>
      <c r="I1023" t="s">
        <v>4941</v>
      </c>
      <c r="J1023" t="s">
        <v>5318</v>
      </c>
      <c r="K1023">
        <v>11385</v>
      </c>
      <c r="L1023" t="s">
        <v>5355</v>
      </c>
      <c r="M1023" t="s">
        <v>5356</v>
      </c>
      <c r="N1023" t="s">
        <v>5588</v>
      </c>
      <c r="O1023" t="s">
        <v>6493</v>
      </c>
      <c r="P1023" t="s">
        <v>6528</v>
      </c>
      <c r="Q1023" t="s">
        <v>6532</v>
      </c>
      <c r="R1023" t="s">
        <v>6539</v>
      </c>
      <c r="S1023" t="s">
        <v>5357</v>
      </c>
      <c r="T1023" t="s">
        <v>6547</v>
      </c>
      <c r="U1023" t="s">
        <v>6557</v>
      </c>
      <c r="W1023" t="s">
        <v>408</v>
      </c>
      <c r="X1023">
        <v>865.01</v>
      </c>
      <c r="Y1023" t="s">
        <v>6604</v>
      </c>
      <c r="Z1023" t="s">
        <v>6617</v>
      </c>
      <c r="AA1023" t="s">
        <v>6632</v>
      </c>
      <c r="AB1023" t="s">
        <v>7575</v>
      </c>
      <c r="AD1023" t="s">
        <v>9936</v>
      </c>
      <c r="AE1023">
        <v>6</v>
      </c>
      <c r="AF1023" t="s">
        <v>11005</v>
      </c>
      <c r="AG1023" t="s">
        <v>5406</v>
      </c>
      <c r="AH1023">
        <v>16</v>
      </c>
      <c r="AI1023">
        <v>4</v>
      </c>
      <c r="AJ1023">
        <v>0</v>
      </c>
      <c r="AK1023">
        <v>72.73999999999999</v>
      </c>
      <c r="AN1023" t="s">
        <v>11054</v>
      </c>
      <c r="AO1023">
        <v>17640</v>
      </c>
      <c r="AP1023" t="s">
        <v>11136</v>
      </c>
      <c r="AU1023">
        <v>22.9</v>
      </c>
      <c r="AV1023" t="s">
        <v>256</v>
      </c>
      <c r="AW1023" t="s">
        <v>93</v>
      </c>
    </row>
    <row r="1024" spans="1:49">
      <c r="A1024" s="1">
        <f>HYPERLINK("https://cms.ls-nyc.org/matter/dynamic-profile/view/1861995","18-1861995")</f>
        <v>0</v>
      </c>
      <c r="B1024" t="s">
        <v>176</v>
      </c>
      <c r="C1024" t="s">
        <v>235</v>
      </c>
      <c r="D1024" t="s">
        <v>358</v>
      </c>
      <c r="F1024" t="s">
        <v>1495</v>
      </c>
      <c r="G1024" t="s">
        <v>1033</v>
      </c>
      <c r="H1024" t="s">
        <v>3576</v>
      </c>
      <c r="I1024" t="s">
        <v>5047</v>
      </c>
      <c r="J1024" t="s">
        <v>5317</v>
      </c>
      <c r="K1024">
        <v>11432</v>
      </c>
      <c r="L1024" t="s">
        <v>5355</v>
      </c>
      <c r="M1024" t="s">
        <v>5356</v>
      </c>
      <c r="N1024" t="s">
        <v>5583</v>
      </c>
      <c r="O1024" t="s">
        <v>6499</v>
      </c>
      <c r="P1024" t="s">
        <v>6528</v>
      </c>
      <c r="R1024" t="s">
        <v>6539</v>
      </c>
      <c r="S1024" t="s">
        <v>5355</v>
      </c>
      <c r="U1024" t="s">
        <v>6557</v>
      </c>
      <c r="W1024" t="s">
        <v>358</v>
      </c>
      <c r="X1024">
        <v>887</v>
      </c>
      <c r="Y1024" t="s">
        <v>6604</v>
      </c>
      <c r="Z1024" t="s">
        <v>6623</v>
      </c>
      <c r="AB1024" t="s">
        <v>7473</v>
      </c>
      <c r="AC1024" t="s">
        <v>5392</v>
      </c>
      <c r="AD1024" t="s">
        <v>9937</v>
      </c>
      <c r="AE1024">
        <v>60</v>
      </c>
      <c r="AF1024" t="s">
        <v>11005</v>
      </c>
      <c r="AG1024" t="s">
        <v>5406</v>
      </c>
      <c r="AH1024">
        <v>35</v>
      </c>
      <c r="AI1024">
        <v>3</v>
      </c>
      <c r="AJ1024">
        <v>1</v>
      </c>
      <c r="AK1024">
        <v>72.86</v>
      </c>
      <c r="AL1024" t="s">
        <v>485</v>
      </c>
      <c r="AN1024" t="s">
        <v>11049</v>
      </c>
      <c r="AO1024">
        <v>18288</v>
      </c>
      <c r="AU1024">
        <v>0.2</v>
      </c>
      <c r="AV1024" t="s">
        <v>677</v>
      </c>
      <c r="AW1024" t="s">
        <v>11506</v>
      </c>
    </row>
    <row r="1025" spans="1:49">
      <c r="A1025" s="1">
        <f>HYPERLINK("https://cms.ls-nyc.org/matter/dynamic-profile/view/1862007","18-1862007")</f>
        <v>0</v>
      </c>
      <c r="B1025" t="s">
        <v>176</v>
      </c>
      <c r="C1025" t="s">
        <v>235</v>
      </c>
      <c r="D1025" t="s">
        <v>358</v>
      </c>
      <c r="F1025" t="s">
        <v>1495</v>
      </c>
      <c r="G1025" t="s">
        <v>1033</v>
      </c>
      <c r="H1025" t="s">
        <v>3576</v>
      </c>
      <c r="I1025" t="s">
        <v>5047</v>
      </c>
      <c r="J1025" t="s">
        <v>5317</v>
      </c>
      <c r="K1025">
        <v>11432</v>
      </c>
      <c r="L1025" t="s">
        <v>5355</v>
      </c>
      <c r="M1025" t="s">
        <v>5356</v>
      </c>
      <c r="N1025" t="s">
        <v>5582</v>
      </c>
      <c r="O1025" t="s">
        <v>6499</v>
      </c>
      <c r="P1025" t="s">
        <v>6528</v>
      </c>
      <c r="R1025" t="s">
        <v>6539</v>
      </c>
      <c r="S1025" t="s">
        <v>5355</v>
      </c>
      <c r="U1025" t="s">
        <v>6557</v>
      </c>
      <c r="W1025" t="s">
        <v>358</v>
      </c>
      <c r="X1025">
        <v>887</v>
      </c>
      <c r="Y1025" t="s">
        <v>6604</v>
      </c>
      <c r="Z1025" t="s">
        <v>6623</v>
      </c>
      <c r="AB1025" t="s">
        <v>7473</v>
      </c>
      <c r="AC1025" t="s">
        <v>5392</v>
      </c>
      <c r="AD1025" t="s">
        <v>9937</v>
      </c>
      <c r="AE1025">
        <v>60</v>
      </c>
      <c r="AF1025" t="s">
        <v>11005</v>
      </c>
      <c r="AG1025" t="s">
        <v>5406</v>
      </c>
      <c r="AH1025">
        <v>35</v>
      </c>
      <c r="AI1025">
        <v>3</v>
      </c>
      <c r="AJ1025">
        <v>1</v>
      </c>
      <c r="AK1025">
        <v>72.86</v>
      </c>
      <c r="AL1025" t="s">
        <v>485</v>
      </c>
      <c r="AN1025" t="s">
        <v>11049</v>
      </c>
      <c r="AO1025">
        <v>27288</v>
      </c>
      <c r="AU1025">
        <v>0.2</v>
      </c>
      <c r="AV1025" t="s">
        <v>677</v>
      </c>
      <c r="AW1025" t="s">
        <v>11506</v>
      </c>
    </row>
    <row r="1026" spans="1:49">
      <c r="A1026" s="1">
        <f>HYPERLINK("https://cms.ls-nyc.org/matter/dynamic-profile/view/1854878","17-1854878")</f>
        <v>0</v>
      </c>
      <c r="B1026" t="s">
        <v>90</v>
      </c>
      <c r="C1026" t="s">
        <v>235</v>
      </c>
      <c r="D1026" t="s">
        <v>469</v>
      </c>
      <c r="F1026" t="s">
        <v>1498</v>
      </c>
      <c r="G1026" t="s">
        <v>2197</v>
      </c>
      <c r="H1026" t="s">
        <v>4059</v>
      </c>
      <c r="I1026" t="s">
        <v>4762</v>
      </c>
      <c r="J1026" t="s">
        <v>5321</v>
      </c>
      <c r="K1026">
        <v>10452</v>
      </c>
      <c r="L1026" t="s">
        <v>5355</v>
      </c>
      <c r="M1026" t="s">
        <v>5356</v>
      </c>
      <c r="N1026" t="s">
        <v>5574</v>
      </c>
      <c r="O1026" t="s">
        <v>6499</v>
      </c>
      <c r="P1026" t="s">
        <v>6528</v>
      </c>
      <c r="R1026" t="s">
        <v>6539</v>
      </c>
      <c r="S1026" t="s">
        <v>5355</v>
      </c>
      <c r="U1026" t="s">
        <v>6557</v>
      </c>
      <c r="W1026" t="s">
        <v>247</v>
      </c>
      <c r="X1026">
        <v>854.16</v>
      </c>
      <c r="Y1026" t="s">
        <v>6606</v>
      </c>
      <c r="Z1026" t="s">
        <v>6612</v>
      </c>
      <c r="AB1026" t="s">
        <v>7576</v>
      </c>
      <c r="AD1026" t="s">
        <v>9938</v>
      </c>
      <c r="AE1026">
        <v>62</v>
      </c>
      <c r="AF1026" t="s">
        <v>11005</v>
      </c>
      <c r="AG1026" t="s">
        <v>11020</v>
      </c>
      <c r="AH1026">
        <v>35</v>
      </c>
      <c r="AI1026">
        <v>1</v>
      </c>
      <c r="AJ1026">
        <v>0</v>
      </c>
      <c r="AK1026">
        <v>72.94</v>
      </c>
      <c r="AN1026" t="s">
        <v>11049</v>
      </c>
      <c r="AO1026">
        <v>8796</v>
      </c>
      <c r="AU1026">
        <v>0.4</v>
      </c>
      <c r="AV1026" t="s">
        <v>469</v>
      </c>
      <c r="AW1026" t="s">
        <v>59</v>
      </c>
    </row>
    <row r="1027" spans="1:49">
      <c r="A1027" s="1">
        <f>HYPERLINK("https://cms.ls-nyc.org/matter/dynamic-profile/view/1855227","18-1855227")</f>
        <v>0</v>
      </c>
      <c r="B1027" t="s">
        <v>90</v>
      </c>
      <c r="C1027" t="s">
        <v>235</v>
      </c>
      <c r="D1027" t="s">
        <v>351</v>
      </c>
      <c r="F1027" t="s">
        <v>1498</v>
      </c>
      <c r="G1027" t="s">
        <v>2197</v>
      </c>
      <c r="H1027" t="s">
        <v>4059</v>
      </c>
      <c r="I1027" t="s">
        <v>4762</v>
      </c>
      <c r="J1027" t="s">
        <v>5321</v>
      </c>
      <c r="K1027">
        <v>10452</v>
      </c>
      <c r="L1027" t="s">
        <v>5355</v>
      </c>
      <c r="M1027" t="s">
        <v>5355</v>
      </c>
      <c r="N1027" t="s">
        <v>5575</v>
      </c>
      <c r="O1027" t="s">
        <v>6499</v>
      </c>
      <c r="P1027" t="s">
        <v>6528</v>
      </c>
      <c r="R1027" t="s">
        <v>6539</v>
      </c>
      <c r="S1027" t="s">
        <v>5355</v>
      </c>
      <c r="U1027" t="s">
        <v>6557</v>
      </c>
      <c r="W1027" t="s">
        <v>247</v>
      </c>
      <c r="X1027">
        <v>854.16</v>
      </c>
      <c r="Y1027" t="s">
        <v>6606</v>
      </c>
      <c r="Z1027" t="s">
        <v>6612</v>
      </c>
      <c r="AB1027" t="s">
        <v>7576</v>
      </c>
      <c r="AD1027" t="s">
        <v>9938</v>
      </c>
      <c r="AE1027">
        <v>62</v>
      </c>
      <c r="AF1027" t="s">
        <v>11005</v>
      </c>
      <c r="AG1027" t="s">
        <v>11020</v>
      </c>
      <c r="AH1027">
        <v>35</v>
      </c>
      <c r="AI1027">
        <v>1</v>
      </c>
      <c r="AJ1027">
        <v>0</v>
      </c>
      <c r="AK1027">
        <v>72.94</v>
      </c>
      <c r="AN1027" t="s">
        <v>11049</v>
      </c>
      <c r="AO1027">
        <v>8796</v>
      </c>
      <c r="AU1027">
        <v>0</v>
      </c>
      <c r="AW1027" t="s">
        <v>11509</v>
      </c>
    </row>
    <row r="1028" spans="1:49">
      <c r="A1028" s="1">
        <f>HYPERLINK("https://cms.ls-nyc.org/matter/dynamic-profile/view/1845197","17-1845197")</f>
        <v>0</v>
      </c>
      <c r="B1028" t="s">
        <v>61</v>
      </c>
      <c r="C1028" t="s">
        <v>234</v>
      </c>
      <c r="D1028" t="s">
        <v>407</v>
      </c>
      <c r="E1028" t="s">
        <v>475</v>
      </c>
      <c r="F1028" t="s">
        <v>1499</v>
      </c>
      <c r="G1028" t="s">
        <v>2771</v>
      </c>
      <c r="H1028" t="s">
        <v>4073</v>
      </c>
      <c r="I1028" t="s">
        <v>4783</v>
      </c>
      <c r="J1028" t="s">
        <v>5321</v>
      </c>
      <c r="K1028">
        <v>10455</v>
      </c>
      <c r="L1028" t="s">
        <v>5355</v>
      </c>
      <c r="M1028" t="s">
        <v>5356</v>
      </c>
      <c r="N1028" t="s">
        <v>5589</v>
      </c>
      <c r="O1028" t="s">
        <v>6506</v>
      </c>
      <c r="P1028" t="s">
        <v>6528</v>
      </c>
      <c r="Q1028" t="s">
        <v>6534</v>
      </c>
      <c r="R1028" t="s">
        <v>6540</v>
      </c>
      <c r="S1028" t="s">
        <v>5357</v>
      </c>
      <c r="U1028" t="s">
        <v>6564</v>
      </c>
      <c r="W1028" t="s">
        <v>372</v>
      </c>
      <c r="X1028">
        <v>184</v>
      </c>
      <c r="Y1028" t="s">
        <v>6606</v>
      </c>
      <c r="Z1028" t="s">
        <v>6610</v>
      </c>
      <c r="AA1028" t="s">
        <v>6644</v>
      </c>
      <c r="AB1028" t="s">
        <v>7577</v>
      </c>
      <c r="AD1028" t="s">
        <v>9939</v>
      </c>
      <c r="AE1028">
        <v>463</v>
      </c>
      <c r="AF1028" t="s">
        <v>11007</v>
      </c>
      <c r="AG1028" t="s">
        <v>6493</v>
      </c>
      <c r="AH1028">
        <v>19</v>
      </c>
      <c r="AI1028">
        <v>1</v>
      </c>
      <c r="AJ1028">
        <v>0</v>
      </c>
      <c r="AK1028">
        <v>73.13</v>
      </c>
      <c r="AL1028" t="s">
        <v>11028</v>
      </c>
      <c r="AN1028" t="s">
        <v>11050</v>
      </c>
      <c r="AO1028">
        <v>8820</v>
      </c>
      <c r="AU1028">
        <v>2.95</v>
      </c>
      <c r="AV1028" t="s">
        <v>755</v>
      </c>
      <c r="AW1028" t="s">
        <v>11509</v>
      </c>
    </row>
    <row r="1029" spans="1:49">
      <c r="A1029" s="1">
        <f>HYPERLINK("https://cms.ls-nyc.org/matter/dynamic-profile/view/1864438","18-1864438")</f>
        <v>0</v>
      </c>
      <c r="B1029" t="s">
        <v>90</v>
      </c>
      <c r="C1029" t="s">
        <v>234</v>
      </c>
      <c r="D1029" t="s">
        <v>342</v>
      </c>
      <c r="E1029" t="s">
        <v>676</v>
      </c>
      <c r="F1029" t="s">
        <v>1226</v>
      </c>
      <c r="G1029" t="s">
        <v>2772</v>
      </c>
      <c r="H1029" t="s">
        <v>3549</v>
      </c>
      <c r="I1029" t="s">
        <v>4833</v>
      </c>
      <c r="J1029" t="s">
        <v>5321</v>
      </c>
      <c r="K1029">
        <v>10452</v>
      </c>
      <c r="L1029" t="s">
        <v>5355</v>
      </c>
      <c r="M1029" t="s">
        <v>5355</v>
      </c>
      <c r="O1029" t="s">
        <v>6499</v>
      </c>
      <c r="P1029" t="s">
        <v>6528</v>
      </c>
      <c r="Q1029" t="s">
        <v>6536</v>
      </c>
      <c r="R1029" t="s">
        <v>6539</v>
      </c>
      <c r="S1029" t="s">
        <v>5355</v>
      </c>
      <c r="U1029" t="s">
        <v>6557</v>
      </c>
      <c r="W1029" t="s">
        <v>312</v>
      </c>
      <c r="X1029">
        <v>1047</v>
      </c>
      <c r="Y1029" t="s">
        <v>6606</v>
      </c>
      <c r="AA1029" t="s">
        <v>6634</v>
      </c>
      <c r="AB1029" t="s">
        <v>7578</v>
      </c>
      <c r="AD1029" t="s">
        <v>9940</v>
      </c>
      <c r="AE1029">
        <v>52</v>
      </c>
      <c r="AF1029" t="s">
        <v>11005</v>
      </c>
      <c r="AG1029" t="s">
        <v>11020</v>
      </c>
      <c r="AH1029">
        <v>18</v>
      </c>
      <c r="AI1029">
        <v>1</v>
      </c>
      <c r="AJ1029">
        <v>0</v>
      </c>
      <c r="AK1029">
        <v>74.43000000000001</v>
      </c>
      <c r="AN1029" t="s">
        <v>11050</v>
      </c>
      <c r="AO1029">
        <v>9036</v>
      </c>
      <c r="AU1029">
        <v>36.5</v>
      </c>
      <c r="AV1029" t="s">
        <v>676</v>
      </c>
      <c r="AW1029" t="s">
        <v>90</v>
      </c>
    </row>
    <row r="1030" spans="1:49">
      <c r="A1030" s="1">
        <f>HYPERLINK("https://cms.ls-nyc.org/matter/dynamic-profile/view/1841709","17-1841709")</f>
        <v>0</v>
      </c>
      <c r="B1030" t="s">
        <v>106</v>
      </c>
      <c r="C1030" t="s">
        <v>235</v>
      </c>
      <c r="D1030" t="s">
        <v>497</v>
      </c>
      <c r="F1030" t="s">
        <v>1373</v>
      </c>
      <c r="G1030" t="s">
        <v>2773</v>
      </c>
      <c r="H1030" t="s">
        <v>3545</v>
      </c>
      <c r="I1030" t="s">
        <v>5048</v>
      </c>
      <c r="J1030" t="s">
        <v>5321</v>
      </c>
      <c r="K1030">
        <v>10452</v>
      </c>
      <c r="L1030" t="s">
        <v>5355</v>
      </c>
      <c r="M1030" t="s">
        <v>5355</v>
      </c>
      <c r="N1030" t="s">
        <v>5590</v>
      </c>
      <c r="O1030" t="s">
        <v>6499</v>
      </c>
      <c r="P1030" t="s">
        <v>6528</v>
      </c>
      <c r="R1030" t="s">
        <v>6539</v>
      </c>
      <c r="S1030" t="s">
        <v>5357</v>
      </c>
      <c r="U1030" t="s">
        <v>6557</v>
      </c>
      <c r="W1030" t="s">
        <v>519</v>
      </c>
      <c r="X1030">
        <v>1005</v>
      </c>
      <c r="Y1030" t="s">
        <v>6606</v>
      </c>
      <c r="Z1030" t="s">
        <v>6614</v>
      </c>
      <c r="AB1030" t="s">
        <v>7579</v>
      </c>
      <c r="AC1030" t="s">
        <v>8831</v>
      </c>
      <c r="AD1030" t="s">
        <v>9941</v>
      </c>
      <c r="AE1030">
        <v>54</v>
      </c>
      <c r="AF1030" t="s">
        <v>11005</v>
      </c>
      <c r="AG1030" t="s">
        <v>11020</v>
      </c>
      <c r="AH1030">
        <v>15</v>
      </c>
      <c r="AI1030">
        <v>1</v>
      </c>
      <c r="AJ1030">
        <v>0</v>
      </c>
      <c r="AK1030">
        <v>74.93000000000001</v>
      </c>
      <c r="AN1030" t="s">
        <v>11049</v>
      </c>
      <c r="AO1030">
        <v>9036</v>
      </c>
      <c r="AU1030">
        <v>8.35</v>
      </c>
      <c r="AV1030" t="s">
        <v>767</v>
      </c>
      <c r="AW1030" t="s">
        <v>11537</v>
      </c>
    </row>
    <row r="1031" spans="1:49">
      <c r="A1031" s="1">
        <f>HYPERLINK("https://cms.ls-nyc.org/matter/dynamic-profile/view/1866945","18-1866945")</f>
        <v>0</v>
      </c>
      <c r="B1031" t="s">
        <v>135</v>
      </c>
      <c r="C1031" t="s">
        <v>235</v>
      </c>
      <c r="D1031" t="s">
        <v>355</v>
      </c>
      <c r="F1031" t="s">
        <v>1500</v>
      </c>
      <c r="G1031" t="s">
        <v>2774</v>
      </c>
      <c r="H1031" t="s">
        <v>3739</v>
      </c>
      <c r="J1031" t="s">
        <v>5320</v>
      </c>
      <c r="K1031">
        <v>11212</v>
      </c>
      <c r="L1031" t="s">
        <v>5355</v>
      </c>
      <c r="M1031" t="s">
        <v>5355</v>
      </c>
      <c r="P1031" t="s">
        <v>6528</v>
      </c>
      <c r="R1031" t="s">
        <v>6539</v>
      </c>
      <c r="S1031" t="s">
        <v>5355</v>
      </c>
      <c r="U1031" t="s">
        <v>6557</v>
      </c>
      <c r="W1031" t="s">
        <v>516</v>
      </c>
      <c r="X1031">
        <v>932</v>
      </c>
      <c r="Y1031" t="s">
        <v>6605</v>
      </c>
      <c r="Z1031" t="s">
        <v>6614</v>
      </c>
      <c r="AB1031" t="s">
        <v>7580</v>
      </c>
      <c r="AD1031" t="s">
        <v>9942</v>
      </c>
      <c r="AE1031">
        <v>31</v>
      </c>
      <c r="AF1031" t="s">
        <v>11005</v>
      </c>
      <c r="AG1031" t="s">
        <v>5406</v>
      </c>
      <c r="AH1031">
        <v>13</v>
      </c>
      <c r="AI1031">
        <v>1</v>
      </c>
      <c r="AJ1031">
        <v>0</v>
      </c>
      <c r="AK1031">
        <v>76.11</v>
      </c>
      <c r="AN1031" t="s">
        <v>11050</v>
      </c>
      <c r="AO1031">
        <v>9240</v>
      </c>
      <c r="AU1031">
        <v>8</v>
      </c>
      <c r="AV1031" t="s">
        <v>335</v>
      </c>
      <c r="AW1031" t="s">
        <v>11512</v>
      </c>
    </row>
    <row r="1032" spans="1:49">
      <c r="A1032" s="1">
        <f>HYPERLINK("https://cms.ls-nyc.org/matter/dynamic-profile/view/1855990","18-1855990")</f>
        <v>0</v>
      </c>
      <c r="B1032" t="s">
        <v>135</v>
      </c>
      <c r="C1032" t="s">
        <v>235</v>
      </c>
      <c r="D1032" t="s">
        <v>525</v>
      </c>
      <c r="F1032" t="s">
        <v>1443</v>
      </c>
      <c r="G1032" t="s">
        <v>2775</v>
      </c>
      <c r="H1032" t="s">
        <v>3775</v>
      </c>
      <c r="I1032" t="s">
        <v>4776</v>
      </c>
      <c r="J1032" t="s">
        <v>5320</v>
      </c>
      <c r="K1032">
        <v>11206</v>
      </c>
      <c r="L1032" t="s">
        <v>5355</v>
      </c>
      <c r="M1032" t="s">
        <v>5356</v>
      </c>
      <c r="O1032" t="s">
        <v>6500</v>
      </c>
      <c r="P1032" t="s">
        <v>6528</v>
      </c>
      <c r="R1032" t="s">
        <v>6539</v>
      </c>
      <c r="S1032" t="s">
        <v>5355</v>
      </c>
      <c r="U1032" t="s">
        <v>6557</v>
      </c>
      <c r="W1032" t="s">
        <v>329</v>
      </c>
      <c r="X1032">
        <v>473</v>
      </c>
      <c r="Y1032" t="s">
        <v>6605</v>
      </c>
      <c r="Z1032" t="s">
        <v>6622</v>
      </c>
      <c r="AB1032" t="s">
        <v>7581</v>
      </c>
      <c r="AD1032" t="s">
        <v>9943</v>
      </c>
      <c r="AE1032">
        <v>25</v>
      </c>
      <c r="AF1032" t="s">
        <v>11005</v>
      </c>
      <c r="AG1032" t="s">
        <v>5406</v>
      </c>
      <c r="AH1032">
        <v>7</v>
      </c>
      <c r="AI1032">
        <v>1</v>
      </c>
      <c r="AJ1032">
        <v>0</v>
      </c>
      <c r="AK1032">
        <v>76.62</v>
      </c>
      <c r="AN1032" t="s">
        <v>11050</v>
      </c>
      <c r="AO1032">
        <v>9240</v>
      </c>
      <c r="AU1032">
        <v>0.25</v>
      </c>
      <c r="AV1032" t="s">
        <v>317</v>
      </c>
      <c r="AW1032" t="s">
        <v>11512</v>
      </c>
    </row>
    <row r="1033" spans="1:49">
      <c r="A1033" s="1">
        <f>HYPERLINK("https://cms.ls-nyc.org/matter/dynamic-profile/view/1840501","17-1840501")</f>
        <v>0</v>
      </c>
      <c r="B1033" t="s">
        <v>129</v>
      </c>
      <c r="C1033" t="s">
        <v>234</v>
      </c>
      <c r="D1033" t="s">
        <v>441</v>
      </c>
      <c r="E1033" t="s">
        <v>778</v>
      </c>
      <c r="F1033" t="s">
        <v>972</v>
      </c>
      <c r="G1033" t="s">
        <v>2188</v>
      </c>
      <c r="H1033" t="s">
        <v>3721</v>
      </c>
      <c r="I1033" t="s">
        <v>4751</v>
      </c>
      <c r="J1033" t="s">
        <v>5321</v>
      </c>
      <c r="K1033">
        <v>10453</v>
      </c>
      <c r="L1033" t="s">
        <v>5355</v>
      </c>
      <c r="M1033" t="s">
        <v>5356</v>
      </c>
      <c r="O1033" t="s">
        <v>6499</v>
      </c>
      <c r="P1033" t="s">
        <v>6528</v>
      </c>
      <c r="Q1033" t="s">
        <v>6536</v>
      </c>
      <c r="R1033" t="s">
        <v>6539</v>
      </c>
      <c r="S1033" t="s">
        <v>5355</v>
      </c>
      <c r="U1033" t="s">
        <v>6557</v>
      </c>
      <c r="W1033" t="s">
        <v>6572</v>
      </c>
      <c r="X1033">
        <v>1255.19</v>
      </c>
      <c r="Y1033" t="s">
        <v>6606</v>
      </c>
      <c r="Z1033" t="s">
        <v>6612</v>
      </c>
      <c r="AA1033" t="s">
        <v>6636</v>
      </c>
      <c r="AB1033" t="s">
        <v>7582</v>
      </c>
      <c r="AD1033" t="s">
        <v>9944</v>
      </c>
      <c r="AE1033">
        <v>170</v>
      </c>
      <c r="AF1033" t="s">
        <v>11005</v>
      </c>
      <c r="AG1033" t="s">
        <v>11020</v>
      </c>
      <c r="AH1033">
        <v>6</v>
      </c>
      <c r="AI1033">
        <v>1</v>
      </c>
      <c r="AJ1033">
        <v>0</v>
      </c>
      <c r="AK1033">
        <v>77.20999999999999</v>
      </c>
      <c r="AN1033" t="s">
        <v>11049</v>
      </c>
      <c r="AO1033">
        <v>9312</v>
      </c>
      <c r="AU1033">
        <v>0.6</v>
      </c>
      <c r="AV1033" t="s">
        <v>778</v>
      </c>
      <c r="AW1033" t="s">
        <v>11509</v>
      </c>
    </row>
    <row r="1034" spans="1:49">
      <c r="A1034" s="1">
        <f>HYPERLINK("https://cms.ls-nyc.org/matter/dynamic-profile/view/1843408","17-1843408")</f>
        <v>0</v>
      </c>
      <c r="B1034" t="s">
        <v>107</v>
      </c>
      <c r="C1034" t="s">
        <v>234</v>
      </c>
      <c r="D1034" t="s">
        <v>438</v>
      </c>
      <c r="E1034" t="s">
        <v>730</v>
      </c>
      <c r="F1034" t="s">
        <v>1417</v>
      </c>
      <c r="G1034" t="s">
        <v>2776</v>
      </c>
      <c r="H1034" t="s">
        <v>4074</v>
      </c>
      <c r="I1034" t="s">
        <v>4740</v>
      </c>
      <c r="J1034" t="s">
        <v>5323</v>
      </c>
      <c r="K1034">
        <v>10026</v>
      </c>
      <c r="L1034" t="s">
        <v>5355</v>
      </c>
      <c r="M1034" t="s">
        <v>5356</v>
      </c>
      <c r="O1034" t="s">
        <v>6515</v>
      </c>
      <c r="P1034" t="s">
        <v>6528</v>
      </c>
      <c r="Q1034" t="s">
        <v>6536</v>
      </c>
      <c r="R1034" t="s">
        <v>6539</v>
      </c>
      <c r="S1034" t="s">
        <v>5357</v>
      </c>
      <c r="U1034" t="s">
        <v>6563</v>
      </c>
      <c r="W1034" t="s">
        <v>438</v>
      </c>
      <c r="X1034">
        <v>760.65</v>
      </c>
      <c r="Y1034" t="s">
        <v>6608</v>
      </c>
      <c r="Z1034" t="s">
        <v>6614</v>
      </c>
      <c r="AA1034" t="s">
        <v>6635</v>
      </c>
      <c r="AB1034" t="s">
        <v>7583</v>
      </c>
      <c r="AD1034" t="s">
        <v>9945</v>
      </c>
      <c r="AE1034">
        <v>3</v>
      </c>
      <c r="AF1034" t="s">
        <v>11005</v>
      </c>
      <c r="AG1034" t="s">
        <v>11021</v>
      </c>
      <c r="AH1034">
        <v>20</v>
      </c>
      <c r="AI1034">
        <v>2</v>
      </c>
      <c r="AJ1034">
        <v>0</v>
      </c>
      <c r="AK1034">
        <v>78.09999999999999</v>
      </c>
      <c r="AN1034" t="s">
        <v>11050</v>
      </c>
      <c r="AO1034">
        <v>12684</v>
      </c>
      <c r="AU1034">
        <v>29</v>
      </c>
      <c r="AV1034" t="s">
        <v>722</v>
      </c>
      <c r="AW1034" t="s">
        <v>107</v>
      </c>
    </row>
    <row r="1035" spans="1:49">
      <c r="A1035" s="1">
        <f>HYPERLINK("https://cms.ls-nyc.org/matter/dynamic-profile/view/1843585","17-1843585")</f>
        <v>0</v>
      </c>
      <c r="B1035" t="s">
        <v>111</v>
      </c>
      <c r="C1035" t="s">
        <v>235</v>
      </c>
      <c r="D1035" t="s">
        <v>503</v>
      </c>
      <c r="F1035" t="s">
        <v>1501</v>
      </c>
      <c r="G1035" t="s">
        <v>2777</v>
      </c>
      <c r="H1035" t="s">
        <v>4075</v>
      </c>
      <c r="I1035" t="s">
        <v>4814</v>
      </c>
      <c r="J1035" t="s">
        <v>5323</v>
      </c>
      <c r="K1035">
        <v>10040</v>
      </c>
      <c r="L1035" t="s">
        <v>5355</v>
      </c>
      <c r="M1035" t="s">
        <v>5356</v>
      </c>
      <c r="N1035" t="s">
        <v>5591</v>
      </c>
      <c r="O1035" t="s">
        <v>6494</v>
      </c>
      <c r="P1035" t="s">
        <v>6528</v>
      </c>
      <c r="R1035" t="s">
        <v>6539</v>
      </c>
      <c r="S1035" t="s">
        <v>5355</v>
      </c>
      <c r="U1035" t="s">
        <v>6557</v>
      </c>
      <c r="W1035" t="s">
        <v>359</v>
      </c>
      <c r="X1035">
        <v>1074</v>
      </c>
      <c r="Y1035" t="s">
        <v>6608</v>
      </c>
      <c r="Z1035" t="s">
        <v>6616</v>
      </c>
      <c r="AB1035" t="s">
        <v>7584</v>
      </c>
      <c r="AD1035" t="s">
        <v>9946</v>
      </c>
      <c r="AE1035">
        <v>44</v>
      </c>
      <c r="AF1035" t="s">
        <v>11005</v>
      </c>
      <c r="AG1035" t="s">
        <v>5406</v>
      </c>
      <c r="AH1035">
        <v>20</v>
      </c>
      <c r="AI1035">
        <v>2</v>
      </c>
      <c r="AJ1035">
        <v>1</v>
      </c>
      <c r="AK1035">
        <v>78.34999999999999</v>
      </c>
      <c r="AL1035" t="s">
        <v>11035</v>
      </c>
      <c r="AN1035" t="s">
        <v>11049</v>
      </c>
      <c r="AO1035">
        <v>16000</v>
      </c>
      <c r="AU1035">
        <v>10.5</v>
      </c>
      <c r="AV1035" t="s">
        <v>317</v>
      </c>
      <c r="AW1035" t="s">
        <v>11495</v>
      </c>
    </row>
    <row r="1036" spans="1:49">
      <c r="A1036" s="1">
        <f>HYPERLINK("https://cms.ls-nyc.org/matter/dynamic-profile/view/1854196","17-1854196")</f>
        <v>0</v>
      </c>
      <c r="B1036" t="s">
        <v>129</v>
      </c>
      <c r="C1036" t="s">
        <v>235</v>
      </c>
      <c r="D1036" t="s">
        <v>439</v>
      </c>
      <c r="F1036" t="s">
        <v>1101</v>
      </c>
      <c r="G1036" t="s">
        <v>2778</v>
      </c>
      <c r="H1036" t="s">
        <v>3808</v>
      </c>
      <c r="I1036" t="s">
        <v>5028</v>
      </c>
      <c r="J1036" t="s">
        <v>5321</v>
      </c>
      <c r="K1036">
        <v>10456</v>
      </c>
      <c r="L1036" t="s">
        <v>5355</v>
      </c>
      <c r="M1036" t="s">
        <v>5356</v>
      </c>
      <c r="N1036" t="s">
        <v>5585</v>
      </c>
      <c r="O1036" t="s">
        <v>6499</v>
      </c>
      <c r="P1036" t="s">
        <v>6528</v>
      </c>
      <c r="R1036" t="s">
        <v>6539</v>
      </c>
      <c r="S1036" t="s">
        <v>5355</v>
      </c>
      <c r="U1036" t="s">
        <v>6557</v>
      </c>
      <c r="W1036" t="s">
        <v>6572</v>
      </c>
      <c r="X1036">
        <v>1119.98</v>
      </c>
      <c r="Y1036" t="s">
        <v>6606</v>
      </c>
      <c r="Z1036" t="s">
        <v>6612</v>
      </c>
      <c r="AB1036" t="s">
        <v>7585</v>
      </c>
      <c r="AD1036" t="s">
        <v>9947</v>
      </c>
      <c r="AE1036">
        <v>61</v>
      </c>
      <c r="AF1036" t="s">
        <v>11005</v>
      </c>
      <c r="AG1036" t="s">
        <v>5406</v>
      </c>
      <c r="AH1036">
        <v>43</v>
      </c>
      <c r="AI1036">
        <v>2</v>
      </c>
      <c r="AJ1036">
        <v>0</v>
      </c>
      <c r="AK1036">
        <v>78.98999999999999</v>
      </c>
      <c r="AL1036" t="s">
        <v>366</v>
      </c>
      <c r="AN1036" t="s">
        <v>11049</v>
      </c>
      <c r="AO1036">
        <v>12828</v>
      </c>
      <c r="AU1036">
        <v>0</v>
      </c>
      <c r="AW1036" t="s">
        <v>11509</v>
      </c>
    </row>
    <row r="1037" spans="1:49">
      <c r="A1037" s="1">
        <f>HYPERLINK("https://cms.ls-nyc.org/matter/dynamic-profile/view/1863799","18-1863799")</f>
        <v>0</v>
      </c>
      <c r="B1037" t="s">
        <v>65</v>
      </c>
      <c r="C1037" t="s">
        <v>235</v>
      </c>
      <c r="D1037" t="s">
        <v>288</v>
      </c>
      <c r="F1037" t="s">
        <v>865</v>
      </c>
      <c r="G1037" t="s">
        <v>2642</v>
      </c>
      <c r="H1037" t="s">
        <v>3780</v>
      </c>
      <c r="I1037" t="s">
        <v>4852</v>
      </c>
      <c r="J1037" t="s">
        <v>5323</v>
      </c>
      <c r="K1037">
        <v>10033</v>
      </c>
      <c r="L1037" t="s">
        <v>5355</v>
      </c>
      <c r="M1037" t="s">
        <v>5356</v>
      </c>
      <c r="O1037" t="s">
        <v>6499</v>
      </c>
      <c r="P1037" t="s">
        <v>6528</v>
      </c>
      <c r="R1037" t="s">
        <v>6539</v>
      </c>
      <c r="S1037" t="s">
        <v>5355</v>
      </c>
      <c r="U1037" t="s">
        <v>6557</v>
      </c>
      <c r="W1037" t="s">
        <v>288</v>
      </c>
      <c r="X1037">
        <v>181</v>
      </c>
      <c r="Y1037" t="s">
        <v>6608</v>
      </c>
      <c r="Z1037" t="s">
        <v>6614</v>
      </c>
      <c r="AB1037" t="s">
        <v>7381</v>
      </c>
      <c r="AE1037">
        <v>20</v>
      </c>
      <c r="AF1037" t="s">
        <v>11005</v>
      </c>
      <c r="AG1037" t="s">
        <v>5406</v>
      </c>
      <c r="AH1037">
        <v>20</v>
      </c>
      <c r="AI1037">
        <v>1</v>
      </c>
      <c r="AJ1037">
        <v>0</v>
      </c>
      <c r="AK1037">
        <v>79.08</v>
      </c>
      <c r="AL1037" t="s">
        <v>450</v>
      </c>
      <c r="AN1037" t="s">
        <v>11049</v>
      </c>
      <c r="AO1037">
        <v>9600</v>
      </c>
      <c r="AU1037">
        <v>0</v>
      </c>
      <c r="AW1037" t="s">
        <v>11495</v>
      </c>
    </row>
    <row r="1038" spans="1:49">
      <c r="A1038" s="1">
        <f>HYPERLINK("https://cms.ls-nyc.org/matter/dynamic-profile/view/1840682","17-1840682")</f>
        <v>0</v>
      </c>
      <c r="B1038" t="s">
        <v>129</v>
      </c>
      <c r="C1038" t="s">
        <v>234</v>
      </c>
      <c r="D1038" t="s">
        <v>348</v>
      </c>
      <c r="E1038" t="s">
        <v>583</v>
      </c>
      <c r="F1038" t="s">
        <v>1433</v>
      </c>
      <c r="G1038" t="s">
        <v>2663</v>
      </c>
      <c r="H1038" t="s">
        <v>3721</v>
      </c>
      <c r="I1038" t="s">
        <v>5049</v>
      </c>
      <c r="J1038" t="s">
        <v>5321</v>
      </c>
      <c r="K1038">
        <v>10453</v>
      </c>
      <c r="L1038" t="s">
        <v>5355</v>
      </c>
      <c r="M1038" t="s">
        <v>5356</v>
      </c>
      <c r="O1038" t="s">
        <v>6499</v>
      </c>
      <c r="P1038" t="s">
        <v>6528</v>
      </c>
      <c r="Q1038" t="s">
        <v>6536</v>
      </c>
      <c r="R1038" t="s">
        <v>6539</v>
      </c>
      <c r="S1038" t="s">
        <v>5355</v>
      </c>
      <c r="U1038" t="s">
        <v>6557</v>
      </c>
      <c r="W1038" t="s">
        <v>6572</v>
      </c>
      <c r="X1038">
        <v>527.13</v>
      </c>
      <c r="Y1038" t="s">
        <v>6606</v>
      </c>
      <c r="Z1038" t="s">
        <v>6612</v>
      </c>
      <c r="AA1038" t="s">
        <v>6636</v>
      </c>
      <c r="AB1038" t="s">
        <v>7586</v>
      </c>
      <c r="AD1038" t="s">
        <v>9948</v>
      </c>
      <c r="AE1038">
        <v>170</v>
      </c>
      <c r="AF1038" t="s">
        <v>11005</v>
      </c>
      <c r="AG1038" t="s">
        <v>11024</v>
      </c>
      <c r="AH1038">
        <v>32</v>
      </c>
      <c r="AI1038">
        <v>1</v>
      </c>
      <c r="AJ1038">
        <v>0</v>
      </c>
      <c r="AK1038">
        <v>79.59999999999999</v>
      </c>
      <c r="AN1038" t="s">
        <v>11050</v>
      </c>
      <c r="AO1038">
        <v>9600</v>
      </c>
      <c r="AU1038">
        <v>0.3</v>
      </c>
      <c r="AV1038" t="s">
        <v>583</v>
      </c>
      <c r="AW1038" t="s">
        <v>11509</v>
      </c>
    </row>
    <row r="1039" spans="1:49">
      <c r="A1039" s="1">
        <f>HYPERLINK("https://cms.ls-nyc.org/matter/dynamic-profile/view/1841631","17-1841631")</f>
        <v>0</v>
      </c>
      <c r="B1039" t="s">
        <v>177</v>
      </c>
      <c r="C1039" t="s">
        <v>235</v>
      </c>
      <c r="D1039" t="s">
        <v>497</v>
      </c>
      <c r="F1039" t="s">
        <v>1386</v>
      </c>
      <c r="G1039" t="s">
        <v>2779</v>
      </c>
      <c r="H1039" t="s">
        <v>4076</v>
      </c>
      <c r="I1039" t="s">
        <v>4743</v>
      </c>
      <c r="J1039" t="s">
        <v>5320</v>
      </c>
      <c r="K1039">
        <v>11215</v>
      </c>
      <c r="L1039" t="s">
        <v>5355</v>
      </c>
      <c r="M1039" t="s">
        <v>5356</v>
      </c>
      <c r="O1039" t="s">
        <v>6493</v>
      </c>
      <c r="P1039" t="s">
        <v>6528</v>
      </c>
      <c r="R1039" t="s">
        <v>6539</v>
      </c>
      <c r="S1039" t="s">
        <v>5357</v>
      </c>
      <c r="U1039" t="s">
        <v>6557</v>
      </c>
      <c r="W1039" t="s">
        <v>404</v>
      </c>
      <c r="X1039">
        <v>500</v>
      </c>
      <c r="Y1039" t="s">
        <v>6605</v>
      </c>
      <c r="Z1039" t="s">
        <v>6612</v>
      </c>
      <c r="AB1039" t="s">
        <v>7587</v>
      </c>
      <c r="AD1039" t="s">
        <v>9949</v>
      </c>
      <c r="AE1039">
        <v>8</v>
      </c>
      <c r="AF1039" t="s">
        <v>11005</v>
      </c>
      <c r="AH1039">
        <v>10</v>
      </c>
      <c r="AI1039">
        <v>1</v>
      </c>
      <c r="AJ1039">
        <v>0</v>
      </c>
      <c r="AK1039">
        <v>80.2</v>
      </c>
      <c r="AM1039" t="s">
        <v>11045</v>
      </c>
      <c r="AN1039" t="s">
        <v>11050</v>
      </c>
      <c r="AO1039">
        <v>9672</v>
      </c>
      <c r="AU1039">
        <v>41</v>
      </c>
      <c r="AV1039" t="s">
        <v>328</v>
      </c>
      <c r="AW1039" t="s">
        <v>177</v>
      </c>
    </row>
    <row r="1040" spans="1:49">
      <c r="A1040" s="1">
        <f>HYPERLINK("https://cms.ls-nyc.org/matter/dynamic-profile/view/1840825","17-1840825")</f>
        <v>0</v>
      </c>
      <c r="B1040" t="s">
        <v>129</v>
      </c>
      <c r="C1040" t="s">
        <v>234</v>
      </c>
      <c r="D1040" t="s">
        <v>526</v>
      </c>
      <c r="E1040" t="s">
        <v>778</v>
      </c>
      <c r="F1040" t="s">
        <v>1502</v>
      </c>
      <c r="G1040" t="s">
        <v>2780</v>
      </c>
      <c r="H1040" t="s">
        <v>3721</v>
      </c>
      <c r="I1040" t="s">
        <v>5050</v>
      </c>
      <c r="J1040" t="s">
        <v>5321</v>
      </c>
      <c r="K1040">
        <v>10453</v>
      </c>
      <c r="L1040" t="s">
        <v>5355</v>
      </c>
      <c r="M1040" t="s">
        <v>5356</v>
      </c>
      <c r="O1040" t="s">
        <v>6499</v>
      </c>
      <c r="P1040" t="s">
        <v>6528</v>
      </c>
      <c r="Q1040" t="s">
        <v>6536</v>
      </c>
      <c r="R1040" t="s">
        <v>6539</v>
      </c>
      <c r="S1040" t="s">
        <v>5355</v>
      </c>
      <c r="U1040" t="s">
        <v>6557</v>
      </c>
      <c r="W1040" t="s">
        <v>404</v>
      </c>
      <c r="X1040">
        <v>177</v>
      </c>
      <c r="Y1040" t="s">
        <v>6606</v>
      </c>
      <c r="Z1040" t="s">
        <v>6612</v>
      </c>
      <c r="AA1040" t="s">
        <v>6636</v>
      </c>
      <c r="AB1040" t="s">
        <v>7588</v>
      </c>
      <c r="AD1040" t="s">
        <v>9950</v>
      </c>
      <c r="AE1040">
        <v>170</v>
      </c>
      <c r="AF1040" t="s">
        <v>11005</v>
      </c>
      <c r="AG1040" t="s">
        <v>11020</v>
      </c>
      <c r="AH1040">
        <v>30</v>
      </c>
      <c r="AI1040">
        <v>1</v>
      </c>
      <c r="AJ1040">
        <v>0</v>
      </c>
      <c r="AK1040">
        <v>80.87</v>
      </c>
      <c r="AN1040" t="s">
        <v>11050</v>
      </c>
      <c r="AO1040">
        <v>9752.6</v>
      </c>
      <c r="AU1040">
        <v>0.1</v>
      </c>
      <c r="AV1040" t="s">
        <v>778</v>
      </c>
      <c r="AW1040" t="s">
        <v>11509</v>
      </c>
    </row>
    <row r="1041" spans="1:49">
      <c r="A1041" s="1">
        <f>HYPERLINK("https://cms.ls-nyc.org/matter/dynamic-profile/view/1864820","18-1864820")</f>
        <v>0</v>
      </c>
      <c r="B1041" t="s">
        <v>90</v>
      </c>
      <c r="C1041" t="s">
        <v>234</v>
      </c>
      <c r="D1041" t="s">
        <v>395</v>
      </c>
      <c r="E1041" t="s">
        <v>676</v>
      </c>
      <c r="F1041" t="s">
        <v>1503</v>
      </c>
      <c r="G1041" t="s">
        <v>2270</v>
      </c>
      <c r="H1041" t="s">
        <v>3549</v>
      </c>
      <c r="I1041" t="s">
        <v>4837</v>
      </c>
      <c r="J1041" t="s">
        <v>5321</v>
      </c>
      <c r="K1041">
        <v>10452</v>
      </c>
      <c r="L1041" t="s">
        <v>5355</v>
      </c>
      <c r="M1041" t="s">
        <v>5355</v>
      </c>
      <c r="O1041" t="s">
        <v>6499</v>
      </c>
      <c r="P1041" t="s">
        <v>6528</v>
      </c>
      <c r="Q1041" t="s">
        <v>6536</v>
      </c>
      <c r="R1041" t="s">
        <v>6539</v>
      </c>
      <c r="S1041" t="s">
        <v>5355</v>
      </c>
      <c r="U1041" t="s">
        <v>6557</v>
      </c>
      <c r="W1041" t="s">
        <v>312</v>
      </c>
      <c r="X1041">
        <v>1151.46</v>
      </c>
      <c r="Y1041" t="s">
        <v>6606</v>
      </c>
      <c r="Z1041" t="s">
        <v>6612</v>
      </c>
      <c r="AA1041" t="s">
        <v>6634</v>
      </c>
      <c r="AB1041" t="s">
        <v>7589</v>
      </c>
      <c r="AD1041" t="s">
        <v>9951</v>
      </c>
      <c r="AE1041">
        <v>52</v>
      </c>
      <c r="AF1041" t="s">
        <v>11005</v>
      </c>
      <c r="AG1041" t="s">
        <v>6493</v>
      </c>
      <c r="AH1041">
        <v>7</v>
      </c>
      <c r="AI1041">
        <v>1</v>
      </c>
      <c r="AJ1041">
        <v>0</v>
      </c>
      <c r="AK1041">
        <v>81.05</v>
      </c>
      <c r="AN1041" t="s">
        <v>11050</v>
      </c>
      <c r="AO1041">
        <v>9840</v>
      </c>
      <c r="AU1041">
        <v>0.6</v>
      </c>
      <c r="AV1041" t="s">
        <v>676</v>
      </c>
      <c r="AW1041" t="s">
        <v>90</v>
      </c>
    </row>
    <row r="1042" spans="1:49">
      <c r="A1042" s="1">
        <f>HYPERLINK("https://cms.ls-nyc.org/matter/dynamic-profile/view/1863789","18-1863789")</f>
        <v>0</v>
      </c>
      <c r="B1042" t="s">
        <v>65</v>
      </c>
      <c r="C1042" t="s">
        <v>235</v>
      </c>
      <c r="D1042" t="s">
        <v>288</v>
      </c>
      <c r="F1042" t="s">
        <v>1393</v>
      </c>
      <c r="G1042" t="s">
        <v>2781</v>
      </c>
      <c r="H1042" t="s">
        <v>3780</v>
      </c>
      <c r="I1042" t="s">
        <v>4744</v>
      </c>
      <c r="J1042" t="s">
        <v>5323</v>
      </c>
      <c r="K1042">
        <v>10033</v>
      </c>
      <c r="L1042" t="s">
        <v>5355</v>
      </c>
      <c r="M1042" t="s">
        <v>5356</v>
      </c>
      <c r="O1042" t="s">
        <v>6499</v>
      </c>
      <c r="P1042" t="s">
        <v>6528</v>
      </c>
      <c r="R1042" t="s">
        <v>6539</v>
      </c>
      <c r="S1042" t="s">
        <v>5355</v>
      </c>
      <c r="U1042" t="s">
        <v>6557</v>
      </c>
      <c r="W1042" t="s">
        <v>288</v>
      </c>
      <c r="X1042">
        <v>310</v>
      </c>
      <c r="Y1042" t="s">
        <v>6608</v>
      </c>
      <c r="Z1042" t="s">
        <v>6614</v>
      </c>
      <c r="AB1042" t="s">
        <v>7590</v>
      </c>
      <c r="AD1042" t="s">
        <v>9952</v>
      </c>
      <c r="AE1042">
        <v>20</v>
      </c>
      <c r="AF1042" t="s">
        <v>11005</v>
      </c>
      <c r="AG1042" t="s">
        <v>5406</v>
      </c>
      <c r="AH1042">
        <v>20</v>
      </c>
      <c r="AI1042">
        <v>1</v>
      </c>
      <c r="AJ1042">
        <v>0</v>
      </c>
      <c r="AK1042">
        <v>81.05</v>
      </c>
      <c r="AL1042" t="s">
        <v>450</v>
      </c>
      <c r="AN1042" t="s">
        <v>11049</v>
      </c>
      <c r="AO1042">
        <v>9840</v>
      </c>
      <c r="AU1042">
        <v>0</v>
      </c>
      <c r="AW1042" t="s">
        <v>11495</v>
      </c>
    </row>
    <row r="1043" spans="1:49">
      <c r="A1043" s="1">
        <f>HYPERLINK("https://cms.ls-nyc.org/matter/dynamic-profile/view/1867858","18-1867858")</f>
        <v>0</v>
      </c>
      <c r="B1043" t="s">
        <v>129</v>
      </c>
      <c r="C1043" t="s">
        <v>234</v>
      </c>
      <c r="D1043" t="s">
        <v>334</v>
      </c>
      <c r="E1043" t="s">
        <v>757</v>
      </c>
      <c r="F1043" t="s">
        <v>965</v>
      </c>
      <c r="G1043" t="s">
        <v>2135</v>
      </c>
      <c r="H1043" t="s">
        <v>3706</v>
      </c>
      <c r="I1043">
        <v>53</v>
      </c>
      <c r="J1043" t="s">
        <v>5321</v>
      </c>
      <c r="K1043">
        <v>10453</v>
      </c>
      <c r="L1043" t="s">
        <v>5355</v>
      </c>
      <c r="M1043" t="s">
        <v>5356</v>
      </c>
      <c r="N1043" t="s">
        <v>5570</v>
      </c>
      <c r="O1043" t="s">
        <v>6499</v>
      </c>
      <c r="P1043" t="s">
        <v>6528</v>
      </c>
      <c r="Q1043" t="s">
        <v>6536</v>
      </c>
      <c r="R1043" t="s">
        <v>6539</v>
      </c>
      <c r="S1043" t="s">
        <v>5355</v>
      </c>
      <c r="U1043" t="s">
        <v>6557</v>
      </c>
      <c r="W1043" t="s">
        <v>275</v>
      </c>
      <c r="X1043">
        <v>761.16</v>
      </c>
      <c r="Y1043" t="s">
        <v>6606</v>
      </c>
      <c r="Z1043" t="s">
        <v>6609</v>
      </c>
      <c r="AA1043" t="s">
        <v>6636</v>
      </c>
      <c r="AB1043" t="s">
        <v>7591</v>
      </c>
      <c r="AD1043" t="s">
        <v>9953</v>
      </c>
      <c r="AE1043">
        <v>43</v>
      </c>
      <c r="AF1043" t="s">
        <v>11005</v>
      </c>
      <c r="AH1043">
        <v>38</v>
      </c>
      <c r="AI1043">
        <v>1</v>
      </c>
      <c r="AJ1043">
        <v>0</v>
      </c>
      <c r="AK1043">
        <v>81.55</v>
      </c>
      <c r="AO1043">
        <v>9900</v>
      </c>
      <c r="AU1043">
        <v>0.54</v>
      </c>
      <c r="AV1043" t="s">
        <v>328</v>
      </c>
      <c r="AW1043" t="s">
        <v>11499</v>
      </c>
    </row>
    <row r="1044" spans="1:49">
      <c r="A1044" s="1">
        <f>HYPERLINK("https://cms.ls-nyc.org/matter/dynamic-profile/view/1838878","17-1838878")</f>
        <v>0</v>
      </c>
      <c r="B1044" t="s">
        <v>129</v>
      </c>
      <c r="C1044" t="s">
        <v>235</v>
      </c>
      <c r="D1044" t="s">
        <v>446</v>
      </c>
      <c r="F1044" t="s">
        <v>1098</v>
      </c>
      <c r="G1044" t="s">
        <v>2782</v>
      </c>
      <c r="H1044" t="s">
        <v>3786</v>
      </c>
      <c r="I1044" t="s">
        <v>5051</v>
      </c>
      <c r="J1044" t="s">
        <v>5321</v>
      </c>
      <c r="K1044">
        <v>10473</v>
      </c>
      <c r="L1044" t="s">
        <v>5355</v>
      </c>
      <c r="M1044" t="s">
        <v>5356</v>
      </c>
      <c r="N1044" t="s">
        <v>5592</v>
      </c>
      <c r="O1044" t="s">
        <v>6499</v>
      </c>
      <c r="P1044" t="s">
        <v>6528</v>
      </c>
      <c r="R1044" t="s">
        <v>6539</v>
      </c>
      <c r="S1044" t="s">
        <v>5355</v>
      </c>
      <c r="U1044" t="s">
        <v>6557</v>
      </c>
      <c r="W1044" t="s">
        <v>6572</v>
      </c>
      <c r="X1044">
        <v>0</v>
      </c>
      <c r="Y1044" t="s">
        <v>6606</v>
      </c>
      <c r="Z1044" t="s">
        <v>6620</v>
      </c>
      <c r="AB1044" t="s">
        <v>7592</v>
      </c>
      <c r="AD1044" t="s">
        <v>9954</v>
      </c>
      <c r="AE1044">
        <v>976</v>
      </c>
      <c r="AF1044" t="s">
        <v>11005</v>
      </c>
      <c r="AG1044" t="s">
        <v>11020</v>
      </c>
      <c r="AH1044">
        <v>10</v>
      </c>
      <c r="AI1044">
        <v>1</v>
      </c>
      <c r="AJ1044">
        <v>0</v>
      </c>
      <c r="AK1044">
        <v>81.79000000000001</v>
      </c>
      <c r="AL1044" t="s">
        <v>578</v>
      </c>
      <c r="AN1044" t="s">
        <v>11050</v>
      </c>
      <c r="AO1044">
        <v>9864</v>
      </c>
      <c r="AU1044">
        <v>0</v>
      </c>
      <c r="AW1044" t="s">
        <v>11509</v>
      </c>
    </row>
    <row r="1045" spans="1:49">
      <c r="A1045" s="1">
        <f>HYPERLINK("https://cms.ls-nyc.org/matter/dynamic-profile/view/1852358","17-1852358")</f>
        <v>0</v>
      </c>
      <c r="B1045" t="s">
        <v>129</v>
      </c>
      <c r="C1045" t="s">
        <v>235</v>
      </c>
      <c r="D1045" t="s">
        <v>372</v>
      </c>
      <c r="F1045" t="s">
        <v>911</v>
      </c>
      <c r="G1045" t="s">
        <v>2783</v>
      </c>
      <c r="H1045" t="s">
        <v>3808</v>
      </c>
      <c r="I1045" t="s">
        <v>4907</v>
      </c>
      <c r="J1045" t="s">
        <v>5321</v>
      </c>
      <c r="K1045">
        <v>10456</v>
      </c>
      <c r="L1045" t="s">
        <v>5355</v>
      </c>
      <c r="M1045" t="s">
        <v>5356</v>
      </c>
      <c r="N1045" t="s">
        <v>5585</v>
      </c>
      <c r="O1045" t="s">
        <v>6499</v>
      </c>
      <c r="P1045" t="s">
        <v>6528</v>
      </c>
      <c r="R1045" t="s">
        <v>6539</v>
      </c>
      <c r="S1045" t="s">
        <v>5355</v>
      </c>
      <c r="U1045" t="s">
        <v>6557</v>
      </c>
      <c r="W1045" t="s">
        <v>372</v>
      </c>
      <c r="X1045">
        <v>1243.51</v>
      </c>
      <c r="Y1045" t="s">
        <v>6606</v>
      </c>
      <c r="Z1045" t="s">
        <v>6612</v>
      </c>
      <c r="AB1045" t="s">
        <v>7593</v>
      </c>
      <c r="AC1045" t="s">
        <v>8832</v>
      </c>
      <c r="AD1045" t="s">
        <v>9955</v>
      </c>
      <c r="AE1045">
        <v>61</v>
      </c>
      <c r="AF1045" t="s">
        <v>11005</v>
      </c>
      <c r="AG1045" t="s">
        <v>11020</v>
      </c>
      <c r="AH1045">
        <v>22</v>
      </c>
      <c r="AI1045">
        <v>1</v>
      </c>
      <c r="AJ1045">
        <v>0</v>
      </c>
      <c r="AK1045">
        <v>81.79000000000001</v>
      </c>
      <c r="AL1045" t="s">
        <v>366</v>
      </c>
      <c r="AN1045" t="s">
        <v>11050</v>
      </c>
      <c r="AO1045">
        <v>9864</v>
      </c>
      <c r="AU1045">
        <v>145.8</v>
      </c>
      <c r="AV1045" t="s">
        <v>738</v>
      </c>
      <c r="AW1045" t="s">
        <v>11499</v>
      </c>
    </row>
    <row r="1046" spans="1:49">
      <c r="A1046" s="1">
        <f>HYPERLINK("https://cms.ls-nyc.org/matter/dynamic-profile/view/1837492","17-1837492")</f>
        <v>0</v>
      </c>
      <c r="B1046" t="s">
        <v>129</v>
      </c>
      <c r="C1046" t="s">
        <v>235</v>
      </c>
      <c r="D1046" t="s">
        <v>527</v>
      </c>
      <c r="F1046" t="s">
        <v>1270</v>
      </c>
      <c r="G1046" t="s">
        <v>2784</v>
      </c>
      <c r="H1046" t="s">
        <v>4077</v>
      </c>
      <c r="I1046" t="s">
        <v>4752</v>
      </c>
      <c r="J1046" t="s">
        <v>5321</v>
      </c>
      <c r="K1046">
        <v>10473</v>
      </c>
      <c r="L1046" t="s">
        <v>5355</v>
      </c>
      <c r="M1046" t="s">
        <v>5356</v>
      </c>
      <c r="N1046" t="s">
        <v>5593</v>
      </c>
      <c r="O1046" t="s">
        <v>6499</v>
      </c>
      <c r="P1046" t="s">
        <v>6528</v>
      </c>
      <c r="R1046" t="s">
        <v>6539</v>
      </c>
      <c r="S1046" t="s">
        <v>5355</v>
      </c>
      <c r="U1046" t="s">
        <v>6557</v>
      </c>
      <c r="W1046" t="s">
        <v>6572</v>
      </c>
      <c r="X1046">
        <v>0</v>
      </c>
      <c r="Y1046" t="s">
        <v>6606</v>
      </c>
      <c r="Z1046" t="s">
        <v>6620</v>
      </c>
      <c r="AB1046" t="s">
        <v>7594</v>
      </c>
      <c r="AD1046" t="s">
        <v>9956</v>
      </c>
      <c r="AE1046">
        <v>976</v>
      </c>
      <c r="AF1046" t="s">
        <v>11005</v>
      </c>
      <c r="AG1046" t="s">
        <v>11024</v>
      </c>
      <c r="AH1046">
        <v>13</v>
      </c>
      <c r="AI1046">
        <v>1</v>
      </c>
      <c r="AJ1046">
        <v>0</v>
      </c>
      <c r="AK1046">
        <v>82.29000000000001</v>
      </c>
      <c r="AL1046" t="s">
        <v>578</v>
      </c>
      <c r="AN1046" t="s">
        <v>11050</v>
      </c>
      <c r="AO1046">
        <v>9924</v>
      </c>
      <c r="AU1046">
        <v>0</v>
      </c>
      <c r="AW1046" t="s">
        <v>11509</v>
      </c>
    </row>
    <row r="1047" spans="1:49">
      <c r="A1047" s="1">
        <f>HYPERLINK("https://cms.ls-nyc.org/matter/dynamic-profile/view/1857092","18-1857092")</f>
        <v>0</v>
      </c>
      <c r="B1047" t="s">
        <v>104</v>
      </c>
      <c r="C1047" t="s">
        <v>235</v>
      </c>
      <c r="D1047" t="s">
        <v>286</v>
      </c>
      <c r="F1047" t="s">
        <v>1504</v>
      </c>
      <c r="G1047" t="s">
        <v>2785</v>
      </c>
      <c r="H1047" t="s">
        <v>4007</v>
      </c>
      <c r="I1047" t="s">
        <v>5052</v>
      </c>
      <c r="J1047" t="s">
        <v>5321</v>
      </c>
      <c r="K1047">
        <v>10452</v>
      </c>
      <c r="L1047" t="s">
        <v>5355</v>
      </c>
      <c r="M1047" t="s">
        <v>5356</v>
      </c>
      <c r="N1047" t="s">
        <v>5587</v>
      </c>
      <c r="O1047" t="s">
        <v>6499</v>
      </c>
      <c r="P1047" t="s">
        <v>6528</v>
      </c>
      <c r="R1047" t="s">
        <v>6539</v>
      </c>
      <c r="S1047" t="s">
        <v>5355</v>
      </c>
      <c r="U1047" t="s">
        <v>6557</v>
      </c>
      <c r="W1047" t="s">
        <v>298</v>
      </c>
      <c r="X1047">
        <v>1057</v>
      </c>
      <c r="Y1047" t="s">
        <v>6606</v>
      </c>
      <c r="Z1047" t="s">
        <v>6612</v>
      </c>
      <c r="AB1047" t="s">
        <v>7595</v>
      </c>
      <c r="AC1047" t="s">
        <v>8833</v>
      </c>
      <c r="AD1047" t="s">
        <v>9957</v>
      </c>
      <c r="AE1047">
        <v>122</v>
      </c>
      <c r="AF1047" t="s">
        <v>11005</v>
      </c>
      <c r="AH1047">
        <v>24</v>
      </c>
      <c r="AI1047">
        <v>1</v>
      </c>
      <c r="AJ1047">
        <v>0</v>
      </c>
      <c r="AK1047">
        <v>82.89</v>
      </c>
      <c r="AN1047" t="s">
        <v>11049</v>
      </c>
      <c r="AO1047">
        <v>9996</v>
      </c>
      <c r="AP1047" t="s">
        <v>11137</v>
      </c>
      <c r="AU1047">
        <v>0.1</v>
      </c>
      <c r="AV1047" t="s">
        <v>732</v>
      </c>
      <c r="AW1047" t="s">
        <v>11492</v>
      </c>
    </row>
    <row r="1048" spans="1:49">
      <c r="A1048" s="1">
        <f>HYPERLINK("https://cms.ls-nyc.org/matter/dynamic-profile/view/1858041","18-1858041")</f>
        <v>0</v>
      </c>
      <c r="B1048" t="s">
        <v>129</v>
      </c>
      <c r="C1048" t="s">
        <v>234</v>
      </c>
      <c r="D1048" t="s">
        <v>272</v>
      </c>
      <c r="E1048" t="s">
        <v>600</v>
      </c>
      <c r="F1048" t="s">
        <v>1133</v>
      </c>
      <c r="G1048" t="s">
        <v>2786</v>
      </c>
      <c r="H1048" t="s">
        <v>4078</v>
      </c>
      <c r="I1048" t="s">
        <v>4825</v>
      </c>
      <c r="J1048" t="s">
        <v>5321</v>
      </c>
      <c r="K1048">
        <v>10463</v>
      </c>
      <c r="L1048" t="s">
        <v>5355</v>
      </c>
      <c r="M1048" t="s">
        <v>5356</v>
      </c>
      <c r="N1048" t="s">
        <v>5594</v>
      </c>
      <c r="O1048" t="s">
        <v>6499</v>
      </c>
      <c r="P1048" t="s">
        <v>6528</v>
      </c>
      <c r="Q1048" t="s">
        <v>6536</v>
      </c>
      <c r="R1048" t="s">
        <v>6539</v>
      </c>
      <c r="S1048" t="s">
        <v>5355</v>
      </c>
      <c r="U1048" t="s">
        <v>6557</v>
      </c>
      <c r="W1048" t="s">
        <v>247</v>
      </c>
      <c r="X1048">
        <v>454.72</v>
      </c>
      <c r="Y1048" t="s">
        <v>6606</v>
      </c>
      <c r="Z1048" t="s">
        <v>6620</v>
      </c>
      <c r="AA1048" t="s">
        <v>6634</v>
      </c>
      <c r="AB1048" t="s">
        <v>7596</v>
      </c>
      <c r="AD1048" t="s">
        <v>9958</v>
      </c>
      <c r="AE1048">
        <v>57</v>
      </c>
      <c r="AF1048" t="s">
        <v>11005</v>
      </c>
      <c r="AG1048" t="s">
        <v>11024</v>
      </c>
      <c r="AH1048">
        <v>40</v>
      </c>
      <c r="AI1048">
        <v>1</v>
      </c>
      <c r="AJ1048">
        <v>0</v>
      </c>
      <c r="AK1048">
        <v>82.98999999999999</v>
      </c>
      <c r="AN1048" t="s">
        <v>11050</v>
      </c>
      <c r="AO1048">
        <v>10008</v>
      </c>
      <c r="AU1048">
        <v>0.5</v>
      </c>
      <c r="AV1048" t="s">
        <v>272</v>
      </c>
      <c r="AW1048" t="s">
        <v>11499</v>
      </c>
    </row>
    <row r="1049" spans="1:49">
      <c r="A1049" s="1">
        <f>HYPERLINK("https://cms.ls-nyc.org/matter/dynamic-profile/view/1850746","17-1850746")</f>
        <v>0</v>
      </c>
      <c r="B1049" t="s">
        <v>148</v>
      </c>
      <c r="C1049" t="s">
        <v>234</v>
      </c>
      <c r="D1049" t="s">
        <v>528</v>
      </c>
      <c r="E1049" t="s">
        <v>751</v>
      </c>
      <c r="F1049" t="s">
        <v>1270</v>
      </c>
      <c r="G1049" t="s">
        <v>2787</v>
      </c>
      <c r="H1049" t="s">
        <v>4079</v>
      </c>
      <c r="I1049" t="s">
        <v>4775</v>
      </c>
      <c r="J1049" t="s">
        <v>5322</v>
      </c>
      <c r="K1049">
        <v>10304</v>
      </c>
      <c r="L1049" t="s">
        <v>5355</v>
      </c>
      <c r="M1049" t="s">
        <v>5356</v>
      </c>
      <c r="N1049" t="s">
        <v>5406</v>
      </c>
      <c r="O1049" t="s">
        <v>6504</v>
      </c>
      <c r="P1049" t="s">
        <v>6528</v>
      </c>
      <c r="Q1049" t="s">
        <v>6536</v>
      </c>
      <c r="R1049" t="s">
        <v>6539</v>
      </c>
      <c r="S1049" t="s">
        <v>5357</v>
      </c>
      <c r="U1049" t="s">
        <v>6564</v>
      </c>
      <c r="W1049" t="s">
        <v>528</v>
      </c>
      <c r="X1049">
        <v>890</v>
      </c>
      <c r="Y1049" t="s">
        <v>6607</v>
      </c>
      <c r="Z1049" t="s">
        <v>6621</v>
      </c>
      <c r="AA1049" t="s">
        <v>6644</v>
      </c>
      <c r="AB1049" t="s">
        <v>7597</v>
      </c>
      <c r="AC1049" t="s">
        <v>8834</v>
      </c>
      <c r="AD1049" t="s">
        <v>9959</v>
      </c>
      <c r="AE1049">
        <v>104</v>
      </c>
      <c r="AF1049" t="s">
        <v>11005</v>
      </c>
      <c r="AG1049" t="s">
        <v>11020</v>
      </c>
      <c r="AH1049">
        <v>29</v>
      </c>
      <c r="AI1049">
        <v>1</v>
      </c>
      <c r="AJ1049">
        <v>0</v>
      </c>
      <c r="AK1049">
        <v>83.08</v>
      </c>
      <c r="AN1049" t="s">
        <v>11050</v>
      </c>
      <c r="AO1049">
        <v>10020</v>
      </c>
      <c r="AU1049">
        <v>7.9</v>
      </c>
      <c r="AV1049" t="s">
        <v>751</v>
      </c>
      <c r="AW1049" t="s">
        <v>148</v>
      </c>
    </row>
    <row r="1050" spans="1:49">
      <c r="A1050" s="1">
        <f>HYPERLINK("https://cms.ls-nyc.org/matter/dynamic-profile/view/1866407","18-1866407")</f>
        <v>0</v>
      </c>
      <c r="B1050" t="s">
        <v>129</v>
      </c>
      <c r="C1050" t="s">
        <v>234</v>
      </c>
      <c r="D1050" t="s">
        <v>268</v>
      </c>
      <c r="E1050" t="s">
        <v>749</v>
      </c>
      <c r="F1050" t="s">
        <v>1505</v>
      </c>
      <c r="G1050" t="s">
        <v>2788</v>
      </c>
      <c r="H1050" t="s">
        <v>3706</v>
      </c>
      <c r="I1050">
        <v>16</v>
      </c>
      <c r="J1050" t="s">
        <v>5321</v>
      </c>
      <c r="K1050">
        <v>10453</v>
      </c>
      <c r="L1050" t="s">
        <v>5355</v>
      </c>
      <c r="M1050" t="s">
        <v>5356</v>
      </c>
      <c r="N1050" t="s">
        <v>5570</v>
      </c>
      <c r="O1050" t="s">
        <v>6499</v>
      </c>
      <c r="P1050" t="s">
        <v>6528</v>
      </c>
      <c r="Q1050" t="s">
        <v>6536</v>
      </c>
      <c r="R1050" t="s">
        <v>6539</v>
      </c>
      <c r="S1050" t="s">
        <v>5355</v>
      </c>
      <c r="U1050" t="s">
        <v>6557</v>
      </c>
      <c r="W1050" t="s">
        <v>268</v>
      </c>
      <c r="X1050">
        <v>856.08</v>
      </c>
      <c r="Y1050" t="s">
        <v>6606</v>
      </c>
      <c r="Z1050" t="s">
        <v>6622</v>
      </c>
      <c r="AA1050" t="s">
        <v>6636</v>
      </c>
      <c r="AB1050" t="s">
        <v>7598</v>
      </c>
      <c r="AD1050" t="s">
        <v>9960</v>
      </c>
      <c r="AE1050">
        <v>43</v>
      </c>
      <c r="AF1050" t="s">
        <v>11005</v>
      </c>
      <c r="AG1050" t="s">
        <v>11021</v>
      </c>
      <c r="AH1050">
        <v>38</v>
      </c>
      <c r="AI1050">
        <v>1</v>
      </c>
      <c r="AJ1050">
        <v>0</v>
      </c>
      <c r="AK1050">
        <v>83.23</v>
      </c>
      <c r="AO1050">
        <v>10104</v>
      </c>
      <c r="AU1050">
        <v>0.6</v>
      </c>
      <c r="AV1050" t="s">
        <v>749</v>
      </c>
      <c r="AW1050" t="s">
        <v>11499</v>
      </c>
    </row>
    <row r="1051" spans="1:49">
      <c r="A1051" s="1">
        <f>HYPERLINK("https://cms.ls-nyc.org/matter/dynamic-profile/view/1852098","17-1852098")</f>
        <v>0</v>
      </c>
      <c r="B1051" t="s">
        <v>80</v>
      </c>
      <c r="C1051" t="s">
        <v>234</v>
      </c>
      <c r="D1051" t="s">
        <v>481</v>
      </c>
      <c r="E1051" t="s">
        <v>652</v>
      </c>
      <c r="F1051" t="s">
        <v>1226</v>
      </c>
      <c r="G1051" t="s">
        <v>2133</v>
      </c>
      <c r="H1051" t="s">
        <v>3571</v>
      </c>
      <c r="I1051" t="s">
        <v>4840</v>
      </c>
      <c r="J1051" t="s">
        <v>5321</v>
      </c>
      <c r="K1051">
        <v>10453</v>
      </c>
      <c r="L1051" t="s">
        <v>5355</v>
      </c>
      <c r="M1051" t="s">
        <v>5356</v>
      </c>
      <c r="O1051" t="s">
        <v>6499</v>
      </c>
      <c r="P1051" t="s">
        <v>6528</v>
      </c>
      <c r="Q1051" t="s">
        <v>6532</v>
      </c>
      <c r="R1051" t="s">
        <v>6539</v>
      </c>
      <c r="S1051" t="s">
        <v>5357</v>
      </c>
      <c r="U1051" t="s">
        <v>6557</v>
      </c>
      <c r="W1051" t="s">
        <v>6572</v>
      </c>
      <c r="X1051">
        <v>1500</v>
      </c>
      <c r="Y1051" t="s">
        <v>6606</v>
      </c>
      <c r="Z1051" t="s">
        <v>6612</v>
      </c>
      <c r="AA1051" t="s">
        <v>6636</v>
      </c>
      <c r="AB1051" t="s">
        <v>7599</v>
      </c>
      <c r="AC1051" t="s">
        <v>8835</v>
      </c>
      <c r="AD1051" t="s">
        <v>9961</v>
      </c>
      <c r="AE1051">
        <v>64</v>
      </c>
      <c r="AF1051" t="s">
        <v>11005</v>
      </c>
      <c r="AG1051" t="s">
        <v>11020</v>
      </c>
      <c r="AH1051">
        <v>33</v>
      </c>
      <c r="AI1051">
        <v>1</v>
      </c>
      <c r="AJ1051">
        <v>1</v>
      </c>
      <c r="AK1051">
        <v>83.56999999999999</v>
      </c>
      <c r="AN1051" t="s">
        <v>11049</v>
      </c>
      <c r="AO1051">
        <v>13572</v>
      </c>
      <c r="AU1051">
        <v>2.4</v>
      </c>
      <c r="AV1051" t="s">
        <v>652</v>
      </c>
      <c r="AW1051" t="s">
        <v>11509</v>
      </c>
    </row>
    <row r="1052" spans="1:49">
      <c r="A1052" s="1">
        <f>HYPERLINK("https://cms.ls-nyc.org/matter/dynamic-profile/view/1860031","18-1860031")</f>
        <v>0</v>
      </c>
      <c r="B1052" t="s">
        <v>129</v>
      </c>
      <c r="C1052" t="s">
        <v>234</v>
      </c>
      <c r="D1052" t="s">
        <v>260</v>
      </c>
      <c r="E1052" t="s">
        <v>749</v>
      </c>
      <c r="F1052" t="s">
        <v>1506</v>
      </c>
      <c r="G1052" t="s">
        <v>2789</v>
      </c>
      <c r="H1052" t="s">
        <v>4080</v>
      </c>
      <c r="I1052">
        <v>45</v>
      </c>
      <c r="J1052" t="s">
        <v>5321</v>
      </c>
      <c r="K1052">
        <v>10453</v>
      </c>
      <c r="L1052" t="s">
        <v>5355</v>
      </c>
      <c r="M1052" t="s">
        <v>5356</v>
      </c>
      <c r="N1052" t="s">
        <v>5570</v>
      </c>
      <c r="O1052" t="s">
        <v>6499</v>
      </c>
      <c r="P1052" t="s">
        <v>6528</v>
      </c>
      <c r="Q1052" t="s">
        <v>6536</v>
      </c>
      <c r="R1052" t="s">
        <v>6539</v>
      </c>
      <c r="S1052" t="s">
        <v>5355</v>
      </c>
      <c r="U1052" t="s">
        <v>6557</v>
      </c>
      <c r="W1052" t="s">
        <v>319</v>
      </c>
      <c r="X1052">
        <v>841</v>
      </c>
      <c r="Y1052" t="s">
        <v>6606</v>
      </c>
      <c r="Z1052" t="s">
        <v>6622</v>
      </c>
      <c r="AA1052" t="s">
        <v>6636</v>
      </c>
      <c r="AB1052" t="s">
        <v>7600</v>
      </c>
      <c r="AD1052" t="s">
        <v>9962</v>
      </c>
      <c r="AE1052">
        <v>43</v>
      </c>
      <c r="AF1052" t="s">
        <v>11005</v>
      </c>
      <c r="AG1052" t="s">
        <v>11024</v>
      </c>
      <c r="AH1052">
        <v>37</v>
      </c>
      <c r="AI1052">
        <v>1</v>
      </c>
      <c r="AJ1052">
        <v>0</v>
      </c>
      <c r="AK1052">
        <v>83.58</v>
      </c>
      <c r="AN1052" t="s">
        <v>11050</v>
      </c>
      <c r="AO1052">
        <v>10080</v>
      </c>
      <c r="AU1052">
        <v>76.55</v>
      </c>
      <c r="AV1052" t="s">
        <v>749</v>
      </c>
      <c r="AW1052" t="s">
        <v>11499</v>
      </c>
    </row>
    <row r="1053" spans="1:49">
      <c r="A1053" s="1">
        <f>HYPERLINK("https://cms.ls-nyc.org/matter/dynamic-profile/view/1868713","18-1868713")</f>
        <v>0</v>
      </c>
      <c r="B1053" t="s">
        <v>107</v>
      </c>
      <c r="C1053" t="s">
        <v>234</v>
      </c>
      <c r="D1053" t="s">
        <v>318</v>
      </c>
      <c r="E1053" t="s">
        <v>605</v>
      </c>
      <c r="F1053" t="s">
        <v>1237</v>
      </c>
      <c r="G1053" t="s">
        <v>2781</v>
      </c>
      <c r="H1053" t="s">
        <v>4081</v>
      </c>
      <c r="I1053" t="s">
        <v>4740</v>
      </c>
      <c r="J1053" t="s">
        <v>5323</v>
      </c>
      <c r="K1053">
        <v>10029</v>
      </c>
      <c r="L1053" t="s">
        <v>5355</v>
      </c>
      <c r="M1053" t="s">
        <v>5355</v>
      </c>
      <c r="O1053" t="s">
        <v>6501</v>
      </c>
      <c r="P1053" t="s">
        <v>6528</v>
      </c>
      <c r="Q1053" t="s">
        <v>6536</v>
      </c>
      <c r="R1053" t="s">
        <v>6539</v>
      </c>
      <c r="S1053" t="s">
        <v>5357</v>
      </c>
      <c r="U1053" t="s">
        <v>6563</v>
      </c>
      <c r="W1053" t="s">
        <v>318</v>
      </c>
      <c r="X1053">
        <v>1500</v>
      </c>
      <c r="Y1053" t="s">
        <v>6608</v>
      </c>
      <c r="Z1053" t="s">
        <v>6625</v>
      </c>
      <c r="AA1053" t="s">
        <v>6635</v>
      </c>
      <c r="AB1053" t="s">
        <v>7601</v>
      </c>
      <c r="AD1053" t="s">
        <v>9963</v>
      </c>
      <c r="AE1053">
        <v>20</v>
      </c>
      <c r="AF1053" t="s">
        <v>11006</v>
      </c>
      <c r="AG1053" t="s">
        <v>11026</v>
      </c>
      <c r="AH1053">
        <v>12</v>
      </c>
      <c r="AI1053">
        <v>1</v>
      </c>
      <c r="AJ1053">
        <v>0</v>
      </c>
      <c r="AK1053">
        <v>84.31999999999999</v>
      </c>
      <c r="AN1053" t="s">
        <v>11050</v>
      </c>
      <c r="AO1053">
        <v>10236</v>
      </c>
      <c r="AU1053">
        <v>66.5</v>
      </c>
      <c r="AV1053" t="s">
        <v>817</v>
      </c>
      <c r="AW1053" t="s">
        <v>11497</v>
      </c>
    </row>
    <row r="1054" spans="1:49">
      <c r="A1054" s="1">
        <f>HYPERLINK("https://cms.ls-nyc.org/matter/dynamic-profile/view/1840724","17-1840724")</f>
        <v>0</v>
      </c>
      <c r="B1054" t="s">
        <v>129</v>
      </c>
      <c r="C1054" t="s">
        <v>234</v>
      </c>
      <c r="D1054" t="s">
        <v>529</v>
      </c>
      <c r="E1054" t="s">
        <v>778</v>
      </c>
      <c r="F1054" t="s">
        <v>1157</v>
      </c>
      <c r="G1054" t="s">
        <v>2168</v>
      </c>
      <c r="H1054" t="s">
        <v>3721</v>
      </c>
      <c r="I1054" t="s">
        <v>4892</v>
      </c>
      <c r="J1054" t="s">
        <v>5321</v>
      </c>
      <c r="K1054">
        <v>10453</v>
      </c>
      <c r="L1054" t="s">
        <v>5355</v>
      </c>
      <c r="M1054" t="s">
        <v>5356</v>
      </c>
      <c r="O1054" t="s">
        <v>6499</v>
      </c>
      <c r="P1054" t="s">
        <v>6528</v>
      </c>
      <c r="Q1054" t="s">
        <v>6536</v>
      </c>
      <c r="R1054" t="s">
        <v>6539</v>
      </c>
      <c r="S1054" t="s">
        <v>5355</v>
      </c>
      <c r="U1054" t="s">
        <v>6557</v>
      </c>
      <c r="W1054" t="s">
        <v>404</v>
      </c>
      <c r="X1054">
        <v>1193.81</v>
      </c>
      <c r="Y1054" t="s">
        <v>6606</v>
      </c>
      <c r="Z1054" t="s">
        <v>6612</v>
      </c>
      <c r="AA1054" t="s">
        <v>6636</v>
      </c>
      <c r="AB1054" t="s">
        <v>7031</v>
      </c>
      <c r="AD1054" t="s">
        <v>9433</v>
      </c>
      <c r="AE1054">
        <v>170</v>
      </c>
      <c r="AF1054" t="s">
        <v>11005</v>
      </c>
      <c r="AG1054" t="s">
        <v>5406</v>
      </c>
      <c r="AH1054">
        <v>12</v>
      </c>
      <c r="AI1054">
        <v>2</v>
      </c>
      <c r="AJ1054">
        <v>0</v>
      </c>
      <c r="AK1054">
        <v>84.45999999999999</v>
      </c>
      <c r="AN1054" t="s">
        <v>11049</v>
      </c>
      <c r="AO1054">
        <v>19968</v>
      </c>
      <c r="AU1054">
        <v>0.1</v>
      </c>
      <c r="AV1054" t="s">
        <v>778</v>
      </c>
      <c r="AW1054" t="s">
        <v>11509</v>
      </c>
    </row>
    <row r="1055" spans="1:49">
      <c r="A1055" s="1">
        <f>HYPERLINK("https://cms.ls-nyc.org/matter/dynamic-profile/view/1842136","17-1842136")</f>
        <v>0</v>
      </c>
      <c r="B1055" t="s">
        <v>129</v>
      </c>
      <c r="C1055" t="s">
        <v>234</v>
      </c>
      <c r="D1055" t="s">
        <v>519</v>
      </c>
      <c r="E1055" t="s">
        <v>583</v>
      </c>
      <c r="F1055" t="s">
        <v>1507</v>
      </c>
      <c r="G1055" t="s">
        <v>2790</v>
      </c>
      <c r="H1055" t="s">
        <v>3721</v>
      </c>
      <c r="I1055" t="s">
        <v>5053</v>
      </c>
      <c r="J1055" t="s">
        <v>5321</v>
      </c>
      <c r="K1055">
        <v>10453</v>
      </c>
      <c r="L1055" t="s">
        <v>5355</v>
      </c>
      <c r="M1055" t="s">
        <v>5356</v>
      </c>
      <c r="O1055" t="s">
        <v>6499</v>
      </c>
      <c r="P1055" t="s">
        <v>6528</v>
      </c>
      <c r="Q1055" t="s">
        <v>6536</v>
      </c>
      <c r="R1055" t="s">
        <v>6539</v>
      </c>
      <c r="S1055" t="s">
        <v>5355</v>
      </c>
      <c r="U1055" t="s">
        <v>6557</v>
      </c>
      <c r="W1055" t="s">
        <v>404</v>
      </c>
      <c r="X1055">
        <v>1100</v>
      </c>
      <c r="Y1055" t="s">
        <v>6606</v>
      </c>
      <c r="Z1055" t="s">
        <v>6612</v>
      </c>
      <c r="AA1055" t="s">
        <v>6636</v>
      </c>
      <c r="AB1055" t="s">
        <v>7602</v>
      </c>
      <c r="AD1055" t="s">
        <v>9964</v>
      </c>
      <c r="AE1055">
        <v>170</v>
      </c>
      <c r="AF1055" t="s">
        <v>11005</v>
      </c>
      <c r="AG1055" t="s">
        <v>11020</v>
      </c>
      <c r="AH1055">
        <v>33</v>
      </c>
      <c r="AI1055">
        <v>1</v>
      </c>
      <c r="AJ1055">
        <v>0</v>
      </c>
      <c r="AK1055">
        <v>84.58</v>
      </c>
      <c r="AN1055" t="s">
        <v>11049</v>
      </c>
      <c r="AO1055">
        <v>10200</v>
      </c>
      <c r="AU1055">
        <v>0.1</v>
      </c>
      <c r="AV1055" t="s">
        <v>583</v>
      </c>
      <c r="AW1055" t="s">
        <v>11509</v>
      </c>
    </row>
    <row r="1056" spans="1:49">
      <c r="A1056" s="1">
        <f>HYPERLINK("https://cms.ls-nyc.org/matter/dynamic-profile/view/1869991","18-1869991")</f>
        <v>0</v>
      </c>
      <c r="B1056" t="s">
        <v>135</v>
      </c>
      <c r="C1056" t="s">
        <v>235</v>
      </c>
      <c r="D1056" t="s">
        <v>307</v>
      </c>
      <c r="F1056" t="s">
        <v>1508</v>
      </c>
      <c r="G1056" t="s">
        <v>2791</v>
      </c>
      <c r="H1056" t="s">
        <v>3762</v>
      </c>
      <c r="I1056" t="s">
        <v>4740</v>
      </c>
      <c r="J1056" t="s">
        <v>5320</v>
      </c>
      <c r="K1056">
        <v>11206</v>
      </c>
      <c r="L1056" t="s">
        <v>5355</v>
      </c>
      <c r="M1056" t="s">
        <v>5356</v>
      </c>
      <c r="O1056" t="s">
        <v>6500</v>
      </c>
      <c r="P1056" t="s">
        <v>6528</v>
      </c>
      <c r="R1056" t="s">
        <v>6539</v>
      </c>
      <c r="S1056" t="s">
        <v>5355</v>
      </c>
      <c r="U1056" t="s">
        <v>6557</v>
      </c>
      <c r="W1056" t="s">
        <v>239</v>
      </c>
      <c r="X1056">
        <v>1083</v>
      </c>
      <c r="Y1056" t="s">
        <v>6605</v>
      </c>
      <c r="Z1056" t="s">
        <v>6614</v>
      </c>
      <c r="AB1056" t="s">
        <v>7603</v>
      </c>
      <c r="AD1056" t="s">
        <v>9965</v>
      </c>
      <c r="AE1056">
        <v>11</v>
      </c>
      <c r="AF1056" t="s">
        <v>11005</v>
      </c>
      <c r="AG1056" t="s">
        <v>11020</v>
      </c>
      <c r="AH1056">
        <v>25</v>
      </c>
      <c r="AI1056">
        <v>1</v>
      </c>
      <c r="AJ1056">
        <v>0</v>
      </c>
      <c r="AK1056">
        <v>84.77</v>
      </c>
      <c r="AN1056" t="s">
        <v>11049</v>
      </c>
      <c r="AO1056">
        <v>10291.68</v>
      </c>
      <c r="AU1056">
        <v>1</v>
      </c>
      <c r="AV1056" t="s">
        <v>769</v>
      </c>
      <c r="AW1056" t="s">
        <v>11512</v>
      </c>
    </row>
    <row r="1057" spans="1:49">
      <c r="A1057" s="1">
        <f>HYPERLINK("https://cms.ls-nyc.org/matter/dynamic-profile/view/1854109","17-1854109")</f>
        <v>0</v>
      </c>
      <c r="B1057" t="s">
        <v>129</v>
      </c>
      <c r="C1057" t="s">
        <v>235</v>
      </c>
      <c r="D1057" t="s">
        <v>439</v>
      </c>
      <c r="F1057" t="s">
        <v>1341</v>
      </c>
      <c r="G1057" t="s">
        <v>2792</v>
      </c>
      <c r="H1057" t="s">
        <v>3808</v>
      </c>
      <c r="I1057" t="s">
        <v>4783</v>
      </c>
      <c r="J1057" t="s">
        <v>5321</v>
      </c>
      <c r="K1057">
        <v>10456</v>
      </c>
      <c r="L1057" t="s">
        <v>5355</v>
      </c>
      <c r="M1057" t="s">
        <v>5356</v>
      </c>
      <c r="N1057" t="s">
        <v>5585</v>
      </c>
      <c r="O1057" t="s">
        <v>6499</v>
      </c>
      <c r="P1057" t="s">
        <v>6528</v>
      </c>
      <c r="R1057" t="s">
        <v>6539</v>
      </c>
      <c r="S1057" t="s">
        <v>5355</v>
      </c>
      <c r="U1057" t="s">
        <v>6557</v>
      </c>
      <c r="W1057" t="s">
        <v>6572</v>
      </c>
      <c r="X1057">
        <v>988</v>
      </c>
      <c r="Y1057" t="s">
        <v>6606</v>
      </c>
      <c r="Z1057" t="s">
        <v>6612</v>
      </c>
      <c r="AB1057" t="s">
        <v>7604</v>
      </c>
      <c r="AD1057" t="s">
        <v>9966</v>
      </c>
      <c r="AE1057">
        <v>61</v>
      </c>
      <c r="AF1057" t="s">
        <v>11005</v>
      </c>
      <c r="AG1057" t="s">
        <v>11022</v>
      </c>
      <c r="AH1057">
        <v>11</v>
      </c>
      <c r="AI1057">
        <v>1</v>
      </c>
      <c r="AJ1057">
        <v>2</v>
      </c>
      <c r="AK1057">
        <v>86.37</v>
      </c>
      <c r="AL1057" t="s">
        <v>366</v>
      </c>
      <c r="AN1057" t="s">
        <v>11049</v>
      </c>
      <c r="AO1057">
        <v>17636</v>
      </c>
      <c r="AU1057">
        <v>0.5</v>
      </c>
      <c r="AV1057" t="s">
        <v>735</v>
      </c>
      <c r="AW1057" t="s">
        <v>11509</v>
      </c>
    </row>
    <row r="1058" spans="1:49">
      <c r="A1058" s="1">
        <f>HYPERLINK("https://cms.ls-nyc.org/matter/dynamic-profile/view/1840688","17-1840688")</f>
        <v>0</v>
      </c>
      <c r="B1058" t="s">
        <v>129</v>
      </c>
      <c r="C1058" t="s">
        <v>234</v>
      </c>
      <c r="D1058" t="s">
        <v>348</v>
      </c>
      <c r="E1058" t="s">
        <v>583</v>
      </c>
      <c r="F1058" t="s">
        <v>1509</v>
      </c>
      <c r="G1058" t="s">
        <v>2384</v>
      </c>
      <c r="H1058" t="s">
        <v>3721</v>
      </c>
      <c r="I1058" t="s">
        <v>4944</v>
      </c>
      <c r="J1058" t="s">
        <v>5321</v>
      </c>
      <c r="K1058">
        <v>10453</v>
      </c>
      <c r="L1058" t="s">
        <v>5355</v>
      </c>
      <c r="M1058" t="s">
        <v>5356</v>
      </c>
      <c r="O1058" t="s">
        <v>6499</v>
      </c>
      <c r="P1058" t="s">
        <v>6528</v>
      </c>
      <c r="Q1058" t="s">
        <v>6536</v>
      </c>
      <c r="R1058" t="s">
        <v>6539</v>
      </c>
      <c r="S1058" t="s">
        <v>5355</v>
      </c>
      <c r="U1058" t="s">
        <v>6557</v>
      </c>
      <c r="W1058" t="s">
        <v>6572</v>
      </c>
      <c r="X1058">
        <v>1396</v>
      </c>
      <c r="Y1058" t="s">
        <v>6606</v>
      </c>
      <c r="Z1058" t="s">
        <v>6612</v>
      </c>
      <c r="AA1058" t="s">
        <v>6636</v>
      </c>
      <c r="AB1058" t="s">
        <v>7605</v>
      </c>
      <c r="AD1058" t="s">
        <v>9967</v>
      </c>
      <c r="AE1058">
        <v>170</v>
      </c>
      <c r="AF1058" t="s">
        <v>11006</v>
      </c>
      <c r="AG1058" t="s">
        <v>5406</v>
      </c>
      <c r="AH1058">
        <v>7</v>
      </c>
      <c r="AI1058">
        <v>3</v>
      </c>
      <c r="AJ1058">
        <v>2</v>
      </c>
      <c r="AK1058">
        <v>86.87</v>
      </c>
      <c r="AN1058" t="s">
        <v>11049</v>
      </c>
      <c r="AO1058">
        <v>25000</v>
      </c>
      <c r="AU1058">
        <v>0.1</v>
      </c>
      <c r="AV1058" t="s">
        <v>583</v>
      </c>
      <c r="AW1058" t="s">
        <v>11509</v>
      </c>
    </row>
    <row r="1059" spans="1:49">
      <c r="A1059" s="1">
        <f>HYPERLINK("https://cms.ls-nyc.org/matter/dynamic-profile/view/1842133","17-1842133")</f>
        <v>0</v>
      </c>
      <c r="B1059" t="s">
        <v>129</v>
      </c>
      <c r="C1059" t="s">
        <v>234</v>
      </c>
      <c r="D1059" t="s">
        <v>519</v>
      </c>
      <c r="E1059" t="s">
        <v>778</v>
      </c>
      <c r="F1059" t="s">
        <v>1458</v>
      </c>
      <c r="G1059" t="s">
        <v>2136</v>
      </c>
      <c r="H1059" t="s">
        <v>3721</v>
      </c>
      <c r="I1059" t="s">
        <v>5054</v>
      </c>
      <c r="J1059" t="s">
        <v>5321</v>
      </c>
      <c r="K1059">
        <v>10453</v>
      </c>
      <c r="L1059" t="s">
        <v>5355</v>
      </c>
      <c r="M1059" t="s">
        <v>5356</v>
      </c>
      <c r="N1059" t="s">
        <v>5595</v>
      </c>
      <c r="O1059" t="s">
        <v>6499</v>
      </c>
      <c r="P1059" t="s">
        <v>6528</v>
      </c>
      <c r="Q1059" t="s">
        <v>6536</v>
      </c>
      <c r="R1059" t="s">
        <v>6539</v>
      </c>
      <c r="S1059" t="s">
        <v>5355</v>
      </c>
      <c r="U1059" t="s">
        <v>6557</v>
      </c>
      <c r="W1059" t="s">
        <v>404</v>
      </c>
      <c r="X1059">
        <v>1156</v>
      </c>
      <c r="Y1059" t="s">
        <v>6606</v>
      </c>
      <c r="Z1059" t="s">
        <v>6612</v>
      </c>
      <c r="AA1059" t="s">
        <v>6636</v>
      </c>
      <c r="AB1059" t="s">
        <v>7212</v>
      </c>
      <c r="AD1059" t="s">
        <v>9968</v>
      </c>
      <c r="AE1059">
        <v>170</v>
      </c>
      <c r="AF1059" t="s">
        <v>11005</v>
      </c>
      <c r="AG1059" t="s">
        <v>5406</v>
      </c>
      <c r="AH1059">
        <v>6</v>
      </c>
      <c r="AI1059">
        <v>5</v>
      </c>
      <c r="AJ1059">
        <v>0</v>
      </c>
      <c r="AK1059">
        <v>86.87</v>
      </c>
      <c r="AN1059" t="s">
        <v>11050</v>
      </c>
      <c r="AO1059">
        <v>25000</v>
      </c>
      <c r="AU1059">
        <v>0.1</v>
      </c>
      <c r="AV1059" t="s">
        <v>778</v>
      </c>
      <c r="AW1059" t="s">
        <v>11509</v>
      </c>
    </row>
    <row r="1060" spans="1:49">
      <c r="A1060" s="1">
        <f>HYPERLINK("https://cms.ls-nyc.org/matter/dynamic-profile/view/1835508","17-1835508")</f>
        <v>0</v>
      </c>
      <c r="B1060" t="s">
        <v>178</v>
      </c>
      <c r="C1060" t="s">
        <v>235</v>
      </c>
      <c r="D1060" t="s">
        <v>530</v>
      </c>
      <c r="F1060" t="s">
        <v>1510</v>
      </c>
      <c r="G1060" t="s">
        <v>2793</v>
      </c>
      <c r="H1060" t="s">
        <v>4082</v>
      </c>
      <c r="I1060" t="s">
        <v>5055</v>
      </c>
      <c r="J1060" t="s">
        <v>5320</v>
      </c>
      <c r="K1060">
        <v>11216</v>
      </c>
      <c r="L1060" t="s">
        <v>5355</v>
      </c>
      <c r="M1060" t="s">
        <v>5356</v>
      </c>
      <c r="P1060" t="s">
        <v>6528</v>
      </c>
      <c r="R1060" t="s">
        <v>6539</v>
      </c>
      <c r="U1060" t="s">
        <v>6557</v>
      </c>
      <c r="W1060" t="s">
        <v>294</v>
      </c>
      <c r="X1060">
        <v>0</v>
      </c>
      <c r="Y1060" t="s">
        <v>6605</v>
      </c>
      <c r="AB1060" t="s">
        <v>7606</v>
      </c>
      <c r="AD1060" t="s">
        <v>9969</v>
      </c>
      <c r="AE1060">
        <v>6</v>
      </c>
      <c r="AH1060">
        <v>0</v>
      </c>
      <c r="AI1060">
        <v>1</v>
      </c>
      <c r="AJ1060">
        <v>0</v>
      </c>
      <c r="AK1060">
        <v>88.36</v>
      </c>
      <c r="AN1060" t="s">
        <v>11050</v>
      </c>
      <c r="AO1060">
        <v>10656</v>
      </c>
      <c r="AU1060">
        <v>16.75</v>
      </c>
      <c r="AV1060" t="s">
        <v>11460</v>
      </c>
      <c r="AW1060" t="s">
        <v>11542</v>
      </c>
    </row>
    <row r="1061" spans="1:49">
      <c r="A1061" s="1">
        <f>HYPERLINK("https://cms.ls-nyc.org/matter/dynamic-profile/view/1864198","18-1864198")</f>
        <v>0</v>
      </c>
      <c r="B1061" t="s">
        <v>179</v>
      </c>
      <c r="C1061" t="s">
        <v>235</v>
      </c>
      <c r="D1061" t="s">
        <v>357</v>
      </c>
      <c r="F1061" t="s">
        <v>1511</v>
      </c>
      <c r="G1061" t="s">
        <v>2794</v>
      </c>
      <c r="H1061" t="s">
        <v>4083</v>
      </c>
      <c r="I1061" t="s">
        <v>5041</v>
      </c>
      <c r="J1061" t="s">
        <v>5320</v>
      </c>
      <c r="K1061">
        <v>11226</v>
      </c>
      <c r="L1061" t="s">
        <v>5355</v>
      </c>
      <c r="M1061" t="s">
        <v>5356</v>
      </c>
      <c r="N1061" t="s">
        <v>5596</v>
      </c>
      <c r="O1061" t="s">
        <v>6499</v>
      </c>
      <c r="P1061" t="s">
        <v>6528</v>
      </c>
      <c r="R1061" t="s">
        <v>6539</v>
      </c>
      <c r="S1061" t="s">
        <v>5355</v>
      </c>
      <c r="T1061" t="s">
        <v>6545</v>
      </c>
      <c r="U1061" t="s">
        <v>6557</v>
      </c>
      <c r="W1061" t="s">
        <v>516</v>
      </c>
      <c r="X1061">
        <v>1300</v>
      </c>
      <c r="Y1061" t="s">
        <v>6605</v>
      </c>
      <c r="Z1061" t="s">
        <v>6612</v>
      </c>
      <c r="AB1061" t="s">
        <v>7607</v>
      </c>
      <c r="AC1061">
        <v>11225120</v>
      </c>
      <c r="AD1061" t="s">
        <v>9970</v>
      </c>
      <c r="AE1061">
        <v>61</v>
      </c>
      <c r="AF1061" t="s">
        <v>11005</v>
      </c>
      <c r="AH1061">
        <v>12</v>
      </c>
      <c r="AI1061">
        <v>1</v>
      </c>
      <c r="AJ1061">
        <v>0</v>
      </c>
      <c r="AK1061">
        <v>88.95999999999999</v>
      </c>
      <c r="AN1061" t="s">
        <v>11050</v>
      </c>
      <c r="AO1061">
        <v>10800</v>
      </c>
      <c r="AU1061">
        <v>0.5</v>
      </c>
      <c r="AV1061" t="s">
        <v>357</v>
      </c>
      <c r="AW1061" t="s">
        <v>11490</v>
      </c>
    </row>
    <row r="1062" spans="1:49">
      <c r="A1062" s="1">
        <f>HYPERLINK("https://cms.ls-nyc.org/matter/dynamic-profile/view/1863930","18-1863930")</f>
        <v>0</v>
      </c>
      <c r="B1062" t="s">
        <v>171</v>
      </c>
      <c r="C1062" t="s">
        <v>235</v>
      </c>
      <c r="D1062" t="s">
        <v>425</v>
      </c>
      <c r="F1062" t="s">
        <v>1512</v>
      </c>
      <c r="G1062" t="s">
        <v>2795</v>
      </c>
      <c r="H1062" t="s">
        <v>4084</v>
      </c>
      <c r="I1062">
        <v>4</v>
      </c>
      <c r="J1062" t="s">
        <v>5320</v>
      </c>
      <c r="K1062">
        <v>11205</v>
      </c>
      <c r="L1062" t="s">
        <v>5355</v>
      </c>
      <c r="M1062" t="s">
        <v>5356</v>
      </c>
      <c r="N1062" t="s">
        <v>5597</v>
      </c>
      <c r="O1062" t="s">
        <v>6499</v>
      </c>
      <c r="P1062" t="s">
        <v>6528</v>
      </c>
      <c r="R1062" t="s">
        <v>6539</v>
      </c>
      <c r="S1062" t="s">
        <v>5355</v>
      </c>
      <c r="U1062" t="s">
        <v>6557</v>
      </c>
      <c r="W1062" t="s">
        <v>298</v>
      </c>
      <c r="X1062">
        <v>356.66</v>
      </c>
      <c r="Y1062" t="s">
        <v>6605</v>
      </c>
      <c r="Z1062" t="s">
        <v>6617</v>
      </c>
      <c r="AB1062" t="s">
        <v>7608</v>
      </c>
      <c r="AD1062" t="s">
        <v>9971</v>
      </c>
      <c r="AE1062">
        <v>10</v>
      </c>
      <c r="AF1062" t="s">
        <v>11006</v>
      </c>
      <c r="AG1062" t="s">
        <v>5406</v>
      </c>
      <c r="AH1062">
        <v>49</v>
      </c>
      <c r="AI1062">
        <v>1</v>
      </c>
      <c r="AJ1062">
        <v>0</v>
      </c>
      <c r="AK1062">
        <v>88.95999999999999</v>
      </c>
      <c r="AN1062" t="s">
        <v>11049</v>
      </c>
      <c r="AO1062">
        <v>10800</v>
      </c>
      <c r="AU1062">
        <v>13.95</v>
      </c>
      <c r="AV1062" t="s">
        <v>274</v>
      </c>
      <c r="AW1062" t="s">
        <v>11490</v>
      </c>
    </row>
    <row r="1063" spans="1:49">
      <c r="A1063" s="1">
        <f>HYPERLINK("https://cms.ls-nyc.org/matter/dynamic-profile/view/1887836","19-1887836")</f>
        <v>0</v>
      </c>
      <c r="B1063" t="s">
        <v>135</v>
      </c>
      <c r="C1063" t="s">
        <v>235</v>
      </c>
      <c r="D1063" t="s">
        <v>513</v>
      </c>
      <c r="F1063" t="s">
        <v>1224</v>
      </c>
      <c r="G1063" t="s">
        <v>2466</v>
      </c>
      <c r="H1063" t="s">
        <v>3735</v>
      </c>
      <c r="I1063" t="s">
        <v>4917</v>
      </c>
      <c r="J1063" t="s">
        <v>5320</v>
      </c>
      <c r="K1063">
        <v>11225</v>
      </c>
      <c r="L1063" t="s">
        <v>5355</v>
      </c>
      <c r="M1063" t="s">
        <v>5356</v>
      </c>
      <c r="O1063" t="s">
        <v>6507</v>
      </c>
      <c r="P1063" t="s">
        <v>6528</v>
      </c>
      <c r="R1063" t="s">
        <v>6539</v>
      </c>
      <c r="S1063" t="s">
        <v>5355</v>
      </c>
      <c r="U1063" t="s">
        <v>6557</v>
      </c>
      <c r="W1063" t="s">
        <v>523</v>
      </c>
      <c r="X1063">
        <v>0</v>
      </c>
      <c r="Y1063" t="s">
        <v>6605</v>
      </c>
      <c r="Z1063" t="s">
        <v>6622</v>
      </c>
      <c r="AB1063" t="s">
        <v>7127</v>
      </c>
      <c r="AD1063" t="s">
        <v>9517</v>
      </c>
      <c r="AE1063">
        <v>89</v>
      </c>
      <c r="AF1063" t="s">
        <v>11005</v>
      </c>
      <c r="AG1063" t="s">
        <v>11024</v>
      </c>
      <c r="AH1063">
        <v>29</v>
      </c>
      <c r="AI1063">
        <v>2</v>
      </c>
      <c r="AJ1063">
        <v>0</v>
      </c>
      <c r="AK1063">
        <v>89.95999999999999</v>
      </c>
      <c r="AN1063" t="s">
        <v>11050</v>
      </c>
      <c r="AO1063">
        <v>14808</v>
      </c>
      <c r="AU1063">
        <v>0</v>
      </c>
      <c r="AW1063" t="s">
        <v>11516</v>
      </c>
    </row>
    <row r="1064" spans="1:49">
      <c r="A1064" s="1">
        <f>HYPERLINK("https://cms.ls-nyc.org/matter/dynamic-profile/view/1854485","17-1854485")</f>
        <v>0</v>
      </c>
      <c r="B1064" t="s">
        <v>129</v>
      </c>
      <c r="C1064" t="s">
        <v>234</v>
      </c>
      <c r="D1064" t="s">
        <v>308</v>
      </c>
      <c r="E1064" t="s">
        <v>778</v>
      </c>
      <c r="F1064" t="s">
        <v>1358</v>
      </c>
      <c r="G1064" t="s">
        <v>2796</v>
      </c>
      <c r="H1064" t="s">
        <v>3721</v>
      </c>
      <c r="I1064" t="s">
        <v>4832</v>
      </c>
      <c r="J1064" t="s">
        <v>5321</v>
      </c>
      <c r="K1064">
        <v>10453</v>
      </c>
      <c r="L1064" t="s">
        <v>5355</v>
      </c>
      <c r="M1064" t="s">
        <v>5356</v>
      </c>
      <c r="O1064" t="s">
        <v>6499</v>
      </c>
      <c r="P1064" t="s">
        <v>6528</v>
      </c>
      <c r="Q1064" t="s">
        <v>6536</v>
      </c>
      <c r="R1064" t="s">
        <v>6539</v>
      </c>
      <c r="S1064" t="s">
        <v>5355</v>
      </c>
      <c r="U1064" t="s">
        <v>6557</v>
      </c>
      <c r="W1064" t="s">
        <v>298</v>
      </c>
      <c r="X1064">
        <v>677.37</v>
      </c>
      <c r="Y1064" t="s">
        <v>6606</v>
      </c>
      <c r="Z1064" t="s">
        <v>6612</v>
      </c>
      <c r="AA1064" t="s">
        <v>6636</v>
      </c>
      <c r="AB1064" t="s">
        <v>7609</v>
      </c>
      <c r="AE1064">
        <v>170</v>
      </c>
      <c r="AF1064" t="s">
        <v>11005</v>
      </c>
      <c r="AG1064" t="s">
        <v>5406</v>
      </c>
      <c r="AH1064">
        <v>37</v>
      </c>
      <c r="AI1064">
        <v>3</v>
      </c>
      <c r="AJ1064">
        <v>3</v>
      </c>
      <c r="AK1064">
        <v>90.08</v>
      </c>
      <c r="AN1064" t="s">
        <v>11050</v>
      </c>
      <c r="AO1064">
        <v>29692</v>
      </c>
      <c r="AU1064">
        <v>0.1</v>
      </c>
      <c r="AV1064" t="s">
        <v>778</v>
      </c>
      <c r="AW1064" t="s">
        <v>95</v>
      </c>
    </row>
    <row r="1065" spans="1:49">
      <c r="A1065" s="1">
        <f>HYPERLINK("https://cms.ls-nyc.org/matter/dynamic-profile/view/1857367","18-1857367")</f>
        <v>0</v>
      </c>
      <c r="B1065" t="s">
        <v>58</v>
      </c>
      <c r="C1065" t="s">
        <v>235</v>
      </c>
      <c r="D1065" t="s">
        <v>343</v>
      </c>
      <c r="F1065" t="s">
        <v>1513</v>
      </c>
      <c r="G1065" t="s">
        <v>2135</v>
      </c>
      <c r="H1065" t="s">
        <v>4007</v>
      </c>
      <c r="J1065" t="s">
        <v>5321</v>
      </c>
      <c r="K1065">
        <v>10452</v>
      </c>
      <c r="L1065" t="s">
        <v>5355</v>
      </c>
      <c r="M1065" t="s">
        <v>5356</v>
      </c>
      <c r="N1065" t="s">
        <v>5571</v>
      </c>
      <c r="O1065" t="s">
        <v>6499</v>
      </c>
      <c r="P1065" t="s">
        <v>6528</v>
      </c>
      <c r="R1065" t="s">
        <v>6539</v>
      </c>
      <c r="S1065" t="s">
        <v>5355</v>
      </c>
      <c r="U1065" t="s">
        <v>6557</v>
      </c>
      <c r="W1065" t="s">
        <v>6592</v>
      </c>
      <c r="X1065">
        <v>700.84</v>
      </c>
      <c r="Y1065" t="s">
        <v>6606</v>
      </c>
      <c r="Z1065" t="s">
        <v>6612</v>
      </c>
      <c r="AB1065" t="s">
        <v>7610</v>
      </c>
      <c r="AD1065" t="s">
        <v>9972</v>
      </c>
      <c r="AE1065">
        <v>122</v>
      </c>
      <c r="AF1065" t="s">
        <v>11005</v>
      </c>
      <c r="AG1065" t="s">
        <v>11024</v>
      </c>
      <c r="AH1065">
        <v>26</v>
      </c>
      <c r="AI1065">
        <v>1</v>
      </c>
      <c r="AJ1065">
        <v>0</v>
      </c>
      <c r="AK1065">
        <v>93.53</v>
      </c>
      <c r="AN1065" t="s">
        <v>11050</v>
      </c>
      <c r="AO1065">
        <v>11280</v>
      </c>
      <c r="AU1065">
        <v>0</v>
      </c>
      <c r="AW1065" t="s">
        <v>11492</v>
      </c>
    </row>
    <row r="1066" spans="1:49">
      <c r="A1066" s="1">
        <f>HYPERLINK("https://cms.ls-nyc.org/matter/dynamic-profile/view/1867114","18-1867114")</f>
        <v>0</v>
      </c>
      <c r="B1066" t="s">
        <v>135</v>
      </c>
      <c r="C1066" t="s">
        <v>235</v>
      </c>
      <c r="D1066" t="s">
        <v>391</v>
      </c>
      <c r="F1066" t="s">
        <v>1147</v>
      </c>
      <c r="G1066" t="s">
        <v>2395</v>
      </c>
      <c r="H1066" t="s">
        <v>3739</v>
      </c>
      <c r="I1066" t="s">
        <v>4887</v>
      </c>
      <c r="J1066" t="s">
        <v>5320</v>
      </c>
      <c r="K1066">
        <v>11212</v>
      </c>
      <c r="L1066" t="s">
        <v>5355</v>
      </c>
      <c r="M1066" t="s">
        <v>5356</v>
      </c>
      <c r="O1066" t="s">
        <v>6500</v>
      </c>
      <c r="P1066" t="s">
        <v>6528</v>
      </c>
      <c r="R1066" t="s">
        <v>6539</v>
      </c>
      <c r="S1066" t="s">
        <v>5355</v>
      </c>
      <c r="U1066" t="s">
        <v>6557</v>
      </c>
      <c r="W1066" t="s">
        <v>298</v>
      </c>
      <c r="X1066">
        <v>1135</v>
      </c>
      <c r="Y1066" t="s">
        <v>6605</v>
      </c>
      <c r="Z1066" t="s">
        <v>6493</v>
      </c>
      <c r="AB1066" t="s">
        <v>7019</v>
      </c>
      <c r="AD1066" t="s">
        <v>9422</v>
      </c>
      <c r="AE1066">
        <v>32</v>
      </c>
      <c r="AF1066" t="s">
        <v>11005</v>
      </c>
      <c r="AG1066" t="s">
        <v>5406</v>
      </c>
      <c r="AH1066">
        <v>20</v>
      </c>
      <c r="AI1066">
        <v>2</v>
      </c>
      <c r="AJ1066">
        <v>0</v>
      </c>
      <c r="AK1066">
        <v>94.78</v>
      </c>
      <c r="AN1066" t="s">
        <v>11050</v>
      </c>
      <c r="AO1066">
        <v>15600</v>
      </c>
      <c r="AU1066">
        <v>0</v>
      </c>
      <c r="AW1066" t="s">
        <v>11512</v>
      </c>
    </row>
    <row r="1067" spans="1:49">
      <c r="A1067" s="1">
        <f>HYPERLINK("https://cms.ls-nyc.org/matter/dynamic-profile/view/1857559","18-1857559")</f>
        <v>0</v>
      </c>
      <c r="B1067" t="s">
        <v>58</v>
      </c>
      <c r="C1067" t="s">
        <v>235</v>
      </c>
      <c r="D1067" t="s">
        <v>397</v>
      </c>
      <c r="F1067" t="s">
        <v>860</v>
      </c>
      <c r="G1067" t="s">
        <v>2620</v>
      </c>
      <c r="H1067" t="s">
        <v>4007</v>
      </c>
      <c r="J1067" t="s">
        <v>5321</v>
      </c>
      <c r="K1067">
        <v>10452</v>
      </c>
      <c r="L1067" t="s">
        <v>5355</v>
      </c>
      <c r="M1067" t="s">
        <v>5356</v>
      </c>
      <c r="N1067" t="s">
        <v>5571</v>
      </c>
      <c r="O1067" t="s">
        <v>6499</v>
      </c>
      <c r="P1067" t="s">
        <v>6528</v>
      </c>
      <c r="R1067" t="s">
        <v>6539</v>
      </c>
      <c r="S1067" t="s">
        <v>5355</v>
      </c>
      <c r="U1067" t="s">
        <v>6557</v>
      </c>
      <c r="W1067" t="s">
        <v>236</v>
      </c>
      <c r="X1067">
        <v>669</v>
      </c>
      <c r="Y1067" t="s">
        <v>6606</v>
      </c>
      <c r="Z1067" t="s">
        <v>6612</v>
      </c>
      <c r="AB1067" t="s">
        <v>7611</v>
      </c>
      <c r="AD1067" t="s">
        <v>9973</v>
      </c>
      <c r="AE1067">
        <v>122</v>
      </c>
      <c r="AF1067" t="s">
        <v>11005</v>
      </c>
      <c r="AG1067" t="s">
        <v>5406</v>
      </c>
      <c r="AH1067">
        <v>0</v>
      </c>
      <c r="AI1067">
        <v>2</v>
      </c>
      <c r="AJ1067">
        <v>0</v>
      </c>
      <c r="AK1067">
        <v>96.06</v>
      </c>
      <c r="AN1067" t="s">
        <v>11049</v>
      </c>
      <c r="AO1067">
        <v>15600</v>
      </c>
      <c r="AU1067">
        <v>0</v>
      </c>
      <c r="AW1067" t="s">
        <v>11492</v>
      </c>
    </row>
    <row r="1068" spans="1:49">
      <c r="A1068" s="1">
        <f>HYPERLINK("https://cms.ls-nyc.org/matter/dynamic-profile/view/1854138","17-1854138")</f>
        <v>0</v>
      </c>
      <c r="B1068" t="s">
        <v>129</v>
      </c>
      <c r="C1068" t="s">
        <v>235</v>
      </c>
      <c r="D1068" t="s">
        <v>439</v>
      </c>
      <c r="F1068" t="s">
        <v>1205</v>
      </c>
      <c r="G1068" t="s">
        <v>2234</v>
      </c>
      <c r="H1068" t="s">
        <v>3808</v>
      </c>
      <c r="I1068" t="s">
        <v>4837</v>
      </c>
      <c r="J1068" t="s">
        <v>5321</v>
      </c>
      <c r="K1068">
        <v>10456</v>
      </c>
      <c r="L1068" t="s">
        <v>5355</v>
      </c>
      <c r="M1068" t="s">
        <v>5356</v>
      </c>
      <c r="N1068" t="s">
        <v>5585</v>
      </c>
      <c r="O1068" t="s">
        <v>6499</v>
      </c>
      <c r="P1068" t="s">
        <v>6528</v>
      </c>
      <c r="R1068" t="s">
        <v>6539</v>
      </c>
      <c r="S1068" t="s">
        <v>5355</v>
      </c>
      <c r="U1068" t="s">
        <v>6557</v>
      </c>
      <c r="W1068" t="s">
        <v>6572</v>
      </c>
      <c r="X1068">
        <v>1466.39</v>
      </c>
      <c r="Y1068" t="s">
        <v>6606</v>
      </c>
      <c r="Z1068" t="s">
        <v>6612</v>
      </c>
      <c r="AB1068" t="s">
        <v>7612</v>
      </c>
      <c r="AD1068" t="s">
        <v>9974</v>
      </c>
      <c r="AE1068">
        <v>61</v>
      </c>
      <c r="AF1068" t="s">
        <v>11005</v>
      </c>
      <c r="AG1068" t="s">
        <v>11020</v>
      </c>
      <c r="AH1068">
        <v>17</v>
      </c>
      <c r="AI1068">
        <v>2</v>
      </c>
      <c r="AJ1068">
        <v>0</v>
      </c>
      <c r="AK1068">
        <v>96.13</v>
      </c>
      <c r="AL1068" t="s">
        <v>366</v>
      </c>
      <c r="AN1068" t="s">
        <v>11049</v>
      </c>
      <c r="AO1068">
        <v>15612</v>
      </c>
      <c r="AU1068">
        <v>0.5</v>
      </c>
      <c r="AV1068" t="s">
        <v>735</v>
      </c>
      <c r="AW1068" t="s">
        <v>11509</v>
      </c>
    </row>
    <row r="1069" spans="1:49">
      <c r="A1069" s="1">
        <f>HYPERLINK("https://cms.ls-nyc.org/matter/dynamic-profile/view/1857401","18-1857401")</f>
        <v>0</v>
      </c>
      <c r="B1069" t="s">
        <v>58</v>
      </c>
      <c r="C1069" t="s">
        <v>235</v>
      </c>
      <c r="D1069" t="s">
        <v>343</v>
      </c>
      <c r="F1069" t="s">
        <v>1409</v>
      </c>
      <c r="G1069" t="s">
        <v>2247</v>
      </c>
      <c r="H1069" t="s">
        <v>4007</v>
      </c>
      <c r="I1069" t="s">
        <v>5056</v>
      </c>
      <c r="J1069" t="s">
        <v>5321</v>
      </c>
      <c r="K1069">
        <v>10452</v>
      </c>
      <c r="L1069" t="s">
        <v>5355</v>
      </c>
      <c r="M1069" t="s">
        <v>5356</v>
      </c>
      <c r="N1069" t="s">
        <v>5571</v>
      </c>
      <c r="O1069" t="s">
        <v>6499</v>
      </c>
      <c r="P1069" t="s">
        <v>6528</v>
      </c>
      <c r="R1069" t="s">
        <v>6539</v>
      </c>
      <c r="S1069" t="s">
        <v>5355</v>
      </c>
      <c r="U1069" t="s">
        <v>6557</v>
      </c>
      <c r="W1069" t="s">
        <v>236</v>
      </c>
      <c r="X1069">
        <v>0</v>
      </c>
      <c r="Y1069" t="s">
        <v>6606</v>
      </c>
      <c r="Z1069" t="s">
        <v>6612</v>
      </c>
      <c r="AB1069" t="s">
        <v>7613</v>
      </c>
      <c r="AD1069" t="s">
        <v>9975</v>
      </c>
      <c r="AE1069">
        <v>122</v>
      </c>
      <c r="AF1069" t="s">
        <v>11005</v>
      </c>
      <c r="AH1069">
        <v>0</v>
      </c>
      <c r="AI1069">
        <v>1</v>
      </c>
      <c r="AJ1069">
        <v>0</v>
      </c>
      <c r="AK1069">
        <v>96.42</v>
      </c>
      <c r="AN1069" t="s">
        <v>11049</v>
      </c>
      <c r="AO1069">
        <v>11628</v>
      </c>
      <c r="AP1069" t="s">
        <v>11138</v>
      </c>
      <c r="AU1069">
        <v>0</v>
      </c>
      <c r="AW1069" t="s">
        <v>11492</v>
      </c>
    </row>
    <row r="1070" spans="1:49">
      <c r="A1070" s="1">
        <f>HYPERLINK("https://cms.ls-nyc.org/matter/dynamic-profile/view/1859446","18-1859446")</f>
        <v>0</v>
      </c>
      <c r="B1070" t="s">
        <v>102</v>
      </c>
      <c r="C1070" t="s">
        <v>235</v>
      </c>
      <c r="D1070" t="s">
        <v>284</v>
      </c>
      <c r="F1070" t="s">
        <v>1514</v>
      </c>
      <c r="G1070" t="s">
        <v>2486</v>
      </c>
      <c r="H1070" t="s">
        <v>3526</v>
      </c>
      <c r="I1070">
        <v>308</v>
      </c>
      <c r="J1070" t="s">
        <v>5321</v>
      </c>
      <c r="K1070">
        <v>10453</v>
      </c>
      <c r="L1070" t="s">
        <v>5355</v>
      </c>
      <c r="M1070" t="s">
        <v>5356</v>
      </c>
      <c r="O1070" t="s">
        <v>6499</v>
      </c>
      <c r="P1070" t="s">
        <v>6528</v>
      </c>
      <c r="R1070" t="s">
        <v>6539</v>
      </c>
      <c r="S1070" t="s">
        <v>5355</v>
      </c>
      <c r="U1070" t="s">
        <v>6557</v>
      </c>
      <c r="W1070" t="s">
        <v>373</v>
      </c>
      <c r="X1070">
        <v>896</v>
      </c>
      <c r="Y1070" t="s">
        <v>6606</v>
      </c>
      <c r="Z1070" t="s">
        <v>6622</v>
      </c>
      <c r="AB1070" t="s">
        <v>7614</v>
      </c>
      <c r="AD1070" t="s">
        <v>9976</v>
      </c>
      <c r="AE1070">
        <v>146</v>
      </c>
      <c r="AF1070" t="s">
        <v>11005</v>
      </c>
      <c r="AG1070" t="s">
        <v>5406</v>
      </c>
      <c r="AH1070">
        <v>12</v>
      </c>
      <c r="AI1070">
        <v>2</v>
      </c>
      <c r="AJ1070">
        <v>2</v>
      </c>
      <c r="AK1070">
        <v>97.56</v>
      </c>
      <c r="AN1070" t="s">
        <v>11049</v>
      </c>
      <c r="AO1070">
        <v>39600</v>
      </c>
      <c r="AU1070">
        <v>1.1</v>
      </c>
      <c r="AV1070" t="s">
        <v>307</v>
      </c>
      <c r="AW1070" t="s">
        <v>11492</v>
      </c>
    </row>
    <row r="1071" spans="1:49">
      <c r="A1071" s="1">
        <f>HYPERLINK("https://cms.ls-nyc.org/matter/dynamic-profile/view/0828383","17-0828383")</f>
        <v>0</v>
      </c>
      <c r="B1071" t="s">
        <v>180</v>
      </c>
      <c r="C1071" t="s">
        <v>234</v>
      </c>
      <c r="D1071" t="s">
        <v>531</v>
      </c>
      <c r="E1071" t="s">
        <v>398</v>
      </c>
      <c r="F1071" t="s">
        <v>1515</v>
      </c>
      <c r="G1071" t="s">
        <v>2797</v>
      </c>
      <c r="H1071" t="s">
        <v>4085</v>
      </c>
      <c r="I1071" t="s">
        <v>5057</v>
      </c>
      <c r="J1071" t="s">
        <v>5321</v>
      </c>
      <c r="K1071">
        <v>10472</v>
      </c>
      <c r="L1071" t="s">
        <v>5355</v>
      </c>
      <c r="M1071" t="s">
        <v>5356</v>
      </c>
      <c r="O1071" t="s">
        <v>6504</v>
      </c>
      <c r="P1071" t="s">
        <v>6528</v>
      </c>
      <c r="Q1071" t="s">
        <v>6536</v>
      </c>
      <c r="R1071" t="s">
        <v>6539</v>
      </c>
      <c r="S1071" t="s">
        <v>5357</v>
      </c>
      <c r="T1071" t="s">
        <v>6543</v>
      </c>
      <c r="U1071" t="s">
        <v>6560</v>
      </c>
      <c r="W1071" t="s">
        <v>247</v>
      </c>
      <c r="X1071">
        <v>1330</v>
      </c>
      <c r="Y1071" t="s">
        <v>6606</v>
      </c>
      <c r="Z1071" t="s">
        <v>6614</v>
      </c>
      <c r="AA1071" t="s">
        <v>6632</v>
      </c>
      <c r="AB1071" t="s">
        <v>7615</v>
      </c>
      <c r="AD1071" t="s">
        <v>9977</v>
      </c>
      <c r="AE1071">
        <v>60</v>
      </c>
      <c r="AF1071" t="s">
        <v>11005</v>
      </c>
      <c r="AG1071" t="s">
        <v>11020</v>
      </c>
      <c r="AH1071">
        <v>3</v>
      </c>
      <c r="AI1071">
        <v>1</v>
      </c>
      <c r="AJ1071">
        <v>0</v>
      </c>
      <c r="AK1071">
        <v>99.5</v>
      </c>
      <c r="AN1071" t="s">
        <v>11050</v>
      </c>
      <c r="AO1071">
        <v>12000</v>
      </c>
      <c r="AU1071">
        <v>12.6</v>
      </c>
      <c r="AV1071" t="s">
        <v>377</v>
      </c>
      <c r="AW1071" t="s">
        <v>11509</v>
      </c>
    </row>
    <row r="1072" spans="1:49">
      <c r="A1072" s="1">
        <f>HYPERLINK("https://cms.ls-nyc.org/matter/dynamic-profile/view/1843148","17-1843148")</f>
        <v>0</v>
      </c>
      <c r="B1072" t="s">
        <v>63</v>
      </c>
      <c r="C1072" t="s">
        <v>235</v>
      </c>
      <c r="D1072" t="s">
        <v>388</v>
      </c>
      <c r="F1072" t="s">
        <v>1516</v>
      </c>
      <c r="G1072" t="s">
        <v>2798</v>
      </c>
      <c r="H1072" t="s">
        <v>4057</v>
      </c>
      <c r="I1072" t="s">
        <v>5058</v>
      </c>
      <c r="J1072" t="s">
        <v>5322</v>
      </c>
      <c r="K1072">
        <v>10314</v>
      </c>
      <c r="L1072" t="s">
        <v>5355</v>
      </c>
      <c r="M1072" t="s">
        <v>5356</v>
      </c>
      <c r="N1072" t="s">
        <v>5572</v>
      </c>
      <c r="O1072" t="s">
        <v>6499</v>
      </c>
      <c r="P1072" t="s">
        <v>6528</v>
      </c>
      <c r="R1072" t="s">
        <v>6539</v>
      </c>
      <c r="S1072" t="s">
        <v>5355</v>
      </c>
      <c r="U1072" t="s">
        <v>6557</v>
      </c>
      <c r="W1072" t="s">
        <v>388</v>
      </c>
      <c r="X1072">
        <v>864</v>
      </c>
      <c r="Y1072" t="s">
        <v>6607</v>
      </c>
      <c r="Z1072" t="s">
        <v>6622</v>
      </c>
      <c r="AB1072" t="s">
        <v>7616</v>
      </c>
      <c r="AD1072" t="s">
        <v>9978</v>
      </c>
      <c r="AE1072">
        <v>96</v>
      </c>
      <c r="AF1072" t="s">
        <v>11005</v>
      </c>
      <c r="AG1072" t="s">
        <v>11024</v>
      </c>
      <c r="AH1072">
        <v>8</v>
      </c>
      <c r="AI1072">
        <v>1</v>
      </c>
      <c r="AJ1072">
        <v>0</v>
      </c>
      <c r="AK1072">
        <v>99.5</v>
      </c>
      <c r="AL1072" t="s">
        <v>11034</v>
      </c>
      <c r="AN1072" t="s">
        <v>11050</v>
      </c>
      <c r="AO1072">
        <v>12000</v>
      </c>
      <c r="AU1072">
        <v>0.62</v>
      </c>
      <c r="AV1072" t="s">
        <v>11029</v>
      </c>
      <c r="AW1072" t="s">
        <v>62</v>
      </c>
    </row>
    <row r="1073" spans="1:49">
      <c r="A1073" s="1">
        <f>HYPERLINK("https://cms.ls-nyc.org/matter/dynamic-profile/view/1868674","18-1868674")</f>
        <v>0</v>
      </c>
      <c r="B1073" t="s">
        <v>92</v>
      </c>
      <c r="C1073" t="s">
        <v>235</v>
      </c>
      <c r="D1073" t="s">
        <v>318</v>
      </c>
      <c r="F1073" t="s">
        <v>1463</v>
      </c>
      <c r="G1073" t="s">
        <v>2799</v>
      </c>
      <c r="H1073" t="s">
        <v>4086</v>
      </c>
      <c r="I1073" t="s">
        <v>4955</v>
      </c>
      <c r="J1073" t="s">
        <v>5323</v>
      </c>
      <c r="K1073">
        <v>10029</v>
      </c>
      <c r="L1073" t="s">
        <v>5355</v>
      </c>
      <c r="M1073" t="s">
        <v>5356</v>
      </c>
      <c r="O1073" t="s">
        <v>5393</v>
      </c>
      <c r="P1073" t="s">
        <v>6528</v>
      </c>
      <c r="R1073" t="s">
        <v>6539</v>
      </c>
      <c r="S1073" t="s">
        <v>5357</v>
      </c>
      <c r="U1073" t="s">
        <v>6557</v>
      </c>
      <c r="W1073" t="s">
        <v>318</v>
      </c>
      <c r="X1073">
        <v>1127</v>
      </c>
      <c r="Y1073" t="s">
        <v>6608</v>
      </c>
      <c r="Z1073" t="s">
        <v>6616</v>
      </c>
      <c r="AB1073" t="s">
        <v>7617</v>
      </c>
      <c r="AD1073" t="s">
        <v>9979</v>
      </c>
      <c r="AE1073">
        <v>115</v>
      </c>
      <c r="AF1073" t="s">
        <v>11010</v>
      </c>
      <c r="AG1073" t="s">
        <v>11020</v>
      </c>
      <c r="AH1073">
        <v>48</v>
      </c>
      <c r="AI1073">
        <v>2</v>
      </c>
      <c r="AJ1073">
        <v>0</v>
      </c>
      <c r="AK1073">
        <v>99.73</v>
      </c>
      <c r="AN1073" t="s">
        <v>11049</v>
      </c>
      <c r="AO1073">
        <v>16416</v>
      </c>
      <c r="AU1073">
        <v>26.95</v>
      </c>
      <c r="AV1073" t="s">
        <v>726</v>
      </c>
      <c r="AW1073" t="s">
        <v>11497</v>
      </c>
    </row>
    <row r="1074" spans="1:49">
      <c r="A1074" s="1">
        <f>HYPERLINK("https://cms.ls-nyc.org/matter/dynamic-profile/view/1842153","17-1842153")</f>
        <v>0</v>
      </c>
      <c r="B1074" t="s">
        <v>129</v>
      </c>
      <c r="C1074" t="s">
        <v>234</v>
      </c>
      <c r="D1074" t="s">
        <v>519</v>
      </c>
      <c r="E1074" t="s">
        <v>583</v>
      </c>
      <c r="F1074" t="s">
        <v>1231</v>
      </c>
      <c r="G1074" t="s">
        <v>2384</v>
      </c>
      <c r="H1074" t="s">
        <v>3721</v>
      </c>
      <c r="I1074" t="s">
        <v>4773</v>
      </c>
      <c r="J1074" t="s">
        <v>5321</v>
      </c>
      <c r="K1074">
        <v>10453</v>
      </c>
      <c r="L1074" t="s">
        <v>5355</v>
      </c>
      <c r="M1074" t="s">
        <v>5356</v>
      </c>
      <c r="O1074" t="s">
        <v>6499</v>
      </c>
      <c r="P1074" t="s">
        <v>6528</v>
      </c>
      <c r="Q1074" t="s">
        <v>6536</v>
      </c>
      <c r="R1074" t="s">
        <v>6539</v>
      </c>
      <c r="S1074" t="s">
        <v>5355</v>
      </c>
      <c r="U1074" t="s">
        <v>6557</v>
      </c>
      <c r="W1074" t="s">
        <v>404</v>
      </c>
      <c r="X1074">
        <v>1319</v>
      </c>
      <c r="Y1074" t="s">
        <v>6606</v>
      </c>
      <c r="Z1074" t="s">
        <v>6612</v>
      </c>
      <c r="AA1074" t="s">
        <v>6636</v>
      </c>
      <c r="AB1074" t="s">
        <v>7618</v>
      </c>
      <c r="AE1074">
        <v>170</v>
      </c>
      <c r="AF1074" t="s">
        <v>11005</v>
      </c>
      <c r="AG1074" t="s">
        <v>5406</v>
      </c>
      <c r="AH1074">
        <v>27</v>
      </c>
      <c r="AI1074">
        <v>2</v>
      </c>
      <c r="AJ1074">
        <v>2</v>
      </c>
      <c r="AK1074">
        <v>101.63</v>
      </c>
      <c r="AN1074" t="s">
        <v>11049</v>
      </c>
      <c r="AO1074">
        <v>25000</v>
      </c>
      <c r="AU1074">
        <v>0.1</v>
      </c>
      <c r="AV1074" t="s">
        <v>583</v>
      </c>
      <c r="AW1074" t="s">
        <v>11509</v>
      </c>
    </row>
    <row r="1075" spans="1:49">
      <c r="A1075" s="1">
        <f>HYPERLINK("https://cms.ls-nyc.org/matter/dynamic-profile/view/1857410","18-1857410")</f>
        <v>0</v>
      </c>
      <c r="B1075" t="s">
        <v>58</v>
      </c>
      <c r="C1075" t="s">
        <v>235</v>
      </c>
      <c r="D1075" t="s">
        <v>343</v>
      </c>
      <c r="F1075" t="s">
        <v>1364</v>
      </c>
      <c r="G1075" t="s">
        <v>2800</v>
      </c>
      <c r="H1075" t="s">
        <v>4007</v>
      </c>
      <c r="I1075" t="s">
        <v>5059</v>
      </c>
      <c r="J1075" t="s">
        <v>5321</v>
      </c>
      <c r="K1075">
        <v>10452</v>
      </c>
      <c r="L1075" t="s">
        <v>5355</v>
      </c>
      <c r="M1075" t="s">
        <v>5356</v>
      </c>
      <c r="O1075" t="s">
        <v>6499</v>
      </c>
      <c r="P1075" t="s">
        <v>6528</v>
      </c>
      <c r="R1075" t="s">
        <v>6539</v>
      </c>
      <c r="S1075" t="s">
        <v>5355</v>
      </c>
      <c r="U1075" t="s">
        <v>6557</v>
      </c>
      <c r="W1075" t="s">
        <v>236</v>
      </c>
      <c r="X1075">
        <v>1088.6</v>
      </c>
      <c r="Y1075" t="s">
        <v>6606</v>
      </c>
      <c r="Z1075" t="s">
        <v>6612</v>
      </c>
      <c r="AB1075" t="s">
        <v>7619</v>
      </c>
      <c r="AC1075" t="s">
        <v>8836</v>
      </c>
      <c r="AD1075" t="s">
        <v>9980</v>
      </c>
      <c r="AE1075">
        <v>122</v>
      </c>
      <c r="AF1075" t="s">
        <v>11005</v>
      </c>
      <c r="AH1075">
        <v>4</v>
      </c>
      <c r="AI1075">
        <v>2</v>
      </c>
      <c r="AJ1075">
        <v>4</v>
      </c>
      <c r="AK1075">
        <v>102.43</v>
      </c>
      <c r="AN1075" t="s">
        <v>11050</v>
      </c>
      <c r="AO1075">
        <v>34560</v>
      </c>
      <c r="AP1075" t="s">
        <v>11139</v>
      </c>
      <c r="AU1075">
        <v>2.9</v>
      </c>
      <c r="AV1075" t="s">
        <v>821</v>
      </c>
      <c r="AW1075" t="s">
        <v>11492</v>
      </c>
    </row>
    <row r="1076" spans="1:49">
      <c r="A1076" s="1">
        <f>HYPERLINK("https://cms.ls-nyc.org/matter/dynamic-profile/view/1851775","17-1851775")</f>
        <v>0</v>
      </c>
      <c r="B1076" t="s">
        <v>129</v>
      </c>
      <c r="C1076" t="s">
        <v>234</v>
      </c>
      <c r="D1076" t="s">
        <v>381</v>
      </c>
      <c r="E1076" t="s">
        <v>600</v>
      </c>
      <c r="F1076" t="s">
        <v>1444</v>
      </c>
      <c r="G1076" t="s">
        <v>2801</v>
      </c>
      <c r="H1076" t="s">
        <v>4055</v>
      </c>
      <c r="I1076" t="s">
        <v>4753</v>
      </c>
      <c r="J1076" t="s">
        <v>5321</v>
      </c>
      <c r="K1076">
        <v>10468</v>
      </c>
      <c r="L1076" t="s">
        <v>5355</v>
      </c>
      <c r="M1076" t="s">
        <v>5356</v>
      </c>
      <c r="N1076" t="s">
        <v>5568</v>
      </c>
      <c r="O1076" t="s">
        <v>6499</v>
      </c>
      <c r="P1076" t="s">
        <v>6528</v>
      </c>
      <c r="Q1076" t="s">
        <v>6536</v>
      </c>
      <c r="R1076" t="s">
        <v>6539</v>
      </c>
      <c r="S1076" t="s">
        <v>5355</v>
      </c>
      <c r="U1076" t="s">
        <v>6557</v>
      </c>
      <c r="W1076" t="s">
        <v>381</v>
      </c>
      <c r="X1076">
        <v>1150</v>
      </c>
      <c r="Y1076" t="s">
        <v>6606</v>
      </c>
      <c r="Z1076" t="s">
        <v>6620</v>
      </c>
      <c r="AA1076" t="s">
        <v>6634</v>
      </c>
      <c r="AB1076" t="s">
        <v>7620</v>
      </c>
      <c r="AD1076" t="s">
        <v>9981</v>
      </c>
      <c r="AE1076">
        <v>47</v>
      </c>
      <c r="AF1076" t="s">
        <v>11005</v>
      </c>
      <c r="AG1076" t="s">
        <v>5406</v>
      </c>
      <c r="AH1076">
        <v>9</v>
      </c>
      <c r="AI1076">
        <v>2</v>
      </c>
      <c r="AJ1076">
        <v>1</v>
      </c>
      <c r="AK1076">
        <v>102.62</v>
      </c>
      <c r="AL1076" t="s">
        <v>463</v>
      </c>
      <c r="AN1076" t="s">
        <v>11049</v>
      </c>
      <c r="AO1076">
        <v>20956</v>
      </c>
      <c r="AU1076">
        <v>0.5</v>
      </c>
      <c r="AV1076" t="s">
        <v>381</v>
      </c>
      <c r="AW1076" t="s">
        <v>11499</v>
      </c>
    </row>
    <row r="1077" spans="1:49">
      <c r="A1077" s="1">
        <f>HYPERLINK("https://cms.ls-nyc.org/matter/dynamic-profile/view/1857526","18-1857526")</f>
        <v>0</v>
      </c>
      <c r="B1077" t="s">
        <v>58</v>
      </c>
      <c r="C1077" t="s">
        <v>235</v>
      </c>
      <c r="D1077" t="s">
        <v>397</v>
      </c>
      <c r="F1077" t="s">
        <v>1009</v>
      </c>
      <c r="G1077" t="s">
        <v>2355</v>
      </c>
      <c r="H1077" t="s">
        <v>4007</v>
      </c>
      <c r="I1077" t="s">
        <v>5060</v>
      </c>
      <c r="J1077" t="s">
        <v>5321</v>
      </c>
      <c r="K1077">
        <v>10452</v>
      </c>
      <c r="L1077" t="s">
        <v>5355</v>
      </c>
      <c r="M1077" t="s">
        <v>5356</v>
      </c>
      <c r="N1077" t="s">
        <v>5571</v>
      </c>
      <c r="O1077" t="s">
        <v>6499</v>
      </c>
      <c r="P1077" t="s">
        <v>6528</v>
      </c>
      <c r="R1077" t="s">
        <v>6539</v>
      </c>
      <c r="S1077" t="s">
        <v>5355</v>
      </c>
      <c r="U1077" t="s">
        <v>6557</v>
      </c>
      <c r="W1077" t="s">
        <v>298</v>
      </c>
      <c r="X1077">
        <v>993</v>
      </c>
      <c r="Y1077" t="s">
        <v>6606</v>
      </c>
      <c r="Z1077" t="s">
        <v>6612</v>
      </c>
      <c r="AB1077" t="s">
        <v>7621</v>
      </c>
      <c r="AC1077" t="s">
        <v>8837</v>
      </c>
      <c r="AD1077" t="s">
        <v>9982</v>
      </c>
      <c r="AE1077">
        <v>122</v>
      </c>
      <c r="AF1077" t="s">
        <v>11005</v>
      </c>
      <c r="AH1077">
        <v>25</v>
      </c>
      <c r="AI1077">
        <v>2</v>
      </c>
      <c r="AJ1077">
        <v>0</v>
      </c>
      <c r="AK1077">
        <v>103.45</v>
      </c>
      <c r="AN1077" t="s">
        <v>11049</v>
      </c>
      <c r="AO1077">
        <v>25428</v>
      </c>
      <c r="AP1077" t="s">
        <v>11138</v>
      </c>
      <c r="AU1077">
        <v>0</v>
      </c>
      <c r="AW1077" t="s">
        <v>11492</v>
      </c>
    </row>
    <row r="1078" spans="1:49">
      <c r="A1078" s="1">
        <f>HYPERLINK("https://cms.ls-nyc.org/matter/dynamic-profile/view/1836415","17-1836415")</f>
        <v>0</v>
      </c>
      <c r="B1078" t="s">
        <v>111</v>
      </c>
      <c r="C1078" t="s">
        <v>235</v>
      </c>
      <c r="D1078" t="s">
        <v>532</v>
      </c>
      <c r="F1078" t="s">
        <v>1517</v>
      </c>
      <c r="G1078" t="s">
        <v>2802</v>
      </c>
      <c r="H1078" t="s">
        <v>4075</v>
      </c>
      <c r="I1078" t="s">
        <v>4796</v>
      </c>
      <c r="J1078" t="s">
        <v>5323</v>
      </c>
      <c r="K1078">
        <v>10040</v>
      </c>
      <c r="L1078" t="s">
        <v>5355</v>
      </c>
      <c r="M1078" t="s">
        <v>5356</v>
      </c>
      <c r="N1078" t="s">
        <v>5591</v>
      </c>
      <c r="O1078" t="s">
        <v>6494</v>
      </c>
      <c r="P1078" t="s">
        <v>6528</v>
      </c>
      <c r="R1078" t="s">
        <v>6539</v>
      </c>
      <c r="S1078" t="s">
        <v>5355</v>
      </c>
      <c r="U1078" t="s">
        <v>6557</v>
      </c>
      <c r="W1078" t="s">
        <v>6575</v>
      </c>
      <c r="X1078">
        <v>892.52</v>
      </c>
      <c r="Y1078" t="s">
        <v>6608</v>
      </c>
      <c r="Z1078" t="s">
        <v>6622</v>
      </c>
      <c r="AB1078" t="s">
        <v>7622</v>
      </c>
      <c r="AD1078" t="s">
        <v>9983</v>
      </c>
      <c r="AE1078">
        <v>45</v>
      </c>
      <c r="AF1078" t="s">
        <v>11005</v>
      </c>
      <c r="AG1078" t="s">
        <v>5406</v>
      </c>
      <c r="AH1078">
        <v>13</v>
      </c>
      <c r="AI1078">
        <v>2</v>
      </c>
      <c r="AJ1078">
        <v>1</v>
      </c>
      <c r="AK1078">
        <v>104.41</v>
      </c>
      <c r="AL1078" t="s">
        <v>11035</v>
      </c>
      <c r="AN1078" t="s">
        <v>11049</v>
      </c>
      <c r="AO1078">
        <v>21320</v>
      </c>
      <c r="AU1078">
        <v>2</v>
      </c>
      <c r="AV1078" t="s">
        <v>395</v>
      </c>
      <c r="AW1078" t="s">
        <v>11497</v>
      </c>
    </row>
    <row r="1079" spans="1:49">
      <c r="A1079" s="1">
        <f>HYPERLINK("https://cms.ls-nyc.org/matter/dynamic-profile/view/1860466","18-1860466")</f>
        <v>0</v>
      </c>
      <c r="B1079" t="s">
        <v>176</v>
      </c>
      <c r="C1079" t="s">
        <v>235</v>
      </c>
      <c r="D1079" t="s">
        <v>319</v>
      </c>
      <c r="F1079" t="s">
        <v>1518</v>
      </c>
      <c r="G1079" t="s">
        <v>2803</v>
      </c>
      <c r="H1079" t="s">
        <v>3576</v>
      </c>
      <c r="I1079" t="s">
        <v>5061</v>
      </c>
      <c r="J1079" t="s">
        <v>5317</v>
      </c>
      <c r="K1079">
        <v>11432</v>
      </c>
      <c r="L1079" t="s">
        <v>5355</v>
      </c>
      <c r="M1079" t="s">
        <v>5356</v>
      </c>
      <c r="N1079" t="s">
        <v>5583</v>
      </c>
      <c r="O1079" t="s">
        <v>6499</v>
      </c>
      <c r="P1079" t="s">
        <v>6528</v>
      </c>
      <c r="R1079" t="s">
        <v>6539</v>
      </c>
      <c r="S1079" t="s">
        <v>5355</v>
      </c>
      <c r="U1079" t="s">
        <v>6559</v>
      </c>
      <c r="W1079" t="s">
        <v>6575</v>
      </c>
      <c r="X1079">
        <v>1673.53</v>
      </c>
      <c r="Y1079" t="s">
        <v>6604</v>
      </c>
      <c r="Z1079" t="s">
        <v>6614</v>
      </c>
      <c r="AB1079" t="s">
        <v>7623</v>
      </c>
      <c r="AC1079" t="s">
        <v>5392</v>
      </c>
      <c r="AD1079" t="s">
        <v>9984</v>
      </c>
      <c r="AE1079">
        <v>60</v>
      </c>
      <c r="AF1079" t="s">
        <v>11005</v>
      </c>
      <c r="AG1079" t="s">
        <v>5406</v>
      </c>
      <c r="AH1079">
        <v>20</v>
      </c>
      <c r="AI1079">
        <v>2</v>
      </c>
      <c r="AJ1079">
        <v>3</v>
      </c>
      <c r="AK1079">
        <v>105.37</v>
      </c>
      <c r="AL1079" t="s">
        <v>485</v>
      </c>
      <c r="AN1079" t="s">
        <v>11049</v>
      </c>
      <c r="AO1079">
        <v>31000</v>
      </c>
      <c r="AU1079">
        <v>0.2</v>
      </c>
      <c r="AV1079" t="s">
        <v>677</v>
      </c>
      <c r="AW1079" t="s">
        <v>93</v>
      </c>
    </row>
    <row r="1080" spans="1:49">
      <c r="A1080" s="1">
        <f>HYPERLINK("https://cms.ls-nyc.org/matter/dynamic-profile/view/1864195","18-1864195")</f>
        <v>0</v>
      </c>
      <c r="B1080" t="s">
        <v>179</v>
      </c>
      <c r="C1080" t="s">
        <v>235</v>
      </c>
      <c r="D1080" t="s">
        <v>357</v>
      </c>
      <c r="F1080" t="s">
        <v>895</v>
      </c>
      <c r="G1080" t="s">
        <v>2804</v>
      </c>
      <c r="H1080" t="s">
        <v>4083</v>
      </c>
      <c r="I1080" t="s">
        <v>4785</v>
      </c>
      <c r="J1080" t="s">
        <v>5320</v>
      </c>
      <c r="K1080">
        <v>11226</v>
      </c>
      <c r="L1080" t="s">
        <v>5355</v>
      </c>
      <c r="M1080" t="s">
        <v>5356</v>
      </c>
      <c r="N1080" t="s">
        <v>5598</v>
      </c>
      <c r="O1080" t="s">
        <v>6499</v>
      </c>
      <c r="P1080" t="s">
        <v>6528</v>
      </c>
      <c r="R1080" t="s">
        <v>6539</v>
      </c>
      <c r="S1080" t="s">
        <v>5355</v>
      </c>
      <c r="T1080" t="s">
        <v>6545</v>
      </c>
      <c r="U1080" t="s">
        <v>6557</v>
      </c>
      <c r="W1080" t="s">
        <v>516</v>
      </c>
      <c r="X1080">
        <v>1053.67</v>
      </c>
      <c r="Y1080" t="s">
        <v>6605</v>
      </c>
      <c r="Z1080" t="s">
        <v>6612</v>
      </c>
      <c r="AB1080" t="s">
        <v>7624</v>
      </c>
      <c r="AD1080" t="s">
        <v>9985</v>
      </c>
      <c r="AE1080">
        <v>61</v>
      </c>
      <c r="AF1080" t="s">
        <v>11005</v>
      </c>
      <c r="AH1080">
        <v>38</v>
      </c>
      <c r="AI1080">
        <v>3</v>
      </c>
      <c r="AJ1080">
        <v>0</v>
      </c>
      <c r="AK1080">
        <v>105.39</v>
      </c>
      <c r="AN1080" t="s">
        <v>11050</v>
      </c>
      <c r="AO1080">
        <v>21900</v>
      </c>
      <c r="AU1080">
        <v>13.75</v>
      </c>
      <c r="AV1080" t="s">
        <v>11458</v>
      </c>
      <c r="AW1080" t="s">
        <v>11490</v>
      </c>
    </row>
    <row r="1081" spans="1:49">
      <c r="A1081" s="1">
        <f>HYPERLINK("https://cms.ls-nyc.org/matter/dynamic-profile/view/1860216","18-1860216")</f>
        <v>0</v>
      </c>
      <c r="B1081" t="s">
        <v>176</v>
      </c>
      <c r="C1081" t="s">
        <v>235</v>
      </c>
      <c r="D1081" t="s">
        <v>428</v>
      </c>
      <c r="F1081" t="s">
        <v>1519</v>
      </c>
      <c r="G1081" t="s">
        <v>2247</v>
      </c>
      <c r="H1081" t="s">
        <v>3576</v>
      </c>
      <c r="I1081" t="s">
        <v>5062</v>
      </c>
      <c r="J1081" t="s">
        <v>5317</v>
      </c>
      <c r="K1081">
        <v>11432</v>
      </c>
      <c r="L1081" t="s">
        <v>5355</v>
      </c>
      <c r="M1081" t="s">
        <v>5356</v>
      </c>
      <c r="N1081" t="s">
        <v>5583</v>
      </c>
      <c r="O1081" t="s">
        <v>6499</v>
      </c>
      <c r="P1081" t="s">
        <v>6528</v>
      </c>
      <c r="R1081" t="s">
        <v>6539</v>
      </c>
      <c r="S1081" t="s">
        <v>5355</v>
      </c>
      <c r="U1081" t="s">
        <v>6559</v>
      </c>
      <c r="W1081" t="s">
        <v>6575</v>
      </c>
      <c r="X1081">
        <v>0</v>
      </c>
      <c r="Y1081" t="s">
        <v>6604</v>
      </c>
      <c r="Z1081" t="s">
        <v>6623</v>
      </c>
      <c r="AB1081" t="s">
        <v>7625</v>
      </c>
      <c r="AC1081" t="s">
        <v>5392</v>
      </c>
      <c r="AD1081" t="s">
        <v>9986</v>
      </c>
      <c r="AE1081">
        <v>60</v>
      </c>
      <c r="AF1081" t="s">
        <v>11005</v>
      </c>
      <c r="AG1081" t="s">
        <v>5406</v>
      </c>
      <c r="AH1081">
        <v>0</v>
      </c>
      <c r="AI1081">
        <v>2</v>
      </c>
      <c r="AJ1081">
        <v>4</v>
      </c>
      <c r="AK1081">
        <v>106.19</v>
      </c>
      <c r="AL1081" t="s">
        <v>485</v>
      </c>
      <c r="AN1081" t="s">
        <v>11049</v>
      </c>
      <c r="AO1081">
        <v>35000</v>
      </c>
      <c r="AU1081">
        <v>0.2</v>
      </c>
      <c r="AV1081" t="s">
        <v>677</v>
      </c>
      <c r="AW1081" t="s">
        <v>93</v>
      </c>
    </row>
    <row r="1082" spans="1:49">
      <c r="A1082" s="1">
        <f>HYPERLINK("https://cms.ls-nyc.org/matter/dynamic-profile/view/1860305","18-1860305")</f>
        <v>0</v>
      </c>
      <c r="B1082" t="s">
        <v>176</v>
      </c>
      <c r="C1082" t="s">
        <v>235</v>
      </c>
      <c r="D1082" t="s">
        <v>236</v>
      </c>
      <c r="F1082" t="s">
        <v>1519</v>
      </c>
      <c r="G1082" t="s">
        <v>2247</v>
      </c>
      <c r="H1082" t="s">
        <v>3576</v>
      </c>
      <c r="I1082" t="s">
        <v>5062</v>
      </c>
      <c r="J1082" t="s">
        <v>5317</v>
      </c>
      <c r="K1082">
        <v>11432</v>
      </c>
      <c r="L1082" t="s">
        <v>5355</v>
      </c>
      <c r="M1082" t="s">
        <v>5356</v>
      </c>
      <c r="N1082" t="s">
        <v>5582</v>
      </c>
      <c r="O1082" t="s">
        <v>6499</v>
      </c>
      <c r="P1082" t="s">
        <v>6528</v>
      </c>
      <c r="R1082" t="s">
        <v>6539</v>
      </c>
      <c r="S1082" t="s">
        <v>5355</v>
      </c>
      <c r="U1082" t="s">
        <v>6559</v>
      </c>
      <c r="W1082" t="s">
        <v>6575</v>
      </c>
      <c r="X1082">
        <v>0</v>
      </c>
      <c r="Y1082" t="s">
        <v>6604</v>
      </c>
      <c r="Z1082" t="s">
        <v>6623</v>
      </c>
      <c r="AB1082" t="s">
        <v>7625</v>
      </c>
      <c r="AC1082" t="s">
        <v>5392</v>
      </c>
      <c r="AD1082" t="s">
        <v>9986</v>
      </c>
      <c r="AE1082">
        <v>60</v>
      </c>
      <c r="AF1082" t="s">
        <v>11005</v>
      </c>
      <c r="AG1082" t="s">
        <v>5406</v>
      </c>
      <c r="AH1082">
        <v>0</v>
      </c>
      <c r="AI1082">
        <v>2</v>
      </c>
      <c r="AJ1082">
        <v>4</v>
      </c>
      <c r="AK1082">
        <v>106.19</v>
      </c>
      <c r="AL1082" t="s">
        <v>485</v>
      </c>
      <c r="AN1082" t="s">
        <v>11049</v>
      </c>
      <c r="AO1082">
        <v>35000</v>
      </c>
      <c r="AU1082">
        <v>0.2</v>
      </c>
      <c r="AV1082" t="s">
        <v>677</v>
      </c>
      <c r="AW1082" t="s">
        <v>93</v>
      </c>
    </row>
    <row r="1083" spans="1:49">
      <c r="A1083" s="1">
        <f>HYPERLINK("https://cms.ls-nyc.org/matter/dynamic-profile/view/1838024","17-1838024")</f>
        <v>0</v>
      </c>
      <c r="B1083" t="s">
        <v>129</v>
      </c>
      <c r="C1083" t="s">
        <v>235</v>
      </c>
      <c r="D1083" t="s">
        <v>493</v>
      </c>
      <c r="F1083" t="s">
        <v>1520</v>
      </c>
      <c r="G1083" t="s">
        <v>1033</v>
      </c>
      <c r="H1083" t="s">
        <v>4077</v>
      </c>
      <c r="I1083" t="s">
        <v>4749</v>
      </c>
      <c r="J1083" t="s">
        <v>5321</v>
      </c>
      <c r="K1083">
        <v>10473</v>
      </c>
      <c r="L1083" t="s">
        <v>5355</v>
      </c>
      <c r="M1083" t="s">
        <v>5356</v>
      </c>
      <c r="N1083" t="s">
        <v>5593</v>
      </c>
      <c r="O1083" t="s">
        <v>6499</v>
      </c>
      <c r="P1083" t="s">
        <v>6528</v>
      </c>
      <c r="R1083" t="s">
        <v>6539</v>
      </c>
      <c r="S1083" t="s">
        <v>5355</v>
      </c>
      <c r="U1083" t="s">
        <v>6557</v>
      </c>
      <c r="W1083" t="s">
        <v>6572</v>
      </c>
      <c r="X1083">
        <v>1449.4</v>
      </c>
      <c r="Y1083" t="s">
        <v>6606</v>
      </c>
      <c r="Z1083" t="s">
        <v>6620</v>
      </c>
      <c r="AB1083" t="s">
        <v>7626</v>
      </c>
      <c r="AD1083" t="s">
        <v>9987</v>
      </c>
      <c r="AE1083">
        <v>976</v>
      </c>
      <c r="AF1083" t="s">
        <v>11005</v>
      </c>
      <c r="AG1083" t="s">
        <v>5406</v>
      </c>
      <c r="AH1083">
        <v>10</v>
      </c>
      <c r="AI1083">
        <v>4</v>
      </c>
      <c r="AJ1083">
        <v>0</v>
      </c>
      <c r="AK1083">
        <v>106.34</v>
      </c>
      <c r="AL1083" t="s">
        <v>578</v>
      </c>
      <c r="AN1083" t="s">
        <v>11050</v>
      </c>
      <c r="AO1083">
        <v>26160</v>
      </c>
      <c r="AU1083">
        <v>0</v>
      </c>
      <c r="AW1083" t="s">
        <v>11509</v>
      </c>
    </row>
    <row r="1084" spans="1:49">
      <c r="A1084" s="1">
        <f>HYPERLINK("https://cms.ls-nyc.org/matter/dynamic-profile/view/1860471","18-1860471")</f>
        <v>0</v>
      </c>
      <c r="B1084" t="s">
        <v>176</v>
      </c>
      <c r="C1084" t="s">
        <v>235</v>
      </c>
      <c r="D1084" t="s">
        <v>319</v>
      </c>
      <c r="F1084" t="s">
        <v>1518</v>
      </c>
      <c r="G1084" t="s">
        <v>2803</v>
      </c>
      <c r="H1084" t="s">
        <v>3576</v>
      </c>
      <c r="I1084" t="s">
        <v>5061</v>
      </c>
      <c r="J1084" t="s">
        <v>5317</v>
      </c>
      <c r="K1084">
        <v>11432</v>
      </c>
      <c r="L1084" t="s">
        <v>5355</v>
      </c>
      <c r="M1084" t="s">
        <v>5355</v>
      </c>
      <c r="N1084" t="s">
        <v>5582</v>
      </c>
      <c r="O1084" t="s">
        <v>6499</v>
      </c>
      <c r="P1084" t="s">
        <v>6528</v>
      </c>
      <c r="R1084" t="s">
        <v>6539</v>
      </c>
      <c r="S1084" t="s">
        <v>5355</v>
      </c>
      <c r="U1084" t="s">
        <v>6559</v>
      </c>
      <c r="V1084" t="s">
        <v>6566</v>
      </c>
      <c r="W1084" t="s">
        <v>319</v>
      </c>
      <c r="X1084">
        <v>1673.53</v>
      </c>
      <c r="Y1084" t="s">
        <v>6604</v>
      </c>
      <c r="Z1084" t="s">
        <v>6609</v>
      </c>
      <c r="AB1084" t="s">
        <v>7623</v>
      </c>
      <c r="AD1084" t="s">
        <v>9984</v>
      </c>
      <c r="AE1084">
        <v>60</v>
      </c>
      <c r="AF1084" t="s">
        <v>11005</v>
      </c>
      <c r="AG1084" t="s">
        <v>5406</v>
      </c>
      <c r="AH1084">
        <v>20</v>
      </c>
      <c r="AI1084">
        <v>2</v>
      </c>
      <c r="AJ1084">
        <v>3</v>
      </c>
      <c r="AK1084">
        <v>107.71</v>
      </c>
      <c r="AO1084">
        <v>46000</v>
      </c>
      <c r="AU1084">
        <v>0.1</v>
      </c>
      <c r="AV1084" t="s">
        <v>677</v>
      </c>
      <c r="AW1084" t="s">
        <v>93</v>
      </c>
    </row>
    <row r="1085" spans="1:49">
      <c r="A1085" s="1">
        <f>HYPERLINK("https://cms.ls-nyc.org/matter/dynamic-profile/view/1857284","18-1857284")</f>
        <v>0</v>
      </c>
      <c r="B1085" t="s">
        <v>104</v>
      </c>
      <c r="C1085" t="s">
        <v>235</v>
      </c>
      <c r="D1085" t="s">
        <v>297</v>
      </c>
      <c r="F1085" t="s">
        <v>1521</v>
      </c>
      <c r="G1085" t="s">
        <v>2762</v>
      </c>
      <c r="H1085" t="s">
        <v>4007</v>
      </c>
      <c r="I1085" t="s">
        <v>5063</v>
      </c>
      <c r="J1085" t="s">
        <v>5321</v>
      </c>
      <c r="K1085">
        <v>10452</v>
      </c>
      <c r="L1085" t="s">
        <v>5355</v>
      </c>
      <c r="M1085" t="s">
        <v>5356</v>
      </c>
      <c r="N1085" t="s">
        <v>5571</v>
      </c>
      <c r="O1085" t="s">
        <v>6499</v>
      </c>
      <c r="P1085" t="s">
        <v>6528</v>
      </c>
      <c r="R1085" t="s">
        <v>6539</v>
      </c>
      <c r="S1085" t="s">
        <v>5355</v>
      </c>
      <c r="U1085" t="s">
        <v>6557</v>
      </c>
      <c r="W1085" t="s">
        <v>6592</v>
      </c>
      <c r="X1085">
        <v>750</v>
      </c>
      <c r="Y1085" t="s">
        <v>6606</v>
      </c>
      <c r="Z1085" t="s">
        <v>6612</v>
      </c>
      <c r="AB1085" t="s">
        <v>7627</v>
      </c>
      <c r="AD1085" t="s">
        <v>9988</v>
      </c>
      <c r="AE1085">
        <v>122</v>
      </c>
      <c r="AF1085" t="s">
        <v>11005</v>
      </c>
      <c r="AH1085">
        <v>8</v>
      </c>
      <c r="AI1085">
        <v>1</v>
      </c>
      <c r="AJ1085">
        <v>0</v>
      </c>
      <c r="AK1085">
        <v>107.79</v>
      </c>
      <c r="AN1085" t="s">
        <v>11050</v>
      </c>
      <c r="AO1085">
        <v>13000</v>
      </c>
      <c r="AU1085">
        <v>0</v>
      </c>
      <c r="AW1085" t="s">
        <v>11492</v>
      </c>
    </row>
    <row r="1086" spans="1:49">
      <c r="A1086" s="1">
        <f>HYPERLINK("https://cms.ls-nyc.org/matter/dynamic-profile/view/1867084","18-1867084")</f>
        <v>0</v>
      </c>
      <c r="B1086" t="s">
        <v>135</v>
      </c>
      <c r="C1086" t="s">
        <v>234</v>
      </c>
      <c r="D1086" t="s">
        <v>244</v>
      </c>
      <c r="E1086" t="s">
        <v>742</v>
      </c>
      <c r="F1086" t="s">
        <v>1243</v>
      </c>
      <c r="G1086" t="s">
        <v>1965</v>
      </c>
      <c r="H1086" t="s">
        <v>3739</v>
      </c>
      <c r="I1086" t="s">
        <v>4738</v>
      </c>
      <c r="J1086" t="s">
        <v>5320</v>
      </c>
      <c r="K1086">
        <v>11212</v>
      </c>
      <c r="L1086" t="s">
        <v>5355</v>
      </c>
      <c r="M1086" t="s">
        <v>5356</v>
      </c>
      <c r="O1086" t="s">
        <v>6500</v>
      </c>
      <c r="P1086" t="s">
        <v>6528</v>
      </c>
      <c r="Q1086" t="s">
        <v>6536</v>
      </c>
      <c r="R1086" t="s">
        <v>6539</v>
      </c>
      <c r="S1086" t="s">
        <v>5355</v>
      </c>
      <c r="U1086" t="s">
        <v>6557</v>
      </c>
      <c r="W1086" t="s">
        <v>298</v>
      </c>
      <c r="X1086">
        <v>1100</v>
      </c>
      <c r="Y1086" t="s">
        <v>6605</v>
      </c>
      <c r="Z1086" t="s">
        <v>6493</v>
      </c>
      <c r="AA1086" t="s">
        <v>6634</v>
      </c>
      <c r="AB1086" t="s">
        <v>7157</v>
      </c>
      <c r="AD1086" t="s">
        <v>9547</v>
      </c>
      <c r="AE1086">
        <v>0</v>
      </c>
      <c r="AF1086" t="s">
        <v>11005</v>
      </c>
      <c r="AH1086">
        <v>16</v>
      </c>
      <c r="AI1086">
        <v>1</v>
      </c>
      <c r="AJ1086">
        <v>0</v>
      </c>
      <c r="AK1086">
        <v>109.28</v>
      </c>
      <c r="AN1086" t="s">
        <v>11050</v>
      </c>
      <c r="AO1086">
        <v>13266.72</v>
      </c>
      <c r="AU1086">
        <v>0.08</v>
      </c>
      <c r="AV1086" t="s">
        <v>789</v>
      </c>
      <c r="AW1086" t="s">
        <v>11512</v>
      </c>
    </row>
    <row r="1087" spans="1:49">
      <c r="A1087" s="1">
        <f>HYPERLINK("https://cms.ls-nyc.org/matter/dynamic-profile/view/1867107","18-1867107")</f>
        <v>0</v>
      </c>
      <c r="B1087" t="s">
        <v>135</v>
      </c>
      <c r="C1087" t="s">
        <v>235</v>
      </c>
      <c r="D1087" t="s">
        <v>391</v>
      </c>
      <c r="F1087" t="s">
        <v>1156</v>
      </c>
      <c r="G1087" t="s">
        <v>2402</v>
      </c>
      <c r="H1087" t="s">
        <v>3739</v>
      </c>
      <c r="I1087" t="s">
        <v>4890</v>
      </c>
      <c r="J1087" t="s">
        <v>5320</v>
      </c>
      <c r="K1087">
        <v>11212</v>
      </c>
      <c r="L1087" t="s">
        <v>5355</v>
      </c>
      <c r="M1087" t="s">
        <v>5356</v>
      </c>
      <c r="O1087" t="s">
        <v>6500</v>
      </c>
      <c r="P1087" t="s">
        <v>6528</v>
      </c>
      <c r="R1087" t="s">
        <v>6539</v>
      </c>
      <c r="S1087" t="s">
        <v>5355</v>
      </c>
      <c r="U1087" t="s">
        <v>6557</v>
      </c>
      <c r="W1087" t="s">
        <v>298</v>
      </c>
      <c r="X1087">
        <v>939.42</v>
      </c>
      <c r="Y1087" t="s">
        <v>6605</v>
      </c>
      <c r="Z1087" t="s">
        <v>6493</v>
      </c>
      <c r="AB1087" t="s">
        <v>7029</v>
      </c>
      <c r="AD1087" t="s">
        <v>9431</v>
      </c>
      <c r="AE1087">
        <v>32</v>
      </c>
      <c r="AF1087" t="s">
        <v>11005</v>
      </c>
      <c r="AG1087" t="s">
        <v>11024</v>
      </c>
      <c r="AH1087">
        <v>19</v>
      </c>
      <c r="AI1087">
        <v>1</v>
      </c>
      <c r="AJ1087">
        <v>2</v>
      </c>
      <c r="AK1087">
        <v>110.07</v>
      </c>
      <c r="AN1087" t="s">
        <v>11050</v>
      </c>
      <c r="AO1087">
        <v>22872</v>
      </c>
      <c r="AU1087">
        <v>0</v>
      </c>
      <c r="AW1087" t="s">
        <v>11512</v>
      </c>
    </row>
    <row r="1088" spans="1:49">
      <c r="A1088" s="1">
        <f>HYPERLINK("https://cms.ls-nyc.org/matter/dynamic-profile/view/1850446","17-1850446")</f>
        <v>0</v>
      </c>
      <c r="B1088" t="s">
        <v>77</v>
      </c>
      <c r="C1088" t="s">
        <v>234</v>
      </c>
      <c r="D1088" t="s">
        <v>366</v>
      </c>
      <c r="E1088" t="s">
        <v>687</v>
      </c>
      <c r="F1088" t="s">
        <v>1522</v>
      </c>
      <c r="G1088" t="s">
        <v>2805</v>
      </c>
      <c r="H1088" t="s">
        <v>3625</v>
      </c>
      <c r="I1088">
        <v>5</v>
      </c>
      <c r="J1088" t="s">
        <v>5320</v>
      </c>
      <c r="K1088">
        <v>11219</v>
      </c>
      <c r="L1088" t="s">
        <v>5355</v>
      </c>
      <c r="M1088" t="s">
        <v>5356</v>
      </c>
      <c r="O1088" t="s">
        <v>6499</v>
      </c>
      <c r="P1088" t="s">
        <v>6528</v>
      </c>
      <c r="Q1088" t="s">
        <v>6536</v>
      </c>
      <c r="R1088" t="s">
        <v>6539</v>
      </c>
      <c r="S1088" t="s">
        <v>5355</v>
      </c>
      <c r="T1088" t="s">
        <v>6539</v>
      </c>
      <c r="U1088" t="s">
        <v>6557</v>
      </c>
      <c r="W1088" t="s">
        <v>415</v>
      </c>
      <c r="X1088">
        <v>824.34</v>
      </c>
      <c r="Y1088" t="s">
        <v>6605</v>
      </c>
      <c r="Z1088" t="s">
        <v>6622</v>
      </c>
      <c r="AA1088" t="s">
        <v>6632</v>
      </c>
      <c r="AB1088" t="s">
        <v>7628</v>
      </c>
      <c r="AC1088" t="s">
        <v>8838</v>
      </c>
      <c r="AD1088" t="s">
        <v>9989</v>
      </c>
      <c r="AE1088">
        <v>14</v>
      </c>
      <c r="AF1088" t="s">
        <v>11005</v>
      </c>
      <c r="AH1088">
        <v>12</v>
      </c>
      <c r="AI1088">
        <v>2</v>
      </c>
      <c r="AJ1088">
        <v>0</v>
      </c>
      <c r="AK1088">
        <v>110.76</v>
      </c>
      <c r="AL1088" t="s">
        <v>333</v>
      </c>
      <c r="AN1088" t="s">
        <v>11062</v>
      </c>
      <c r="AO1088">
        <v>17988</v>
      </c>
      <c r="AU1088">
        <v>77.3</v>
      </c>
      <c r="AV1088" t="s">
        <v>687</v>
      </c>
      <c r="AW1088" t="s">
        <v>11489</v>
      </c>
    </row>
    <row r="1089" spans="1:49">
      <c r="A1089" s="1">
        <f>HYPERLINK("https://cms.ls-nyc.org/matter/dynamic-profile/view/1859703","18-1859703")</f>
        <v>0</v>
      </c>
      <c r="B1089" t="s">
        <v>102</v>
      </c>
      <c r="C1089" t="s">
        <v>235</v>
      </c>
      <c r="D1089" t="s">
        <v>523</v>
      </c>
      <c r="F1089" t="s">
        <v>1523</v>
      </c>
      <c r="G1089" t="s">
        <v>2169</v>
      </c>
      <c r="H1089" t="s">
        <v>3526</v>
      </c>
      <c r="I1089">
        <v>517</v>
      </c>
      <c r="J1089" t="s">
        <v>5321</v>
      </c>
      <c r="K1089">
        <v>10453</v>
      </c>
      <c r="L1089" t="s">
        <v>5355</v>
      </c>
      <c r="M1089" t="s">
        <v>5356</v>
      </c>
      <c r="O1089" t="s">
        <v>6499</v>
      </c>
      <c r="P1089" t="s">
        <v>6528</v>
      </c>
      <c r="R1089" t="s">
        <v>6539</v>
      </c>
      <c r="S1089" t="s">
        <v>5355</v>
      </c>
      <c r="U1089" t="s">
        <v>6557</v>
      </c>
      <c r="W1089" t="s">
        <v>319</v>
      </c>
      <c r="X1089">
        <v>1017.67</v>
      </c>
      <c r="Y1089" t="s">
        <v>6606</v>
      </c>
      <c r="Z1089" t="s">
        <v>6622</v>
      </c>
      <c r="AB1089" t="s">
        <v>7629</v>
      </c>
      <c r="AD1089" t="s">
        <v>9990</v>
      </c>
      <c r="AE1089">
        <v>146</v>
      </c>
      <c r="AF1089" t="s">
        <v>11005</v>
      </c>
      <c r="AG1089" t="s">
        <v>5406</v>
      </c>
      <c r="AH1089">
        <v>10</v>
      </c>
      <c r="AI1089">
        <v>1</v>
      </c>
      <c r="AJ1089">
        <v>0</v>
      </c>
      <c r="AK1089">
        <v>110.95</v>
      </c>
      <c r="AN1089" t="s">
        <v>11049</v>
      </c>
      <c r="AO1089">
        <v>13380</v>
      </c>
      <c r="AU1089">
        <v>0.1</v>
      </c>
      <c r="AV1089" t="s">
        <v>409</v>
      </c>
      <c r="AW1089" t="s">
        <v>11492</v>
      </c>
    </row>
    <row r="1090" spans="1:49">
      <c r="A1090" s="1">
        <f>HYPERLINK("https://cms.ls-nyc.org/matter/dynamic-profile/view/1856778","18-1856778")</f>
        <v>0</v>
      </c>
      <c r="B1090" t="s">
        <v>129</v>
      </c>
      <c r="C1090" t="s">
        <v>235</v>
      </c>
      <c r="D1090" t="s">
        <v>310</v>
      </c>
      <c r="F1090" t="s">
        <v>1524</v>
      </c>
      <c r="G1090" t="s">
        <v>2806</v>
      </c>
      <c r="H1090" t="s">
        <v>3808</v>
      </c>
      <c r="I1090" t="s">
        <v>4734</v>
      </c>
      <c r="J1090" t="s">
        <v>5321</v>
      </c>
      <c r="K1090">
        <v>10456</v>
      </c>
      <c r="L1090" t="s">
        <v>5355</v>
      </c>
      <c r="M1090" t="s">
        <v>5356</v>
      </c>
      <c r="N1090" t="s">
        <v>5585</v>
      </c>
      <c r="O1090" t="s">
        <v>6499</v>
      </c>
      <c r="P1090" t="s">
        <v>6528</v>
      </c>
      <c r="R1090" t="s">
        <v>6539</v>
      </c>
      <c r="S1090" t="s">
        <v>5355</v>
      </c>
      <c r="U1090" t="s">
        <v>6557</v>
      </c>
      <c r="W1090" t="s">
        <v>236</v>
      </c>
      <c r="X1090">
        <v>966.71</v>
      </c>
      <c r="Y1090" t="s">
        <v>6606</v>
      </c>
      <c r="Z1090" t="s">
        <v>6612</v>
      </c>
      <c r="AB1090" t="s">
        <v>7630</v>
      </c>
      <c r="AD1090" t="s">
        <v>9991</v>
      </c>
      <c r="AE1090">
        <v>61</v>
      </c>
      <c r="AF1090" t="s">
        <v>11005</v>
      </c>
      <c r="AG1090" t="s">
        <v>5406</v>
      </c>
      <c r="AH1090">
        <v>27</v>
      </c>
      <c r="AI1090">
        <v>2</v>
      </c>
      <c r="AJ1090">
        <v>2</v>
      </c>
      <c r="AK1090">
        <v>111.55</v>
      </c>
      <c r="AL1090" t="s">
        <v>366</v>
      </c>
      <c r="AN1090" t="s">
        <v>11050</v>
      </c>
      <c r="AO1090">
        <v>28000</v>
      </c>
      <c r="AP1090" t="s">
        <v>11075</v>
      </c>
      <c r="AU1090">
        <v>1.5</v>
      </c>
      <c r="AV1090" t="s">
        <v>420</v>
      </c>
      <c r="AW1090" t="s">
        <v>11499</v>
      </c>
    </row>
    <row r="1091" spans="1:49">
      <c r="A1091" s="1">
        <f>HYPERLINK("https://cms.ls-nyc.org/matter/dynamic-profile/view/1857047","18-1857047")</f>
        <v>0</v>
      </c>
      <c r="B1091" t="s">
        <v>107</v>
      </c>
      <c r="C1091" t="s">
        <v>235</v>
      </c>
      <c r="D1091" t="s">
        <v>286</v>
      </c>
      <c r="F1091" t="s">
        <v>1525</v>
      </c>
      <c r="G1091" t="s">
        <v>2807</v>
      </c>
      <c r="H1091" t="s">
        <v>4087</v>
      </c>
      <c r="I1091" t="s">
        <v>4775</v>
      </c>
      <c r="J1091" t="s">
        <v>5323</v>
      </c>
      <c r="K1091">
        <v>10035</v>
      </c>
      <c r="L1091" t="s">
        <v>5355</v>
      </c>
      <c r="M1091" t="s">
        <v>5356</v>
      </c>
      <c r="O1091" t="s">
        <v>6501</v>
      </c>
      <c r="P1091" t="s">
        <v>6528</v>
      </c>
      <c r="R1091" t="s">
        <v>6539</v>
      </c>
      <c r="S1091" t="s">
        <v>5357</v>
      </c>
      <c r="U1091" t="s">
        <v>6563</v>
      </c>
      <c r="W1091" t="s">
        <v>286</v>
      </c>
      <c r="X1091">
        <v>814.25</v>
      </c>
      <c r="Y1091" t="s">
        <v>6608</v>
      </c>
      <c r="Z1091" t="s">
        <v>6625</v>
      </c>
      <c r="AB1091" t="s">
        <v>7631</v>
      </c>
      <c r="AD1091" t="s">
        <v>9992</v>
      </c>
      <c r="AE1091">
        <v>8</v>
      </c>
      <c r="AF1091" t="s">
        <v>11005</v>
      </c>
      <c r="AG1091" t="s">
        <v>5406</v>
      </c>
      <c r="AH1091">
        <v>8</v>
      </c>
      <c r="AI1091">
        <v>1</v>
      </c>
      <c r="AJ1091">
        <v>0</v>
      </c>
      <c r="AK1091">
        <v>111.64</v>
      </c>
      <c r="AN1091" t="s">
        <v>11050</v>
      </c>
      <c r="AO1091">
        <v>13464</v>
      </c>
      <c r="AU1091">
        <v>120</v>
      </c>
      <c r="AV1091" t="s">
        <v>767</v>
      </c>
      <c r="AW1091" t="s">
        <v>11497</v>
      </c>
    </row>
    <row r="1092" spans="1:49">
      <c r="A1092" s="1">
        <f>HYPERLINK("https://cms.ls-nyc.org/matter/dynamic-profile/view/1862837","18-1862837")</f>
        <v>0</v>
      </c>
      <c r="B1092" t="s">
        <v>129</v>
      </c>
      <c r="C1092" t="s">
        <v>235</v>
      </c>
      <c r="D1092" t="s">
        <v>293</v>
      </c>
      <c r="F1092" t="s">
        <v>1526</v>
      </c>
      <c r="G1092" t="s">
        <v>2207</v>
      </c>
      <c r="H1092" t="s">
        <v>4056</v>
      </c>
      <c r="I1092" t="s">
        <v>4817</v>
      </c>
      <c r="J1092" t="s">
        <v>5321</v>
      </c>
      <c r="K1092">
        <v>10457</v>
      </c>
      <c r="L1092" t="s">
        <v>5355</v>
      </c>
      <c r="M1092" t="s">
        <v>5356</v>
      </c>
      <c r="N1092" t="s">
        <v>5578</v>
      </c>
      <c r="O1092" t="s">
        <v>6499</v>
      </c>
      <c r="P1092" t="s">
        <v>6528</v>
      </c>
      <c r="R1092" t="s">
        <v>6539</v>
      </c>
      <c r="S1092" t="s">
        <v>5355</v>
      </c>
      <c r="U1092" t="s">
        <v>6557</v>
      </c>
      <c r="W1092" t="s">
        <v>516</v>
      </c>
      <c r="X1092">
        <v>862.95</v>
      </c>
      <c r="Y1092" t="s">
        <v>6606</v>
      </c>
      <c r="Z1092" t="s">
        <v>6614</v>
      </c>
      <c r="AB1092" t="s">
        <v>7632</v>
      </c>
      <c r="AC1092" t="s">
        <v>8839</v>
      </c>
      <c r="AE1092">
        <v>100</v>
      </c>
      <c r="AF1092" t="s">
        <v>11005</v>
      </c>
      <c r="AG1092" t="s">
        <v>11024</v>
      </c>
      <c r="AH1092">
        <v>32</v>
      </c>
      <c r="AI1092">
        <v>1</v>
      </c>
      <c r="AJ1092">
        <v>0</v>
      </c>
      <c r="AK1092">
        <v>113.18</v>
      </c>
      <c r="AN1092" t="s">
        <v>11049</v>
      </c>
      <c r="AO1092">
        <v>13740</v>
      </c>
      <c r="AU1092">
        <v>0.4</v>
      </c>
      <c r="AV1092" t="s">
        <v>293</v>
      </c>
      <c r="AW1092" t="s">
        <v>11499</v>
      </c>
    </row>
    <row r="1093" spans="1:49">
      <c r="A1093" s="1">
        <f>HYPERLINK("https://cms.ls-nyc.org/matter/dynamic-profile/view/1846954","17-1846954")</f>
        <v>0</v>
      </c>
      <c r="B1093" t="s">
        <v>107</v>
      </c>
      <c r="C1093" t="s">
        <v>234</v>
      </c>
      <c r="D1093" t="s">
        <v>533</v>
      </c>
      <c r="E1093" t="s">
        <v>605</v>
      </c>
      <c r="F1093" t="s">
        <v>1527</v>
      </c>
      <c r="G1093" t="s">
        <v>2808</v>
      </c>
      <c r="H1093" t="s">
        <v>4088</v>
      </c>
      <c r="I1093" t="s">
        <v>4752</v>
      </c>
      <c r="J1093" t="s">
        <v>5323</v>
      </c>
      <c r="K1093">
        <v>10035</v>
      </c>
      <c r="L1093" t="s">
        <v>5355</v>
      </c>
      <c r="M1093" t="s">
        <v>5356</v>
      </c>
      <c r="O1093" t="s">
        <v>6515</v>
      </c>
      <c r="P1093" t="s">
        <v>6528</v>
      </c>
      <c r="Q1093" t="s">
        <v>6536</v>
      </c>
      <c r="R1093" t="s">
        <v>6539</v>
      </c>
      <c r="S1093" t="s">
        <v>5357</v>
      </c>
      <c r="U1093" t="s">
        <v>6563</v>
      </c>
      <c r="W1093" t="s">
        <v>533</v>
      </c>
      <c r="X1093">
        <v>1142</v>
      </c>
      <c r="Y1093" t="s">
        <v>6608</v>
      </c>
      <c r="Z1093" t="s">
        <v>6625</v>
      </c>
      <c r="AA1093" t="s">
        <v>6635</v>
      </c>
      <c r="AB1093" t="s">
        <v>7633</v>
      </c>
      <c r="AD1093" t="s">
        <v>9993</v>
      </c>
      <c r="AE1093">
        <v>9</v>
      </c>
      <c r="AF1093" t="s">
        <v>11005</v>
      </c>
      <c r="AG1093" t="s">
        <v>5406</v>
      </c>
      <c r="AH1093">
        <v>22</v>
      </c>
      <c r="AI1093">
        <v>2</v>
      </c>
      <c r="AJ1093">
        <v>3</v>
      </c>
      <c r="AK1093">
        <v>113.27</v>
      </c>
      <c r="AN1093" t="s">
        <v>11050</v>
      </c>
      <c r="AO1093">
        <v>32598</v>
      </c>
      <c r="AU1093">
        <v>53.75</v>
      </c>
      <c r="AV1093" t="s">
        <v>817</v>
      </c>
      <c r="AW1093" t="s">
        <v>11497</v>
      </c>
    </row>
    <row r="1094" spans="1:49">
      <c r="A1094" s="1">
        <f>HYPERLINK("https://cms.ls-nyc.org/matter/dynamic-profile/view/1863504","18-1863504")</f>
        <v>0</v>
      </c>
      <c r="B1094" t="s">
        <v>106</v>
      </c>
      <c r="C1094" t="s">
        <v>235</v>
      </c>
      <c r="D1094" t="s">
        <v>373</v>
      </c>
      <c r="F1094" t="s">
        <v>1528</v>
      </c>
      <c r="G1094" t="s">
        <v>1033</v>
      </c>
      <c r="H1094" t="s">
        <v>4064</v>
      </c>
      <c r="I1094" t="s">
        <v>5012</v>
      </c>
      <c r="J1094" t="s">
        <v>5321</v>
      </c>
      <c r="K1094">
        <v>10452</v>
      </c>
      <c r="L1094" t="s">
        <v>5355</v>
      </c>
      <c r="M1094" t="s">
        <v>5356</v>
      </c>
      <c r="N1094" t="s">
        <v>5576</v>
      </c>
      <c r="O1094" t="s">
        <v>6499</v>
      </c>
      <c r="P1094" t="s">
        <v>6528</v>
      </c>
      <c r="R1094" t="s">
        <v>6539</v>
      </c>
      <c r="S1094" t="s">
        <v>5355</v>
      </c>
      <c r="U1094" t="s">
        <v>6557</v>
      </c>
      <c r="W1094" t="s">
        <v>316</v>
      </c>
      <c r="X1094">
        <v>840</v>
      </c>
      <c r="Y1094" t="s">
        <v>6606</v>
      </c>
      <c r="Z1094" t="s">
        <v>6612</v>
      </c>
      <c r="AB1094" t="s">
        <v>7634</v>
      </c>
      <c r="AD1094" t="s">
        <v>9994</v>
      </c>
      <c r="AE1094">
        <v>70</v>
      </c>
      <c r="AF1094" t="s">
        <v>11005</v>
      </c>
      <c r="AG1094" t="s">
        <v>5406</v>
      </c>
      <c r="AH1094">
        <v>19</v>
      </c>
      <c r="AI1094">
        <v>2</v>
      </c>
      <c r="AJ1094">
        <v>0</v>
      </c>
      <c r="AK1094">
        <v>113.73</v>
      </c>
      <c r="AN1094" t="s">
        <v>11050</v>
      </c>
      <c r="AO1094">
        <v>28080</v>
      </c>
      <c r="AP1094" t="s">
        <v>11140</v>
      </c>
      <c r="AU1094">
        <v>0</v>
      </c>
      <c r="AW1094" t="s">
        <v>11492</v>
      </c>
    </row>
    <row r="1095" spans="1:49">
      <c r="A1095" s="1">
        <f>HYPERLINK("https://cms.ls-nyc.org/matter/dynamic-profile/view/1872194","18-1872194")</f>
        <v>0</v>
      </c>
      <c r="B1095" t="s">
        <v>106</v>
      </c>
      <c r="C1095" t="s">
        <v>235</v>
      </c>
      <c r="D1095" t="s">
        <v>516</v>
      </c>
      <c r="F1095" t="s">
        <v>1528</v>
      </c>
      <c r="G1095" t="s">
        <v>1033</v>
      </c>
      <c r="H1095" t="s">
        <v>4064</v>
      </c>
      <c r="I1095" t="s">
        <v>5012</v>
      </c>
      <c r="J1095" t="s">
        <v>5321</v>
      </c>
      <c r="K1095">
        <v>10452</v>
      </c>
      <c r="L1095" t="s">
        <v>5355</v>
      </c>
      <c r="M1095" t="s">
        <v>5356</v>
      </c>
      <c r="O1095" t="s">
        <v>6499</v>
      </c>
      <c r="P1095" t="s">
        <v>6528</v>
      </c>
      <c r="R1095" t="s">
        <v>6539</v>
      </c>
      <c r="S1095" t="s">
        <v>5355</v>
      </c>
      <c r="U1095" t="s">
        <v>6557</v>
      </c>
      <c r="W1095" t="s">
        <v>516</v>
      </c>
      <c r="X1095">
        <v>840</v>
      </c>
      <c r="Y1095" t="s">
        <v>6606</v>
      </c>
      <c r="Z1095" t="s">
        <v>6614</v>
      </c>
      <c r="AB1095" t="s">
        <v>7634</v>
      </c>
      <c r="AD1095" t="s">
        <v>9994</v>
      </c>
      <c r="AE1095">
        <v>0</v>
      </c>
      <c r="AF1095" t="s">
        <v>11005</v>
      </c>
      <c r="AH1095">
        <v>19</v>
      </c>
      <c r="AI1095">
        <v>2</v>
      </c>
      <c r="AJ1095">
        <v>0</v>
      </c>
      <c r="AK1095">
        <v>113.73</v>
      </c>
      <c r="AN1095" t="s">
        <v>11050</v>
      </c>
      <c r="AO1095">
        <v>18720</v>
      </c>
      <c r="AP1095" t="s">
        <v>11141</v>
      </c>
      <c r="AU1095">
        <v>0</v>
      </c>
      <c r="AW1095" t="s">
        <v>11499</v>
      </c>
    </row>
    <row r="1096" spans="1:49">
      <c r="A1096" s="1">
        <f>HYPERLINK("https://cms.ls-nyc.org/matter/dynamic-profile/view/1860312","18-1860312")</f>
        <v>0</v>
      </c>
      <c r="B1096" t="s">
        <v>176</v>
      </c>
      <c r="C1096" t="s">
        <v>235</v>
      </c>
      <c r="D1096" t="s">
        <v>236</v>
      </c>
      <c r="F1096" t="s">
        <v>1529</v>
      </c>
      <c r="G1096" t="s">
        <v>2809</v>
      </c>
      <c r="H1096" t="s">
        <v>4030</v>
      </c>
      <c r="J1096" t="s">
        <v>5317</v>
      </c>
      <c r="K1096">
        <v>11432</v>
      </c>
      <c r="L1096" t="s">
        <v>5355</v>
      </c>
      <c r="M1096" t="s">
        <v>5356</v>
      </c>
      <c r="N1096" t="s">
        <v>5583</v>
      </c>
      <c r="O1096" t="s">
        <v>6499</v>
      </c>
      <c r="P1096" t="s">
        <v>6528</v>
      </c>
      <c r="R1096" t="s">
        <v>6539</v>
      </c>
      <c r="S1096" t="s">
        <v>5355</v>
      </c>
      <c r="U1096" t="s">
        <v>6559</v>
      </c>
      <c r="W1096" t="s">
        <v>6575</v>
      </c>
      <c r="X1096">
        <v>0</v>
      </c>
      <c r="Y1096" t="s">
        <v>6604</v>
      </c>
      <c r="Z1096" t="s">
        <v>6623</v>
      </c>
      <c r="AC1096" t="s">
        <v>5392</v>
      </c>
      <c r="AE1096">
        <v>60</v>
      </c>
      <c r="AF1096" t="s">
        <v>11005</v>
      </c>
      <c r="AG1096" t="s">
        <v>5406</v>
      </c>
      <c r="AH1096">
        <v>0</v>
      </c>
      <c r="AI1096">
        <v>2</v>
      </c>
      <c r="AJ1096">
        <v>2</v>
      </c>
      <c r="AK1096">
        <v>113.82</v>
      </c>
      <c r="AL1096" t="s">
        <v>485</v>
      </c>
      <c r="AN1096" t="s">
        <v>11049</v>
      </c>
      <c r="AO1096">
        <v>28000</v>
      </c>
      <c r="AU1096">
        <v>0.2</v>
      </c>
      <c r="AV1096" t="s">
        <v>677</v>
      </c>
      <c r="AW1096" t="s">
        <v>93</v>
      </c>
    </row>
    <row r="1097" spans="1:49">
      <c r="A1097" s="1">
        <f>HYPERLINK("https://cms.ls-nyc.org/matter/dynamic-profile/view/1860339","18-1860339")</f>
        <v>0</v>
      </c>
      <c r="B1097" t="s">
        <v>176</v>
      </c>
      <c r="C1097" t="s">
        <v>235</v>
      </c>
      <c r="D1097" t="s">
        <v>236</v>
      </c>
      <c r="F1097" t="s">
        <v>1529</v>
      </c>
      <c r="G1097" t="s">
        <v>2809</v>
      </c>
      <c r="H1097" t="s">
        <v>4030</v>
      </c>
      <c r="J1097" t="s">
        <v>5317</v>
      </c>
      <c r="K1097">
        <v>11432</v>
      </c>
      <c r="L1097" t="s">
        <v>5355</v>
      </c>
      <c r="M1097" t="s">
        <v>5356</v>
      </c>
      <c r="N1097" t="s">
        <v>5582</v>
      </c>
      <c r="O1097" t="s">
        <v>6499</v>
      </c>
      <c r="P1097" t="s">
        <v>6528</v>
      </c>
      <c r="R1097" t="s">
        <v>6539</v>
      </c>
      <c r="S1097" t="s">
        <v>5355</v>
      </c>
      <c r="U1097" t="s">
        <v>6559</v>
      </c>
      <c r="W1097" t="s">
        <v>6575</v>
      </c>
      <c r="X1097">
        <v>0</v>
      </c>
      <c r="Y1097" t="s">
        <v>6604</v>
      </c>
      <c r="Z1097" t="s">
        <v>6623</v>
      </c>
      <c r="AC1097" t="s">
        <v>5392</v>
      </c>
      <c r="AE1097">
        <v>60</v>
      </c>
      <c r="AF1097" t="s">
        <v>11005</v>
      </c>
      <c r="AG1097" t="s">
        <v>5406</v>
      </c>
      <c r="AH1097">
        <v>0</v>
      </c>
      <c r="AI1097">
        <v>2</v>
      </c>
      <c r="AJ1097">
        <v>2</v>
      </c>
      <c r="AK1097">
        <v>113.82</v>
      </c>
      <c r="AL1097" t="s">
        <v>485</v>
      </c>
      <c r="AN1097" t="s">
        <v>11049</v>
      </c>
      <c r="AO1097">
        <v>56000</v>
      </c>
      <c r="AU1097">
        <v>0.2</v>
      </c>
      <c r="AV1097" t="s">
        <v>677</v>
      </c>
      <c r="AW1097" t="s">
        <v>93</v>
      </c>
    </row>
    <row r="1098" spans="1:49">
      <c r="A1098" s="1">
        <f>HYPERLINK("https://cms.ls-nyc.org/matter/dynamic-profile/view/1857406","18-1857406")</f>
        <v>0</v>
      </c>
      <c r="B1098" t="s">
        <v>58</v>
      </c>
      <c r="C1098" t="s">
        <v>235</v>
      </c>
      <c r="D1098" t="s">
        <v>343</v>
      </c>
      <c r="F1098" t="s">
        <v>837</v>
      </c>
      <c r="G1098" t="s">
        <v>2810</v>
      </c>
      <c r="H1098" t="s">
        <v>4007</v>
      </c>
      <c r="I1098" t="s">
        <v>5064</v>
      </c>
      <c r="J1098" t="s">
        <v>5321</v>
      </c>
      <c r="K1098">
        <v>10452</v>
      </c>
      <c r="L1098" t="s">
        <v>5355</v>
      </c>
      <c r="M1098" t="s">
        <v>5356</v>
      </c>
      <c r="N1098" t="s">
        <v>5571</v>
      </c>
      <c r="O1098" t="s">
        <v>6499</v>
      </c>
      <c r="P1098" t="s">
        <v>6528</v>
      </c>
      <c r="R1098" t="s">
        <v>6539</v>
      </c>
      <c r="S1098" t="s">
        <v>5355</v>
      </c>
      <c r="U1098" t="s">
        <v>6557</v>
      </c>
      <c r="W1098" t="s">
        <v>6592</v>
      </c>
      <c r="X1098">
        <v>1011.05</v>
      </c>
      <c r="Y1098" t="s">
        <v>6606</v>
      </c>
      <c r="Z1098" t="s">
        <v>6612</v>
      </c>
      <c r="AB1098" t="s">
        <v>7635</v>
      </c>
      <c r="AD1098" t="s">
        <v>9995</v>
      </c>
      <c r="AE1098">
        <v>122</v>
      </c>
      <c r="AF1098" t="s">
        <v>11005</v>
      </c>
      <c r="AG1098" t="s">
        <v>11024</v>
      </c>
      <c r="AH1098">
        <v>24</v>
      </c>
      <c r="AI1098">
        <v>2</v>
      </c>
      <c r="AJ1098">
        <v>0</v>
      </c>
      <c r="AK1098">
        <v>114.68</v>
      </c>
      <c r="AN1098" t="s">
        <v>11049</v>
      </c>
      <c r="AO1098">
        <v>27936</v>
      </c>
      <c r="AU1098">
        <v>0</v>
      </c>
      <c r="AW1098" t="s">
        <v>11492</v>
      </c>
    </row>
    <row r="1099" spans="1:49">
      <c r="A1099" s="1">
        <f>HYPERLINK("https://cms.ls-nyc.org/matter/dynamic-profile/view/1854981","18-1854981")</f>
        <v>0</v>
      </c>
      <c r="B1099" t="s">
        <v>90</v>
      </c>
      <c r="C1099" t="s">
        <v>235</v>
      </c>
      <c r="D1099" t="s">
        <v>521</v>
      </c>
      <c r="F1099" t="s">
        <v>1179</v>
      </c>
      <c r="G1099" t="s">
        <v>2612</v>
      </c>
      <c r="H1099" t="s">
        <v>4059</v>
      </c>
      <c r="I1099" t="s">
        <v>4826</v>
      </c>
      <c r="J1099" t="s">
        <v>5321</v>
      </c>
      <c r="K1099">
        <v>10452</v>
      </c>
      <c r="L1099" t="s">
        <v>5355</v>
      </c>
      <c r="M1099" t="s">
        <v>5356</v>
      </c>
      <c r="N1099" t="s">
        <v>5575</v>
      </c>
      <c r="O1099" t="s">
        <v>6499</v>
      </c>
      <c r="P1099" t="s">
        <v>6528</v>
      </c>
      <c r="R1099" t="s">
        <v>6539</v>
      </c>
      <c r="S1099" t="s">
        <v>5355</v>
      </c>
      <c r="U1099" t="s">
        <v>6557</v>
      </c>
      <c r="W1099" t="s">
        <v>247</v>
      </c>
      <c r="X1099">
        <v>783.99</v>
      </c>
      <c r="Y1099" t="s">
        <v>6606</v>
      </c>
      <c r="Z1099" t="s">
        <v>6612</v>
      </c>
      <c r="AB1099" t="s">
        <v>7636</v>
      </c>
      <c r="AC1099" t="s">
        <v>8840</v>
      </c>
      <c r="AD1099" t="s">
        <v>9996</v>
      </c>
      <c r="AE1099">
        <v>62</v>
      </c>
      <c r="AF1099" t="s">
        <v>11005</v>
      </c>
      <c r="AG1099" t="s">
        <v>5406</v>
      </c>
      <c r="AH1099">
        <v>40</v>
      </c>
      <c r="AI1099">
        <v>2</v>
      </c>
      <c r="AJ1099">
        <v>0</v>
      </c>
      <c r="AK1099">
        <v>114.75</v>
      </c>
      <c r="AN1099" t="s">
        <v>11049</v>
      </c>
      <c r="AO1099">
        <v>27432</v>
      </c>
      <c r="AU1099">
        <v>0</v>
      </c>
      <c r="AW1099" t="s">
        <v>11509</v>
      </c>
    </row>
    <row r="1100" spans="1:49">
      <c r="A1100" s="1">
        <f>HYPERLINK("https://cms.ls-nyc.org/matter/dynamic-profile/view/1854347","17-1854347")</f>
        <v>0</v>
      </c>
      <c r="B1100" t="s">
        <v>106</v>
      </c>
      <c r="C1100" t="s">
        <v>235</v>
      </c>
      <c r="D1100" t="s">
        <v>378</v>
      </c>
      <c r="F1100" t="s">
        <v>1530</v>
      </c>
      <c r="G1100" t="s">
        <v>2811</v>
      </c>
      <c r="H1100" t="s">
        <v>4089</v>
      </c>
      <c r="I1100" t="s">
        <v>5012</v>
      </c>
      <c r="J1100" t="s">
        <v>5321</v>
      </c>
      <c r="K1100">
        <v>10452</v>
      </c>
      <c r="L1100" t="s">
        <v>5355</v>
      </c>
      <c r="M1100" t="s">
        <v>5356</v>
      </c>
      <c r="N1100" t="s">
        <v>5579</v>
      </c>
      <c r="O1100" t="s">
        <v>6499</v>
      </c>
      <c r="P1100" t="s">
        <v>6528</v>
      </c>
      <c r="R1100" t="s">
        <v>6539</v>
      </c>
      <c r="S1100" t="s">
        <v>5355</v>
      </c>
      <c r="U1100" t="s">
        <v>6557</v>
      </c>
      <c r="W1100" t="s">
        <v>316</v>
      </c>
      <c r="X1100">
        <v>853.4400000000001</v>
      </c>
      <c r="Y1100" t="s">
        <v>6606</v>
      </c>
      <c r="Z1100" t="s">
        <v>6614</v>
      </c>
      <c r="AB1100" t="s">
        <v>7637</v>
      </c>
      <c r="AD1100" t="s">
        <v>9997</v>
      </c>
      <c r="AE1100">
        <v>70</v>
      </c>
      <c r="AF1100" t="s">
        <v>11005</v>
      </c>
      <c r="AG1100" t="s">
        <v>5406</v>
      </c>
      <c r="AH1100">
        <v>14</v>
      </c>
      <c r="AI1100">
        <v>2</v>
      </c>
      <c r="AJ1100">
        <v>0</v>
      </c>
      <c r="AK1100">
        <v>115.27</v>
      </c>
      <c r="AN1100" t="s">
        <v>11050</v>
      </c>
      <c r="AO1100">
        <v>34320</v>
      </c>
      <c r="AU1100">
        <v>48.75</v>
      </c>
      <c r="AV1100" t="s">
        <v>720</v>
      </c>
      <c r="AW1100" t="s">
        <v>11499</v>
      </c>
    </row>
    <row r="1101" spans="1:49">
      <c r="A1101" s="1">
        <f>HYPERLINK("https://cms.ls-nyc.org/matter/dynamic-profile/view/1864351","18-1864351")</f>
        <v>0</v>
      </c>
      <c r="B1101" t="s">
        <v>141</v>
      </c>
      <c r="C1101" t="s">
        <v>235</v>
      </c>
      <c r="D1101" t="s">
        <v>358</v>
      </c>
      <c r="F1101" t="s">
        <v>1531</v>
      </c>
      <c r="G1101" t="s">
        <v>2393</v>
      </c>
      <c r="H1101" t="s">
        <v>4090</v>
      </c>
      <c r="I1101" t="s">
        <v>4734</v>
      </c>
      <c r="J1101" t="s">
        <v>5320</v>
      </c>
      <c r="K1101">
        <v>11233</v>
      </c>
      <c r="L1101" t="s">
        <v>5355</v>
      </c>
      <c r="M1101" t="s">
        <v>5356</v>
      </c>
      <c r="O1101" t="s">
        <v>6499</v>
      </c>
      <c r="P1101" t="s">
        <v>6528</v>
      </c>
      <c r="R1101" t="s">
        <v>6540</v>
      </c>
      <c r="U1101" t="s">
        <v>6557</v>
      </c>
      <c r="W1101" t="s">
        <v>236</v>
      </c>
      <c r="X1101">
        <v>1477</v>
      </c>
      <c r="Y1101" t="s">
        <v>6605</v>
      </c>
      <c r="Z1101" t="s">
        <v>6610</v>
      </c>
      <c r="AB1101" t="s">
        <v>7638</v>
      </c>
      <c r="AC1101">
        <v>8844652</v>
      </c>
      <c r="AD1101" t="s">
        <v>9998</v>
      </c>
      <c r="AE1101">
        <v>15</v>
      </c>
      <c r="AF1101" t="s">
        <v>11005</v>
      </c>
      <c r="AG1101" t="s">
        <v>11026</v>
      </c>
      <c r="AH1101">
        <v>9</v>
      </c>
      <c r="AI1101">
        <v>2</v>
      </c>
      <c r="AJ1101">
        <v>1</v>
      </c>
      <c r="AK1101">
        <v>115.32</v>
      </c>
      <c r="AL1101" t="s">
        <v>11028</v>
      </c>
      <c r="AN1101" t="s">
        <v>11050</v>
      </c>
      <c r="AO1101">
        <v>23964</v>
      </c>
      <c r="AU1101">
        <v>3</v>
      </c>
      <c r="AV1101" t="s">
        <v>358</v>
      </c>
      <c r="AW1101" t="s">
        <v>141</v>
      </c>
    </row>
    <row r="1102" spans="1:49">
      <c r="A1102" s="1">
        <f>HYPERLINK("https://cms.ls-nyc.org/matter/dynamic-profile/view/1854898","17-1854898")</f>
        <v>0</v>
      </c>
      <c r="B1102" t="s">
        <v>90</v>
      </c>
      <c r="C1102" t="s">
        <v>235</v>
      </c>
      <c r="D1102" t="s">
        <v>469</v>
      </c>
      <c r="F1102" t="s">
        <v>1532</v>
      </c>
      <c r="G1102" t="s">
        <v>2422</v>
      </c>
      <c r="H1102" t="s">
        <v>4059</v>
      </c>
      <c r="I1102" t="s">
        <v>4908</v>
      </c>
      <c r="J1102" t="s">
        <v>5321</v>
      </c>
      <c r="K1102">
        <v>10452</v>
      </c>
      <c r="L1102" t="s">
        <v>5355</v>
      </c>
      <c r="M1102" t="s">
        <v>5356</v>
      </c>
      <c r="N1102" t="s">
        <v>5574</v>
      </c>
      <c r="O1102" t="s">
        <v>6499</v>
      </c>
      <c r="P1102" t="s">
        <v>6528</v>
      </c>
      <c r="R1102" t="s">
        <v>6539</v>
      </c>
      <c r="S1102" t="s">
        <v>5355</v>
      </c>
      <c r="U1102" t="s">
        <v>6557</v>
      </c>
      <c r="W1102" t="s">
        <v>247</v>
      </c>
      <c r="X1102">
        <v>1310</v>
      </c>
      <c r="Y1102" t="s">
        <v>6606</v>
      </c>
      <c r="Z1102" t="s">
        <v>6612</v>
      </c>
      <c r="AB1102" t="s">
        <v>7639</v>
      </c>
      <c r="AD1102" t="s">
        <v>9999</v>
      </c>
      <c r="AE1102">
        <v>62</v>
      </c>
      <c r="AF1102" t="s">
        <v>11005</v>
      </c>
      <c r="AG1102" t="s">
        <v>5406</v>
      </c>
      <c r="AH1102">
        <v>24</v>
      </c>
      <c r="AI1102">
        <v>3</v>
      </c>
      <c r="AJ1102">
        <v>2</v>
      </c>
      <c r="AK1102">
        <v>117.44</v>
      </c>
      <c r="AN1102" t="s">
        <v>11061</v>
      </c>
      <c r="AO1102">
        <v>33800</v>
      </c>
      <c r="AU1102">
        <v>0.5</v>
      </c>
      <c r="AV1102" t="s">
        <v>369</v>
      </c>
      <c r="AW1102" t="s">
        <v>59</v>
      </c>
    </row>
    <row r="1103" spans="1:49">
      <c r="A1103" s="1">
        <f>HYPERLINK("https://cms.ls-nyc.org/matter/dynamic-profile/view/1855288","18-1855288")</f>
        <v>0</v>
      </c>
      <c r="B1103" t="s">
        <v>90</v>
      </c>
      <c r="C1103" t="s">
        <v>235</v>
      </c>
      <c r="D1103" t="s">
        <v>351</v>
      </c>
      <c r="F1103" t="s">
        <v>1532</v>
      </c>
      <c r="G1103" t="s">
        <v>2422</v>
      </c>
      <c r="H1103" t="s">
        <v>4059</v>
      </c>
      <c r="I1103" t="s">
        <v>4908</v>
      </c>
      <c r="J1103" t="s">
        <v>5321</v>
      </c>
      <c r="K1103">
        <v>10452</v>
      </c>
      <c r="L1103" t="s">
        <v>5355</v>
      </c>
      <c r="M1103" t="s">
        <v>5356</v>
      </c>
      <c r="N1103" t="s">
        <v>5575</v>
      </c>
      <c r="O1103" t="s">
        <v>6499</v>
      </c>
      <c r="P1103" t="s">
        <v>6528</v>
      </c>
      <c r="R1103" t="s">
        <v>6539</v>
      </c>
      <c r="S1103" t="s">
        <v>5355</v>
      </c>
      <c r="U1103" t="s">
        <v>6557</v>
      </c>
      <c r="W1103" t="s">
        <v>247</v>
      </c>
      <c r="X1103">
        <v>1310</v>
      </c>
      <c r="Y1103" t="s">
        <v>6606</v>
      </c>
      <c r="Z1103" t="s">
        <v>6612</v>
      </c>
      <c r="AB1103" t="s">
        <v>7639</v>
      </c>
      <c r="AD1103" t="s">
        <v>9999</v>
      </c>
      <c r="AE1103">
        <v>62</v>
      </c>
      <c r="AF1103" t="s">
        <v>11005</v>
      </c>
      <c r="AG1103" t="s">
        <v>5406</v>
      </c>
      <c r="AH1103">
        <v>24</v>
      </c>
      <c r="AI1103">
        <v>3</v>
      </c>
      <c r="AJ1103">
        <v>2</v>
      </c>
      <c r="AK1103">
        <v>117.44</v>
      </c>
      <c r="AN1103" t="s">
        <v>11061</v>
      </c>
      <c r="AO1103">
        <v>33800</v>
      </c>
      <c r="AU1103">
        <v>0</v>
      </c>
      <c r="AW1103" t="s">
        <v>11509</v>
      </c>
    </row>
    <row r="1104" spans="1:49">
      <c r="A1104" s="1">
        <f>HYPERLINK("https://cms.ls-nyc.org/matter/dynamic-profile/view/1858328","18-1858328")</f>
        <v>0</v>
      </c>
      <c r="B1104" t="s">
        <v>52</v>
      </c>
      <c r="C1104" t="s">
        <v>234</v>
      </c>
      <c r="D1104" t="s">
        <v>238</v>
      </c>
      <c r="E1104" t="s">
        <v>780</v>
      </c>
      <c r="F1104" t="s">
        <v>1134</v>
      </c>
      <c r="G1104" t="s">
        <v>2812</v>
      </c>
      <c r="H1104" t="s">
        <v>4091</v>
      </c>
      <c r="I1104" t="s">
        <v>5065</v>
      </c>
      <c r="J1104" t="s">
        <v>5317</v>
      </c>
      <c r="K1104">
        <v>11435</v>
      </c>
      <c r="L1104" t="s">
        <v>5355</v>
      </c>
      <c r="M1104" t="s">
        <v>5355</v>
      </c>
      <c r="N1104" t="s">
        <v>5599</v>
      </c>
      <c r="O1104" t="s">
        <v>6499</v>
      </c>
      <c r="P1104" t="s">
        <v>6528</v>
      </c>
      <c r="Q1104" t="s">
        <v>6536</v>
      </c>
      <c r="R1104" t="s">
        <v>6539</v>
      </c>
      <c r="S1104" t="s">
        <v>5357</v>
      </c>
      <c r="U1104" t="s">
        <v>6557</v>
      </c>
      <c r="V1104" t="s">
        <v>6566</v>
      </c>
      <c r="W1104" t="s">
        <v>238</v>
      </c>
      <c r="X1104">
        <v>1756.34</v>
      </c>
      <c r="Y1104" t="s">
        <v>6604</v>
      </c>
      <c r="Z1104" t="s">
        <v>6614</v>
      </c>
      <c r="AA1104" t="s">
        <v>6642</v>
      </c>
      <c r="AB1104" t="s">
        <v>7640</v>
      </c>
      <c r="AC1104" t="s">
        <v>8841</v>
      </c>
      <c r="AD1104" t="s">
        <v>10000</v>
      </c>
      <c r="AE1104">
        <v>112</v>
      </c>
      <c r="AF1104" t="s">
        <v>11005</v>
      </c>
      <c r="AG1104" t="s">
        <v>5406</v>
      </c>
      <c r="AH1104">
        <v>5</v>
      </c>
      <c r="AI1104">
        <v>3</v>
      </c>
      <c r="AJ1104">
        <v>0</v>
      </c>
      <c r="AK1104">
        <v>118.15</v>
      </c>
      <c r="AN1104" t="s">
        <v>11050</v>
      </c>
      <c r="AO1104">
        <v>24552</v>
      </c>
      <c r="AQ1104" t="s">
        <v>11192</v>
      </c>
      <c r="AR1104" t="s">
        <v>6493</v>
      </c>
      <c r="AS1104" t="s">
        <v>11253</v>
      </c>
      <c r="AT1104" t="s">
        <v>11267</v>
      </c>
      <c r="AU1104">
        <v>23.83</v>
      </c>
      <c r="AV1104" t="s">
        <v>311</v>
      </c>
      <c r="AW1104" t="s">
        <v>11506</v>
      </c>
    </row>
    <row r="1105" spans="1:49">
      <c r="A1105" s="1">
        <f>HYPERLINK("https://cms.ls-nyc.org/matter/dynamic-profile/view/1857037","18-1857037")</f>
        <v>0</v>
      </c>
      <c r="B1105" t="s">
        <v>104</v>
      </c>
      <c r="C1105" t="s">
        <v>235</v>
      </c>
      <c r="D1105" t="s">
        <v>249</v>
      </c>
      <c r="F1105" t="s">
        <v>1533</v>
      </c>
      <c r="G1105" t="s">
        <v>2813</v>
      </c>
      <c r="H1105" t="s">
        <v>4007</v>
      </c>
      <c r="I1105" t="s">
        <v>5066</v>
      </c>
      <c r="J1105" t="s">
        <v>5321</v>
      </c>
      <c r="K1105">
        <v>10452</v>
      </c>
      <c r="L1105" t="s">
        <v>5355</v>
      </c>
      <c r="M1105" t="s">
        <v>5356</v>
      </c>
      <c r="N1105" t="s">
        <v>5587</v>
      </c>
      <c r="O1105" t="s">
        <v>6499</v>
      </c>
      <c r="P1105" t="s">
        <v>6528</v>
      </c>
      <c r="R1105" t="s">
        <v>6539</v>
      </c>
      <c r="S1105" t="s">
        <v>5355</v>
      </c>
      <c r="U1105" t="s">
        <v>6557</v>
      </c>
      <c r="W1105" t="s">
        <v>298</v>
      </c>
      <c r="X1105">
        <v>766.61</v>
      </c>
      <c r="Y1105" t="s">
        <v>6606</v>
      </c>
      <c r="Z1105" t="s">
        <v>6612</v>
      </c>
      <c r="AB1105" t="s">
        <v>7641</v>
      </c>
      <c r="AD1105" t="s">
        <v>10001</v>
      </c>
      <c r="AE1105">
        <v>122</v>
      </c>
      <c r="AF1105" t="s">
        <v>11005</v>
      </c>
      <c r="AG1105" t="s">
        <v>5406</v>
      </c>
      <c r="AH1105">
        <v>23</v>
      </c>
      <c r="AI1105">
        <v>2</v>
      </c>
      <c r="AJ1105">
        <v>4</v>
      </c>
      <c r="AK1105">
        <v>118.33</v>
      </c>
      <c r="AN1105" t="s">
        <v>11050</v>
      </c>
      <c r="AO1105">
        <v>78000</v>
      </c>
      <c r="AP1105" t="s">
        <v>11142</v>
      </c>
      <c r="AU1105">
        <v>0.1</v>
      </c>
      <c r="AV1105" t="s">
        <v>732</v>
      </c>
      <c r="AW1105" t="s">
        <v>11492</v>
      </c>
    </row>
    <row r="1106" spans="1:49">
      <c r="A1106" s="1">
        <f>HYPERLINK("https://cms.ls-nyc.org/matter/dynamic-profile/view/1871759","18-1871759")</f>
        <v>0</v>
      </c>
      <c r="B1106" t="s">
        <v>135</v>
      </c>
      <c r="C1106" t="s">
        <v>235</v>
      </c>
      <c r="D1106" t="s">
        <v>445</v>
      </c>
      <c r="F1106" t="s">
        <v>1252</v>
      </c>
      <c r="G1106" t="s">
        <v>2498</v>
      </c>
      <c r="H1106" t="s">
        <v>3775</v>
      </c>
      <c r="I1106" t="s">
        <v>4841</v>
      </c>
      <c r="J1106" t="s">
        <v>5320</v>
      </c>
      <c r="K1106">
        <v>11206</v>
      </c>
      <c r="L1106" t="s">
        <v>5355</v>
      </c>
      <c r="M1106" t="s">
        <v>5356</v>
      </c>
      <c r="N1106" t="s">
        <v>5600</v>
      </c>
      <c r="O1106" t="s">
        <v>6500</v>
      </c>
      <c r="P1106" t="s">
        <v>6528</v>
      </c>
      <c r="R1106" t="s">
        <v>6539</v>
      </c>
      <c r="S1106" t="s">
        <v>5355</v>
      </c>
      <c r="U1106" t="s">
        <v>6557</v>
      </c>
      <c r="W1106" t="s">
        <v>6589</v>
      </c>
      <c r="X1106">
        <v>458.7</v>
      </c>
      <c r="Y1106" t="s">
        <v>6605</v>
      </c>
      <c r="Z1106" t="s">
        <v>6612</v>
      </c>
      <c r="AB1106" t="s">
        <v>7170</v>
      </c>
      <c r="AD1106" t="s">
        <v>9559</v>
      </c>
      <c r="AE1106">
        <v>25</v>
      </c>
      <c r="AF1106" t="s">
        <v>11013</v>
      </c>
      <c r="AH1106">
        <v>19</v>
      </c>
      <c r="AI1106">
        <v>1</v>
      </c>
      <c r="AJ1106">
        <v>0</v>
      </c>
      <c r="AK1106">
        <v>119.31</v>
      </c>
      <c r="AN1106" t="s">
        <v>11050</v>
      </c>
      <c r="AO1106">
        <v>14484</v>
      </c>
      <c r="AU1106">
        <v>0</v>
      </c>
      <c r="AW1106" t="s">
        <v>11517</v>
      </c>
    </row>
    <row r="1107" spans="1:49">
      <c r="A1107" s="1">
        <f>HYPERLINK("https://cms.ls-nyc.org/matter/dynamic-profile/view/1842887","17-1842887")</f>
        <v>0</v>
      </c>
      <c r="B1107" t="s">
        <v>63</v>
      </c>
      <c r="C1107" t="s">
        <v>235</v>
      </c>
      <c r="D1107" t="s">
        <v>472</v>
      </c>
      <c r="F1107" t="s">
        <v>1534</v>
      </c>
      <c r="G1107" t="s">
        <v>2264</v>
      </c>
      <c r="H1107" t="s">
        <v>4057</v>
      </c>
      <c r="I1107" t="s">
        <v>5067</v>
      </c>
      <c r="J1107" t="s">
        <v>5322</v>
      </c>
      <c r="K1107">
        <v>10314</v>
      </c>
      <c r="L1107" t="s">
        <v>5355</v>
      </c>
      <c r="M1107" t="s">
        <v>5356</v>
      </c>
      <c r="N1107" t="s">
        <v>5601</v>
      </c>
      <c r="O1107" t="s">
        <v>6499</v>
      </c>
      <c r="P1107" t="s">
        <v>6528</v>
      </c>
      <c r="R1107" t="s">
        <v>6539</v>
      </c>
      <c r="S1107" t="s">
        <v>5355</v>
      </c>
      <c r="U1107" t="s">
        <v>6557</v>
      </c>
      <c r="W1107" t="s">
        <v>388</v>
      </c>
      <c r="X1107">
        <v>871</v>
      </c>
      <c r="Y1107" t="s">
        <v>6607</v>
      </c>
      <c r="Z1107" t="s">
        <v>6614</v>
      </c>
      <c r="AB1107" t="s">
        <v>7642</v>
      </c>
      <c r="AD1107" t="s">
        <v>10002</v>
      </c>
      <c r="AE1107">
        <v>96</v>
      </c>
      <c r="AF1107" t="s">
        <v>11005</v>
      </c>
      <c r="AG1107" t="s">
        <v>11024</v>
      </c>
      <c r="AH1107">
        <v>3</v>
      </c>
      <c r="AI1107">
        <v>1</v>
      </c>
      <c r="AJ1107">
        <v>0</v>
      </c>
      <c r="AK1107">
        <v>119.4</v>
      </c>
      <c r="AL1107" t="s">
        <v>11034</v>
      </c>
      <c r="AM1107" t="s">
        <v>11045</v>
      </c>
      <c r="AN1107" t="s">
        <v>11049</v>
      </c>
      <c r="AO1107">
        <v>14400</v>
      </c>
      <c r="AU1107">
        <v>0.45</v>
      </c>
      <c r="AV1107" t="s">
        <v>807</v>
      </c>
      <c r="AW1107" t="s">
        <v>62</v>
      </c>
    </row>
    <row r="1108" spans="1:49">
      <c r="A1108" s="1">
        <f>HYPERLINK("https://cms.ls-nyc.org/matter/dynamic-profile/view/1850197","17-1850197")</f>
        <v>0</v>
      </c>
      <c r="B1108" t="s">
        <v>77</v>
      </c>
      <c r="C1108" t="s">
        <v>234</v>
      </c>
      <c r="D1108" t="s">
        <v>363</v>
      </c>
      <c r="E1108" t="s">
        <v>687</v>
      </c>
      <c r="F1108" t="s">
        <v>997</v>
      </c>
      <c r="G1108" t="s">
        <v>2814</v>
      </c>
      <c r="H1108" t="s">
        <v>3625</v>
      </c>
      <c r="I1108">
        <v>7</v>
      </c>
      <c r="J1108" t="s">
        <v>5320</v>
      </c>
      <c r="K1108">
        <v>11219</v>
      </c>
      <c r="L1108" t="s">
        <v>5355</v>
      </c>
      <c r="M1108" t="s">
        <v>5356</v>
      </c>
      <c r="O1108" t="s">
        <v>6499</v>
      </c>
      <c r="P1108" t="s">
        <v>6528</v>
      </c>
      <c r="Q1108" t="s">
        <v>6536</v>
      </c>
      <c r="R1108" t="s">
        <v>6539</v>
      </c>
      <c r="S1108" t="s">
        <v>5355</v>
      </c>
      <c r="T1108" t="s">
        <v>6539</v>
      </c>
      <c r="U1108" t="s">
        <v>6557</v>
      </c>
      <c r="W1108" t="s">
        <v>646</v>
      </c>
      <c r="X1108">
        <v>840.49</v>
      </c>
      <c r="Y1108" t="s">
        <v>6605</v>
      </c>
      <c r="Z1108" t="s">
        <v>6622</v>
      </c>
      <c r="AA1108" t="s">
        <v>6634</v>
      </c>
      <c r="AB1108" t="s">
        <v>7643</v>
      </c>
      <c r="AC1108" t="s">
        <v>5392</v>
      </c>
      <c r="AD1108" t="s">
        <v>10003</v>
      </c>
      <c r="AE1108">
        <v>14</v>
      </c>
      <c r="AF1108" t="s">
        <v>11005</v>
      </c>
      <c r="AG1108" t="s">
        <v>5406</v>
      </c>
      <c r="AH1108">
        <v>34</v>
      </c>
      <c r="AI1108">
        <v>2</v>
      </c>
      <c r="AJ1108">
        <v>0</v>
      </c>
      <c r="AK1108">
        <v>121.33</v>
      </c>
      <c r="AL1108" t="s">
        <v>333</v>
      </c>
      <c r="AN1108" t="s">
        <v>11049</v>
      </c>
      <c r="AO1108">
        <v>34704</v>
      </c>
      <c r="AU1108">
        <v>0.65</v>
      </c>
      <c r="AV1108" t="s">
        <v>687</v>
      </c>
      <c r="AW1108" t="s">
        <v>11512</v>
      </c>
    </row>
    <row r="1109" spans="1:49">
      <c r="A1109" s="1">
        <f>HYPERLINK("https://cms.ls-nyc.org/matter/dynamic-profile/view/1860448","18-1860448")</f>
        <v>0</v>
      </c>
      <c r="B1109" t="s">
        <v>176</v>
      </c>
      <c r="C1109" t="s">
        <v>235</v>
      </c>
      <c r="D1109" t="s">
        <v>319</v>
      </c>
      <c r="F1109" t="s">
        <v>1535</v>
      </c>
      <c r="G1109" t="s">
        <v>2101</v>
      </c>
      <c r="H1109" t="s">
        <v>4030</v>
      </c>
      <c r="I1109" t="s">
        <v>5068</v>
      </c>
      <c r="J1109" t="s">
        <v>5317</v>
      </c>
      <c r="K1109">
        <v>11432</v>
      </c>
      <c r="L1109" t="s">
        <v>5355</v>
      </c>
      <c r="M1109" t="s">
        <v>5356</v>
      </c>
      <c r="N1109" t="s">
        <v>5583</v>
      </c>
      <c r="O1109" t="s">
        <v>6499</v>
      </c>
      <c r="P1109" t="s">
        <v>6528</v>
      </c>
      <c r="R1109" t="s">
        <v>6539</v>
      </c>
      <c r="S1109" t="s">
        <v>5355</v>
      </c>
      <c r="U1109" t="s">
        <v>6559</v>
      </c>
      <c r="W1109" t="s">
        <v>6575</v>
      </c>
      <c r="X1109">
        <v>1467</v>
      </c>
      <c r="Y1109" t="s">
        <v>6604</v>
      </c>
      <c r="Z1109" t="s">
        <v>6614</v>
      </c>
      <c r="AB1109" t="s">
        <v>7644</v>
      </c>
      <c r="AC1109" t="s">
        <v>5383</v>
      </c>
      <c r="AD1109" t="s">
        <v>10004</v>
      </c>
      <c r="AE1109">
        <v>60</v>
      </c>
      <c r="AF1109" t="s">
        <v>11005</v>
      </c>
      <c r="AG1109" t="s">
        <v>5406</v>
      </c>
      <c r="AH1109">
        <v>21</v>
      </c>
      <c r="AI1109">
        <v>3</v>
      </c>
      <c r="AJ1109">
        <v>1</v>
      </c>
      <c r="AK1109">
        <v>121.95</v>
      </c>
      <c r="AL1109" t="s">
        <v>485</v>
      </c>
      <c r="AN1109" t="s">
        <v>11049</v>
      </c>
      <c r="AO1109">
        <v>30000</v>
      </c>
      <c r="AU1109">
        <v>5.45</v>
      </c>
      <c r="AV1109" t="s">
        <v>677</v>
      </c>
      <c r="AW1109" t="s">
        <v>93</v>
      </c>
    </row>
    <row r="1110" spans="1:49">
      <c r="A1110" s="1">
        <f>HYPERLINK("https://cms.ls-nyc.org/matter/dynamic-profile/view/1860451","18-1860451")</f>
        <v>0</v>
      </c>
      <c r="B1110" t="s">
        <v>176</v>
      </c>
      <c r="C1110" t="s">
        <v>235</v>
      </c>
      <c r="D1110" t="s">
        <v>319</v>
      </c>
      <c r="F1110" t="s">
        <v>1535</v>
      </c>
      <c r="G1110" t="s">
        <v>2101</v>
      </c>
      <c r="H1110" t="s">
        <v>4030</v>
      </c>
      <c r="I1110" t="s">
        <v>5068</v>
      </c>
      <c r="J1110" t="s">
        <v>5317</v>
      </c>
      <c r="K1110">
        <v>11432</v>
      </c>
      <c r="L1110" t="s">
        <v>5355</v>
      </c>
      <c r="M1110" t="s">
        <v>5356</v>
      </c>
      <c r="N1110" t="s">
        <v>5582</v>
      </c>
      <c r="O1110" t="s">
        <v>6499</v>
      </c>
      <c r="P1110" t="s">
        <v>6528</v>
      </c>
      <c r="R1110" t="s">
        <v>6539</v>
      </c>
      <c r="S1110" t="s">
        <v>5355</v>
      </c>
      <c r="U1110" t="s">
        <v>6559</v>
      </c>
      <c r="W1110" t="s">
        <v>6575</v>
      </c>
      <c r="X1110">
        <v>1467</v>
      </c>
      <c r="Y1110" t="s">
        <v>6604</v>
      </c>
      <c r="Z1110" t="s">
        <v>6614</v>
      </c>
      <c r="AB1110" t="s">
        <v>7644</v>
      </c>
      <c r="AC1110" t="s">
        <v>5392</v>
      </c>
      <c r="AD1110" t="s">
        <v>10004</v>
      </c>
      <c r="AE1110">
        <v>60</v>
      </c>
      <c r="AF1110" t="s">
        <v>11005</v>
      </c>
      <c r="AG1110" t="s">
        <v>5406</v>
      </c>
      <c r="AH1110">
        <v>21</v>
      </c>
      <c r="AI1110">
        <v>3</v>
      </c>
      <c r="AJ1110">
        <v>1</v>
      </c>
      <c r="AK1110">
        <v>121.95</v>
      </c>
      <c r="AL1110" t="s">
        <v>485</v>
      </c>
      <c r="AN1110" t="s">
        <v>11049</v>
      </c>
      <c r="AO1110">
        <v>30000</v>
      </c>
      <c r="AU1110">
        <v>0.2</v>
      </c>
      <c r="AV1110" t="s">
        <v>677</v>
      </c>
      <c r="AW1110" t="s">
        <v>93</v>
      </c>
    </row>
    <row r="1111" spans="1:49">
      <c r="A1111" s="1">
        <f>HYPERLINK("https://cms.ls-nyc.org/matter/dynamic-profile/view/1841664","17-1841664")</f>
        <v>0</v>
      </c>
      <c r="B1111" t="s">
        <v>129</v>
      </c>
      <c r="C1111" t="s">
        <v>234</v>
      </c>
      <c r="D1111" t="s">
        <v>497</v>
      </c>
      <c r="E1111" t="s">
        <v>779</v>
      </c>
      <c r="F1111" t="s">
        <v>1536</v>
      </c>
      <c r="G1111" t="s">
        <v>2815</v>
      </c>
      <c r="H1111" t="s">
        <v>3721</v>
      </c>
      <c r="I1111" t="s">
        <v>4965</v>
      </c>
      <c r="J1111" t="s">
        <v>5321</v>
      </c>
      <c r="K1111">
        <v>10453</v>
      </c>
      <c r="L1111" t="s">
        <v>5355</v>
      </c>
      <c r="M1111" t="s">
        <v>5356</v>
      </c>
      <c r="O1111" t="s">
        <v>6499</v>
      </c>
      <c r="P1111" t="s">
        <v>6528</v>
      </c>
      <c r="Q1111" t="s">
        <v>6536</v>
      </c>
      <c r="R1111" t="s">
        <v>6539</v>
      </c>
      <c r="S1111" t="s">
        <v>5355</v>
      </c>
      <c r="U1111" t="s">
        <v>6557</v>
      </c>
      <c r="W1111" t="s">
        <v>404</v>
      </c>
      <c r="X1111">
        <v>1400</v>
      </c>
      <c r="Y1111" t="s">
        <v>6606</v>
      </c>
      <c r="Z1111" t="s">
        <v>6612</v>
      </c>
      <c r="AA1111" t="s">
        <v>6636</v>
      </c>
      <c r="AB1111" t="s">
        <v>7645</v>
      </c>
      <c r="AD1111" t="s">
        <v>10005</v>
      </c>
      <c r="AE1111">
        <v>170</v>
      </c>
      <c r="AF1111" t="s">
        <v>11005</v>
      </c>
      <c r="AG1111" t="s">
        <v>5406</v>
      </c>
      <c r="AH1111">
        <v>6</v>
      </c>
      <c r="AI1111">
        <v>2</v>
      </c>
      <c r="AJ1111">
        <v>0</v>
      </c>
      <c r="AK1111">
        <v>123.15</v>
      </c>
      <c r="AN1111" t="s">
        <v>11049</v>
      </c>
      <c r="AO1111">
        <v>20000</v>
      </c>
      <c r="AU1111">
        <v>0.1</v>
      </c>
      <c r="AV1111" t="s">
        <v>779</v>
      </c>
      <c r="AW1111" t="s">
        <v>11509</v>
      </c>
    </row>
    <row r="1112" spans="1:49">
      <c r="A1112" s="1">
        <f>HYPERLINK("https://cms.ls-nyc.org/matter/dynamic-profile/view/1841669","17-1841669")</f>
        <v>0</v>
      </c>
      <c r="B1112" t="s">
        <v>129</v>
      </c>
      <c r="C1112" t="s">
        <v>234</v>
      </c>
      <c r="D1112" t="s">
        <v>497</v>
      </c>
      <c r="E1112" t="s">
        <v>778</v>
      </c>
      <c r="F1112" t="s">
        <v>1536</v>
      </c>
      <c r="G1112" t="s">
        <v>2815</v>
      </c>
      <c r="H1112" t="s">
        <v>3721</v>
      </c>
      <c r="I1112" t="s">
        <v>4965</v>
      </c>
      <c r="J1112" t="s">
        <v>5321</v>
      </c>
      <c r="K1112">
        <v>10453</v>
      </c>
      <c r="L1112" t="s">
        <v>5355</v>
      </c>
      <c r="M1112" t="s">
        <v>5356</v>
      </c>
      <c r="O1112" t="s">
        <v>6499</v>
      </c>
      <c r="P1112" t="s">
        <v>6528</v>
      </c>
      <c r="Q1112" t="s">
        <v>6536</v>
      </c>
      <c r="R1112" t="s">
        <v>6539</v>
      </c>
      <c r="S1112" t="s">
        <v>5355</v>
      </c>
      <c r="U1112" t="s">
        <v>6557</v>
      </c>
      <c r="W1112" t="s">
        <v>294</v>
      </c>
      <c r="X1112">
        <v>1400</v>
      </c>
      <c r="Y1112" t="s">
        <v>6606</v>
      </c>
      <c r="Z1112" t="s">
        <v>6612</v>
      </c>
      <c r="AA1112" t="s">
        <v>6636</v>
      </c>
      <c r="AB1112" t="s">
        <v>7645</v>
      </c>
      <c r="AD1112" t="s">
        <v>10005</v>
      </c>
      <c r="AE1112">
        <v>170</v>
      </c>
      <c r="AF1112" t="s">
        <v>11005</v>
      </c>
      <c r="AG1112" t="s">
        <v>5406</v>
      </c>
      <c r="AH1112">
        <v>6</v>
      </c>
      <c r="AI1112">
        <v>2</v>
      </c>
      <c r="AJ1112">
        <v>0</v>
      </c>
      <c r="AK1112">
        <v>123.15</v>
      </c>
      <c r="AN1112" t="s">
        <v>11049</v>
      </c>
      <c r="AO1112">
        <v>20000</v>
      </c>
      <c r="AP1112" t="s">
        <v>11135</v>
      </c>
      <c r="AU1112">
        <v>0.1</v>
      </c>
      <c r="AV1112" t="s">
        <v>778</v>
      </c>
      <c r="AW1112" t="s">
        <v>11509</v>
      </c>
    </row>
    <row r="1113" spans="1:49">
      <c r="A1113" s="1">
        <f>HYPERLINK("https://cms.ls-nyc.org/matter/dynamic-profile/view/1841688","17-1841688")</f>
        <v>0</v>
      </c>
      <c r="B1113" t="s">
        <v>129</v>
      </c>
      <c r="C1113" t="s">
        <v>234</v>
      </c>
      <c r="D1113" t="s">
        <v>497</v>
      </c>
      <c r="E1113" t="s">
        <v>779</v>
      </c>
      <c r="F1113" t="s">
        <v>1537</v>
      </c>
      <c r="G1113" t="s">
        <v>2816</v>
      </c>
      <c r="H1113" t="s">
        <v>3721</v>
      </c>
      <c r="I1113" t="s">
        <v>5069</v>
      </c>
      <c r="J1113" t="s">
        <v>5321</v>
      </c>
      <c r="K1113">
        <v>10453</v>
      </c>
      <c r="L1113" t="s">
        <v>5355</v>
      </c>
      <c r="M1113" t="s">
        <v>5356</v>
      </c>
      <c r="O1113" t="s">
        <v>6499</v>
      </c>
      <c r="P1113" t="s">
        <v>6528</v>
      </c>
      <c r="Q1113" t="s">
        <v>6536</v>
      </c>
      <c r="R1113" t="s">
        <v>6539</v>
      </c>
      <c r="S1113" t="s">
        <v>5355</v>
      </c>
      <c r="U1113" t="s">
        <v>6557</v>
      </c>
      <c r="W1113" t="s">
        <v>404</v>
      </c>
      <c r="X1113">
        <v>781.77</v>
      </c>
      <c r="Y1113" t="s">
        <v>6606</v>
      </c>
      <c r="Z1113" t="s">
        <v>6612</v>
      </c>
      <c r="AA1113" t="s">
        <v>6636</v>
      </c>
      <c r="AB1113" t="s">
        <v>7646</v>
      </c>
      <c r="AE1113">
        <v>170</v>
      </c>
      <c r="AF1113" t="s">
        <v>11005</v>
      </c>
      <c r="AG1113" t="s">
        <v>5406</v>
      </c>
      <c r="AH1113">
        <v>10</v>
      </c>
      <c r="AI1113">
        <v>1</v>
      </c>
      <c r="AJ1113">
        <v>1</v>
      </c>
      <c r="AK1113">
        <v>123.15</v>
      </c>
      <c r="AN1113" t="s">
        <v>11049</v>
      </c>
      <c r="AO1113">
        <v>20000</v>
      </c>
      <c r="AU1113">
        <v>0.1</v>
      </c>
      <c r="AV1113" t="s">
        <v>779</v>
      </c>
      <c r="AW1113" t="s">
        <v>11509</v>
      </c>
    </row>
    <row r="1114" spans="1:49">
      <c r="A1114" s="1">
        <f>HYPERLINK("https://cms.ls-nyc.org/matter/dynamic-profile/view/1841691","17-1841691")</f>
        <v>0</v>
      </c>
      <c r="B1114" t="s">
        <v>129</v>
      </c>
      <c r="C1114" t="s">
        <v>234</v>
      </c>
      <c r="D1114" t="s">
        <v>497</v>
      </c>
      <c r="E1114" t="s">
        <v>778</v>
      </c>
      <c r="F1114" t="s">
        <v>1537</v>
      </c>
      <c r="G1114" t="s">
        <v>2816</v>
      </c>
      <c r="H1114" t="s">
        <v>3721</v>
      </c>
      <c r="I1114" t="s">
        <v>5069</v>
      </c>
      <c r="J1114" t="s">
        <v>5321</v>
      </c>
      <c r="K1114">
        <v>10453</v>
      </c>
      <c r="L1114" t="s">
        <v>5355</v>
      </c>
      <c r="M1114" t="s">
        <v>5356</v>
      </c>
      <c r="O1114" t="s">
        <v>6499</v>
      </c>
      <c r="P1114" t="s">
        <v>6528</v>
      </c>
      <c r="Q1114" t="s">
        <v>6536</v>
      </c>
      <c r="R1114" t="s">
        <v>6539</v>
      </c>
      <c r="S1114" t="s">
        <v>5355</v>
      </c>
      <c r="U1114" t="s">
        <v>6557</v>
      </c>
      <c r="W1114" t="s">
        <v>294</v>
      </c>
      <c r="X1114">
        <v>781.77</v>
      </c>
      <c r="Y1114" t="s">
        <v>6606</v>
      </c>
      <c r="Z1114" t="s">
        <v>6612</v>
      </c>
      <c r="AA1114" t="s">
        <v>6636</v>
      </c>
      <c r="AB1114" t="s">
        <v>7646</v>
      </c>
      <c r="AE1114">
        <v>170</v>
      </c>
      <c r="AF1114" t="s">
        <v>11005</v>
      </c>
      <c r="AG1114" t="s">
        <v>5406</v>
      </c>
      <c r="AH1114">
        <v>10</v>
      </c>
      <c r="AI1114">
        <v>1</v>
      </c>
      <c r="AJ1114">
        <v>1</v>
      </c>
      <c r="AK1114">
        <v>123.15</v>
      </c>
      <c r="AN1114" t="s">
        <v>11049</v>
      </c>
      <c r="AO1114">
        <v>20000</v>
      </c>
      <c r="AP1114" t="s">
        <v>11135</v>
      </c>
      <c r="AU1114">
        <v>0.1</v>
      </c>
      <c r="AV1114" t="s">
        <v>778</v>
      </c>
      <c r="AW1114" t="s">
        <v>11509</v>
      </c>
    </row>
    <row r="1115" spans="1:49">
      <c r="A1115" s="1">
        <f>HYPERLINK("https://cms.ls-nyc.org/matter/dynamic-profile/view/1859305","18-1859305")</f>
        <v>0</v>
      </c>
      <c r="B1115" t="s">
        <v>102</v>
      </c>
      <c r="C1115" t="s">
        <v>235</v>
      </c>
      <c r="D1115" t="s">
        <v>284</v>
      </c>
      <c r="F1115" t="s">
        <v>1397</v>
      </c>
      <c r="G1115" t="s">
        <v>2499</v>
      </c>
      <c r="H1115" t="s">
        <v>3526</v>
      </c>
      <c r="I1115">
        <v>411</v>
      </c>
      <c r="J1115" t="s">
        <v>5321</v>
      </c>
      <c r="K1115">
        <v>10453</v>
      </c>
      <c r="L1115" t="s">
        <v>5355</v>
      </c>
      <c r="M1115" t="s">
        <v>5356</v>
      </c>
      <c r="O1115" t="s">
        <v>6499</v>
      </c>
      <c r="P1115" t="s">
        <v>6528</v>
      </c>
      <c r="R1115" t="s">
        <v>6539</v>
      </c>
      <c r="S1115" t="s">
        <v>5355</v>
      </c>
      <c r="U1115" t="s">
        <v>6557</v>
      </c>
      <c r="W1115" t="s">
        <v>246</v>
      </c>
      <c r="X1115">
        <v>873.4299999999999</v>
      </c>
      <c r="Y1115" t="s">
        <v>6606</v>
      </c>
      <c r="Z1115" t="s">
        <v>6622</v>
      </c>
      <c r="AB1115" t="s">
        <v>7647</v>
      </c>
      <c r="AD1115" t="s">
        <v>10006</v>
      </c>
      <c r="AE1115">
        <v>146</v>
      </c>
      <c r="AF1115" t="s">
        <v>11005</v>
      </c>
      <c r="AG1115" t="s">
        <v>5406</v>
      </c>
      <c r="AH1115">
        <v>6</v>
      </c>
      <c r="AI1115">
        <v>1</v>
      </c>
      <c r="AJ1115">
        <v>1</v>
      </c>
      <c r="AK1115">
        <v>123.15</v>
      </c>
      <c r="AN1115" t="s">
        <v>11050</v>
      </c>
      <c r="AO1115">
        <v>20000</v>
      </c>
      <c r="AU1115">
        <v>1.1</v>
      </c>
      <c r="AV1115" t="s">
        <v>375</v>
      </c>
      <c r="AW1115" t="s">
        <v>11492</v>
      </c>
    </row>
    <row r="1116" spans="1:49">
      <c r="A1116" s="1">
        <f>HYPERLINK("https://cms.ls-nyc.org/matter/dynamic-profile/view/1841663","17-1841663")</f>
        <v>0</v>
      </c>
      <c r="B1116" t="s">
        <v>129</v>
      </c>
      <c r="C1116" t="s">
        <v>234</v>
      </c>
      <c r="D1116" t="s">
        <v>497</v>
      </c>
      <c r="E1116" t="s">
        <v>781</v>
      </c>
      <c r="F1116" t="s">
        <v>1536</v>
      </c>
      <c r="G1116" t="s">
        <v>2815</v>
      </c>
      <c r="H1116" t="s">
        <v>3721</v>
      </c>
      <c r="I1116" t="s">
        <v>4965</v>
      </c>
      <c r="J1116" t="s">
        <v>5321</v>
      </c>
      <c r="K1116">
        <v>10453</v>
      </c>
      <c r="L1116" t="s">
        <v>5355</v>
      </c>
      <c r="M1116" t="s">
        <v>5356</v>
      </c>
      <c r="N1116" t="s">
        <v>5602</v>
      </c>
      <c r="O1116" t="s">
        <v>6494</v>
      </c>
      <c r="P1116" t="s">
        <v>6528</v>
      </c>
      <c r="Q1116" t="s">
        <v>6534</v>
      </c>
      <c r="R1116" t="s">
        <v>6539</v>
      </c>
      <c r="S1116" t="s">
        <v>5355</v>
      </c>
      <c r="U1116" t="s">
        <v>6557</v>
      </c>
      <c r="W1116" t="s">
        <v>404</v>
      </c>
      <c r="X1116">
        <v>1400</v>
      </c>
      <c r="Y1116" t="s">
        <v>6606</v>
      </c>
      <c r="Z1116" t="s">
        <v>6612</v>
      </c>
      <c r="AA1116" t="s">
        <v>6634</v>
      </c>
      <c r="AB1116" t="s">
        <v>7645</v>
      </c>
      <c r="AD1116" t="s">
        <v>10005</v>
      </c>
      <c r="AE1116">
        <v>170</v>
      </c>
      <c r="AF1116" t="s">
        <v>11005</v>
      </c>
      <c r="AG1116" t="s">
        <v>5406</v>
      </c>
      <c r="AH1116">
        <v>6</v>
      </c>
      <c r="AI1116">
        <v>2</v>
      </c>
      <c r="AJ1116">
        <v>0</v>
      </c>
      <c r="AK1116">
        <v>123.15</v>
      </c>
      <c r="AN1116" t="s">
        <v>11049</v>
      </c>
      <c r="AO1116">
        <v>20000</v>
      </c>
      <c r="AU1116">
        <v>0.1</v>
      </c>
      <c r="AV1116" t="s">
        <v>781</v>
      </c>
      <c r="AW1116" t="s">
        <v>11509</v>
      </c>
    </row>
    <row r="1117" spans="1:49">
      <c r="A1117" s="1">
        <f>HYPERLINK("https://cms.ls-nyc.org/matter/dynamic-profile/view/1864829","18-1864829")</f>
        <v>0</v>
      </c>
      <c r="B1117" t="s">
        <v>90</v>
      </c>
      <c r="C1117" t="s">
        <v>234</v>
      </c>
      <c r="D1117" t="s">
        <v>395</v>
      </c>
      <c r="E1117" t="s">
        <v>674</v>
      </c>
      <c r="F1117" t="s">
        <v>1538</v>
      </c>
      <c r="G1117" t="s">
        <v>2572</v>
      </c>
      <c r="H1117" t="s">
        <v>3549</v>
      </c>
      <c r="I1117" t="s">
        <v>4749</v>
      </c>
      <c r="J1117" t="s">
        <v>5321</v>
      </c>
      <c r="K1117">
        <v>10452</v>
      </c>
      <c r="L1117" t="s">
        <v>5355</v>
      </c>
      <c r="M1117" t="s">
        <v>5355</v>
      </c>
      <c r="N1117" t="s">
        <v>5603</v>
      </c>
      <c r="O1117" t="s">
        <v>6499</v>
      </c>
      <c r="P1117" t="s">
        <v>6528</v>
      </c>
      <c r="Q1117" t="s">
        <v>6536</v>
      </c>
      <c r="R1117" t="s">
        <v>6539</v>
      </c>
      <c r="S1117" t="s">
        <v>5355</v>
      </c>
      <c r="U1117" t="s">
        <v>6557</v>
      </c>
      <c r="W1117" t="s">
        <v>326</v>
      </c>
      <c r="X1117">
        <v>1450</v>
      </c>
      <c r="Y1117" t="s">
        <v>6606</v>
      </c>
      <c r="Z1117" t="s">
        <v>6612</v>
      </c>
      <c r="AA1117" t="s">
        <v>6634</v>
      </c>
      <c r="AB1117" t="s">
        <v>7648</v>
      </c>
      <c r="AD1117" t="s">
        <v>10007</v>
      </c>
      <c r="AE1117">
        <v>52</v>
      </c>
      <c r="AF1117" t="s">
        <v>11005</v>
      </c>
      <c r="AG1117" t="s">
        <v>5406</v>
      </c>
      <c r="AH1117">
        <v>0</v>
      </c>
      <c r="AI1117">
        <v>1</v>
      </c>
      <c r="AJ1117">
        <v>1</v>
      </c>
      <c r="AK1117">
        <v>123.21</v>
      </c>
      <c r="AN1117" t="s">
        <v>11050</v>
      </c>
      <c r="AO1117">
        <v>20280</v>
      </c>
      <c r="AU1117">
        <v>0.7</v>
      </c>
      <c r="AV1117" t="s">
        <v>674</v>
      </c>
      <c r="AW1117" t="s">
        <v>90</v>
      </c>
    </row>
    <row r="1118" spans="1:49">
      <c r="A1118" s="1">
        <f>HYPERLINK("https://cms.ls-nyc.org/matter/dynamic-profile/view/1872137","18-1872137")</f>
        <v>0</v>
      </c>
      <c r="B1118" t="s">
        <v>106</v>
      </c>
      <c r="C1118" t="s">
        <v>235</v>
      </c>
      <c r="D1118" t="s">
        <v>516</v>
      </c>
      <c r="F1118" t="s">
        <v>1496</v>
      </c>
      <c r="G1118" t="s">
        <v>2767</v>
      </c>
      <c r="H1118" t="s">
        <v>4064</v>
      </c>
      <c r="I1118" t="s">
        <v>5045</v>
      </c>
      <c r="J1118" t="s">
        <v>5321</v>
      </c>
      <c r="K1118">
        <v>10452</v>
      </c>
      <c r="L1118" t="s">
        <v>5355</v>
      </c>
      <c r="M1118" t="s">
        <v>5356</v>
      </c>
      <c r="O1118" t="s">
        <v>6499</v>
      </c>
      <c r="P1118" t="s">
        <v>6528</v>
      </c>
      <c r="R1118" t="s">
        <v>6539</v>
      </c>
      <c r="S1118" t="s">
        <v>5355</v>
      </c>
      <c r="U1118" t="s">
        <v>6557</v>
      </c>
      <c r="W1118" t="s">
        <v>516</v>
      </c>
      <c r="X1118">
        <v>0</v>
      </c>
      <c r="Y1118" t="s">
        <v>6606</v>
      </c>
      <c r="Z1118" t="s">
        <v>6614</v>
      </c>
      <c r="AB1118" t="s">
        <v>7570</v>
      </c>
      <c r="AD1118" t="s">
        <v>9931</v>
      </c>
      <c r="AE1118">
        <v>0</v>
      </c>
      <c r="AF1118" t="s">
        <v>11005</v>
      </c>
      <c r="AH1118">
        <v>4</v>
      </c>
      <c r="AI1118">
        <v>2</v>
      </c>
      <c r="AJ1118">
        <v>2</v>
      </c>
      <c r="AK1118">
        <v>123.63</v>
      </c>
      <c r="AN1118" t="s">
        <v>11050</v>
      </c>
      <c r="AO1118">
        <v>31032</v>
      </c>
      <c r="AP1118" t="s">
        <v>11143</v>
      </c>
      <c r="AU1118">
        <v>0</v>
      </c>
      <c r="AW1118" t="s">
        <v>11499</v>
      </c>
    </row>
    <row r="1119" spans="1:49">
      <c r="A1119" s="1">
        <f>HYPERLINK("https://cms.ls-nyc.org/matter/dynamic-profile/view/1842850","17-1842850")</f>
        <v>0</v>
      </c>
      <c r="B1119" t="s">
        <v>63</v>
      </c>
      <c r="C1119" t="s">
        <v>235</v>
      </c>
      <c r="D1119" t="s">
        <v>388</v>
      </c>
      <c r="F1119" t="s">
        <v>1539</v>
      </c>
      <c r="G1119" t="s">
        <v>2817</v>
      </c>
      <c r="H1119" t="s">
        <v>4057</v>
      </c>
      <c r="I1119" t="s">
        <v>5070</v>
      </c>
      <c r="J1119" t="s">
        <v>5322</v>
      </c>
      <c r="K1119">
        <v>10314</v>
      </c>
      <c r="L1119" t="s">
        <v>5355</v>
      </c>
      <c r="M1119" t="s">
        <v>5356</v>
      </c>
      <c r="N1119" t="s">
        <v>5572</v>
      </c>
      <c r="O1119" t="s">
        <v>6499</v>
      </c>
      <c r="P1119" t="s">
        <v>6528</v>
      </c>
      <c r="R1119" t="s">
        <v>6539</v>
      </c>
      <c r="S1119" t="s">
        <v>5355</v>
      </c>
      <c r="U1119" t="s">
        <v>6557</v>
      </c>
      <c r="W1119" t="s">
        <v>388</v>
      </c>
      <c r="X1119">
        <v>864</v>
      </c>
      <c r="Y1119" t="s">
        <v>6607</v>
      </c>
      <c r="Z1119" t="s">
        <v>6614</v>
      </c>
      <c r="AB1119" t="s">
        <v>7649</v>
      </c>
      <c r="AD1119" t="s">
        <v>10008</v>
      </c>
      <c r="AE1119">
        <v>96</v>
      </c>
      <c r="AF1119" t="s">
        <v>11005</v>
      </c>
      <c r="AG1119" t="s">
        <v>11024</v>
      </c>
      <c r="AH1119">
        <v>8</v>
      </c>
      <c r="AI1119">
        <v>1</v>
      </c>
      <c r="AJ1119">
        <v>0</v>
      </c>
      <c r="AK1119">
        <v>125.17</v>
      </c>
      <c r="AL1119" t="s">
        <v>11034</v>
      </c>
      <c r="AN1119" t="s">
        <v>11050</v>
      </c>
      <c r="AO1119">
        <v>15096</v>
      </c>
      <c r="AU1119">
        <v>0.65</v>
      </c>
      <c r="AV1119" t="s">
        <v>690</v>
      </c>
      <c r="AW1119" t="s">
        <v>62</v>
      </c>
    </row>
    <row r="1120" spans="1:49">
      <c r="A1120" s="1">
        <f>HYPERLINK("https://cms.ls-nyc.org/matter/dynamic-profile/view/1859460","18-1859460")</f>
        <v>0</v>
      </c>
      <c r="B1120" t="s">
        <v>102</v>
      </c>
      <c r="C1120" t="s">
        <v>235</v>
      </c>
      <c r="D1120" t="s">
        <v>284</v>
      </c>
      <c r="F1120" t="s">
        <v>1540</v>
      </c>
      <c r="G1120" t="s">
        <v>1884</v>
      </c>
      <c r="H1120" t="s">
        <v>3526</v>
      </c>
      <c r="I1120">
        <v>108</v>
      </c>
      <c r="J1120" t="s">
        <v>5321</v>
      </c>
      <c r="K1120">
        <v>10453</v>
      </c>
      <c r="L1120" t="s">
        <v>5355</v>
      </c>
      <c r="M1120" t="s">
        <v>5356</v>
      </c>
      <c r="O1120" t="s">
        <v>6499</v>
      </c>
      <c r="P1120" t="s">
        <v>6528</v>
      </c>
      <c r="R1120" t="s">
        <v>6539</v>
      </c>
      <c r="S1120" t="s">
        <v>5355</v>
      </c>
      <c r="U1120" t="s">
        <v>6557</v>
      </c>
      <c r="W1120" t="s">
        <v>414</v>
      </c>
      <c r="X1120">
        <v>1060</v>
      </c>
      <c r="Y1120" t="s">
        <v>6606</v>
      </c>
      <c r="Z1120" t="s">
        <v>6622</v>
      </c>
      <c r="AB1120" t="s">
        <v>7650</v>
      </c>
      <c r="AC1120">
        <v>687441</v>
      </c>
      <c r="AD1120" t="s">
        <v>10009</v>
      </c>
      <c r="AE1120">
        <v>146</v>
      </c>
      <c r="AF1120" t="s">
        <v>11005</v>
      </c>
      <c r="AG1120" t="s">
        <v>5406</v>
      </c>
      <c r="AH1120">
        <v>11</v>
      </c>
      <c r="AI1120">
        <v>3</v>
      </c>
      <c r="AJ1120">
        <v>0</v>
      </c>
      <c r="AK1120">
        <v>125.37</v>
      </c>
      <c r="AN1120" t="s">
        <v>11049</v>
      </c>
      <c r="AO1120">
        <v>46400</v>
      </c>
      <c r="AU1120">
        <v>0.1</v>
      </c>
      <c r="AV1120" t="s">
        <v>409</v>
      </c>
      <c r="AW1120" t="s">
        <v>11492</v>
      </c>
    </row>
    <row r="1121" spans="1:50">
      <c r="A1121" s="1">
        <f>HYPERLINK("https://cms.ls-nyc.org/matter/dynamic-profile/view/1838852","17-1838852")</f>
        <v>0</v>
      </c>
      <c r="B1121" t="s">
        <v>129</v>
      </c>
      <c r="C1121" t="s">
        <v>235</v>
      </c>
      <c r="D1121" t="s">
        <v>446</v>
      </c>
      <c r="F1121" t="s">
        <v>1122</v>
      </c>
      <c r="G1121" t="s">
        <v>2818</v>
      </c>
      <c r="H1121" t="s">
        <v>3846</v>
      </c>
      <c r="I1121" t="s">
        <v>4824</v>
      </c>
      <c r="J1121" t="s">
        <v>5321</v>
      </c>
      <c r="K1121">
        <v>10473</v>
      </c>
      <c r="L1121" t="s">
        <v>5355</v>
      </c>
      <c r="M1121" t="s">
        <v>5356</v>
      </c>
      <c r="N1121" t="s">
        <v>5604</v>
      </c>
      <c r="O1121" t="s">
        <v>6499</v>
      </c>
      <c r="P1121" t="s">
        <v>6528</v>
      </c>
      <c r="R1121" t="s">
        <v>6539</v>
      </c>
      <c r="S1121" t="s">
        <v>5355</v>
      </c>
      <c r="U1121" t="s">
        <v>6557</v>
      </c>
      <c r="W1121" t="s">
        <v>6572</v>
      </c>
      <c r="X1121">
        <v>709</v>
      </c>
      <c r="Y1121" t="s">
        <v>6606</v>
      </c>
      <c r="Z1121" t="s">
        <v>6620</v>
      </c>
      <c r="AB1121" t="s">
        <v>7651</v>
      </c>
      <c r="AE1121">
        <v>976</v>
      </c>
      <c r="AF1121" t="s">
        <v>11005</v>
      </c>
      <c r="AG1121" t="s">
        <v>5406</v>
      </c>
      <c r="AH1121">
        <v>0</v>
      </c>
      <c r="AI1121">
        <v>1</v>
      </c>
      <c r="AJ1121">
        <v>0</v>
      </c>
      <c r="AK1121">
        <v>125.47</v>
      </c>
      <c r="AL1121" t="s">
        <v>578</v>
      </c>
      <c r="AN1121" t="s">
        <v>11050</v>
      </c>
      <c r="AO1121">
        <v>15132</v>
      </c>
      <c r="AU1121">
        <v>0</v>
      </c>
      <c r="AW1121" t="s">
        <v>11509</v>
      </c>
    </row>
    <row r="1122" spans="1:50">
      <c r="A1122" s="1">
        <f>HYPERLINK("https://cms.ls-nyc.org/matter/dynamic-profile/view/1859281","18-1859281")</f>
        <v>0</v>
      </c>
      <c r="B1122" t="s">
        <v>102</v>
      </c>
      <c r="C1122" t="s">
        <v>234</v>
      </c>
      <c r="D1122" t="s">
        <v>467</v>
      </c>
      <c r="E1122" t="s">
        <v>782</v>
      </c>
      <c r="F1122" t="s">
        <v>1051</v>
      </c>
      <c r="G1122" t="s">
        <v>2819</v>
      </c>
      <c r="H1122" t="s">
        <v>3526</v>
      </c>
      <c r="I1122">
        <v>105</v>
      </c>
      <c r="J1122" t="s">
        <v>5321</v>
      </c>
      <c r="K1122">
        <v>10453</v>
      </c>
      <c r="L1122" t="s">
        <v>5355</v>
      </c>
      <c r="M1122" t="s">
        <v>5356</v>
      </c>
      <c r="O1122" t="s">
        <v>6499</v>
      </c>
      <c r="P1122" t="s">
        <v>6528</v>
      </c>
      <c r="Q1122" t="s">
        <v>6536</v>
      </c>
      <c r="R1122" t="s">
        <v>6539</v>
      </c>
      <c r="S1122" t="s">
        <v>5355</v>
      </c>
      <c r="U1122" t="s">
        <v>6557</v>
      </c>
      <c r="W1122" t="s">
        <v>319</v>
      </c>
      <c r="X1122">
        <v>1020</v>
      </c>
      <c r="Y1122" t="s">
        <v>6606</v>
      </c>
      <c r="Z1122" t="s">
        <v>6622</v>
      </c>
      <c r="AA1122" t="s">
        <v>6632</v>
      </c>
      <c r="AB1122" t="s">
        <v>7652</v>
      </c>
      <c r="AD1122" t="s">
        <v>10010</v>
      </c>
      <c r="AE1122">
        <v>146</v>
      </c>
      <c r="AF1122" t="s">
        <v>11005</v>
      </c>
      <c r="AG1122" t="s">
        <v>5406</v>
      </c>
      <c r="AH1122">
        <v>7</v>
      </c>
      <c r="AI1122">
        <v>2</v>
      </c>
      <c r="AJ1122">
        <v>0</v>
      </c>
      <c r="AK1122">
        <v>126.37</v>
      </c>
      <c r="AN1122" t="s">
        <v>11049</v>
      </c>
      <c r="AO1122">
        <v>41600</v>
      </c>
      <c r="AU1122">
        <v>11.6</v>
      </c>
      <c r="AV1122" t="s">
        <v>782</v>
      </c>
      <c r="AW1122" t="s">
        <v>11492</v>
      </c>
    </row>
    <row r="1123" spans="1:50">
      <c r="A1123" s="1">
        <f>HYPERLINK("https://cms.ls-nyc.org/matter/dynamic-profile/view/1858914","18-1858914")</f>
        <v>0</v>
      </c>
      <c r="B1123" t="s">
        <v>129</v>
      </c>
      <c r="C1123" t="s">
        <v>234</v>
      </c>
      <c r="D1123" t="s">
        <v>240</v>
      </c>
      <c r="E1123" t="s">
        <v>600</v>
      </c>
      <c r="F1123" t="s">
        <v>883</v>
      </c>
      <c r="G1123" t="s">
        <v>2820</v>
      </c>
      <c r="H1123" t="s">
        <v>4078</v>
      </c>
      <c r="I1123" t="s">
        <v>4840</v>
      </c>
      <c r="J1123" t="s">
        <v>5321</v>
      </c>
      <c r="K1123">
        <v>10463</v>
      </c>
      <c r="L1123" t="s">
        <v>5355</v>
      </c>
      <c r="M1123" t="s">
        <v>5356</v>
      </c>
      <c r="N1123" t="s">
        <v>5605</v>
      </c>
      <c r="O1123" t="s">
        <v>6499</v>
      </c>
      <c r="P1123" t="s">
        <v>6528</v>
      </c>
      <c r="Q1123" t="s">
        <v>6536</v>
      </c>
      <c r="R1123" t="s">
        <v>6539</v>
      </c>
      <c r="S1123" t="s">
        <v>5355</v>
      </c>
      <c r="U1123" t="s">
        <v>6557</v>
      </c>
      <c r="W1123" t="s">
        <v>428</v>
      </c>
      <c r="X1123">
        <v>1326</v>
      </c>
      <c r="Y1123" t="s">
        <v>6606</v>
      </c>
      <c r="Z1123" t="s">
        <v>6620</v>
      </c>
      <c r="AA1123" t="s">
        <v>6634</v>
      </c>
      <c r="AB1123" t="s">
        <v>7615</v>
      </c>
      <c r="AD1123" t="s">
        <v>10011</v>
      </c>
      <c r="AE1123">
        <v>57</v>
      </c>
      <c r="AF1123" t="s">
        <v>8722</v>
      </c>
      <c r="AG1123" t="s">
        <v>5406</v>
      </c>
      <c r="AH1123">
        <v>3</v>
      </c>
      <c r="AI1123">
        <v>2</v>
      </c>
      <c r="AJ1123">
        <v>3</v>
      </c>
      <c r="AK1123">
        <v>126.48</v>
      </c>
      <c r="AN1123" t="s">
        <v>11049</v>
      </c>
      <c r="AO1123">
        <v>36400</v>
      </c>
      <c r="AU1123">
        <v>0.1</v>
      </c>
      <c r="AV1123" t="s">
        <v>600</v>
      </c>
      <c r="AW1123" t="s">
        <v>11492</v>
      </c>
    </row>
    <row r="1124" spans="1:50">
      <c r="A1124" s="1">
        <f>HYPERLINK("https://cms.ls-nyc.org/matter/dynamic-profile/view/1850193","17-1850193")</f>
        <v>0</v>
      </c>
      <c r="B1124" t="s">
        <v>77</v>
      </c>
      <c r="C1124" t="s">
        <v>234</v>
      </c>
      <c r="D1124" t="s">
        <v>363</v>
      </c>
      <c r="E1124" t="s">
        <v>733</v>
      </c>
      <c r="F1124" t="s">
        <v>903</v>
      </c>
      <c r="G1124" t="s">
        <v>2279</v>
      </c>
      <c r="H1124" t="s">
        <v>3625</v>
      </c>
      <c r="I1124">
        <v>4</v>
      </c>
      <c r="J1124" t="s">
        <v>5320</v>
      </c>
      <c r="K1124">
        <v>11219</v>
      </c>
      <c r="L1124" t="s">
        <v>5357</v>
      </c>
      <c r="M1124" t="s">
        <v>5356</v>
      </c>
      <c r="O1124" t="s">
        <v>6499</v>
      </c>
      <c r="P1124" t="s">
        <v>6528</v>
      </c>
      <c r="Q1124" t="s">
        <v>6536</v>
      </c>
      <c r="R1124" t="s">
        <v>6539</v>
      </c>
      <c r="T1124" t="s">
        <v>6539</v>
      </c>
      <c r="U1124" t="s">
        <v>6557</v>
      </c>
      <c r="W1124" t="s">
        <v>363</v>
      </c>
      <c r="X1124">
        <v>0</v>
      </c>
      <c r="Y1124" t="s">
        <v>6605</v>
      </c>
      <c r="AA1124" t="s">
        <v>6631</v>
      </c>
      <c r="AB1124" t="s">
        <v>6867</v>
      </c>
      <c r="AE1124">
        <v>14</v>
      </c>
      <c r="AF1124" t="s">
        <v>11005</v>
      </c>
      <c r="AH1124">
        <v>0</v>
      </c>
      <c r="AI1124">
        <v>2</v>
      </c>
      <c r="AJ1124">
        <v>0</v>
      </c>
      <c r="AK1124">
        <v>128.08</v>
      </c>
      <c r="AL1124" t="s">
        <v>333</v>
      </c>
      <c r="AN1124" t="s">
        <v>11049</v>
      </c>
      <c r="AO1124">
        <v>20800</v>
      </c>
      <c r="AU1124">
        <v>0.35</v>
      </c>
      <c r="AV1124" t="s">
        <v>687</v>
      </c>
      <c r="AW1124" t="s">
        <v>11489</v>
      </c>
    </row>
    <row r="1125" spans="1:50">
      <c r="A1125" s="1">
        <f>HYPERLINK("https://cms.ls-nyc.org/matter/dynamic-profile/view/1851547","17-1851547")</f>
        <v>0</v>
      </c>
      <c r="B1125" t="s">
        <v>181</v>
      </c>
      <c r="C1125" t="s">
        <v>235</v>
      </c>
      <c r="D1125" t="s">
        <v>534</v>
      </c>
      <c r="F1125" t="s">
        <v>1541</v>
      </c>
      <c r="G1125" t="s">
        <v>2821</v>
      </c>
      <c r="H1125" t="s">
        <v>4092</v>
      </c>
      <c r="I1125" t="s">
        <v>4776</v>
      </c>
      <c r="J1125" t="s">
        <v>5317</v>
      </c>
      <c r="K1125">
        <v>11432</v>
      </c>
      <c r="L1125" t="s">
        <v>5355</v>
      </c>
      <c r="M1125" t="s">
        <v>5356</v>
      </c>
      <c r="N1125" t="s">
        <v>5606</v>
      </c>
      <c r="O1125" t="s">
        <v>6499</v>
      </c>
      <c r="P1125" t="s">
        <v>6528</v>
      </c>
      <c r="R1125" t="s">
        <v>6539</v>
      </c>
      <c r="S1125" t="s">
        <v>5357</v>
      </c>
      <c r="U1125" t="s">
        <v>6557</v>
      </c>
      <c r="W1125" t="s">
        <v>534</v>
      </c>
      <c r="X1125">
        <v>1175</v>
      </c>
      <c r="Y1125" t="s">
        <v>6604</v>
      </c>
      <c r="Z1125" t="s">
        <v>6616</v>
      </c>
      <c r="AB1125" t="s">
        <v>7065</v>
      </c>
      <c r="AC1125" t="s">
        <v>5392</v>
      </c>
      <c r="AD1125" t="s">
        <v>10012</v>
      </c>
      <c r="AE1125">
        <v>190</v>
      </c>
      <c r="AF1125" t="s">
        <v>11005</v>
      </c>
      <c r="AG1125" t="s">
        <v>5406</v>
      </c>
      <c r="AH1125">
        <v>5</v>
      </c>
      <c r="AI1125">
        <v>2</v>
      </c>
      <c r="AJ1125">
        <v>0</v>
      </c>
      <c r="AK1125">
        <v>129.31</v>
      </c>
      <c r="AL1125" t="s">
        <v>485</v>
      </c>
      <c r="AN1125" t="s">
        <v>11059</v>
      </c>
      <c r="AO1125">
        <v>21000</v>
      </c>
      <c r="AU1125">
        <v>51.45</v>
      </c>
      <c r="AV1125" t="s">
        <v>766</v>
      </c>
      <c r="AW1125" t="s">
        <v>181</v>
      </c>
    </row>
    <row r="1126" spans="1:50">
      <c r="A1126" s="1">
        <f>HYPERLINK("https://cms.ls-nyc.org/matter/dynamic-profile/view/1840476","17-1840476")</f>
        <v>0</v>
      </c>
      <c r="B1126" t="s">
        <v>129</v>
      </c>
      <c r="C1126" t="s">
        <v>234</v>
      </c>
      <c r="D1126" t="s">
        <v>441</v>
      </c>
      <c r="E1126" t="s">
        <v>778</v>
      </c>
      <c r="F1126" t="s">
        <v>1047</v>
      </c>
      <c r="G1126" t="s">
        <v>2822</v>
      </c>
      <c r="H1126" t="s">
        <v>3721</v>
      </c>
      <c r="I1126" t="s">
        <v>4941</v>
      </c>
      <c r="J1126" t="s">
        <v>5321</v>
      </c>
      <c r="K1126">
        <v>10453</v>
      </c>
      <c r="L1126" t="s">
        <v>5355</v>
      </c>
      <c r="M1126" t="s">
        <v>5356</v>
      </c>
      <c r="O1126" t="s">
        <v>6499</v>
      </c>
      <c r="P1126" t="s">
        <v>6528</v>
      </c>
      <c r="Q1126" t="s">
        <v>6536</v>
      </c>
      <c r="R1126" t="s">
        <v>6539</v>
      </c>
      <c r="S1126" t="s">
        <v>5355</v>
      </c>
      <c r="U1126" t="s">
        <v>6557</v>
      </c>
      <c r="W1126" t="s">
        <v>404</v>
      </c>
      <c r="X1126">
        <v>1000</v>
      </c>
      <c r="Y1126" t="s">
        <v>6606</v>
      </c>
      <c r="Z1126" t="s">
        <v>6612</v>
      </c>
      <c r="AA1126" t="s">
        <v>6636</v>
      </c>
      <c r="AB1126" t="s">
        <v>7653</v>
      </c>
      <c r="AD1126" t="s">
        <v>10013</v>
      </c>
      <c r="AE1126">
        <v>170</v>
      </c>
      <c r="AF1126" t="s">
        <v>11005</v>
      </c>
      <c r="AG1126" t="s">
        <v>5406</v>
      </c>
      <c r="AH1126">
        <v>6</v>
      </c>
      <c r="AI1126">
        <v>1</v>
      </c>
      <c r="AJ1126">
        <v>0</v>
      </c>
      <c r="AK1126">
        <v>129.35</v>
      </c>
      <c r="AN1126" t="s">
        <v>11049</v>
      </c>
      <c r="AO1126">
        <v>15600</v>
      </c>
      <c r="AU1126">
        <v>0.1</v>
      </c>
      <c r="AV1126" t="s">
        <v>778</v>
      </c>
      <c r="AW1126" t="s">
        <v>11509</v>
      </c>
    </row>
    <row r="1127" spans="1:50">
      <c r="A1127" s="1">
        <f>HYPERLINK("https://cms.ls-nyc.org/matter/dynamic-profile/view/1859453","18-1859453")</f>
        <v>0</v>
      </c>
      <c r="B1127" t="s">
        <v>102</v>
      </c>
      <c r="C1127" t="s">
        <v>235</v>
      </c>
      <c r="D1127" t="s">
        <v>284</v>
      </c>
      <c r="F1127" t="s">
        <v>1542</v>
      </c>
      <c r="G1127" t="s">
        <v>2639</v>
      </c>
      <c r="H1127" t="s">
        <v>3526</v>
      </c>
      <c r="I1127">
        <v>123</v>
      </c>
      <c r="J1127" t="s">
        <v>5321</v>
      </c>
      <c r="K1127">
        <v>10453</v>
      </c>
      <c r="L1127" t="s">
        <v>5355</v>
      </c>
      <c r="M1127" t="s">
        <v>5356</v>
      </c>
      <c r="O1127" t="s">
        <v>6499</v>
      </c>
      <c r="P1127" t="s">
        <v>6528</v>
      </c>
      <c r="R1127" t="s">
        <v>6539</v>
      </c>
      <c r="S1127" t="s">
        <v>5355</v>
      </c>
      <c r="U1127" t="s">
        <v>6557</v>
      </c>
      <c r="W1127" t="s">
        <v>373</v>
      </c>
      <c r="X1127">
        <v>990.26</v>
      </c>
      <c r="Y1127" t="s">
        <v>6606</v>
      </c>
      <c r="Z1127" t="s">
        <v>6622</v>
      </c>
      <c r="AB1127" t="s">
        <v>7654</v>
      </c>
      <c r="AD1127" t="s">
        <v>10014</v>
      </c>
      <c r="AE1127">
        <v>146</v>
      </c>
      <c r="AF1127" t="s">
        <v>11005</v>
      </c>
      <c r="AG1127" t="s">
        <v>5406</v>
      </c>
      <c r="AH1127">
        <v>6</v>
      </c>
      <c r="AI1127">
        <v>1</v>
      </c>
      <c r="AJ1127">
        <v>0</v>
      </c>
      <c r="AK1127">
        <v>129.35</v>
      </c>
      <c r="AN1127" t="s">
        <v>11049</v>
      </c>
      <c r="AO1127">
        <v>15600</v>
      </c>
      <c r="AU1127">
        <v>0.6</v>
      </c>
      <c r="AV1127" t="s">
        <v>254</v>
      </c>
      <c r="AW1127" t="s">
        <v>11492</v>
      </c>
    </row>
    <row r="1128" spans="1:50">
      <c r="A1128" s="1">
        <f>HYPERLINK("https://cms.ls-nyc.org/matter/dynamic-profile/view/1861367","18-1861367")</f>
        <v>0</v>
      </c>
      <c r="B1128" t="s">
        <v>176</v>
      </c>
      <c r="C1128" t="s">
        <v>235</v>
      </c>
      <c r="D1128" t="s">
        <v>330</v>
      </c>
      <c r="F1128" t="s">
        <v>966</v>
      </c>
      <c r="G1128" t="s">
        <v>2237</v>
      </c>
      <c r="H1128" t="s">
        <v>3576</v>
      </c>
      <c r="I1128" t="s">
        <v>4740</v>
      </c>
      <c r="J1128" t="s">
        <v>5317</v>
      </c>
      <c r="K1128">
        <v>11432</v>
      </c>
      <c r="L1128" t="s">
        <v>5355</v>
      </c>
      <c r="M1128" t="s">
        <v>5356</v>
      </c>
      <c r="N1128" t="s">
        <v>5583</v>
      </c>
      <c r="O1128" t="s">
        <v>6499</v>
      </c>
      <c r="P1128" t="s">
        <v>6528</v>
      </c>
      <c r="R1128" t="s">
        <v>6539</v>
      </c>
      <c r="S1128" t="s">
        <v>5355</v>
      </c>
      <c r="U1128" t="s">
        <v>6559</v>
      </c>
      <c r="W1128" t="s">
        <v>330</v>
      </c>
      <c r="X1128">
        <v>877</v>
      </c>
      <c r="Y1128" t="s">
        <v>6604</v>
      </c>
      <c r="Z1128" t="s">
        <v>6623</v>
      </c>
      <c r="AB1128" t="s">
        <v>6814</v>
      </c>
      <c r="AC1128" t="s">
        <v>5392</v>
      </c>
      <c r="AD1128" t="s">
        <v>9242</v>
      </c>
      <c r="AE1128">
        <v>60</v>
      </c>
      <c r="AF1128" t="s">
        <v>11005</v>
      </c>
      <c r="AG1128" t="s">
        <v>5406</v>
      </c>
      <c r="AH1128">
        <v>36</v>
      </c>
      <c r="AI1128">
        <v>2</v>
      </c>
      <c r="AJ1128">
        <v>0</v>
      </c>
      <c r="AK1128">
        <v>129.7</v>
      </c>
      <c r="AL1128" t="s">
        <v>485</v>
      </c>
      <c r="AN1128" t="s">
        <v>11049</v>
      </c>
      <c r="AO1128">
        <v>21348</v>
      </c>
      <c r="AU1128">
        <v>0.2</v>
      </c>
      <c r="AV1128" t="s">
        <v>677</v>
      </c>
      <c r="AW1128" t="s">
        <v>11506</v>
      </c>
    </row>
    <row r="1129" spans="1:50">
      <c r="A1129" s="1">
        <f>HYPERLINK("https://cms.ls-nyc.org/matter/dynamic-profile/view/1861379","18-1861379")</f>
        <v>0</v>
      </c>
      <c r="B1129" t="s">
        <v>176</v>
      </c>
      <c r="C1129" t="s">
        <v>235</v>
      </c>
      <c r="D1129" t="s">
        <v>330</v>
      </c>
      <c r="F1129" t="s">
        <v>966</v>
      </c>
      <c r="G1129" t="s">
        <v>2237</v>
      </c>
      <c r="H1129" t="s">
        <v>3576</v>
      </c>
      <c r="I1129" t="s">
        <v>4740</v>
      </c>
      <c r="J1129" t="s">
        <v>5317</v>
      </c>
      <c r="K1129">
        <v>11432</v>
      </c>
      <c r="L1129" t="s">
        <v>5355</v>
      </c>
      <c r="M1129" t="s">
        <v>5356</v>
      </c>
      <c r="N1129" t="s">
        <v>5582</v>
      </c>
      <c r="O1129" t="s">
        <v>6499</v>
      </c>
      <c r="P1129" t="s">
        <v>6528</v>
      </c>
      <c r="R1129" t="s">
        <v>6539</v>
      </c>
      <c r="S1129" t="s">
        <v>5355</v>
      </c>
      <c r="U1129" t="s">
        <v>6559</v>
      </c>
      <c r="W1129" t="s">
        <v>330</v>
      </c>
      <c r="X1129">
        <v>877</v>
      </c>
      <c r="Y1129" t="s">
        <v>6604</v>
      </c>
      <c r="Z1129" t="s">
        <v>6623</v>
      </c>
      <c r="AB1129" t="s">
        <v>6814</v>
      </c>
      <c r="AC1129" t="s">
        <v>5392</v>
      </c>
      <c r="AD1129" t="s">
        <v>9242</v>
      </c>
      <c r="AE1129">
        <v>60</v>
      </c>
      <c r="AF1129" t="s">
        <v>11005</v>
      </c>
      <c r="AG1129" t="s">
        <v>5406</v>
      </c>
      <c r="AH1129">
        <v>36</v>
      </c>
      <c r="AI1129">
        <v>2</v>
      </c>
      <c r="AJ1129">
        <v>0</v>
      </c>
      <c r="AK1129">
        <v>129.7</v>
      </c>
      <c r="AL1129" t="s">
        <v>485</v>
      </c>
      <c r="AN1129" t="s">
        <v>11049</v>
      </c>
      <c r="AO1129">
        <v>21348</v>
      </c>
      <c r="AU1129">
        <v>0.2</v>
      </c>
      <c r="AV1129" t="s">
        <v>677</v>
      </c>
      <c r="AW1129" t="s">
        <v>11506</v>
      </c>
    </row>
    <row r="1130" spans="1:50">
      <c r="A1130" s="1">
        <f>HYPERLINK("https://cms.ls-nyc.org/matter/dynamic-profile/view/1857389","18-1857389")</f>
        <v>0</v>
      </c>
      <c r="B1130" t="s">
        <v>58</v>
      </c>
      <c r="C1130" t="s">
        <v>235</v>
      </c>
      <c r="D1130" t="s">
        <v>343</v>
      </c>
      <c r="F1130" t="s">
        <v>879</v>
      </c>
      <c r="G1130" t="s">
        <v>2206</v>
      </c>
      <c r="H1130" t="s">
        <v>4007</v>
      </c>
      <c r="I1130" t="s">
        <v>5014</v>
      </c>
      <c r="J1130" t="s">
        <v>5321</v>
      </c>
      <c r="K1130">
        <v>10452</v>
      </c>
      <c r="L1130" t="s">
        <v>5355</v>
      </c>
      <c r="M1130" t="s">
        <v>5356</v>
      </c>
      <c r="N1130" t="s">
        <v>5571</v>
      </c>
      <c r="O1130" t="s">
        <v>6499</v>
      </c>
      <c r="P1130" t="s">
        <v>6528</v>
      </c>
      <c r="R1130" t="s">
        <v>6539</v>
      </c>
      <c r="S1130" t="s">
        <v>5355</v>
      </c>
      <c r="U1130" t="s">
        <v>6557</v>
      </c>
      <c r="W1130" t="s">
        <v>516</v>
      </c>
      <c r="X1130">
        <v>1081</v>
      </c>
      <c r="Y1130" t="s">
        <v>6606</v>
      </c>
      <c r="Z1130" t="s">
        <v>6612</v>
      </c>
      <c r="AB1130" t="s">
        <v>7655</v>
      </c>
      <c r="AD1130" t="s">
        <v>10015</v>
      </c>
      <c r="AE1130">
        <v>122</v>
      </c>
      <c r="AF1130" t="s">
        <v>11005</v>
      </c>
      <c r="AG1130" t="s">
        <v>5406</v>
      </c>
      <c r="AH1130">
        <v>122</v>
      </c>
      <c r="AI1130">
        <v>2</v>
      </c>
      <c r="AJ1130">
        <v>0</v>
      </c>
      <c r="AK1130">
        <v>134.24</v>
      </c>
      <c r="AN1130" t="s">
        <v>11050</v>
      </c>
      <c r="AO1130">
        <v>21800.04</v>
      </c>
      <c r="AP1130" t="s">
        <v>11144</v>
      </c>
      <c r="AU1130">
        <v>0</v>
      </c>
      <c r="AW1130" t="s">
        <v>11492</v>
      </c>
    </row>
    <row r="1131" spans="1:50">
      <c r="A1131" s="1">
        <f>HYPERLINK("https://cms.ls-nyc.org/matter/dynamic-profile/view/1849148","17-1849148")</f>
        <v>0</v>
      </c>
      <c r="B1131" t="s">
        <v>107</v>
      </c>
      <c r="C1131" t="s">
        <v>235</v>
      </c>
      <c r="D1131" t="s">
        <v>535</v>
      </c>
      <c r="F1131" t="s">
        <v>1307</v>
      </c>
      <c r="G1131" t="s">
        <v>2823</v>
      </c>
      <c r="H1131" t="s">
        <v>4093</v>
      </c>
      <c r="I1131" t="s">
        <v>4740</v>
      </c>
      <c r="J1131" t="s">
        <v>5323</v>
      </c>
      <c r="K1131">
        <v>10035</v>
      </c>
      <c r="L1131" t="s">
        <v>5355</v>
      </c>
      <c r="M1131" t="s">
        <v>5356</v>
      </c>
      <c r="O1131" t="s">
        <v>6501</v>
      </c>
      <c r="P1131" t="s">
        <v>6528</v>
      </c>
      <c r="R1131" t="s">
        <v>6539</v>
      </c>
      <c r="S1131" t="s">
        <v>5357</v>
      </c>
      <c r="U1131" t="s">
        <v>6563</v>
      </c>
      <c r="W1131" t="s">
        <v>535</v>
      </c>
      <c r="X1131">
        <v>0</v>
      </c>
      <c r="Y1131" t="s">
        <v>6608</v>
      </c>
      <c r="Z1131" t="s">
        <v>6625</v>
      </c>
      <c r="AB1131" t="s">
        <v>7656</v>
      </c>
      <c r="AD1131" t="s">
        <v>10016</v>
      </c>
      <c r="AE1131">
        <v>42</v>
      </c>
      <c r="AF1131" t="s">
        <v>11008</v>
      </c>
      <c r="AG1131" t="s">
        <v>11020</v>
      </c>
      <c r="AH1131">
        <v>40</v>
      </c>
      <c r="AI1131">
        <v>3</v>
      </c>
      <c r="AJ1131">
        <v>1</v>
      </c>
      <c r="AK1131">
        <v>134.73</v>
      </c>
      <c r="AN1131" t="s">
        <v>11050</v>
      </c>
      <c r="AO1131">
        <v>42840</v>
      </c>
      <c r="AU1131">
        <v>24.25</v>
      </c>
      <c r="AV1131" t="s">
        <v>11029</v>
      </c>
      <c r="AW1131" t="s">
        <v>11497</v>
      </c>
    </row>
    <row r="1132" spans="1:50">
      <c r="A1132" s="1">
        <f>HYPERLINK("https://cms.ls-nyc.org/matter/dynamic-profile/view/1842886","17-1842886")</f>
        <v>0</v>
      </c>
      <c r="B1132" t="s">
        <v>63</v>
      </c>
      <c r="C1132" t="s">
        <v>235</v>
      </c>
      <c r="D1132" t="s">
        <v>472</v>
      </c>
      <c r="F1132" t="s">
        <v>1190</v>
      </c>
      <c r="G1132" t="s">
        <v>2824</v>
      </c>
      <c r="H1132" t="s">
        <v>4057</v>
      </c>
      <c r="I1132" t="s">
        <v>5071</v>
      </c>
      <c r="J1132" t="s">
        <v>5322</v>
      </c>
      <c r="K1132">
        <v>10314</v>
      </c>
      <c r="L1132" t="s">
        <v>5355</v>
      </c>
      <c r="M1132" t="s">
        <v>5356</v>
      </c>
      <c r="N1132" t="s">
        <v>5572</v>
      </c>
      <c r="O1132" t="s">
        <v>6499</v>
      </c>
      <c r="P1132" t="s">
        <v>6528</v>
      </c>
      <c r="R1132" t="s">
        <v>6539</v>
      </c>
      <c r="S1132" t="s">
        <v>5355</v>
      </c>
      <c r="U1132" t="s">
        <v>6557</v>
      </c>
      <c r="W1132" t="s">
        <v>388</v>
      </c>
      <c r="X1132">
        <v>1400</v>
      </c>
      <c r="Y1132" t="s">
        <v>6607</v>
      </c>
      <c r="Z1132" t="s">
        <v>6622</v>
      </c>
      <c r="AB1132" t="s">
        <v>7657</v>
      </c>
      <c r="AD1132" t="s">
        <v>10017</v>
      </c>
      <c r="AE1132">
        <v>96</v>
      </c>
      <c r="AF1132" t="s">
        <v>11005</v>
      </c>
      <c r="AG1132" t="s">
        <v>11024</v>
      </c>
      <c r="AH1132">
        <v>8</v>
      </c>
      <c r="AI1132">
        <v>1</v>
      </c>
      <c r="AJ1132">
        <v>0</v>
      </c>
      <c r="AK1132">
        <v>139.3</v>
      </c>
      <c r="AL1132" t="s">
        <v>11034</v>
      </c>
      <c r="AN1132" t="s">
        <v>11050</v>
      </c>
      <c r="AO1132">
        <v>16800</v>
      </c>
      <c r="AU1132">
        <v>0.55</v>
      </c>
      <c r="AV1132" t="s">
        <v>807</v>
      </c>
      <c r="AW1132" t="s">
        <v>62</v>
      </c>
    </row>
    <row r="1133" spans="1:50">
      <c r="A1133" s="1">
        <f>HYPERLINK("https://cms.ls-nyc.org/matter/dynamic-profile/view/1863816","18-1863816")</f>
        <v>0</v>
      </c>
      <c r="B1133" t="s">
        <v>65</v>
      </c>
      <c r="C1133" t="s">
        <v>235</v>
      </c>
      <c r="D1133" t="s">
        <v>288</v>
      </c>
      <c r="F1133" t="s">
        <v>1543</v>
      </c>
      <c r="G1133" t="s">
        <v>2825</v>
      </c>
      <c r="H1133" t="s">
        <v>3780</v>
      </c>
      <c r="I1133" t="s">
        <v>4840</v>
      </c>
      <c r="J1133" t="s">
        <v>5323</v>
      </c>
      <c r="K1133">
        <v>10033</v>
      </c>
      <c r="L1133" t="s">
        <v>5355</v>
      </c>
      <c r="M1133" t="s">
        <v>5356</v>
      </c>
      <c r="O1133" t="s">
        <v>6499</v>
      </c>
      <c r="P1133" t="s">
        <v>6528</v>
      </c>
      <c r="R1133" t="s">
        <v>6539</v>
      </c>
      <c r="S1133" t="s">
        <v>5355</v>
      </c>
      <c r="U1133" t="s">
        <v>6557</v>
      </c>
      <c r="W1133" t="s">
        <v>288</v>
      </c>
      <c r="X1133">
        <v>1432.54</v>
      </c>
      <c r="Y1133" t="s">
        <v>6608</v>
      </c>
      <c r="Z1133" t="s">
        <v>6614</v>
      </c>
      <c r="AB1133" t="s">
        <v>7658</v>
      </c>
      <c r="AD1133" t="s">
        <v>10018</v>
      </c>
      <c r="AE1133">
        <v>20</v>
      </c>
      <c r="AF1133" t="s">
        <v>11005</v>
      </c>
      <c r="AG1133" t="s">
        <v>5406</v>
      </c>
      <c r="AH1133">
        <v>11</v>
      </c>
      <c r="AI1133">
        <v>1</v>
      </c>
      <c r="AJ1133">
        <v>0</v>
      </c>
      <c r="AK1133">
        <v>140.03</v>
      </c>
      <c r="AL1133" t="s">
        <v>450</v>
      </c>
      <c r="AN1133" t="s">
        <v>11050</v>
      </c>
      <c r="AO1133">
        <v>17000</v>
      </c>
      <c r="AU1133">
        <v>18.6</v>
      </c>
      <c r="AV1133" t="s">
        <v>11434</v>
      </c>
      <c r="AW1133" t="s">
        <v>11495</v>
      </c>
      <c r="AX1133" t="s">
        <v>11564</v>
      </c>
    </row>
    <row r="1134" spans="1:50">
      <c r="A1134" s="1">
        <f>HYPERLINK("https://cms.ls-nyc.org/matter/dynamic-profile/view/1854883","17-1854883")</f>
        <v>0</v>
      </c>
      <c r="B1134" t="s">
        <v>90</v>
      </c>
      <c r="C1134" t="s">
        <v>235</v>
      </c>
      <c r="D1134" t="s">
        <v>469</v>
      </c>
      <c r="F1134" t="s">
        <v>837</v>
      </c>
      <c r="G1134" t="s">
        <v>2826</v>
      </c>
      <c r="H1134" t="s">
        <v>4059</v>
      </c>
      <c r="I1134" t="s">
        <v>5072</v>
      </c>
      <c r="J1134" t="s">
        <v>5321</v>
      </c>
      <c r="K1134">
        <v>10452</v>
      </c>
      <c r="L1134" t="s">
        <v>5355</v>
      </c>
      <c r="M1134" t="s">
        <v>5356</v>
      </c>
      <c r="N1134" t="s">
        <v>5574</v>
      </c>
      <c r="O1134" t="s">
        <v>6499</v>
      </c>
      <c r="P1134" t="s">
        <v>6528</v>
      </c>
      <c r="R1134" t="s">
        <v>6539</v>
      </c>
      <c r="S1134" t="s">
        <v>5355</v>
      </c>
      <c r="U1134" t="s">
        <v>6557</v>
      </c>
      <c r="W1134" t="s">
        <v>247</v>
      </c>
      <c r="X1134">
        <v>405</v>
      </c>
      <c r="Y1134" t="s">
        <v>6606</v>
      </c>
      <c r="Z1134" t="s">
        <v>6612</v>
      </c>
      <c r="AB1134" t="s">
        <v>7659</v>
      </c>
      <c r="AD1134" t="s">
        <v>10019</v>
      </c>
      <c r="AE1134">
        <v>62</v>
      </c>
      <c r="AF1134" t="s">
        <v>11005</v>
      </c>
      <c r="AG1134" t="s">
        <v>11020</v>
      </c>
      <c r="AH1134">
        <v>19</v>
      </c>
      <c r="AI1134">
        <v>2</v>
      </c>
      <c r="AJ1134">
        <v>0</v>
      </c>
      <c r="AK1134">
        <v>140.78</v>
      </c>
      <c r="AN1134" t="s">
        <v>11050</v>
      </c>
      <c r="AO1134">
        <v>22862.4</v>
      </c>
      <c r="AU1134">
        <v>0.4</v>
      </c>
      <c r="AV1134" t="s">
        <v>469</v>
      </c>
      <c r="AW1134" t="s">
        <v>59</v>
      </c>
    </row>
    <row r="1135" spans="1:50">
      <c r="A1135" s="1">
        <f>HYPERLINK("https://cms.ls-nyc.org/matter/dynamic-profile/view/1855239","18-1855239")</f>
        <v>0</v>
      </c>
      <c r="B1135" t="s">
        <v>90</v>
      </c>
      <c r="C1135" t="s">
        <v>235</v>
      </c>
      <c r="D1135" t="s">
        <v>351</v>
      </c>
      <c r="F1135" t="s">
        <v>837</v>
      </c>
      <c r="G1135" t="s">
        <v>2826</v>
      </c>
      <c r="H1135" t="s">
        <v>4059</v>
      </c>
      <c r="I1135" t="s">
        <v>5072</v>
      </c>
      <c r="J1135" t="s">
        <v>5321</v>
      </c>
      <c r="K1135">
        <v>10452</v>
      </c>
      <c r="L1135" t="s">
        <v>5355</v>
      </c>
      <c r="M1135" t="s">
        <v>5356</v>
      </c>
      <c r="N1135" t="s">
        <v>5575</v>
      </c>
      <c r="O1135" t="s">
        <v>6499</v>
      </c>
      <c r="P1135" t="s">
        <v>6528</v>
      </c>
      <c r="R1135" t="s">
        <v>6539</v>
      </c>
      <c r="S1135" t="s">
        <v>5355</v>
      </c>
      <c r="U1135" t="s">
        <v>6557</v>
      </c>
      <c r="W1135" t="s">
        <v>247</v>
      </c>
      <c r="X1135">
        <v>405</v>
      </c>
      <c r="Y1135" t="s">
        <v>6606</v>
      </c>
      <c r="Z1135" t="s">
        <v>6612</v>
      </c>
      <c r="AB1135" t="s">
        <v>7659</v>
      </c>
      <c r="AD1135" t="s">
        <v>10019</v>
      </c>
      <c r="AE1135">
        <v>62</v>
      </c>
      <c r="AF1135" t="s">
        <v>11005</v>
      </c>
      <c r="AG1135" t="s">
        <v>11020</v>
      </c>
      <c r="AH1135">
        <v>19</v>
      </c>
      <c r="AI1135">
        <v>2</v>
      </c>
      <c r="AJ1135">
        <v>0</v>
      </c>
      <c r="AK1135">
        <v>140.78</v>
      </c>
      <c r="AN1135" t="s">
        <v>11050</v>
      </c>
      <c r="AO1135">
        <v>22862.4</v>
      </c>
      <c r="AU1135">
        <v>0</v>
      </c>
      <c r="AW1135" t="s">
        <v>11509</v>
      </c>
    </row>
    <row r="1136" spans="1:50">
      <c r="A1136" s="1">
        <f>HYPERLINK("https://cms.ls-nyc.org/matter/dynamic-profile/view/0803948","16-0803948")</f>
        <v>0</v>
      </c>
      <c r="B1136" t="s">
        <v>93</v>
      </c>
      <c r="C1136" t="s">
        <v>234</v>
      </c>
      <c r="D1136" t="s">
        <v>536</v>
      </c>
      <c r="E1136" t="s">
        <v>719</v>
      </c>
      <c r="F1136" t="s">
        <v>920</v>
      </c>
      <c r="G1136" t="s">
        <v>2105</v>
      </c>
      <c r="H1136" t="s">
        <v>4094</v>
      </c>
      <c r="I1136">
        <v>45</v>
      </c>
      <c r="J1136" t="s">
        <v>5317</v>
      </c>
      <c r="K1136">
        <v>11435</v>
      </c>
      <c r="L1136" t="s">
        <v>5355</v>
      </c>
      <c r="M1136" t="s">
        <v>5355</v>
      </c>
      <c r="N1136" t="s">
        <v>5607</v>
      </c>
      <c r="O1136" t="s">
        <v>6496</v>
      </c>
      <c r="P1136" t="s">
        <v>6528</v>
      </c>
      <c r="Q1136" t="s">
        <v>6535</v>
      </c>
      <c r="R1136" t="s">
        <v>6539</v>
      </c>
      <c r="S1136" t="s">
        <v>5355</v>
      </c>
      <c r="T1136" t="s">
        <v>6547</v>
      </c>
      <c r="U1136" t="s">
        <v>6557</v>
      </c>
      <c r="V1136" t="s">
        <v>6566</v>
      </c>
      <c r="W1136" t="s">
        <v>382</v>
      </c>
      <c r="X1136">
        <v>1900</v>
      </c>
      <c r="Y1136" t="s">
        <v>6604</v>
      </c>
      <c r="Z1136" t="s">
        <v>6612</v>
      </c>
      <c r="AA1136" t="s">
        <v>6636</v>
      </c>
      <c r="AB1136" t="s">
        <v>7660</v>
      </c>
      <c r="AD1136" t="s">
        <v>10020</v>
      </c>
      <c r="AE1136">
        <v>100</v>
      </c>
      <c r="AF1136" t="s">
        <v>11005</v>
      </c>
      <c r="AG1136" t="s">
        <v>5406</v>
      </c>
      <c r="AH1136">
        <v>29</v>
      </c>
      <c r="AI1136">
        <v>3</v>
      </c>
      <c r="AJ1136">
        <v>1</v>
      </c>
      <c r="AK1136">
        <v>142.12</v>
      </c>
      <c r="AN1136" t="s">
        <v>11049</v>
      </c>
      <c r="AO1136">
        <v>34536</v>
      </c>
      <c r="AP1136" t="s">
        <v>11136</v>
      </c>
      <c r="AU1136">
        <v>23.75</v>
      </c>
      <c r="AV1136" t="s">
        <v>758</v>
      </c>
      <c r="AW1136" t="s">
        <v>93</v>
      </c>
    </row>
    <row r="1137" spans="1:49">
      <c r="A1137" s="1">
        <f>HYPERLINK("https://cms.ls-nyc.org/matter/dynamic-profile/view/1852418","17-1852418")</f>
        <v>0</v>
      </c>
      <c r="B1137" t="s">
        <v>129</v>
      </c>
      <c r="C1137" t="s">
        <v>235</v>
      </c>
      <c r="D1137" t="s">
        <v>372</v>
      </c>
      <c r="F1137" t="s">
        <v>1544</v>
      </c>
      <c r="G1137" t="s">
        <v>2406</v>
      </c>
      <c r="H1137" t="s">
        <v>3808</v>
      </c>
      <c r="I1137" t="s">
        <v>4788</v>
      </c>
      <c r="J1137" t="s">
        <v>5321</v>
      </c>
      <c r="K1137">
        <v>10456</v>
      </c>
      <c r="L1137" t="s">
        <v>5355</v>
      </c>
      <c r="M1137" t="s">
        <v>5356</v>
      </c>
      <c r="N1137" t="s">
        <v>5585</v>
      </c>
      <c r="O1137" t="s">
        <v>6499</v>
      </c>
      <c r="P1137" t="s">
        <v>6528</v>
      </c>
      <c r="R1137" t="s">
        <v>6539</v>
      </c>
      <c r="S1137" t="s">
        <v>5355</v>
      </c>
      <c r="U1137" t="s">
        <v>6557</v>
      </c>
      <c r="W1137" t="s">
        <v>372</v>
      </c>
      <c r="X1137">
        <v>1380</v>
      </c>
      <c r="Y1137" t="s">
        <v>6606</v>
      </c>
      <c r="Z1137" t="s">
        <v>6612</v>
      </c>
      <c r="AB1137" t="s">
        <v>7661</v>
      </c>
      <c r="AD1137" t="s">
        <v>10021</v>
      </c>
      <c r="AE1137">
        <v>61</v>
      </c>
      <c r="AF1137" t="s">
        <v>11005</v>
      </c>
      <c r="AG1137" t="s">
        <v>11020</v>
      </c>
      <c r="AH1137">
        <v>17</v>
      </c>
      <c r="AI1137">
        <v>3</v>
      </c>
      <c r="AJ1137">
        <v>0</v>
      </c>
      <c r="AK1137">
        <v>142.61</v>
      </c>
      <c r="AL1137" t="s">
        <v>366</v>
      </c>
      <c r="AN1137" t="s">
        <v>11049</v>
      </c>
      <c r="AO1137">
        <v>29120</v>
      </c>
      <c r="AU1137">
        <v>0.75</v>
      </c>
      <c r="AV1137" t="s">
        <v>294</v>
      </c>
      <c r="AW1137" t="s">
        <v>11499</v>
      </c>
    </row>
    <row r="1138" spans="1:49">
      <c r="A1138" s="1">
        <f>HYPERLINK("https://cms.ls-nyc.org/matter/dynamic-profile/view/1842928","17-1842928")</f>
        <v>0</v>
      </c>
      <c r="B1138" t="s">
        <v>63</v>
      </c>
      <c r="C1138" t="s">
        <v>235</v>
      </c>
      <c r="D1138" t="s">
        <v>472</v>
      </c>
      <c r="F1138" t="s">
        <v>1545</v>
      </c>
      <c r="G1138" t="s">
        <v>2827</v>
      </c>
      <c r="H1138" t="s">
        <v>4057</v>
      </c>
      <c r="I1138" t="s">
        <v>5073</v>
      </c>
      <c r="J1138" t="s">
        <v>5322</v>
      </c>
      <c r="K1138">
        <v>10314</v>
      </c>
      <c r="L1138" t="s">
        <v>5355</v>
      </c>
      <c r="M1138" t="s">
        <v>5356</v>
      </c>
      <c r="N1138" t="s">
        <v>5572</v>
      </c>
      <c r="O1138" t="s">
        <v>6499</v>
      </c>
      <c r="P1138" t="s">
        <v>6528</v>
      </c>
      <c r="R1138" t="s">
        <v>6539</v>
      </c>
      <c r="S1138" t="s">
        <v>5355</v>
      </c>
      <c r="U1138" t="s">
        <v>6557</v>
      </c>
      <c r="W1138" t="s">
        <v>388</v>
      </c>
      <c r="X1138">
        <v>807</v>
      </c>
      <c r="Y1138" t="s">
        <v>6607</v>
      </c>
      <c r="Z1138" t="s">
        <v>6622</v>
      </c>
      <c r="AB1138" t="s">
        <v>7662</v>
      </c>
      <c r="AD1138" t="s">
        <v>10022</v>
      </c>
      <c r="AE1138">
        <v>96</v>
      </c>
      <c r="AF1138" t="s">
        <v>11005</v>
      </c>
      <c r="AG1138" t="s">
        <v>11024</v>
      </c>
      <c r="AH1138">
        <v>6</v>
      </c>
      <c r="AI1138">
        <v>1</v>
      </c>
      <c r="AJ1138">
        <v>0</v>
      </c>
      <c r="AK1138">
        <v>143.27</v>
      </c>
      <c r="AL1138" t="s">
        <v>11034</v>
      </c>
      <c r="AN1138" t="s">
        <v>11050</v>
      </c>
      <c r="AO1138">
        <v>17278.8</v>
      </c>
      <c r="AU1138">
        <v>0.45</v>
      </c>
      <c r="AV1138" t="s">
        <v>807</v>
      </c>
      <c r="AW1138" t="s">
        <v>62</v>
      </c>
    </row>
    <row r="1139" spans="1:49">
      <c r="A1139" s="1">
        <f>HYPERLINK("https://cms.ls-nyc.org/matter/dynamic-profile/view/1870514","18-1870514")</f>
        <v>0</v>
      </c>
      <c r="B1139" t="s">
        <v>104</v>
      </c>
      <c r="C1139" t="s">
        <v>235</v>
      </c>
      <c r="D1139" t="s">
        <v>255</v>
      </c>
      <c r="F1139" t="s">
        <v>1546</v>
      </c>
      <c r="G1139" t="s">
        <v>2828</v>
      </c>
      <c r="H1139" t="s">
        <v>4095</v>
      </c>
      <c r="I1139" t="s">
        <v>4925</v>
      </c>
      <c r="J1139" t="s">
        <v>5321</v>
      </c>
      <c r="K1139">
        <v>10456</v>
      </c>
      <c r="L1139" t="s">
        <v>5355</v>
      </c>
      <c r="M1139" t="s">
        <v>5356</v>
      </c>
      <c r="N1139" t="s">
        <v>5608</v>
      </c>
      <c r="O1139" t="s">
        <v>6507</v>
      </c>
      <c r="P1139" t="s">
        <v>6528</v>
      </c>
      <c r="R1139" t="s">
        <v>6539</v>
      </c>
      <c r="S1139" t="s">
        <v>5355</v>
      </c>
      <c r="U1139" t="s">
        <v>6557</v>
      </c>
      <c r="W1139" t="s">
        <v>516</v>
      </c>
      <c r="X1139">
        <v>560</v>
      </c>
      <c r="Y1139" t="s">
        <v>6606</v>
      </c>
      <c r="Z1139" t="s">
        <v>6612</v>
      </c>
      <c r="AB1139" t="s">
        <v>7663</v>
      </c>
      <c r="AD1139" t="s">
        <v>10023</v>
      </c>
      <c r="AE1139">
        <v>131</v>
      </c>
      <c r="AF1139" t="s">
        <v>11005</v>
      </c>
      <c r="AG1139" t="s">
        <v>5406</v>
      </c>
      <c r="AH1139">
        <v>25</v>
      </c>
      <c r="AI1139">
        <v>3</v>
      </c>
      <c r="AJ1139">
        <v>0</v>
      </c>
      <c r="AK1139">
        <v>144.37</v>
      </c>
      <c r="AN1139" t="s">
        <v>11050</v>
      </c>
      <c r="AO1139">
        <v>30000</v>
      </c>
      <c r="AU1139">
        <v>0</v>
      </c>
      <c r="AW1139" t="s">
        <v>11505</v>
      </c>
    </row>
    <row r="1140" spans="1:49">
      <c r="A1140" s="1">
        <f>HYPERLINK("https://cms.ls-nyc.org/matter/dynamic-profile/view/1854142","17-1854142")</f>
        <v>0</v>
      </c>
      <c r="B1140" t="s">
        <v>129</v>
      </c>
      <c r="C1140" t="s">
        <v>235</v>
      </c>
      <c r="D1140" t="s">
        <v>439</v>
      </c>
      <c r="F1140" t="s">
        <v>1072</v>
      </c>
      <c r="G1140" t="s">
        <v>2187</v>
      </c>
      <c r="H1140" t="s">
        <v>3808</v>
      </c>
      <c r="I1140" t="s">
        <v>4800</v>
      </c>
      <c r="J1140" t="s">
        <v>5321</v>
      </c>
      <c r="K1140">
        <v>10456</v>
      </c>
      <c r="L1140" t="s">
        <v>5355</v>
      </c>
      <c r="M1140" t="s">
        <v>5356</v>
      </c>
      <c r="N1140" t="s">
        <v>5585</v>
      </c>
      <c r="O1140" t="s">
        <v>6499</v>
      </c>
      <c r="P1140" t="s">
        <v>6528</v>
      </c>
      <c r="R1140" t="s">
        <v>6539</v>
      </c>
      <c r="S1140" t="s">
        <v>5355</v>
      </c>
      <c r="U1140" t="s">
        <v>6557</v>
      </c>
      <c r="W1140" t="s">
        <v>6572</v>
      </c>
      <c r="X1140">
        <v>1800</v>
      </c>
      <c r="Y1140" t="s">
        <v>6606</v>
      </c>
      <c r="Z1140" t="s">
        <v>6612</v>
      </c>
      <c r="AB1140" t="s">
        <v>7664</v>
      </c>
      <c r="AD1140" t="s">
        <v>10024</v>
      </c>
      <c r="AE1140">
        <v>61</v>
      </c>
      <c r="AF1140" t="s">
        <v>11005</v>
      </c>
      <c r="AG1140" t="s">
        <v>5406</v>
      </c>
      <c r="AH1140">
        <v>1</v>
      </c>
      <c r="AI1140">
        <v>2</v>
      </c>
      <c r="AJ1140">
        <v>3</v>
      </c>
      <c r="AK1140">
        <v>145.93</v>
      </c>
      <c r="AL1140" t="s">
        <v>366</v>
      </c>
      <c r="AN1140" t="s">
        <v>11049</v>
      </c>
      <c r="AO1140">
        <v>42000</v>
      </c>
      <c r="AU1140">
        <v>0</v>
      </c>
      <c r="AW1140" t="s">
        <v>11509</v>
      </c>
    </row>
    <row r="1141" spans="1:49">
      <c r="A1141" s="1">
        <f>HYPERLINK("https://cms.ls-nyc.org/matter/dynamic-profile/view/1840822","17-1840822")</f>
        <v>0</v>
      </c>
      <c r="B1141" t="s">
        <v>129</v>
      </c>
      <c r="C1141" t="s">
        <v>234</v>
      </c>
      <c r="D1141" t="s">
        <v>526</v>
      </c>
      <c r="E1141" t="s">
        <v>778</v>
      </c>
      <c r="F1141" t="s">
        <v>903</v>
      </c>
      <c r="G1141" t="s">
        <v>2448</v>
      </c>
      <c r="H1141" t="s">
        <v>3721</v>
      </c>
      <c r="I1141" t="s">
        <v>5074</v>
      </c>
      <c r="J1141" t="s">
        <v>5321</v>
      </c>
      <c r="K1141">
        <v>10453</v>
      </c>
      <c r="L1141" t="s">
        <v>5355</v>
      </c>
      <c r="M1141" t="s">
        <v>5356</v>
      </c>
      <c r="O1141" t="s">
        <v>6499</v>
      </c>
      <c r="P1141" t="s">
        <v>6528</v>
      </c>
      <c r="Q1141" t="s">
        <v>6536</v>
      </c>
      <c r="R1141" t="s">
        <v>6539</v>
      </c>
      <c r="S1141" t="s">
        <v>5355</v>
      </c>
      <c r="U1141" t="s">
        <v>6557</v>
      </c>
      <c r="W1141" t="s">
        <v>404</v>
      </c>
      <c r="X1141">
        <v>1110.63</v>
      </c>
      <c r="Y1141" t="s">
        <v>6606</v>
      </c>
      <c r="Z1141" t="s">
        <v>6612</v>
      </c>
      <c r="AA1141" t="s">
        <v>6636</v>
      </c>
      <c r="AB1141" t="s">
        <v>7031</v>
      </c>
      <c r="AE1141">
        <v>170</v>
      </c>
      <c r="AF1141" t="s">
        <v>11005</v>
      </c>
      <c r="AG1141" t="s">
        <v>5406</v>
      </c>
      <c r="AH1141">
        <v>6</v>
      </c>
      <c r="AI1141">
        <v>1</v>
      </c>
      <c r="AJ1141">
        <v>2</v>
      </c>
      <c r="AK1141">
        <v>146.91</v>
      </c>
      <c r="AN1141" t="s">
        <v>11049</v>
      </c>
      <c r="AO1141">
        <v>30000</v>
      </c>
      <c r="AU1141">
        <v>0.1</v>
      </c>
      <c r="AV1141" t="s">
        <v>778</v>
      </c>
      <c r="AW1141" t="s">
        <v>11509</v>
      </c>
    </row>
    <row r="1142" spans="1:49">
      <c r="A1142" s="1">
        <f>HYPERLINK("https://cms.ls-nyc.org/matter/dynamic-profile/view/1844544","17-1844544")</f>
        <v>0</v>
      </c>
      <c r="B1142" t="s">
        <v>129</v>
      </c>
      <c r="C1142" t="s">
        <v>235</v>
      </c>
      <c r="D1142" t="s">
        <v>435</v>
      </c>
      <c r="F1142" t="s">
        <v>1547</v>
      </c>
      <c r="G1142" t="s">
        <v>1007</v>
      </c>
      <c r="H1142" t="s">
        <v>4096</v>
      </c>
      <c r="I1142">
        <v>46</v>
      </c>
      <c r="J1142" t="s">
        <v>5321</v>
      </c>
      <c r="K1142">
        <v>10473</v>
      </c>
      <c r="L1142" t="s">
        <v>5355</v>
      </c>
      <c r="M1142" t="s">
        <v>5356</v>
      </c>
      <c r="N1142" t="s">
        <v>5609</v>
      </c>
      <c r="O1142" t="s">
        <v>6499</v>
      </c>
      <c r="P1142" t="s">
        <v>6528</v>
      </c>
      <c r="R1142" t="s">
        <v>6539</v>
      </c>
      <c r="S1142" t="s">
        <v>5355</v>
      </c>
      <c r="U1142" t="s">
        <v>6557</v>
      </c>
      <c r="W1142" t="s">
        <v>6572</v>
      </c>
      <c r="X1142">
        <v>829.79</v>
      </c>
      <c r="Y1142" t="s">
        <v>6606</v>
      </c>
      <c r="Z1142" t="s">
        <v>6620</v>
      </c>
      <c r="AB1142" t="s">
        <v>7665</v>
      </c>
      <c r="AD1142" t="s">
        <v>10025</v>
      </c>
      <c r="AE1142">
        <v>976</v>
      </c>
      <c r="AF1142" t="s">
        <v>11005</v>
      </c>
      <c r="AH1142">
        <v>13</v>
      </c>
      <c r="AI1142">
        <v>1</v>
      </c>
      <c r="AJ1142">
        <v>0</v>
      </c>
      <c r="AK1142">
        <v>149.25</v>
      </c>
      <c r="AL1142" t="s">
        <v>578</v>
      </c>
      <c r="AN1142" t="s">
        <v>11050</v>
      </c>
      <c r="AO1142">
        <v>18000</v>
      </c>
      <c r="AU1142">
        <v>0</v>
      </c>
      <c r="AW1142" t="s">
        <v>11491</v>
      </c>
    </row>
    <row r="1143" spans="1:49">
      <c r="A1143" s="1">
        <f>HYPERLINK("https://cms.ls-nyc.org/matter/dynamic-profile/view/1858055","18-1858055")</f>
        <v>0</v>
      </c>
      <c r="B1143" t="s">
        <v>129</v>
      </c>
      <c r="C1143" t="s">
        <v>234</v>
      </c>
      <c r="D1143" t="s">
        <v>272</v>
      </c>
      <c r="E1143" t="s">
        <v>600</v>
      </c>
      <c r="F1143" t="s">
        <v>1548</v>
      </c>
      <c r="G1143" t="s">
        <v>2829</v>
      </c>
      <c r="H1143" t="s">
        <v>4078</v>
      </c>
      <c r="I1143" t="s">
        <v>4832</v>
      </c>
      <c r="J1143" t="s">
        <v>5321</v>
      </c>
      <c r="K1143">
        <v>10463</v>
      </c>
      <c r="L1143" t="s">
        <v>5355</v>
      </c>
      <c r="M1143" t="s">
        <v>5356</v>
      </c>
      <c r="N1143" t="s">
        <v>5610</v>
      </c>
      <c r="O1143" t="s">
        <v>6499</v>
      </c>
      <c r="P1143" t="s">
        <v>6528</v>
      </c>
      <c r="Q1143" t="s">
        <v>6536</v>
      </c>
      <c r="R1143" t="s">
        <v>6539</v>
      </c>
      <c r="S1143" t="s">
        <v>5355</v>
      </c>
      <c r="U1143" t="s">
        <v>6557</v>
      </c>
      <c r="W1143" t="s">
        <v>247</v>
      </c>
      <c r="X1143">
        <v>1300</v>
      </c>
      <c r="Y1143" t="s">
        <v>6606</v>
      </c>
      <c r="Z1143" t="s">
        <v>6620</v>
      </c>
      <c r="AA1143" t="s">
        <v>6634</v>
      </c>
      <c r="AB1143" t="s">
        <v>7666</v>
      </c>
      <c r="AD1143" t="s">
        <v>10026</v>
      </c>
      <c r="AE1143">
        <v>57</v>
      </c>
      <c r="AF1143" t="s">
        <v>11005</v>
      </c>
      <c r="AG1143" t="s">
        <v>5406</v>
      </c>
      <c r="AH1143">
        <v>1</v>
      </c>
      <c r="AI1143">
        <v>1</v>
      </c>
      <c r="AJ1143">
        <v>0</v>
      </c>
      <c r="AK1143">
        <v>149.25</v>
      </c>
      <c r="AN1143" t="s">
        <v>11050</v>
      </c>
      <c r="AO1143">
        <v>18000</v>
      </c>
      <c r="AU1143">
        <v>3</v>
      </c>
      <c r="AV1143" t="s">
        <v>318</v>
      </c>
      <c r="AW1143" t="s">
        <v>11499</v>
      </c>
    </row>
    <row r="1144" spans="1:49">
      <c r="A1144" s="1">
        <f>HYPERLINK("https://cms.ls-nyc.org/matter/dynamic-profile/view/1842159","17-1842159")</f>
        <v>0</v>
      </c>
      <c r="B1144" t="s">
        <v>129</v>
      </c>
      <c r="C1144" t="s">
        <v>234</v>
      </c>
      <c r="D1144" t="s">
        <v>519</v>
      </c>
      <c r="E1144" t="s">
        <v>778</v>
      </c>
      <c r="F1144" t="s">
        <v>1549</v>
      </c>
      <c r="G1144" t="s">
        <v>1325</v>
      </c>
      <c r="H1144" t="s">
        <v>3721</v>
      </c>
      <c r="I1144" t="s">
        <v>4851</v>
      </c>
      <c r="J1144" t="s">
        <v>5321</v>
      </c>
      <c r="K1144">
        <v>10453</v>
      </c>
      <c r="L1144" t="s">
        <v>5355</v>
      </c>
      <c r="M1144" t="s">
        <v>5356</v>
      </c>
      <c r="O1144" t="s">
        <v>6499</v>
      </c>
      <c r="P1144" t="s">
        <v>6528</v>
      </c>
      <c r="Q1144" t="s">
        <v>6536</v>
      </c>
      <c r="R1144" t="s">
        <v>6539</v>
      </c>
      <c r="S1144" t="s">
        <v>5355</v>
      </c>
      <c r="U1144" t="s">
        <v>6557</v>
      </c>
      <c r="W1144" t="s">
        <v>404</v>
      </c>
      <c r="X1144">
        <v>943.64</v>
      </c>
      <c r="Y1144" t="s">
        <v>6606</v>
      </c>
      <c r="Z1144" t="s">
        <v>6612</v>
      </c>
      <c r="AA1144" t="s">
        <v>6636</v>
      </c>
      <c r="AB1144" t="s">
        <v>7667</v>
      </c>
      <c r="AD1144" t="s">
        <v>10027</v>
      </c>
      <c r="AE1144">
        <v>170</v>
      </c>
      <c r="AF1144" t="s">
        <v>11005</v>
      </c>
      <c r="AG1144" t="s">
        <v>5406</v>
      </c>
      <c r="AH1144">
        <v>33</v>
      </c>
      <c r="AI1144">
        <v>1</v>
      </c>
      <c r="AJ1144">
        <v>0</v>
      </c>
      <c r="AK1144">
        <v>149.25</v>
      </c>
      <c r="AN1144" t="s">
        <v>11050</v>
      </c>
      <c r="AO1144">
        <v>18000</v>
      </c>
      <c r="AU1144">
        <v>0.1</v>
      </c>
      <c r="AV1144" t="s">
        <v>778</v>
      </c>
      <c r="AW1144" t="s">
        <v>11509</v>
      </c>
    </row>
    <row r="1145" spans="1:49">
      <c r="A1145" s="1">
        <f>HYPERLINK("https://cms.ls-nyc.org/matter/dynamic-profile/view/1853960","17-1853960")</f>
        <v>0</v>
      </c>
      <c r="B1145" t="s">
        <v>107</v>
      </c>
      <c r="C1145" t="s">
        <v>234</v>
      </c>
      <c r="D1145" t="s">
        <v>399</v>
      </c>
      <c r="E1145" t="s">
        <v>730</v>
      </c>
      <c r="F1145" t="s">
        <v>1550</v>
      </c>
      <c r="G1145" t="s">
        <v>2830</v>
      </c>
      <c r="H1145" t="s">
        <v>4097</v>
      </c>
      <c r="I1145" t="s">
        <v>4829</v>
      </c>
      <c r="J1145" t="s">
        <v>5323</v>
      </c>
      <c r="K1145">
        <v>10035</v>
      </c>
      <c r="L1145" t="s">
        <v>5355</v>
      </c>
      <c r="M1145" t="s">
        <v>5356</v>
      </c>
      <c r="O1145" t="s">
        <v>6513</v>
      </c>
      <c r="P1145" t="s">
        <v>6528</v>
      </c>
      <c r="Q1145" t="s">
        <v>6536</v>
      </c>
      <c r="R1145" t="s">
        <v>6539</v>
      </c>
      <c r="S1145" t="s">
        <v>5357</v>
      </c>
      <c r="U1145" t="s">
        <v>6563</v>
      </c>
      <c r="W1145" t="s">
        <v>399</v>
      </c>
      <c r="X1145">
        <v>2875</v>
      </c>
      <c r="Y1145" t="s">
        <v>6608</v>
      </c>
      <c r="Z1145" t="s">
        <v>6614</v>
      </c>
      <c r="AA1145" t="s">
        <v>6635</v>
      </c>
      <c r="AB1145" t="s">
        <v>7668</v>
      </c>
      <c r="AD1145" t="s">
        <v>10028</v>
      </c>
      <c r="AE1145">
        <v>134</v>
      </c>
      <c r="AF1145" t="s">
        <v>8722</v>
      </c>
      <c r="AG1145" t="s">
        <v>11020</v>
      </c>
      <c r="AH1145">
        <v>21</v>
      </c>
      <c r="AI1145">
        <v>1</v>
      </c>
      <c r="AJ1145">
        <v>0</v>
      </c>
      <c r="AK1145">
        <v>149.25</v>
      </c>
      <c r="AN1145" t="s">
        <v>11050</v>
      </c>
      <c r="AO1145">
        <v>18000</v>
      </c>
      <c r="AU1145">
        <v>24.5</v>
      </c>
      <c r="AV1145" t="s">
        <v>675</v>
      </c>
      <c r="AW1145" t="s">
        <v>11497</v>
      </c>
    </row>
    <row r="1146" spans="1:49">
      <c r="A1146" s="1">
        <f>HYPERLINK("https://cms.ls-nyc.org/matter/dynamic-profile/view/1865948","18-1865948")</f>
        <v>0</v>
      </c>
      <c r="B1146" t="s">
        <v>107</v>
      </c>
      <c r="C1146" t="s">
        <v>234</v>
      </c>
      <c r="D1146" t="s">
        <v>312</v>
      </c>
      <c r="E1146" t="s">
        <v>605</v>
      </c>
      <c r="F1146" t="s">
        <v>1551</v>
      </c>
      <c r="G1146" t="s">
        <v>2831</v>
      </c>
      <c r="H1146" t="s">
        <v>4098</v>
      </c>
      <c r="I1146" t="s">
        <v>5075</v>
      </c>
      <c r="J1146" t="s">
        <v>5323</v>
      </c>
      <c r="K1146">
        <v>10029</v>
      </c>
      <c r="L1146" t="s">
        <v>5355</v>
      </c>
      <c r="M1146" t="s">
        <v>5355</v>
      </c>
      <c r="O1146" t="s">
        <v>6501</v>
      </c>
      <c r="P1146" t="s">
        <v>6528</v>
      </c>
      <c r="Q1146" t="s">
        <v>6536</v>
      </c>
      <c r="R1146" t="s">
        <v>6539</v>
      </c>
      <c r="S1146" t="s">
        <v>5357</v>
      </c>
      <c r="U1146" t="s">
        <v>6563</v>
      </c>
      <c r="W1146" t="s">
        <v>312</v>
      </c>
      <c r="X1146">
        <v>3222</v>
      </c>
      <c r="Y1146" t="s">
        <v>6608</v>
      </c>
      <c r="Z1146" t="s">
        <v>6614</v>
      </c>
      <c r="AA1146" t="s">
        <v>6635</v>
      </c>
      <c r="AB1146" t="s">
        <v>7669</v>
      </c>
      <c r="AD1146" t="s">
        <v>10029</v>
      </c>
      <c r="AE1146">
        <v>272</v>
      </c>
      <c r="AF1146" t="s">
        <v>11014</v>
      </c>
      <c r="AG1146" t="s">
        <v>11020</v>
      </c>
      <c r="AH1146">
        <v>12</v>
      </c>
      <c r="AI1146">
        <v>1</v>
      </c>
      <c r="AJ1146">
        <v>0</v>
      </c>
      <c r="AK1146">
        <v>149.57</v>
      </c>
      <c r="AN1146" t="s">
        <v>11050</v>
      </c>
      <c r="AO1146">
        <v>18158.04</v>
      </c>
      <c r="AU1146">
        <v>6.25</v>
      </c>
      <c r="AV1146" t="s">
        <v>685</v>
      </c>
      <c r="AW1146" t="s">
        <v>11497</v>
      </c>
    </row>
    <row r="1147" spans="1:49">
      <c r="A1147" s="1">
        <f>HYPERLINK("https://cms.ls-nyc.org/matter/dynamic-profile/view/1840717","17-1840717")</f>
        <v>0</v>
      </c>
      <c r="B1147" t="s">
        <v>129</v>
      </c>
      <c r="C1147" t="s">
        <v>234</v>
      </c>
      <c r="D1147" t="s">
        <v>348</v>
      </c>
      <c r="E1147" t="s">
        <v>778</v>
      </c>
      <c r="F1147" t="s">
        <v>1552</v>
      </c>
      <c r="G1147" t="s">
        <v>2262</v>
      </c>
      <c r="H1147" t="s">
        <v>3721</v>
      </c>
      <c r="I1147" t="s">
        <v>5076</v>
      </c>
      <c r="J1147" t="s">
        <v>5321</v>
      </c>
      <c r="K1147">
        <v>10453</v>
      </c>
      <c r="L1147" t="s">
        <v>5355</v>
      </c>
      <c r="M1147" t="s">
        <v>5356</v>
      </c>
      <c r="O1147" t="s">
        <v>6499</v>
      </c>
      <c r="P1147" t="s">
        <v>6528</v>
      </c>
      <c r="Q1147" t="s">
        <v>6536</v>
      </c>
      <c r="R1147" t="s">
        <v>6539</v>
      </c>
      <c r="S1147" t="s">
        <v>5355</v>
      </c>
      <c r="U1147" t="s">
        <v>6557</v>
      </c>
      <c r="W1147" t="s">
        <v>298</v>
      </c>
      <c r="X1147">
        <v>1553</v>
      </c>
      <c r="Y1147" t="s">
        <v>6606</v>
      </c>
      <c r="Z1147" t="s">
        <v>6612</v>
      </c>
      <c r="AA1147" t="s">
        <v>6636</v>
      </c>
      <c r="AB1147" t="s">
        <v>7670</v>
      </c>
      <c r="AD1147" t="s">
        <v>10030</v>
      </c>
      <c r="AE1147">
        <v>170</v>
      </c>
      <c r="AF1147" t="s">
        <v>11005</v>
      </c>
      <c r="AG1147" t="s">
        <v>5406</v>
      </c>
      <c r="AH1147">
        <v>5</v>
      </c>
      <c r="AI1147">
        <v>1</v>
      </c>
      <c r="AJ1147">
        <v>0</v>
      </c>
      <c r="AK1147">
        <v>150.91</v>
      </c>
      <c r="AN1147" t="s">
        <v>11049</v>
      </c>
      <c r="AO1147">
        <v>18200</v>
      </c>
      <c r="AU1147">
        <v>0.1</v>
      </c>
      <c r="AV1147" t="s">
        <v>778</v>
      </c>
      <c r="AW1147" t="s">
        <v>11509</v>
      </c>
    </row>
    <row r="1148" spans="1:49">
      <c r="A1148" s="1">
        <f>HYPERLINK("https://cms.ls-nyc.org/matter/dynamic-profile/view/1857072","18-1857072")</f>
        <v>0</v>
      </c>
      <c r="B1148" t="s">
        <v>58</v>
      </c>
      <c r="C1148" t="s">
        <v>235</v>
      </c>
      <c r="D1148" t="s">
        <v>286</v>
      </c>
      <c r="F1148" t="s">
        <v>1364</v>
      </c>
      <c r="G1148" t="s">
        <v>1607</v>
      </c>
      <c r="H1148" t="s">
        <v>4007</v>
      </c>
      <c r="I1148" t="s">
        <v>5077</v>
      </c>
      <c r="J1148" t="s">
        <v>5321</v>
      </c>
      <c r="K1148">
        <v>10452</v>
      </c>
      <c r="L1148" t="s">
        <v>5355</v>
      </c>
      <c r="M1148" t="s">
        <v>5356</v>
      </c>
      <c r="N1148" t="s">
        <v>5587</v>
      </c>
      <c r="O1148" t="s">
        <v>6499</v>
      </c>
      <c r="P1148" t="s">
        <v>6528</v>
      </c>
      <c r="R1148" t="s">
        <v>6539</v>
      </c>
      <c r="S1148" t="s">
        <v>5355</v>
      </c>
      <c r="U1148" t="s">
        <v>6557</v>
      </c>
      <c r="W1148" t="s">
        <v>236</v>
      </c>
      <c r="X1148">
        <v>914</v>
      </c>
      <c r="Y1148" t="s">
        <v>6606</v>
      </c>
      <c r="Z1148" t="s">
        <v>6612</v>
      </c>
      <c r="AB1148" t="s">
        <v>7671</v>
      </c>
      <c r="AD1148" t="s">
        <v>10031</v>
      </c>
      <c r="AE1148">
        <v>122</v>
      </c>
      <c r="AF1148" t="s">
        <v>11005</v>
      </c>
      <c r="AG1148" t="s">
        <v>5406</v>
      </c>
      <c r="AH1148">
        <v>13</v>
      </c>
      <c r="AI1148">
        <v>1</v>
      </c>
      <c r="AJ1148">
        <v>0</v>
      </c>
      <c r="AK1148">
        <v>150.91</v>
      </c>
      <c r="AN1148" t="s">
        <v>11050</v>
      </c>
      <c r="AO1148">
        <v>18200</v>
      </c>
      <c r="AU1148">
        <v>0</v>
      </c>
      <c r="AW1148" t="s">
        <v>11492</v>
      </c>
    </row>
    <row r="1149" spans="1:49">
      <c r="A1149" s="1">
        <f>HYPERLINK("https://cms.ls-nyc.org/matter/dynamic-profile/view/1838865","17-1838865")</f>
        <v>0</v>
      </c>
      <c r="B1149" t="s">
        <v>129</v>
      </c>
      <c r="C1149" t="s">
        <v>235</v>
      </c>
      <c r="D1149" t="s">
        <v>446</v>
      </c>
      <c r="F1149" t="s">
        <v>991</v>
      </c>
      <c r="G1149" t="s">
        <v>2832</v>
      </c>
      <c r="H1149" t="s">
        <v>3846</v>
      </c>
      <c r="I1149" t="s">
        <v>4969</v>
      </c>
      <c r="J1149" t="s">
        <v>5321</v>
      </c>
      <c r="K1149">
        <v>10473</v>
      </c>
      <c r="L1149" t="s">
        <v>5355</v>
      </c>
      <c r="M1149" t="s">
        <v>5356</v>
      </c>
      <c r="N1149" t="s">
        <v>5604</v>
      </c>
      <c r="O1149" t="s">
        <v>6499</v>
      </c>
      <c r="P1149" t="s">
        <v>6528</v>
      </c>
      <c r="R1149" t="s">
        <v>6539</v>
      </c>
      <c r="S1149" t="s">
        <v>5355</v>
      </c>
      <c r="U1149" t="s">
        <v>6557</v>
      </c>
      <c r="W1149" t="s">
        <v>6572</v>
      </c>
      <c r="X1149">
        <v>778</v>
      </c>
      <c r="Y1149" t="s">
        <v>6606</v>
      </c>
      <c r="Z1149" t="s">
        <v>6620</v>
      </c>
      <c r="AB1149" t="s">
        <v>7672</v>
      </c>
      <c r="AD1149" t="s">
        <v>10032</v>
      </c>
      <c r="AE1149">
        <v>976</v>
      </c>
      <c r="AF1149" t="s">
        <v>11005</v>
      </c>
      <c r="AG1149" t="s">
        <v>11024</v>
      </c>
      <c r="AH1149">
        <v>32</v>
      </c>
      <c r="AI1149">
        <v>1</v>
      </c>
      <c r="AJ1149">
        <v>0</v>
      </c>
      <c r="AK1149">
        <v>153.13</v>
      </c>
      <c r="AL1149" t="s">
        <v>578</v>
      </c>
      <c r="AN1149" t="s">
        <v>11050</v>
      </c>
      <c r="AO1149">
        <v>18468</v>
      </c>
      <c r="AU1149">
        <v>0</v>
      </c>
      <c r="AW1149" t="s">
        <v>11509</v>
      </c>
    </row>
    <row r="1150" spans="1:49">
      <c r="A1150" s="1">
        <f>HYPERLINK("https://cms.ls-nyc.org/matter/dynamic-profile/view/1840473","17-1840473")</f>
        <v>0</v>
      </c>
      <c r="B1150" t="s">
        <v>129</v>
      </c>
      <c r="C1150" t="s">
        <v>234</v>
      </c>
      <c r="D1150" t="s">
        <v>441</v>
      </c>
      <c r="E1150" t="s">
        <v>583</v>
      </c>
      <c r="F1150" t="s">
        <v>1553</v>
      </c>
      <c r="G1150" t="s">
        <v>2833</v>
      </c>
      <c r="H1150" t="s">
        <v>3721</v>
      </c>
      <c r="I1150" t="s">
        <v>4826</v>
      </c>
      <c r="J1150" t="s">
        <v>5321</v>
      </c>
      <c r="K1150">
        <v>10453</v>
      </c>
      <c r="L1150" t="s">
        <v>5355</v>
      </c>
      <c r="M1150" t="s">
        <v>5356</v>
      </c>
      <c r="O1150" t="s">
        <v>6499</v>
      </c>
      <c r="P1150" t="s">
        <v>6528</v>
      </c>
      <c r="Q1150" t="s">
        <v>6536</v>
      </c>
      <c r="R1150" t="s">
        <v>6539</v>
      </c>
      <c r="S1150" t="s">
        <v>5355</v>
      </c>
      <c r="U1150" t="s">
        <v>6557</v>
      </c>
      <c r="W1150" t="s">
        <v>298</v>
      </c>
      <c r="X1150">
        <v>1350</v>
      </c>
      <c r="Y1150" t="s">
        <v>6606</v>
      </c>
      <c r="Z1150" t="s">
        <v>6612</v>
      </c>
      <c r="AA1150" t="s">
        <v>6636</v>
      </c>
      <c r="AB1150" t="s">
        <v>7673</v>
      </c>
      <c r="AD1150" t="s">
        <v>10033</v>
      </c>
      <c r="AE1150">
        <v>170</v>
      </c>
      <c r="AF1150" t="s">
        <v>11005</v>
      </c>
      <c r="AG1150" t="s">
        <v>11023</v>
      </c>
      <c r="AH1150">
        <v>1</v>
      </c>
      <c r="AI1150">
        <v>2</v>
      </c>
      <c r="AJ1150">
        <v>0</v>
      </c>
      <c r="AK1150">
        <v>153.69</v>
      </c>
      <c r="AN1150" t="s">
        <v>11049</v>
      </c>
      <c r="AO1150">
        <v>34320</v>
      </c>
      <c r="AU1150">
        <v>0.1</v>
      </c>
      <c r="AV1150" t="s">
        <v>583</v>
      </c>
      <c r="AW1150" t="s">
        <v>11509</v>
      </c>
    </row>
    <row r="1151" spans="1:49">
      <c r="A1151" s="1">
        <f>HYPERLINK("https://cms.ls-nyc.org/matter/dynamic-profile/view/1840402","17-1840402")</f>
        <v>0</v>
      </c>
      <c r="B1151" t="s">
        <v>129</v>
      </c>
      <c r="C1151" t="s">
        <v>234</v>
      </c>
      <c r="D1151" t="s">
        <v>387</v>
      </c>
      <c r="E1151" t="s">
        <v>778</v>
      </c>
      <c r="F1151" t="s">
        <v>1324</v>
      </c>
      <c r="G1151" t="s">
        <v>2826</v>
      </c>
      <c r="H1151" t="s">
        <v>3721</v>
      </c>
      <c r="I1151" t="s">
        <v>4811</v>
      </c>
      <c r="J1151" t="s">
        <v>5321</v>
      </c>
      <c r="K1151">
        <v>10453</v>
      </c>
      <c r="L1151" t="s">
        <v>5355</v>
      </c>
      <c r="M1151" t="s">
        <v>5356</v>
      </c>
      <c r="O1151" t="s">
        <v>6499</v>
      </c>
      <c r="P1151" t="s">
        <v>6528</v>
      </c>
      <c r="Q1151" t="s">
        <v>6536</v>
      </c>
      <c r="R1151" t="s">
        <v>6539</v>
      </c>
      <c r="S1151" t="s">
        <v>5355</v>
      </c>
      <c r="U1151" t="s">
        <v>6557</v>
      </c>
      <c r="W1151" t="s">
        <v>6572</v>
      </c>
      <c r="X1151">
        <v>1140.4</v>
      </c>
      <c r="Y1151" t="s">
        <v>6606</v>
      </c>
      <c r="Z1151" t="s">
        <v>6612</v>
      </c>
      <c r="AA1151" t="s">
        <v>6636</v>
      </c>
      <c r="AB1151" t="s">
        <v>7674</v>
      </c>
      <c r="AD1151" t="s">
        <v>10034</v>
      </c>
      <c r="AE1151">
        <v>170</v>
      </c>
      <c r="AF1151" t="s">
        <v>11005</v>
      </c>
      <c r="AG1151" t="s">
        <v>5406</v>
      </c>
      <c r="AH1151">
        <v>4</v>
      </c>
      <c r="AI1151">
        <v>2</v>
      </c>
      <c r="AJ1151">
        <v>1</v>
      </c>
      <c r="AK1151">
        <v>155.59</v>
      </c>
      <c r="AN1151" t="s">
        <v>11050</v>
      </c>
      <c r="AO1151">
        <v>31772</v>
      </c>
      <c r="AU1151">
        <v>0.1</v>
      </c>
      <c r="AV1151" t="s">
        <v>778</v>
      </c>
      <c r="AW1151" t="s">
        <v>11509</v>
      </c>
    </row>
    <row r="1152" spans="1:49">
      <c r="A1152" s="1">
        <f>HYPERLINK("https://cms.ls-nyc.org/matter/dynamic-profile/view/1842921","17-1842921")</f>
        <v>0</v>
      </c>
      <c r="B1152" t="s">
        <v>63</v>
      </c>
      <c r="C1152" t="s">
        <v>235</v>
      </c>
      <c r="D1152" t="s">
        <v>472</v>
      </c>
      <c r="F1152" t="s">
        <v>1207</v>
      </c>
      <c r="G1152" t="s">
        <v>2834</v>
      </c>
      <c r="H1152" t="s">
        <v>4057</v>
      </c>
      <c r="I1152" t="s">
        <v>5078</v>
      </c>
      <c r="J1152" t="s">
        <v>5322</v>
      </c>
      <c r="K1152">
        <v>10314</v>
      </c>
      <c r="L1152" t="s">
        <v>5355</v>
      </c>
      <c r="M1152" t="s">
        <v>5356</v>
      </c>
      <c r="N1152" t="s">
        <v>5572</v>
      </c>
      <c r="O1152" t="s">
        <v>6499</v>
      </c>
      <c r="P1152" t="s">
        <v>6528</v>
      </c>
      <c r="R1152" t="s">
        <v>6539</v>
      </c>
      <c r="S1152" t="s">
        <v>5355</v>
      </c>
      <c r="U1152" t="s">
        <v>6557</v>
      </c>
      <c r="W1152" t="s">
        <v>388</v>
      </c>
      <c r="X1152">
        <v>922</v>
      </c>
      <c r="Y1152" t="s">
        <v>6607</v>
      </c>
      <c r="Z1152" t="s">
        <v>6622</v>
      </c>
      <c r="AB1152" t="s">
        <v>7675</v>
      </c>
      <c r="AD1152" t="s">
        <v>10035</v>
      </c>
      <c r="AE1152">
        <v>96</v>
      </c>
      <c r="AF1152" t="s">
        <v>11005</v>
      </c>
      <c r="AG1152" t="s">
        <v>5406</v>
      </c>
      <c r="AH1152">
        <v>1</v>
      </c>
      <c r="AI1152">
        <v>1</v>
      </c>
      <c r="AJ1152">
        <v>0</v>
      </c>
      <c r="AK1152">
        <v>159.2</v>
      </c>
      <c r="AL1152" t="s">
        <v>11034</v>
      </c>
      <c r="AN1152" t="s">
        <v>11050</v>
      </c>
      <c r="AO1152">
        <v>19200</v>
      </c>
      <c r="AU1152">
        <v>0.7</v>
      </c>
      <c r="AV1152" t="s">
        <v>807</v>
      </c>
      <c r="AW1152" t="s">
        <v>62</v>
      </c>
    </row>
    <row r="1153" spans="1:49">
      <c r="A1153" s="1">
        <f>HYPERLINK("https://cms.ls-nyc.org/matter/dynamic-profile/view/1869020","18-1869020")</f>
        <v>0</v>
      </c>
      <c r="B1153" t="s">
        <v>172</v>
      </c>
      <c r="C1153" t="s">
        <v>235</v>
      </c>
      <c r="D1153" t="s">
        <v>345</v>
      </c>
      <c r="F1153" t="s">
        <v>1038</v>
      </c>
      <c r="G1153" t="s">
        <v>2473</v>
      </c>
      <c r="H1153" t="s">
        <v>4099</v>
      </c>
      <c r="I1153" t="s">
        <v>4849</v>
      </c>
      <c r="J1153" t="s">
        <v>5323</v>
      </c>
      <c r="K1153">
        <v>10034</v>
      </c>
      <c r="L1153" t="s">
        <v>5355</v>
      </c>
      <c r="M1153" t="s">
        <v>5356</v>
      </c>
      <c r="N1153" t="s">
        <v>5611</v>
      </c>
      <c r="O1153" t="s">
        <v>6499</v>
      </c>
      <c r="P1153" t="s">
        <v>6528</v>
      </c>
      <c r="R1153" t="s">
        <v>6539</v>
      </c>
      <c r="S1153" t="s">
        <v>5355</v>
      </c>
      <c r="U1153" t="s">
        <v>6557</v>
      </c>
      <c r="W1153" t="s">
        <v>345</v>
      </c>
      <c r="X1153">
        <v>1297.87</v>
      </c>
      <c r="Y1153" t="s">
        <v>6608</v>
      </c>
      <c r="Z1153" t="s">
        <v>6620</v>
      </c>
      <c r="AB1153" t="s">
        <v>6854</v>
      </c>
      <c r="AD1153" t="s">
        <v>10036</v>
      </c>
      <c r="AE1153">
        <v>72</v>
      </c>
      <c r="AF1153" t="s">
        <v>11005</v>
      </c>
      <c r="AG1153" t="s">
        <v>5406</v>
      </c>
      <c r="AH1153">
        <v>28</v>
      </c>
      <c r="AI1153">
        <v>2</v>
      </c>
      <c r="AJ1153">
        <v>2</v>
      </c>
      <c r="AK1153">
        <v>159.36</v>
      </c>
      <c r="AN1153" t="s">
        <v>11050</v>
      </c>
      <c r="AO1153">
        <v>40000</v>
      </c>
      <c r="AU1153">
        <v>0</v>
      </c>
      <c r="AW1153" t="s">
        <v>11495</v>
      </c>
    </row>
    <row r="1154" spans="1:49">
      <c r="A1154" s="1">
        <f>HYPERLINK("https://cms.ls-nyc.org/matter/dynamic-profile/view/1869025","18-1869025")</f>
        <v>0</v>
      </c>
      <c r="B1154" t="s">
        <v>172</v>
      </c>
      <c r="C1154" t="s">
        <v>235</v>
      </c>
      <c r="D1154" t="s">
        <v>345</v>
      </c>
      <c r="F1154" t="s">
        <v>1038</v>
      </c>
      <c r="G1154" t="s">
        <v>2473</v>
      </c>
      <c r="H1154" t="s">
        <v>4099</v>
      </c>
      <c r="I1154" t="s">
        <v>4849</v>
      </c>
      <c r="J1154" t="s">
        <v>5323</v>
      </c>
      <c r="K1154">
        <v>10034</v>
      </c>
      <c r="L1154" t="s">
        <v>5355</v>
      </c>
      <c r="M1154" t="s">
        <v>5356</v>
      </c>
      <c r="N1154" t="s">
        <v>5612</v>
      </c>
      <c r="O1154" t="s">
        <v>6499</v>
      </c>
      <c r="P1154" t="s">
        <v>6528</v>
      </c>
      <c r="R1154" t="s">
        <v>6539</v>
      </c>
      <c r="S1154" t="s">
        <v>5355</v>
      </c>
      <c r="U1154" t="s">
        <v>6557</v>
      </c>
      <c r="W1154" t="s">
        <v>345</v>
      </c>
      <c r="X1154">
        <v>1297.87</v>
      </c>
      <c r="Y1154" t="s">
        <v>6608</v>
      </c>
      <c r="Z1154" t="s">
        <v>6620</v>
      </c>
      <c r="AB1154" t="s">
        <v>6854</v>
      </c>
      <c r="AD1154" t="s">
        <v>10036</v>
      </c>
      <c r="AE1154">
        <v>72</v>
      </c>
      <c r="AF1154" t="s">
        <v>11005</v>
      </c>
      <c r="AG1154" t="s">
        <v>5406</v>
      </c>
      <c r="AH1154">
        <v>28</v>
      </c>
      <c r="AI1154">
        <v>2</v>
      </c>
      <c r="AJ1154">
        <v>2</v>
      </c>
      <c r="AK1154">
        <v>159.36</v>
      </c>
      <c r="AN1154" t="s">
        <v>11050</v>
      </c>
      <c r="AO1154">
        <v>40000</v>
      </c>
      <c r="AU1154">
        <v>0</v>
      </c>
      <c r="AW1154" t="s">
        <v>11495</v>
      </c>
    </row>
    <row r="1155" spans="1:49">
      <c r="A1155" s="1">
        <f>HYPERLINK("https://cms.ls-nyc.org/matter/dynamic-profile/view/1867073","18-1867073")</f>
        <v>0</v>
      </c>
      <c r="B1155" t="s">
        <v>135</v>
      </c>
      <c r="C1155" t="s">
        <v>235</v>
      </c>
      <c r="D1155" t="s">
        <v>244</v>
      </c>
      <c r="F1155" t="s">
        <v>968</v>
      </c>
      <c r="G1155" t="s">
        <v>2522</v>
      </c>
      <c r="H1155" t="s">
        <v>3739</v>
      </c>
      <c r="I1155" t="s">
        <v>4765</v>
      </c>
      <c r="J1155" t="s">
        <v>5320</v>
      </c>
      <c r="K1155">
        <v>11212</v>
      </c>
      <c r="L1155" t="s">
        <v>5355</v>
      </c>
      <c r="M1155" t="s">
        <v>5356</v>
      </c>
      <c r="O1155" t="s">
        <v>6500</v>
      </c>
      <c r="P1155" t="s">
        <v>6528</v>
      </c>
      <c r="R1155" t="s">
        <v>6539</v>
      </c>
      <c r="S1155" t="s">
        <v>5355</v>
      </c>
      <c r="U1155" t="s">
        <v>6557</v>
      </c>
      <c r="W1155" t="s">
        <v>298</v>
      </c>
      <c r="X1155">
        <v>922.9400000000001</v>
      </c>
      <c r="Y1155" t="s">
        <v>6605</v>
      </c>
      <c r="Z1155" t="s">
        <v>6493</v>
      </c>
      <c r="AB1155" t="s">
        <v>7202</v>
      </c>
      <c r="AD1155" t="s">
        <v>9589</v>
      </c>
      <c r="AE1155">
        <v>32</v>
      </c>
      <c r="AF1155" t="s">
        <v>11005</v>
      </c>
      <c r="AH1155">
        <v>21</v>
      </c>
      <c r="AI1155">
        <v>2</v>
      </c>
      <c r="AJ1155">
        <v>0</v>
      </c>
      <c r="AK1155">
        <v>160.39</v>
      </c>
      <c r="AN1155" t="s">
        <v>11050</v>
      </c>
      <c r="AO1155">
        <v>26400</v>
      </c>
      <c r="AU1155">
        <v>0</v>
      </c>
      <c r="AW1155" t="s">
        <v>11512</v>
      </c>
    </row>
    <row r="1156" spans="1:49">
      <c r="A1156" s="1">
        <f>HYPERLINK("https://cms.ls-nyc.org/matter/dynamic-profile/view/1841978","17-1841978")</f>
        <v>0</v>
      </c>
      <c r="B1156" t="s">
        <v>129</v>
      </c>
      <c r="C1156" t="s">
        <v>234</v>
      </c>
      <c r="D1156" t="s">
        <v>305</v>
      </c>
      <c r="E1156" t="s">
        <v>778</v>
      </c>
      <c r="F1156" t="s">
        <v>1554</v>
      </c>
      <c r="G1156" t="s">
        <v>2835</v>
      </c>
      <c r="H1156" t="s">
        <v>3721</v>
      </c>
      <c r="I1156" t="s">
        <v>4868</v>
      </c>
      <c r="J1156" t="s">
        <v>5321</v>
      </c>
      <c r="K1156">
        <v>10453</v>
      </c>
      <c r="L1156" t="s">
        <v>5355</v>
      </c>
      <c r="M1156" t="s">
        <v>5356</v>
      </c>
      <c r="O1156" t="s">
        <v>6499</v>
      </c>
      <c r="P1156" t="s">
        <v>6528</v>
      </c>
      <c r="Q1156" t="s">
        <v>6536</v>
      </c>
      <c r="R1156" t="s">
        <v>6539</v>
      </c>
      <c r="S1156" t="s">
        <v>5355</v>
      </c>
      <c r="U1156" t="s">
        <v>6557</v>
      </c>
      <c r="W1156" t="s">
        <v>404</v>
      </c>
      <c r="X1156">
        <v>896.75</v>
      </c>
      <c r="Y1156" t="s">
        <v>6606</v>
      </c>
      <c r="Z1156" t="s">
        <v>6612</v>
      </c>
      <c r="AA1156" t="s">
        <v>6636</v>
      </c>
      <c r="AB1156" t="s">
        <v>7676</v>
      </c>
      <c r="AC1156">
        <v>12676490</v>
      </c>
      <c r="AD1156" t="s">
        <v>10037</v>
      </c>
      <c r="AE1156">
        <v>170</v>
      </c>
      <c r="AF1156" t="s">
        <v>11005</v>
      </c>
      <c r="AG1156" t="s">
        <v>5406</v>
      </c>
      <c r="AH1156">
        <v>32</v>
      </c>
      <c r="AI1156">
        <v>1</v>
      </c>
      <c r="AJ1156">
        <v>3</v>
      </c>
      <c r="AK1156">
        <v>162.6</v>
      </c>
      <c r="AN1156" t="s">
        <v>11050</v>
      </c>
      <c r="AO1156">
        <v>40000</v>
      </c>
      <c r="AU1156">
        <v>0.1</v>
      </c>
      <c r="AV1156" t="s">
        <v>778</v>
      </c>
      <c r="AW1156" t="s">
        <v>11509</v>
      </c>
    </row>
    <row r="1157" spans="1:49">
      <c r="A1157" s="1">
        <f>HYPERLINK("https://cms.ls-nyc.org/matter/dynamic-profile/view/1838729","17-1838729")</f>
        <v>0</v>
      </c>
      <c r="B1157" t="s">
        <v>129</v>
      </c>
      <c r="C1157" t="s">
        <v>235</v>
      </c>
      <c r="D1157" t="s">
        <v>537</v>
      </c>
      <c r="F1157" t="s">
        <v>1555</v>
      </c>
      <c r="G1157" t="s">
        <v>2142</v>
      </c>
      <c r="H1157" t="s">
        <v>4096</v>
      </c>
      <c r="I1157" t="s">
        <v>5079</v>
      </c>
      <c r="J1157" t="s">
        <v>5321</v>
      </c>
      <c r="K1157">
        <v>10473</v>
      </c>
      <c r="L1157" t="s">
        <v>5355</v>
      </c>
      <c r="M1157" t="s">
        <v>5356</v>
      </c>
      <c r="N1157" t="s">
        <v>5609</v>
      </c>
      <c r="O1157" t="s">
        <v>6499</v>
      </c>
      <c r="P1157" t="s">
        <v>6528</v>
      </c>
      <c r="R1157" t="s">
        <v>6539</v>
      </c>
      <c r="S1157" t="s">
        <v>5355</v>
      </c>
      <c r="U1157" t="s">
        <v>6557</v>
      </c>
      <c r="W1157" t="s">
        <v>6572</v>
      </c>
      <c r="X1157">
        <v>744.03</v>
      </c>
      <c r="Y1157" t="s">
        <v>6606</v>
      </c>
      <c r="Z1157" t="s">
        <v>6620</v>
      </c>
      <c r="AB1157" t="s">
        <v>7677</v>
      </c>
      <c r="AD1157" t="s">
        <v>10038</v>
      </c>
      <c r="AE1157">
        <v>976</v>
      </c>
      <c r="AF1157" t="s">
        <v>11005</v>
      </c>
      <c r="AG1157" t="s">
        <v>11024</v>
      </c>
      <c r="AH1157">
        <v>40</v>
      </c>
      <c r="AI1157">
        <v>2</v>
      </c>
      <c r="AJ1157">
        <v>0</v>
      </c>
      <c r="AK1157">
        <v>163.01</v>
      </c>
      <c r="AL1157" t="s">
        <v>578</v>
      </c>
      <c r="AN1157" t="s">
        <v>11050</v>
      </c>
      <c r="AO1157">
        <v>33672.36</v>
      </c>
      <c r="AU1157">
        <v>0</v>
      </c>
      <c r="AW1157" t="s">
        <v>11509</v>
      </c>
    </row>
    <row r="1158" spans="1:49">
      <c r="A1158" s="1">
        <f>HYPERLINK("https://cms.ls-nyc.org/matter/dynamic-profile/view/1862565","18-1862565")</f>
        <v>0</v>
      </c>
      <c r="B1158" t="s">
        <v>176</v>
      </c>
      <c r="C1158" t="s">
        <v>235</v>
      </c>
      <c r="D1158" t="s">
        <v>408</v>
      </c>
      <c r="F1158" t="s">
        <v>1556</v>
      </c>
      <c r="G1158" t="s">
        <v>2836</v>
      </c>
      <c r="H1158" t="s">
        <v>3576</v>
      </c>
      <c r="I1158" t="s">
        <v>5080</v>
      </c>
      <c r="J1158" t="s">
        <v>5317</v>
      </c>
      <c r="K1158">
        <v>11432</v>
      </c>
      <c r="L1158" t="s">
        <v>5355</v>
      </c>
      <c r="M1158" t="s">
        <v>5356</v>
      </c>
      <c r="N1158" t="s">
        <v>5583</v>
      </c>
      <c r="O1158" t="s">
        <v>6499</v>
      </c>
      <c r="P1158" t="s">
        <v>6528</v>
      </c>
      <c r="R1158" t="s">
        <v>6539</v>
      </c>
      <c r="S1158" t="s">
        <v>5355</v>
      </c>
      <c r="U1158" t="s">
        <v>6557</v>
      </c>
      <c r="W1158" t="s">
        <v>408</v>
      </c>
      <c r="X1158">
        <v>1904</v>
      </c>
      <c r="Y1158" t="s">
        <v>6604</v>
      </c>
      <c r="Z1158" t="s">
        <v>6623</v>
      </c>
      <c r="AB1158" t="s">
        <v>7678</v>
      </c>
      <c r="AC1158" t="s">
        <v>5392</v>
      </c>
      <c r="AD1158" t="s">
        <v>10039</v>
      </c>
      <c r="AE1158">
        <v>60</v>
      </c>
      <c r="AF1158" t="s">
        <v>11005</v>
      </c>
      <c r="AG1158" t="s">
        <v>5406</v>
      </c>
      <c r="AH1158">
        <v>12</v>
      </c>
      <c r="AI1158">
        <v>3</v>
      </c>
      <c r="AJ1158">
        <v>2</v>
      </c>
      <c r="AK1158">
        <v>163.15</v>
      </c>
      <c r="AL1158" t="s">
        <v>485</v>
      </c>
      <c r="AN1158" t="s">
        <v>11059</v>
      </c>
      <c r="AO1158">
        <v>48000</v>
      </c>
      <c r="AU1158">
        <v>0.2</v>
      </c>
      <c r="AV1158" t="s">
        <v>677</v>
      </c>
      <c r="AW1158" t="s">
        <v>11506</v>
      </c>
    </row>
    <row r="1159" spans="1:49">
      <c r="A1159" s="1">
        <f>HYPERLINK("https://cms.ls-nyc.org/matter/dynamic-profile/view/1862573","18-1862573")</f>
        <v>0</v>
      </c>
      <c r="B1159" t="s">
        <v>176</v>
      </c>
      <c r="C1159" t="s">
        <v>235</v>
      </c>
      <c r="D1159" t="s">
        <v>408</v>
      </c>
      <c r="F1159" t="s">
        <v>1556</v>
      </c>
      <c r="G1159" t="s">
        <v>2836</v>
      </c>
      <c r="H1159" t="s">
        <v>3576</v>
      </c>
      <c r="I1159" t="s">
        <v>5080</v>
      </c>
      <c r="J1159" t="s">
        <v>5317</v>
      </c>
      <c r="K1159">
        <v>11432</v>
      </c>
      <c r="L1159" t="s">
        <v>5355</v>
      </c>
      <c r="M1159" t="s">
        <v>5356</v>
      </c>
      <c r="N1159" t="s">
        <v>5582</v>
      </c>
      <c r="O1159" t="s">
        <v>6499</v>
      </c>
      <c r="P1159" t="s">
        <v>6528</v>
      </c>
      <c r="R1159" t="s">
        <v>6539</v>
      </c>
      <c r="S1159" t="s">
        <v>5355</v>
      </c>
      <c r="U1159" t="s">
        <v>6557</v>
      </c>
      <c r="W1159" t="s">
        <v>408</v>
      </c>
      <c r="X1159">
        <v>1904</v>
      </c>
      <c r="Y1159" t="s">
        <v>6604</v>
      </c>
      <c r="Z1159" t="s">
        <v>6623</v>
      </c>
      <c r="AB1159" t="s">
        <v>7678</v>
      </c>
      <c r="AC1159" t="s">
        <v>5392</v>
      </c>
      <c r="AD1159" t="s">
        <v>10039</v>
      </c>
      <c r="AE1159">
        <v>60</v>
      </c>
      <c r="AF1159" t="s">
        <v>8722</v>
      </c>
      <c r="AG1159" t="s">
        <v>5406</v>
      </c>
      <c r="AH1159">
        <v>12</v>
      </c>
      <c r="AI1159">
        <v>3</v>
      </c>
      <c r="AJ1159">
        <v>2</v>
      </c>
      <c r="AK1159">
        <v>163.15</v>
      </c>
      <c r="AL1159" t="s">
        <v>485</v>
      </c>
      <c r="AN1159" t="s">
        <v>11059</v>
      </c>
      <c r="AO1159">
        <v>48000</v>
      </c>
      <c r="AU1159">
        <v>0.2</v>
      </c>
      <c r="AV1159" t="s">
        <v>677</v>
      </c>
      <c r="AW1159" t="s">
        <v>11506</v>
      </c>
    </row>
    <row r="1160" spans="1:49">
      <c r="A1160" s="1">
        <f>HYPERLINK("https://cms.ls-nyc.org/matter/dynamic-profile/view/1839006","17-1839006")</f>
        <v>0</v>
      </c>
      <c r="B1160" t="s">
        <v>129</v>
      </c>
      <c r="C1160" t="s">
        <v>235</v>
      </c>
      <c r="D1160" t="s">
        <v>538</v>
      </c>
      <c r="F1160" t="s">
        <v>1020</v>
      </c>
      <c r="G1160" t="s">
        <v>2837</v>
      </c>
      <c r="H1160" t="s">
        <v>3786</v>
      </c>
      <c r="I1160" t="s">
        <v>4864</v>
      </c>
      <c r="J1160" t="s">
        <v>5321</v>
      </c>
      <c r="K1160">
        <v>10473</v>
      </c>
      <c r="L1160" t="s">
        <v>5355</v>
      </c>
      <c r="M1160" t="s">
        <v>5356</v>
      </c>
      <c r="N1160" t="s">
        <v>5592</v>
      </c>
      <c r="O1160" t="s">
        <v>6499</v>
      </c>
      <c r="P1160" t="s">
        <v>6528</v>
      </c>
      <c r="R1160" t="s">
        <v>6539</v>
      </c>
      <c r="S1160" t="s">
        <v>5355</v>
      </c>
      <c r="U1160" t="s">
        <v>6557</v>
      </c>
      <c r="W1160" t="s">
        <v>6572</v>
      </c>
      <c r="X1160">
        <v>927</v>
      </c>
      <c r="Y1160" t="s">
        <v>6606</v>
      </c>
      <c r="Z1160" t="s">
        <v>6620</v>
      </c>
      <c r="AB1160" t="s">
        <v>7679</v>
      </c>
      <c r="AD1160" t="s">
        <v>10040</v>
      </c>
      <c r="AE1160">
        <v>976</v>
      </c>
      <c r="AF1160" t="s">
        <v>11005</v>
      </c>
      <c r="AG1160" t="s">
        <v>5406</v>
      </c>
      <c r="AH1160">
        <v>37</v>
      </c>
      <c r="AI1160">
        <v>1</v>
      </c>
      <c r="AJ1160">
        <v>0</v>
      </c>
      <c r="AK1160">
        <v>163.78</v>
      </c>
      <c r="AL1160" t="s">
        <v>578</v>
      </c>
      <c r="AN1160" t="s">
        <v>11050</v>
      </c>
      <c r="AO1160">
        <v>19752</v>
      </c>
      <c r="AU1160">
        <v>0.25</v>
      </c>
      <c r="AV1160" t="s">
        <v>833</v>
      </c>
      <c r="AW1160" t="s">
        <v>11509</v>
      </c>
    </row>
    <row r="1161" spans="1:49">
      <c r="A1161" s="1">
        <f>HYPERLINK("https://cms.ls-nyc.org/matter/dynamic-profile/view/1854705","17-1854705")</f>
        <v>0</v>
      </c>
      <c r="B1161" t="s">
        <v>90</v>
      </c>
      <c r="C1161" t="s">
        <v>235</v>
      </c>
      <c r="D1161" t="s">
        <v>302</v>
      </c>
      <c r="F1161" t="s">
        <v>1106</v>
      </c>
      <c r="G1161" t="s">
        <v>2838</v>
      </c>
      <c r="H1161" t="s">
        <v>4059</v>
      </c>
      <c r="I1161" t="s">
        <v>4868</v>
      </c>
      <c r="J1161" t="s">
        <v>5321</v>
      </c>
      <c r="K1161">
        <v>10452</v>
      </c>
      <c r="L1161" t="s">
        <v>5355</v>
      </c>
      <c r="M1161" t="s">
        <v>5356</v>
      </c>
      <c r="N1161" t="s">
        <v>5574</v>
      </c>
      <c r="O1161" t="s">
        <v>6499</v>
      </c>
      <c r="P1161" t="s">
        <v>6528</v>
      </c>
      <c r="R1161" t="s">
        <v>6539</v>
      </c>
      <c r="S1161" t="s">
        <v>5355</v>
      </c>
      <c r="U1161" t="s">
        <v>6557</v>
      </c>
      <c r="W1161" t="s">
        <v>247</v>
      </c>
      <c r="X1161">
        <v>1642.54</v>
      </c>
      <c r="Y1161" t="s">
        <v>6606</v>
      </c>
      <c r="Z1161" t="s">
        <v>6612</v>
      </c>
      <c r="AB1161" t="s">
        <v>7680</v>
      </c>
      <c r="AD1161" t="s">
        <v>10041</v>
      </c>
      <c r="AE1161">
        <v>62</v>
      </c>
      <c r="AF1161" t="s">
        <v>11005</v>
      </c>
      <c r="AG1161" t="s">
        <v>11020</v>
      </c>
      <c r="AH1161">
        <v>15</v>
      </c>
      <c r="AI1161">
        <v>3</v>
      </c>
      <c r="AJ1161">
        <v>0</v>
      </c>
      <c r="AK1161">
        <v>164.93</v>
      </c>
      <c r="AN1161" t="s">
        <v>11049</v>
      </c>
      <c r="AO1161">
        <v>33677.8</v>
      </c>
      <c r="AU1161">
        <v>0.6</v>
      </c>
      <c r="AV1161" t="s">
        <v>302</v>
      </c>
      <c r="AW1161" t="s">
        <v>59</v>
      </c>
    </row>
    <row r="1162" spans="1:49">
      <c r="A1162" s="1">
        <f>HYPERLINK("https://cms.ls-nyc.org/matter/dynamic-profile/view/1853335","17-1853335")</f>
        <v>0</v>
      </c>
      <c r="B1162" t="s">
        <v>71</v>
      </c>
      <c r="C1162" t="s">
        <v>235</v>
      </c>
      <c r="D1162" t="s">
        <v>289</v>
      </c>
      <c r="F1162" t="s">
        <v>1557</v>
      </c>
      <c r="G1162" t="s">
        <v>2839</v>
      </c>
      <c r="H1162" t="s">
        <v>3606</v>
      </c>
      <c r="I1162" t="s">
        <v>5081</v>
      </c>
      <c r="J1162" t="s">
        <v>5321</v>
      </c>
      <c r="K1162">
        <v>10453</v>
      </c>
      <c r="L1162" t="s">
        <v>5355</v>
      </c>
      <c r="M1162" t="s">
        <v>5356</v>
      </c>
      <c r="N1162" t="s">
        <v>5569</v>
      </c>
      <c r="O1162" t="s">
        <v>6499</v>
      </c>
      <c r="P1162" t="s">
        <v>6528</v>
      </c>
      <c r="R1162" t="s">
        <v>6539</v>
      </c>
      <c r="S1162" t="s">
        <v>5355</v>
      </c>
      <c r="U1162" t="s">
        <v>6557</v>
      </c>
      <c r="W1162" t="s">
        <v>6572</v>
      </c>
      <c r="X1162">
        <v>836.0700000000001</v>
      </c>
      <c r="Y1162" t="s">
        <v>6606</v>
      </c>
      <c r="Z1162" t="s">
        <v>6612</v>
      </c>
      <c r="AB1162" t="s">
        <v>7681</v>
      </c>
      <c r="AD1162" t="s">
        <v>10042</v>
      </c>
      <c r="AE1162">
        <v>21</v>
      </c>
      <c r="AF1162" t="s">
        <v>11005</v>
      </c>
      <c r="AG1162" t="s">
        <v>5406</v>
      </c>
      <c r="AH1162">
        <v>0</v>
      </c>
      <c r="AI1162">
        <v>2</v>
      </c>
      <c r="AJ1162">
        <v>1</v>
      </c>
      <c r="AK1162">
        <v>165.01</v>
      </c>
      <c r="AN1162" t="s">
        <v>11049</v>
      </c>
      <c r="AO1162">
        <v>33696</v>
      </c>
      <c r="AU1162">
        <v>10.25</v>
      </c>
      <c r="AV1162" t="s">
        <v>799</v>
      </c>
      <c r="AW1162" t="s">
        <v>11523</v>
      </c>
    </row>
    <row r="1163" spans="1:49">
      <c r="A1163" s="1">
        <f>HYPERLINK("https://cms.ls-nyc.org/matter/dynamic-profile/view/1857395","18-1857395")</f>
        <v>0</v>
      </c>
      <c r="B1163" t="s">
        <v>58</v>
      </c>
      <c r="C1163" t="s">
        <v>235</v>
      </c>
      <c r="D1163" t="s">
        <v>343</v>
      </c>
      <c r="F1163" t="s">
        <v>1558</v>
      </c>
      <c r="G1163" t="s">
        <v>988</v>
      </c>
      <c r="H1163" t="s">
        <v>4007</v>
      </c>
      <c r="I1163" t="s">
        <v>5082</v>
      </c>
      <c r="J1163" t="s">
        <v>5321</v>
      </c>
      <c r="K1163">
        <v>10452</v>
      </c>
      <c r="L1163" t="s">
        <v>5355</v>
      </c>
      <c r="M1163" t="s">
        <v>5356</v>
      </c>
      <c r="O1163" t="s">
        <v>6499</v>
      </c>
      <c r="P1163" t="s">
        <v>6528</v>
      </c>
      <c r="R1163" t="s">
        <v>6539</v>
      </c>
      <c r="S1163" t="s">
        <v>5355</v>
      </c>
      <c r="U1163" t="s">
        <v>6557</v>
      </c>
      <c r="W1163" t="s">
        <v>516</v>
      </c>
      <c r="X1163">
        <v>779.61</v>
      </c>
      <c r="Y1163" t="s">
        <v>6606</v>
      </c>
      <c r="Z1163" t="s">
        <v>6612</v>
      </c>
      <c r="AB1163" t="s">
        <v>7682</v>
      </c>
      <c r="AD1163" t="s">
        <v>10043</v>
      </c>
      <c r="AE1163">
        <v>122</v>
      </c>
      <c r="AF1163" t="s">
        <v>11005</v>
      </c>
      <c r="AH1163">
        <v>27</v>
      </c>
      <c r="AI1163">
        <v>2</v>
      </c>
      <c r="AJ1163">
        <v>1</v>
      </c>
      <c r="AK1163">
        <v>165.05</v>
      </c>
      <c r="AN1163" t="s">
        <v>11050</v>
      </c>
      <c r="AO1163">
        <v>41408.04</v>
      </c>
      <c r="AP1163" t="s">
        <v>11145</v>
      </c>
      <c r="AU1163">
        <v>0</v>
      </c>
      <c r="AW1163" t="s">
        <v>11492</v>
      </c>
    </row>
    <row r="1164" spans="1:49">
      <c r="A1164" s="1">
        <f>HYPERLINK("https://cms.ls-nyc.org/matter/dynamic-profile/view/1854343","17-1854343")</f>
        <v>0</v>
      </c>
      <c r="B1164" t="s">
        <v>90</v>
      </c>
      <c r="C1164" t="s">
        <v>235</v>
      </c>
      <c r="D1164" t="s">
        <v>422</v>
      </c>
      <c r="F1164" t="s">
        <v>1559</v>
      </c>
      <c r="G1164" t="s">
        <v>2840</v>
      </c>
      <c r="H1164" t="s">
        <v>4059</v>
      </c>
      <c r="I1164" t="s">
        <v>4791</v>
      </c>
      <c r="J1164" t="s">
        <v>5321</v>
      </c>
      <c r="K1164">
        <v>10452</v>
      </c>
      <c r="L1164" t="s">
        <v>5355</v>
      </c>
      <c r="M1164" t="s">
        <v>5356</v>
      </c>
      <c r="N1164" t="s">
        <v>5574</v>
      </c>
      <c r="O1164" t="s">
        <v>6499</v>
      </c>
      <c r="P1164" t="s">
        <v>6528</v>
      </c>
      <c r="R1164" t="s">
        <v>6539</v>
      </c>
      <c r="S1164" t="s">
        <v>5355</v>
      </c>
      <c r="U1164" t="s">
        <v>6557</v>
      </c>
      <c r="W1164" t="s">
        <v>247</v>
      </c>
      <c r="X1164">
        <v>789.7</v>
      </c>
      <c r="Y1164" t="s">
        <v>6606</v>
      </c>
      <c r="Z1164" t="s">
        <v>6612</v>
      </c>
      <c r="AB1164" t="s">
        <v>7683</v>
      </c>
      <c r="AD1164" t="s">
        <v>10044</v>
      </c>
      <c r="AE1164">
        <v>62</v>
      </c>
      <c r="AF1164" t="s">
        <v>11005</v>
      </c>
      <c r="AG1164" t="s">
        <v>5406</v>
      </c>
      <c r="AH1164">
        <v>39</v>
      </c>
      <c r="AI1164">
        <v>2</v>
      </c>
      <c r="AJ1164">
        <v>0</v>
      </c>
      <c r="AK1164">
        <v>167.88</v>
      </c>
      <c r="AN1164" t="s">
        <v>11049</v>
      </c>
      <c r="AO1164">
        <v>35664</v>
      </c>
      <c r="AU1164">
        <v>0.9</v>
      </c>
      <c r="AV1164" t="s">
        <v>369</v>
      </c>
      <c r="AW1164" t="s">
        <v>59</v>
      </c>
    </row>
    <row r="1165" spans="1:49">
      <c r="A1165" s="1">
        <f>HYPERLINK("https://cms.ls-nyc.org/matter/dynamic-profile/view/1842917","17-1842917")</f>
        <v>0</v>
      </c>
      <c r="B1165" t="s">
        <v>63</v>
      </c>
      <c r="C1165" t="s">
        <v>235</v>
      </c>
      <c r="D1165" t="s">
        <v>472</v>
      </c>
      <c r="F1165" t="s">
        <v>1241</v>
      </c>
      <c r="G1165" t="s">
        <v>2841</v>
      </c>
      <c r="H1165" t="s">
        <v>4057</v>
      </c>
      <c r="I1165" t="s">
        <v>5083</v>
      </c>
      <c r="J1165" t="s">
        <v>5322</v>
      </c>
      <c r="K1165">
        <v>10314</v>
      </c>
      <c r="L1165" t="s">
        <v>5355</v>
      </c>
      <c r="M1165" t="s">
        <v>5356</v>
      </c>
      <c r="N1165" t="s">
        <v>5572</v>
      </c>
      <c r="O1165" t="s">
        <v>6499</v>
      </c>
      <c r="P1165" t="s">
        <v>6528</v>
      </c>
      <c r="R1165" t="s">
        <v>6539</v>
      </c>
      <c r="S1165" t="s">
        <v>5355</v>
      </c>
      <c r="U1165" t="s">
        <v>6557</v>
      </c>
      <c r="W1165" t="s">
        <v>388</v>
      </c>
      <c r="X1165">
        <v>952</v>
      </c>
      <c r="Y1165" t="s">
        <v>6607</v>
      </c>
      <c r="Z1165" t="s">
        <v>6622</v>
      </c>
      <c r="AB1165" t="s">
        <v>7684</v>
      </c>
      <c r="AD1165" t="s">
        <v>10045</v>
      </c>
      <c r="AE1165">
        <v>96</v>
      </c>
      <c r="AF1165" t="s">
        <v>11005</v>
      </c>
      <c r="AG1165" t="s">
        <v>5406</v>
      </c>
      <c r="AH1165">
        <v>3</v>
      </c>
      <c r="AI1165">
        <v>1</v>
      </c>
      <c r="AJ1165">
        <v>0</v>
      </c>
      <c r="AK1165">
        <v>169.55</v>
      </c>
      <c r="AL1165" t="s">
        <v>11034</v>
      </c>
      <c r="AN1165" t="s">
        <v>11050</v>
      </c>
      <c r="AO1165">
        <v>20448</v>
      </c>
      <c r="AU1165">
        <v>0.55</v>
      </c>
      <c r="AV1165" t="s">
        <v>807</v>
      </c>
      <c r="AW1165" t="s">
        <v>62</v>
      </c>
    </row>
    <row r="1166" spans="1:49">
      <c r="A1166" s="1">
        <f>HYPERLINK("https://cms.ls-nyc.org/matter/dynamic-profile/view/1857139","18-1857139")</f>
        <v>0</v>
      </c>
      <c r="B1166" t="s">
        <v>104</v>
      </c>
      <c r="C1166" t="s">
        <v>235</v>
      </c>
      <c r="D1166" t="s">
        <v>286</v>
      </c>
      <c r="F1166" t="s">
        <v>1560</v>
      </c>
      <c r="G1166" t="s">
        <v>2842</v>
      </c>
      <c r="H1166" t="s">
        <v>4007</v>
      </c>
      <c r="I1166" t="s">
        <v>4950</v>
      </c>
      <c r="J1166" t="s">
        <v>5321</v>
      </c>
      <c r="K1166">
        <v>10452</v>
      </c>
      <c r="L1166" t="s">
        <v>5355</v>
      </c>
      <c r="M1166" t="s">
        <v>5356</v>
      </c>
      <c r="N1166" t="s">
        <v>5571</v>
      </c>
      <c r="O1166" t="s">
        <v>6499</v>
      </c>
      <c r="P1166" t="s">
        <v>6528</v>
      </c>
      <c r="R1166" t="s">
        <v>6539</v>
      </c>
      <c r="S1166" t="s">
        <v>5355</v>
      </c>
      <c r="U1166" t="s">
        <v>6557</v>
      </c>
      <c r="W1166" t="s">
        <v>298</v>
      </c>
      <c r="X1166">
        <v>0</v>
      </c>
      <c r="Y1166" t="s">
        <v>6606</v>
      </c>
      <c r="Z1166" t="s">
        <v>6612</v>
      </c>
      <c r="AB1166" t="s">
        <v>7685</v>
      </c>
      <c r="AE1166">
        <v>122</v>
      </c>
      <c r="AF1166" t="s">
        <v>11005</v>
      </c>
      <c r="AH1166">
        <v>0</v>
      </c>
      <c r="AI1166">
        <v>2</v>
      </c>
      <c r="AJ1166">
        <v>3</v>
      </c>
      <c r="AK1166">
        <v>169.95</v>
      </c>
      <c r="AN1166" t="s">
        <v>11050</v>
      </c>
      <c r="AO1166">
        <v>50000</v>
      </c>
      <c r="AU1166">
        <v>0</v>
      </c>
      <c r="AW1166" t="s">
        <v>11492</v>
      </c>
    </row>
    <row r="1167" spans="1:49">
      <c r="A1167" s="1">
        <f>HYPERLINK("https://cms.ls-nyc.org/matter/dynamic-profile/view/1872758","18-1872758")</f>
        <v>0</v>
      </c>
      <c r="B1167" t="s">
        <v>106</v>
      </c>
      <c r="C1167" t="s">
        <v>235</v>
      </c>
      <c r="D1167" t="s">
        <v>316</v>
      </c>
      <c r="F1167" t="s">
        <v>1561</v>
      </c>
      <c r="G1167" t="s">
        <v>2135</v>
      </c>
      <c r="H1167" t="s">
        <v>4089</v>
      </c>
      <c r="I1167" t="s">
        <v>4879</v>
      </c>
      <c r="J1167" t="s">
        <v>5321</v>
      </c>
      <c r="K1167">
        <v>10452</v>
      </c>
      <c r="L1167" t="s">
        <v>5355</v>
      </c>
      <c r="M1167" t="s">
        <v>5356</v>
      </c>
      <c r="N1167" t="s">
        <v>5576</v>
      </c>
      <c r="O1167" t="s">
        <v>6499</v>
      </c>
      <c r="P1167" t="s">
        <v>6528</v>
      </c>
      <c r="R1167" t="s">
        <v>6539</v>
      </c>
      <c r="S1167" t="s">
        <v>5355</v>
      </c>
      <c r="U1167" t="s">
        <v>6557</v>
      </c>
      <c r="W1167" t="s">
        <v>316</v>
      </c>
      <c r="X1167">
        <v>922.02</v>
      </c>
      <c r="Y1167" t="s">
        <v>6606</v>
      </c>
      <c r="Z1167" t="s">
        <v>6612</v>
      </c>
      <c r="AB1167" t="s">
        <v>7686</v>
      </c>
      <c r="AD1167" t="s">
        <v>10046</v>
      </c>
      <c r="AE1167">
        <v>0</v>
      </c>
      <c r="AF1167" t="s">
        <v>11005</v>
      </c>
      <c r="AG1167" t="s">
        <v>5406</v>
      </c>
      <c r="AH1167">
        <v>12</v>
      </c>
      <c r="AI1167">
        <v>2</v>
      </c>
      <c r="AJ1167">
        <v>0</v>
      </c>
      <c r="AK1167">
        <v>170.11</v>
      </c>
      <c r="AN1167" t="s">
        <v>11049</v>
      </c>
      <c r="AO1167">
        <v>28000</v>
      </c>
      <c r="AU1167">
        <v>0.25</v>
      </c>
      <c r="AV1167" t="s">
        <v>265</v>
      </c>
      <c r="AW1167" t="s">
        <v>11499</v>
      </c>
    </row>
    <row r="1168" spans="1:49">
      <c r="A1168" s="1">
        <f>HYPERLINK("https://cms.ls-nyc.org/matter/dynamic-profile/view/1872761","18-1872761")</f>
        <v>0</v>
      </c>
      <c r="B1168" t="s">
        <v>106</v>
      </c>
      <c r="C1168" t="s">
        <v>235</v>
      </c>
      <c r="D1168" t="s">
        <v>516</v>
      </c>
      <c r="F1168" t="s">
        <v>1561</v>
      </c>
      <c r="G1168" t="s">
        <v>2135</v>
      </c>
      <c r="H1168" t="s">
        <v>4089</v>
      </c>
      <c r="I1168" t="s">
        <v>4879</v>
      </c>
      <c r="J1168" t="s">
        <v>5321</v>
      </c>
      <c r="K1168">
        <v>10452</v>
      </c>
      <c r="L1168" t="s">
        <v>5355</v>
      </c>
      <c r="M1168" t="s">
        <v>5356</v>
      </c>
      <c r="O1168" t="s">
        <v>6499</v>
      </c>
      <c r="P1168" t="s">
        <v>6528</v>
      </c>
      <c r="R1168" t="s">
        <v>6539</v>
      </c>
      <c r="S1168" t="s">
        <v>5355</v>
      </c>
      <c r="U1168" t="s">
        <v>6557</v>
      </c>
      <c r="W1168" t="s">
        <v>516</v>
      </c>
      <c r="X1168">
        <v>922.02</v>
      </c>
      <c r="Y1168" t="s">
        <v>6606</v>
      </c>
      <c r="Z1168" t="s">
        <v>6612</v>
      </c>
      <c r="AB1168" t="s">
        <v>7686</v>
      </c>
      <c r="AD1168" t="s">
        <v>10046</v>
      </c>
      <c r="AE1168">
        <v>0</v>
      </c>
      <c r="AF1168" t="s">
        <v>11005</v>
      </c>
      <c r="AG1168" t="s">
        <v>5406</v>
      </c>
      <c r="AH1168">
        <v>12</v>
      </c>
      <c r="AI1168">
        <v>2</v>
      </c>
      <c r="AJ1168">
        <v>0</v>
      </c>
      <c r="AK1168">
        <v>170.11</v>
      </c>
      <c r="AN1168" t="s">
        <v>11049</v>
      </c>
      <c r="AO1168">
        <v>28000</v>
      </c>
      <c r="AU1168">
        <v>0.25</v>
      </c>
      <c r="AV1168" t="s">
        <v>265</v>
      </c>
      <c r="AW1168" t="s">
        <v>11499</v>
      </c>
    </row>
    <row r="1169" spans="1:50">
      <c r="A1169" s="1">
        <f>HYPERLINK("https://cms.ls-nyc.org/matter/dynamic-profile/view/1857490","18-1857490")</f>
        <v>0</v>
      </c>
      <c r="B1169" t="s">
        <v>104</v>
      </c>
      <c r="C1169" t="s">
        <v>235</v>
      </c>
      <c r="D1169" t="s">
        <v>397</v>
      </c>
      <c r="F1169" t="s">
        <v>1562</v>
      </c>
      <c r="G1169" t="s">
        <v>2843</v>
      </c>
      <c r="H1169" t="s">
        <v>4007</v>
      </c>
      <c r="I1169" t="s">
        <v>5084</v>
      </c>
      <c r="J1169" t="s">
        <v>5321</v>
      </c>
      <c r="K1169">
        <v>10452</v>
      </c>
      <c r="L1169" t="s">
        <v>5355</v>
      </c>
      <c r="M1169" t="s">
        <v>5356</v>
      </c>
      <c r="N1169" t="s">
        <v>5571</v>
      </c>
      <c r="O1169" t="s">
        <v>6499</v>
      </c>
      <c r="P1169" t="s">
        <v>6528</v>
      </c>
      <c r="R1169" t="s">
        <v>6539</v>
      </c>
      <c r="S1169" t="s">
        <v>5355</v>
      </c>
      <c r="U1169" t="s">
        <v>6557</v>
      </c>
      <c r="W1169" t="s">
        <v>516</v>
      </c>
      <c r="X1169">
        <v>858.6900000000001</v>
      </c>
      <c r="Y1169" t="s">
        <v>6606</v>
      </c>
      <c r="Z1169" t="s">
        <v>6612</v>
      </c>
      <c r="AB1169" t="s">
        <v>7687</v>
      </c>
      <c r="AD1169" t="s">
        <v>10047</v>
      </c>
      <c r="AE1169">
        <v>122</v>
      </c>
      <c r="AF1169" t="s">
        <v>11005</v>
      </c>
      <c r="AG1169" t="s">
        <v>5406</v>
      </c>
      <c r="AH1169">
        <v>5</v>
      </c>
      <c r="AI1169">
        <v>2</v>
      </c>
      <c r="AJ1169">
        <v>2</v>
      </c>
      <c r="AK1169">
        <v>171.22</v>
      </c>
      <c r="AN1169" t="s">
        <v>11050</v>
      </c>
      <c r="AO1169">
        <v>42120</v>
      </c>
      <c r="AP1169" t="s">
        <v>11146</v>
      </c>
      <c r="AU1169">
        <v>0</v>
      </c>
      <c r="AW1169" t="s">
        <v>11492</v>
      </c>
    </row>
    <row r="1170" spans="1:50">
      <c r="A1170" s="1">
        <f>HYPERLINK("https://cms.ls-nyc.org/matter/dynamic-profile/view/1871226","18-1871226")</f>
        <v>0</v>
      </c>
      <c r="B1170" t="s">
        <v>135</v>
      </c>
      <c r="C1170" t="s">
        <v>235</v>
      </c>
      <c r="D1170" t="s">
        <v>401</v>
      </c>
      <c r="F1170" t="s">
        <v>1276</v>
      </c>
      <c r="G1170" t="s">
        <v>2524</v>
      </c>
      <c r="H1170" t="s">
        <v>3874</v>
      </c>
      <c r="I1170" t="s">
        <v>4752</v>
      </c>
      <c r="J1170" t="s">
        <v>5320</v>
      </c>
      <c r="K1170">
        <v>11221</v>
      </c>
      <c r="L1170" t="s">
        <v>5355</v>
      </c>
      <c r="M1170" t="s">
        <v>5355</v>
      </c>
      <c r="O1170" t="s">
        <v>6507</v>
      </c>
      <c r="P1170" t="s">
        <v>6528</v>
      </c>
      <c r="R1170" t="s">
        <v>6539</v>
      </c>
      <c r="S1170" t="s">
        <v>5355</v>
      </c>
      <c r="U1170" t="s">
        <v>6557</v>
      </c>
      <c r="W1170" t="s">
        <v>287</v>
      </c>
      <c r="X1170">
        <v>763</v>
      </c>
      <c r="Y1170" t="s">
        <v>6605</v>
      </c>
      <c r="Z1170" t="s">
        <v>6622</v>
      </c>
      <c r="AB1170" t="s">
        <v>7207</v>
      </c>
      <c r="AD1170" t="s">
        <v>9594</v>
      </c>
      <c r="AE1170">
        <v>12</v>
      </c>
      <c r="AF1170" t="s">
        <v>11005</v>
      </c>
      <c r="AG1170" t="s">
        <v>5406</v>
      </c>
      <c r="AH1170">
        <v>10</v>
      </c>
      <c r="AI1170">
        <v>1</v>
      </c>
      <c r="AJ1170">
        <v>0</v>
      </c>
      <c r="AK1170">
        <v>171.33</v>
      </c>
      <c r="AN1170" t="s">
        <v>11050</v>
      </c>
      <c r="AO1170">
        <v>20800</v>
      </c>
      <c r="AU1170">
        <v>35.5</v>
      </c>
      <c r="AV1170" t="s">
        <v>717</v>
      </c>
      <c r="AW1170" t="s">
        <v>11512</v>
      </c>
    </row>
    <row r="1171" spans="1:50">
      <c r="A1171" s="1">
        <f>HYPERLINK("https://cms.ls-nyc.org/matter/dynamic-profile/view/1864828","18-1864828")</f>
        <v>0</v>
      </c>
      <c r="B1171" t="s">
        <v>90</v>
      </c>
      <c r="C1171" t="s">
        <v>234</v>
      </c>
      <c r="D1171" t="s">
        <v>395</v>
      </c>
      <c r="E1171" t="s">
        <v>674</v>
      </c>
      <c r="F1171" t="s">
        <v>1563</v>
      </c>
      <c r="G1171" t="s">
        <v>2844</v>
      </c>
      <c r="H1171" t="s">
        <v>3549</v>
      </c>
      <c r="I1171" t="s">
        <v>4757</v>
      </c>
      <c r="J1171" t="s">
        <v>5321</v>
      </c>
      <c r="K1171">
        <v>10452</v>
      </c>
      <c r="L1171" t="s">
        <v>5355</v>
      </c>
      <c r="M1171" t="s">
        <v>5355</v>
      </c>
      <c r="O1171" t="s">
        <v>6499</v>
      </c>
      <c r="P1171" t="s">
        <v>6528</v>
      </c>
      <c r="Q1171" t="s">
        <v>6536</v>
      </c>
      <c r="R1171" t="s">
        <v>6539</v>
      </c>
      <c r="S1171" t="s">
        <v>5355</v>
      </c>
      <c r="U1171" t="s">
        <v>6557</v>
      </c>
      <c r="W1171" t="s">
        <v>326</v>
      </c>
      <c r="X1171">
        <v>1000</v>
      </c>
      <c r="Y1171" t="s">
        <v>6606</v>
      </c>
      <c r="Z1171" t="s">
        <v>6612</v>
      </c>
      <c r="AA1171" t="s">
        <v>6634</v>
      </c>
      <c r="AB1171" t="s">
        <v>7688</v>
      </c>
      <c r="AD1171" t="s">
        <v>10048</v>
      </c>
      <c r="AE1171">
        <v>52</v>
      </c>
      <c r="AF1171" t="s">
        <v>11005</v>
      </c>
      <c r="AG1171" t="s">
        <v>11026</v>
      </c>
      <c r="AH1171">
        <v>13</v>
      </c>
      <c r="AI1171">
        <v>1</v>
      </c>
      <c r="AJ1171">
        <v>0</v>
      </c>
      <c r="AK1171">
        <v>171.33</v>
      </c>
      <c r="AN1171" t="s">
        <v>11050</v>
      </c>
      <c r="AO1171">
        <v>20800</v>
      </c>
      <c r="AU1171">
        <v>0.7</v>
      </c>
      <c r="AV1171" t="s">
        <v>674</v>
      </c>
      <c r="AW1171" t="s">
        <v>90</v>
      </c>
    </row>
    <row r="1172" spans="1:50">
      <c r="A1172" s="1">
        <f>HYPERLINK("https://cms.ls-nyc.org/matter/dynamic-profile/view/1853774","17-1853774")</f>
        <v>0</v>
      </c>
      <c r="B1172" t="s">
        <v>90</v>
      </c>
      <c r="C1172" t="s">
        <v>235</v>
      </c>
      <c r="D1172" t="s">
        <v>332</v>
      </c>
      <c r="F1172" t="s">
        <v>838</v>
      </c>
      <c r="G1172" t="s">
        <v>2258</v>
      </c>
      <c r="H1172" t="s">
        <v>4059</v>
      </c>
      <c r="I1172" t="s">
        <v>5085</v>
      </c>
      <c r="J1172" t="s">
        <v>5321</v>
      </c>
      <c r="K1172">
        <v>10452</v>
      </c>
      <c r="L1172" t="s">
        <v>5355</v>
      </c>
      <c r="M1172" t="s">
        <v>5356</v>
      </c>
      <c r="O1172" t="s">
        <v>6499</v>
      </c>
      <c r="P1172" t="s">
        <v>6528</v>
      </c>
      <c r="R1172" t="s">
        <v>6539</v>
      </c>
      <c r="S1172" t="s">
        <v>5355</v>
      </c>
      <c r="U1172" t="s">
        <v>6557</v>
      </c>
      <c r="W1172" t="s">
        <v>247</v>
      </c>
      <c r="X1172">
        <v>818.04</v>
      </c>
      <c r="Y1172" t="s">
        <v>6606</v>
      </c>
      <c r="Z1172" t="s">
        <v>6612</v>
      </c>
      <c r="AB1172" t="s">
        <v>7689</v>
      </c>
      <c r="AD1172" t="s">
        <v>10049</v>
      </c>
      <c r="AE1172">
        <v>62</v>
      </c>
      <c r="AF1172" t="s">
        <v>11005</v>
      </c>
      <c r="AG1172" t="s">
        <v>5406</v>
      </c>
      <c r="AH1172">
        <v>41</v>
      </c>
      <c r="AI1172">
        <v>4</v>
      </c>
      <c r="AJ1172">
        <v>1</v>
      </c>
      <c r="AK1172">
        <v>172.2</v>
      </c>
      <c r="AN1172" t="s">
        <v>11049</v>
      </c>
      <c r="AO1172">
        <v>79559.07000000001</v>
      </c>
      <c r="AU1172">
        <v>5.8</v>
      </c>
      <c r="AV1172" t="s">
        <v>399</v>
      </c>
      <c r="AW1172" t="s">
        <v>11509</v>
      </c>
    </row>
    <row r="1173" spans="1:50">
      <c r="A1173" s="1">
        <f>HYPERLINK("https://cms.ls-nyc.org/matter/dynamic-profile/view/1854350","17-1854350")</f>
        <v>0</v>
      </c>
      <c r="B1173" t="s">
        <v>90</v>
      </c>
      <c r="C1173" t="s">
        <v>235</v>
      </c>
      <c r="D1173" t="s">
        <v>378</v>
      </c>
      <c r="F1173" t="s">
        <v>838</v>
      </c>
      <c r="G1173" t="s">
        <v>2258</v>
      </c>
      <c r="H1173" t="s">
        <v>4059</v>
      </c>
      <c r="I1173" t="s">
        <v>5085</v>
      </c>
      <c r="J1173" t="s">
        <v>5321</v>
      </c>
      <c r="K1173">
        <v>10452</v>
      </c>
      <c r="L1173" t="s">
        <v>5355</v>
      </c>
      <c r="M1173" t="s">
        <v>5356</v>
      </c>
      <c r="N1173" t="s">
        <v>5575</v>
      </c>
      <c r="O1173" t="s">
        <v>6499</v>
      </c>
      <c r="P1173" t="s">
        <v>6528</v>
      </c>
      <c r="R1173" t="s">
        <v>6539</v>
      </c>
      <c r="S1173" t="s">
        <v>5355</v>
      </c>
      <c r="U1173" t="s">
        <v>6557</v>
      </c>
      <c r="W1173" t="s">
        <v>6572</v>
      </c>
      <c r="X1173">
        <v>818.04</v>
      </c>
      <c r="Y1173" t="s">
        <v>6606</v>
      </c>
      <c r="Z1173" t="s">
        <v>6612</v>
      </c>
      <c r="AB1173" t="s">
        <v>7689</v>
      </c>
      <c r="AD1173" t="s">
        <v>10049</v>
      </c>
      <c r="AE1173">
        <v>63</v>
      </c>
      <c r="AF1173" t="s">
        <v>11005</v>
      </c>
      <c r="AG1173" t="s">
        <v>5406</v>
      </c>
      <c r="AH1173">
        <v>41</v>
      </c>
      <c r="AI1173">
        <v>4</v>
      </c>
      <c r="AJ1173">
        <v>1</v>
      </c>
      <c r="AK1173">
        <v>172.2</v>
      </c>
      <c r="AN1173" t="s">
        <v>11049</v>
      </c>
      <c r="AO1173">
        <v>79559.07000000001</v>
      </c>
      <c r="AU1173">
        <v>81.5</v>
      </c>
      <c r="AV1173" t="s">
        <v>11461</v>
      </c>
      <c r="AW1173" t="s">
        <v>59</v>
      </c>
    </row>
    <row r="1174" spans="1:50">
      <c r="A1174" s="1">
        <f>HYPERLINK("https://cms.ls-nyc.org/matter/dynamic-profile/view/1852367","17-1852367")</f>
        <v>0</v>
      </c>
      <c r="B1174" t="s">
        <v>129</v>
      </c>
      <c r="C1174" t="s">
        <v>235</v>
      </c>
      <c r="D1174" t="s">
        <v>372</v>
      </c>
      <c r="F1174" t="s">
        <v>1450</v>
      </c>
      <c r="G1174" t="s">
        <v>2845</v>
      </c>
      <c r="H1174" t="s">
        <v>3808</v>
      </c>
      <c r="I1174" t="s">
        <v>4832</v>
      </c>
      <c r="J1174" t="s">
        <v>5321</v>
      </c>
      <c r="K1174">
        <v>10456</v>
      </c>
      <c r="L1174" t="s">
        <v>5355</v>
      </c>
      <c r="M1174" t="s">
        <v>5356</v>
      </c>
      <c r="N1174" t="s">
        <v>5585</v>
      </c>
      <c r="O1174" t="s">
        <v>6499</v>
      </c>
      <c r="P1174" t="s">
        <v>6528</v>
      </c>
      <c r="R1174" t="s">
        <v>6539</v>
      </c>
      <c r="S1174" t="s">
        <v>5355</v>
      </c>
      <c r="U1174" t="s">
        <v>6557</v>
      </c>
      <c r="W1174" t="s">
        <v>372</v>
      </c>
      <c r="X1174">
        <v>1573</v>
      </c>
      <c r="Y1174" t="s">
        <v>6606</v>
      </c>
      <c r="Z1174" t="s">
        <v>6612</v>
      </c>
      <c r="AB1174" t="s">
        <v>7690</v>
      </c>
      <c r="AD1174" t="s">
        <v>10050</v>
      </c>
      <c r="AE1174">
        <v>61</v>
      </c>
      <c r="AF1174" t="s">
        <v>11005</v>
      </c>
      <c r="AG1174" t="s">
        <v>5406</v>
      </c>
      <c r="AH1174">
        <v>5</v>
      </c>
      <c r="AI1174">
        <v>4</v>
      </c>
      <c r="AJ1174">
        <v>1</v>
      </c>
      <c r="AK1174">
        <v>172.87</v>
      </c>
      <c r="AL1174" t="s">
        <v>366</v>
      </c>
      <c r="AN1174" t="s">
        <v>11049</v>
      </c>
      <c r="AO1174">
        <v>49752</v>
      </c>
      <c r="AU1174">
        <v>0.75</v>
      </c>
      <c r="AV1174" t="s">
        <v>294</v>
      </c>
      <c r="AW1174" t="s">
        <v>11499</v>
      </c>
    </row>
    <row r="1175" spans="1:50">
      <c r="A1175" s="1">
        <f>HYPERLINK("https://cms.ls-nyc.org/matter/dynamic-profile/view/1860281","18-1860281")</f>
        <v>0</v>
      </c>
      <c r="B1175" t="s">
        <v>54</v>
      </c>
      <c r="C1175" t="s">
        <v>234</v>
      </c>
      <c r="D1175" t="s">
        <v>428</v>
      </c>
      <c r="E1175" t="s">
        <v>756</v>
      </c>
      <c r="F1175" t="s">
        <v>1207</v>
      </c>
      <c r="G1175" t="s">
        <v>2421</v>
      </c>
      <c r="H1175" t="s">
        <v>3887</v>
      </c>
      <c r="I1175" t="s">
        <v>4775</v>
      </c>
      <c r="J1175" t="s">
        <v>5320</v>
      </c>
      <c r="K1175">
        <v>11206</v>
      </c>
      <c r="L1175" t="s">
        <v>5355</v>
      </c>
      <c r="M1175" t="s">
        <v>5355</v>
      </c>
      <c r="N1175" t="s">
        <v>5613</v>
      </c>
      <c r="O1175" t="s">
        <v>6507</v>
      </c>
      <c r="P1175" t="s">
        <v>6528</v>
      </c>
      <c r="Q1175" t="s">
        <v>6533</v>
      </c>
      <c r="R1175" t="s">
        <v>6539</v>
      </c>
      <c r="S1175" t="s">
        <v>5355</v>
      </c>
      <c r="U1175" t="s">
        <v>6557</v>
      </c>
      <c r="W1175" t="s">
        <v>248</v>
      </c>
      <c r="X1175">
        <v>872.36</v>
      </c>
      <c r="Y1175" t="s">
        <v>6605</v>
      </c>
      <c r="Z1175" t="s">
        <v>6622</v>
      </c>
      <c r="AA1175" t="s">
        <v>6631</v>
      </c>
      <c r="AB1175" t="s">
        <v>7691</v>
      </c>
      <c r="AD1175" t="s">
        <v>10051</v>
      </c>
      <c r="AE1175">
        <v>8</v>
      </c>
      <c r="AG1175" t="s">
        <v>5406</v>
      </c>
      <c r="AH1175">
        <v>0</v>
      </c>
      <c r="AI1175">
        <v>1</v>
      </c>
      <c r="AJ1175">
        <v>0</v>
      </c>
      <c r="AK1175">
        <v>173.13</v>
      </c>
      <c r="AN1175" t="s">
        <v>11050</v>
      </c>
      <c r="AO1175">
        <v>20880</v>
      </c>
      <c r="AP1175" t="s">
        <v>11107</v>
      </c>
      <c r="AR1175" t="s">
        <v>6493</v>
      </c>
      <c r="AU1175">
        <v>1.5</v>
      </c>
      <c r="AV1175" t="s">
        <v>311</v>
      </c>
      <c r="AW1175" t="s">
        <v>11512</v>
      </c>
      <c r="AX1175" t="s">
        <v>11564</v>
      </c>
    </row>
    <row r="1176" spans="1:50">
      <c r="A1176" s="1">
        <f>HYPERLINK("https://cms.ls-nyc.org/matter/dynamic-profile/view/1836155","17-1836155")</f>
        <v>0</v>
      </c>
      <c r="B1176" t="s">
        <v>111</v>
      </c>
      <c r="C1176" t="s">
        <v>235</v>
      </c>
      <c r="D1176" t="s">
        <v>450</v>
      </c>
      <c r="F1176" t="s">
        <v>1564</v>
      </c>
      <c r="G1176" t="s">
        <v>2215</v>
      </c>
      <c r="H1176" t="s">
        <v>4100</v>
      </c>
      <c r="I1176" t="s">
        <v>4833</v>
      </c>
      <c r="J1176" t="s">
        <v>5323</v>
      </c>
      <c r="K1176">
        <v>10040</v>
      </c>
      <c r="L1176" t="s">
        <v>5355</v>
      </c>
      <c r="M1176" t="s">
        <v>5356</v>
      </c>
      <c r="N1176" t="s">
        <v>5591</v>
      </c>
      <c r="O1176" t="s">
        <v>6494</v>
      </c>
      <c r="P1176" t="s">
        <v>6528</v>
      </c>
      <c r="R1176" t="s">
        <v>6539</v>
      </c>
      <c r="S1176" t="s">
        <v>5355</v>
      </c>
      <c r="U1176" t="s">
        <v>6557</v>
      </c>
      <c r="W1176" t="s">
        <v>6575</v>
      </c>
      <c r="X1176">
        <v>1045.94</v>
      </c>
      <c r="Y1176" t="s">
        <v>6608</v>
      </c>
      <c r="Z1176" t="s">
        <v>6622</v>
      </c>
      <c r="AB1176" t="s">
        <v>7692</v>
      </c>
      <c r="AD1176" t="s">
        <v>10052</v>
      </c>
      <c r="AE1176">
        <v>45</v>
      </c>
      <c r="AF1176" t="s">
        <v>11005</v>
      </c>
      <c r="AG1176" t="s">
        <v>5406</v>
      </c>
      <c r="AH1176">
        <v>36</v>
      </c>
      <c r="AI1176">
        <v>3</v>
      </c>
      <c r="AJ1176">
        <v>0</v>
      </c>
      <c r="AK1176">
        <v>173.36</v>
      </c>
      <c r="AL1176" t="s">
        <v>11035</v>
      </c>
      <c r="AN1176" t="s">
        <v>11049</v>
      </c>
      <c r="AO1176">
        <v>45648</v>
      </c>
      <c r="AU1176">
        <v>92.95</v>
      </c>
      <c r="AV1176" t="s">
        <v>449</v>
      </c>
      <c r="AW1176" t="s">
        <v>11497</v>
      </c>
    </row>
    <row r="1177" spans="1:50">
      <c r="A1177" s="1">
        <f>HYPERLINK("https://cms.ls-nyc.org/matter/dynamic-profile/view/1842839","17-1842839")</f>
        <v>0</v>
      </c>
      <c r="B1177" t="s">
        <v>63</v>
      </c>
      <c r="C1177" t="s">
        <v>235</v>
      </c>
      <c r="D1177" t="s">
        <v>472</v>
      </c>
      <c r="F1177" t="s">
        <v>1565</v>
      </c>
      <c r="G1177" t="s">
        <v>2846</v>
      </c>
      <c r="H1177" t="s">
        <v>4057</v>
      </c>
      <c r="I1177" t="s">
        <v>5086</v>
      </c>
      <c r="J1177" t="s">
        <v>5322</v>
      </c>
      <c r="K1177">
        <v>10314</v>
      </c>
      <c r="L1177" t="s">
        <v>5355</v>
      </c>
      <c r="M1177" t="s">
        <v>5356</v>
      </c>
      <c r="N1177" t="s">
        <v>5572</v>
      </c>
      <c r="O1177" t="s">
        <v>6499</v>
      </c>
      <c r="P1177" t="s">
        <v>6528</v>
      </c>
      <c r="R1177" t="s">
        <v>6539</v>
      </c>
      <c r="S1177" t="s">
        <v>5355</v>
      </c>
      <c r="U1177" t="s">
        <v>6557</v>
      </c>
      <c r="V1177" t="s">
        <v>6566</v>
      </c>
      <c r="W1177" t="s">
        <v>388</v>
      </c>
      <c r="X1177">
        <v>859</v>
      </c>
      <c r="Y1177" t="s">
        <v>6607</v>
      </c>
      <c r="Z1177" t="s">
        <v>6614</v>
      </c>
      <c r="AB1177" t="s">
        <v>7693</v>
      </c>
      <c r="AD1177" t="s">
        <v>10053</v>
      </c>
      <c r="AE1177">
        <v>96</v>
      </c>
      <c r="AF1177" t="s">
        <v>11005</v>
      </c>
      <c r="AG1177" t="s">
        <v>11024</v>
      </c>
      <c r="AH1177">
        <v>6</v>
      </c>
      <c r="AI1177">
        <v>1</v>
      </c>
      <c r="AJ1177">
        <v>0</v>
      </c>
      <c r="AK1177">
        <v>173.63</v>
      </c>
      <c r="AL1177" t="s">
        <v>11034</v>
      </c>
      <c r="AN1177" t="s">
        <v>11050</v>
      </c>
      <c r="AO1177">
        <v>20940</v>
      </c>
      <c r="AU1177">
        <v>0.6</v>
      </c>
      <c r="AV1177" t="s">
        <v>807</v>
      </c>
      <c r="AW1177" t="s">
        <v>62</v>
      </c>
    </row>
    <row r="1178" spans="1:50">
      <c r="A1178" s="1">
        <f>HYPERLINK("https://cms.ls-nyc.org/matter/dynamic-profile/view/1854989","18-1854989")</f>
        <v>0</v>
      </c>
      <c r="B1178" t="s">
        <v>90</v>
      </c>
      <c r="C1178" t="s">
        <v>235</v>
      </c>
      <c r="D1178" t="s">
        <v>521</v>
      </c>
      <c r="F1178" t="s">
        <v>1417</v>
      </c>
      <c r="G1178" t="s">
        <v>2258</v>
      </c>
      <c r="H1178" t="s">
        <v>4059</v>
      </c>
      <c r="I1178" t="s">
        <v>4817</v>
      </c>
      <c r="J1178" t="s">
        <v>5321</v>
      </c>
      <c r="K1178">
        <v>10452</v>
      </c>
      <c r="L1178" t="s">
        <v>5355</v>
      </c>
      <c r="M1178" t="s">
        <v>5356</v>
      </c>
      <c r="N1178" t="s">
        <v>5575</v>
      </c>
      <c r="O1178" t="s">
        <v>6499</v>
      </c>
      <c r="P1178" t="s">
        <v>6528</v>
      </c>
      <c r="R1178" t="s">
        <v>6539</v>
      </c>
      <c r="S1178" t="s">
        <v>5355</v>
      </c>
      <c r="U1178" t="s">
        <v>6557</v>
      </c>
      <c r="W1178" t="s">
        <v>247</v>
      </c>
      <c r="X1178">
        <v>752.71</v>
      </c>
      <c r="Y1178" t="s">
        <v>6606</v>
      </c>
      <c r="Z1178" t="s">
        <v>6612</v>
      </c>
      <c r="AB1178" t="s">
        <v>7694</v>
      </c>
      <c r="AD1178" t="s">
        <v>10054</v>
      </c>
      <c r="AE1178">
        <v>62</v>
      </c>
      <c r="AF1178" t="s">
        <v>11005</v>
      </c>
      <c r="AG1178" t="s">
        <v>5406</v>
      </c>
      <c r="AH1178">
        <v>41</v>
      </c>
      <c r="AI1178">
        <v>2</v>
      </c>
      <c r="AJ1178">
        <v>0</v>
      </c>
      <c r="AK1178">
        <v>174.82</v>
      </c>
      <c r="AN1178" t="s">
        <v>11050</v>
      </c>
      <c r="AO1178">
        <v>37186</v>
      </c>
      <c r="AU1178">
        <v>0</v>
      </c>
      <c r="AW1178" t="s">
        <v>11509</v>
      </c>
    </row>
    <row r="1179" spans="1:50">
      <c r="A1179" s="1">
        <f>HYPERLINK("https://cms.ls-nyc.org/matter/dynamic-profile/view/1860456","18-1860456")</f>
        <v>0</v>
      </c>
      <c r="B1179" t="s">
        <v>176</v>
      </c>
      <c r="C1179" t="s">
        <v>235</v>
      </c>
      <c r="D1179" t="s">
        <v>319</v>
      </c>
      <c r="F1179" t="s">
        <v>1043</v>
      </c>
      <c r="G1179" t="s">
        <v>2109</v>
      </c>
      <c r="H1179" t="s">
        <v>4030</v>
      </c>
      <c r="I1179" t="s">
        <v>5009</v>
      </c>
      <c r="J1179" t="s">
        <v>5317</v>
      </c>
      <c r="K1179">
        <v>11432</v>
      </c>
      <c r="L1179" t="s">
        <v>5355</v>
      </c>
      <c r="M1179" t="s">
        <v>5356</v>
      </c>
      <c r="N1179" t="s">
        <v>5583</v>
      </c>
      <c r="O1179" t="s">
        <v>6499</v>
      </c>
      <c r="P1179" t="s">
        <v>6528</v>
      </c>
      <c r="R1179" t="s">
        <v>6539</v>
      </c>
      <c r="S1179" t="s">
        <v>5355</v>
      </c>
      <c r="U1179" t="s">
        <v>6559</v>
      </c>
      <c r="W1179" t="s">
        <v>330</v>
      </c>
      <c r="X1179">
        <v>1324.07</v>
      </c>
      <c r="Y1179" t="s">
        <v>6604</v>
      </c>
      <c r="Z1179" t="s">
        <v>6623</v>
      </c>
      <c r="AB1179" t="s">
        <v>7463</v>
      </c>
      <c r="AC1179" t="s">
        <v>5392</v>
      </c>
      <c r="AD1179" t="s">
        <v>9837</v>
      </c>
      <c r="AE1179">
        <v>60</v>
      </c>
      <c r="AF1179" t="s">
        <v>11005</v>
      </c>
      <c r="AG1179" t="s">
        <v>11024</v>
      </c>
      <c r="AH1179">
        <v>37</v>
      </c>
      <c r="AI1179">
        <v>2</v>
      </c>
      <c r="AJ1179">
        <v>0</v>
      </c>
      <c r="AK1179">
        <v>176.18</v>
      </c>
      <c r="AL1179" t="s">
        <v>485</v>
      </c>
      <c r="AN1179" t="s">
        <v>11049</v>
      </c>
      <c r="AO1179">
        <v>29000</v>
      </c>
      <c r="AU1179">
        <v>0.2</v>
      </c>
      <c r="AV1179" t="s">
        <v>677</v>
      </c>
      <c r="AW1179" t="s">
        <v>93</v>
      </c>
    </row>
    <row r="1180" spans="1:50">
      <c r="A1180" s="1">
        <f>HYPERLINK("https://cms.ls-nyc.org/matter/dynamic-profile/view/1860460","18-1860460")</f>
        <v>0</v>
      </c>
      <c r="B1180" t="s">
        <v>176</v>
      </c>
      <c r="C1180" t="s">
        <v>235</v>
      </c>
      <c r="D1180" t="s">
        <v>319</v>
      </c>
      <c r="F1180" t="s">
        <v>1043</v>
      </c>
      <c r="G1180" t="s">
        <v>2109</v>
      </c>
      <c r="H1180" t="s">
        <v>4030</v>
      </c>
      <c r="I1180" t="s">
        <v>5009</v>
      </c>
      <c r="J1180" t="s">
        <v>5317</v>
      </c>
      <c r="K1180">
        <v>11432</v>
      </c>
      <c r="L1180" t="s">
        <v>5355</v>
      </c>
      <c r="M1180" t="s">
        <v>5356</v>
      </c>
      <c r="N1180" t="s">
        <v>5582</v>
      </c>
      <c r="O1180" t="s">
        <v>6499</v>
      </c>
      <c r="P1180" t="s">
        <v>6528</v>
      </c>
      <c r="R1180" t="s">
        <v>6539</v>
      </c>
      <c r="S1180" t="s">
        <v>5355</v>
      </c>
      <c r="U1180" t="s">
        <v>6559</v>
      </c>
      <c r="W1180" t="s">
        <v>330</v>
      </c>
      <c r="X1180">
        <v>1324.07</v>
      </c>
      <c r="Y1180" t="s">
        <v>6604</v>
      </c>
      <c r="Z1180" t="s">
        <v>6623</v>
      </c>
      <c r="AB1180" t="s">
        <v>7463</v>
      </c>
      <c r="AC1180" t="s">
        <v>5392</v>
      </c>
      <c r="AD1180" t="s">
        <v>9837</v>
      </c>
      <c r="AE1180">
        <v>60</v>
      </c>
      <c r="AF1180" t="s">
        <v>11005</v>
      </c>
      <c r="AG1180" t="s">
        <v>11024</v>
      </c>
      <c r="AH1180">
        <v>37</v>
      </c>
      <c r="AI1180">
        <v>2</v>
      </c>
      <c r="AJ1180">
        <v>0</v>
      </c>
      <c r="AK1180">
        <v>176.18</v>
      </c>
      <c r="AL1180" t="s">
        <v>485</v>
      </c>
      <c r="AN1180" t="s">
        <v>11050</v>
      </c>
      <c r="AO1180">
        <v>48000</v>
      </c>
      <c r="AU1180">
        <v>0.2</v>
      </c>
      <c r="AV1180" t="s">
        <v>677</v>
      </c>
      <c r="AW1180" t="s">
        <v>93</v>
      </c>
    </row>
    <row r="1181" spans="1:50">
      <c r="A1181" s="1">
        <f>HYPERLINK("https://cms.ls-nyc.org/matter/dynamic-profile/view/1851769","17-1851769")</f>
        <v>0</v>
      </c>
      <c r="B1181" t="s">
        <v>129</v>
      </c>
      <c r="C1181" t="s">
        <v>234</v>
      </c>
      <c r="D1181" t="s">
        <v>381</v>
      </c>
      <c r="E1181" t="s">
        <v>600</v>
      </c>
      <c r="F1181" t="s">
        <v>1024</v>
      </c>
      <c r="G1181" t="s">
        <v>2105</v>
      </c>
      <c r="H1181" t="s">
        <v>4055</v>
      </c>
      <c r="I1181" t="s">
        <v>4788</v>
      </c>
      <c r="J1181" t="s">
        <v>5321</v>
      </c>
      <c r="K1181">
        <v>10468</v>
      </c>
      <c r="L1181" t="s">
        <v>5355</v>
      </c>
      <c r="M1181" t="s">
        <v>5356</v>
      </c>
      <c r="N1181" t="s">
        <v>5568</v>
      </c>
      <c r="O1181" t="s">
        <v>6499</v>
      </c>
      <c r="P1181" t="s">
        <v>6528</v>
      </c>
      <c r="Q1181" t="s">
        <v>6536</v>
      </c>
      <c r="R1181" t="s">
        <v>6539</v>
      </c>
      <c r="S1181" t="s">
        <v>5355</v>
      </c>
      <c r="U1181" t="s">
        <v>6557</v>
      </c>
      <c r="W1181" t="s">
        <v>300</v>
      </c>
      <c r="X1181">
        <v>952.78</v>
      </c>
      <c r="Y1181" t="s">
        <v>6606</v>
      </c>
      <c r="Z1181" t="s">
        <v>6620</v>
      </c>
      <c r="AA1181" t="s">
        <v>6634</v>
      </c>
      <c r="AB1181" t="s">
        <v>7695</v>
      </c>
      <c r="AE1181">
        <v>47</v>
      </c>
      <c r="AF1181" t="s">
        <v>11005</v>
      </c>
      <c r="AG1181" t="s">
        <v>5406</v>
      </c>
      <c r="AH1181">
        <v>5</v>
      </c>
      <c r="AI1181">
        <v>1</v>
      </c>
      <c r="AJ1181">
        <v>2</v>
      </c>
      <c r="AK1181">
        <v>176.3</v>
      </c>
      <c r="AL1181" t="s">
        <v>463</v>
      </c>
      <c r="AN1181" t="s">
        <v>11050</v>
      </c>
      <c r="AO1181">
        <v>36000</v>
      </c>
      <c r="AU1181">
        <v>154.65</v>
      </c>
      <c r="AV1181" t="s">
        <v>349</v>
      </c>
      <c r="AW1181" t="s">
        <v>11499</v>
      </c>
    </row>
    <row r="1182" spans="1:50">
      <c r="A1182" s="1">
        <f>HYPERLINK("https://cms.ls-nyc.org/matter/dynamic-profile/view/1840433","17-1840433")</f>
        <v>0</v>
      </c>
      <c r="B1182" t="s">
        <v>129</v>
      </c>
      <c r="C1182" t="s">
        <v>234</v>
      </c>
      <c r="D1182" t="s">
        <v>387</v>
      </c>
      <c r="E1182" t="s">
        <v>778</v>
      </c>
      <c r="F1182" t="s">
        <v>1566</v>
      </c>
      <c r="G1182" t="s">
        <v>2847</v>
      </c>
      <c r="H1182" t="s">
        <v>3721</v>
      </c>
      <c r="I1182" t="s">
        <v>5004</v>
      </c>
      <c r="J1182" t="s">
        <v>5321</v>
      </c>
      <c r="K1182">
        <v>10453</v>
      </c>
      <c r="L1182" t="s">
        <v>5355</v>
      </c>
      <c r="M1182" t="s">
        <v>5356</v>
      </c>
      <c r="O1182" t="s">
        <v>6499</v>
      </c>
      <c r="P1182" t="s">
        <v>6528</v>
      </c>
      <c r="Q1182" t="s">
        <v>6536</v>
      </c>
      <c r="R1182" t="s">
        <v>6539</v>
      </c>
      <c r="S1182" t="s">
        <v>5355</v>
      </c>
      <c r="U1182" t="s">
        <v>6557</v>
      </c>
      <c r="W1182" t="s">
        <v>404</v>
      </c>
      <c r="X1182">
        <v>677.48</v>
      </c>
      <c r="Y1182" t="s">
        <v>6606</v>
      </c>
      <c r="Z1182" t="s">
        <v>6612</v>
      </c>
      <c r="AA1182" t="s">
        <v>6636</v>
      </c>
      <c r="AB1182" t="s">
        <v>7696</v>
      </c>
      <c r="AD1182" t="s">
        <v>10055</v>
      </c>
      <c r="AE1182">
        <v>170</v>
      </c>
      <c r="AF1182" t="s">
        <v>11005</v>
      </c>
      <c r="AG1182" t="s">
        <v>5406</v>
      </c>
      <c r="AH1182">
        <v>23</v>
      </c>
      <c r="AI1182">
        <v>1</v>
      </c>
      <c r="AJ1182">
        <v>0</v>
      </c>
      <c r="AK1182">
        <v>178.71</v>
      </c>
      <c r="AN1182" t="s">
        <v>11050</v>
      </c>
      <c r="AO1182">
        <v>21552</v>
      </c>
      <c r="AU1182">
        <v>0.1</v>
      </c>
      <c r="AV1182" t="s">
        <v>778</v>
      </c>
      <c r="AW1182" t="s">
        <v>11509</v>
      </c>
    </row>
    <row r="1183" spans="1:50">
      <c r="A1183" s="1">
        <f>HYPERLINK("https://cms.ls-nyc.org/matter/dynamic-profile/view/1867763","18-1867763")</f>
        <v>0</v>
      </c>
      <c r="B1183" t="s">
        <v>129</v>
      </c>
      <c r="C1183" t="s">
        <v>234</v>
      </c>
      <c r="D1183" t="s">
        <v>382</v>
      </c>
      <c r="E1183" t="s">
        <v>600</v>
      </c>
      <c r="F1183" t="s">
        <v>1567</v>
      </c>
      <c r="G1183" t="s">
        <v>2848</v>
      </c>
      <c r="H1183" t="s">
        <v>4078</v>
      </c>
      <c r="I1183" t="s">
        <v>5002</v>
      </c>
      <c r="J1183" t="s">
        <v>5321</v>
      </c>
      <c r="K1183">
        <v>10463</v>
      </c>
      <c r="L1183" t="s">
        <v>5355</v>
      </c>
      <c r="M1183" t="s">
        <v>5356</v>
      </c>
      <c r="N1183" t="s">
        <v>5594</v>
      </c>
      <c r="O1183" t="s">
        <v>6499</v>
      </c>
      <c r="P1183" t="s">
        <v>6528</v>
      </c>
      <c r="Q1183" t="s">
        <v>6536</v>
      </c>
      <c r="R1183" t="s">
        <v>6539</v>
      </c>
      <c r="S1183" t="s">
        <v>5355</v>
      </c>
      <c r="U1183" t="s">
        <v>6557</v>
      </c>
      <c r="W1183" t="s">
        <v>382</v>
      </c>
      <c r="X1183">
        <v>0</v>
      </c>
      <c r="Y1183" t="s">
        <v>6606</v>
      </c>
      <c r="Z1183" t="s">
        <v>6620</v>
      </c>
      <c r="AA1183" t="s">
        <v>6634</v>
      </c>
      <c r="AB1183" t="s">
        <v>7697</v>
      </c>
      <c r="AD1183" t="s">
        <v>10056</v>
      </c>
      <c r="AE1183">
        <v>57</v>
      </c>
      <c r="AF1183" t="s">
        <v>11005</v>
      </c>
      <c r="AH1183">
        <v>0</v>
      </c>
      <c r="AI1183">
        <v>1</v>
      </c>
      <c r="AJ1183">
        <v>0</v>
      </c>
      <c r="AK1183">
        <v>181.22</v>
      </c>
      <c r="AN1183" t="s">
        <v>11050</v>
      </c>
      <c r="AO1183">
        <v>22000</v>
      </c>
      <c r="AU1183">
        <v>1.1</v>
      </c>
      <c r="AV1183" t="s">
        <v>672</v>
      </c>
      <c r="AW1183" t="s">
        <v>95</v>
      </c>
    </row>
    <row r="1184" spans="1:50">
      <c r="A1184" s="1">
        <f>HYPERLINK("https://cms.ls-nyc.org/matter/dynamic-profile/view/1861657","18-1861657")</f>
        <v>0</v>
      </c>
      <c r="B1184" t="s">
        <v>176</v>
      </c>
      <c r="C1184" t="s">
        <v>235</v>
      </c>
      <c r="D1184" t="s">
        <v>362</v>
      </c>
      <c r="F1184" t="s">
        <v>1568</v>
      </c>
      <c r="G1184" t="s">
        <v>2849</v>
      </c>
      <c r="H1184" t="s">
        <v>3576</v>
      </c>
      <c r="I1184" t="s">
        <v>5087</v>
      </c>
      <c r="J1184" t="s">
        <v>5317</v>
      </c>
      <c r="K1184">
        <v>11432</v>
      </c>
      <c r="L1184" t="s">
        <v>5355</v>
      </c>
      <c r="M1184" t="s">
        <v>5356</v>
      </c>
      <c r="N1184" t="s">
        <v>5583</v>
      </c>
      <c r="O1184" t="s">
        <v>6499</v>
      </c>
      <c r="P1184" t="s">
        <v>6528</v>
      </c>
      <c r="R1184" t="s">
        <v>6539</v>
      </c>
      <c r="S1184" t="s">
        <v>5355</v>
      </c>
      <c r="U1184" t="s">
        <v>6557</v>
      </c>
      <c r="W1184" t="s">
        <v>362</v>
      </c>
      <c r="X1184">
        <v>1058</v>
      </c>
      <c r="Y1184" t="s">
        <v>6604</v>
      </c>
      <c r="Z1184" t="s">
        <v>6623</v>
      </c>
      <c r="AB1184" t="s">
        <v>7698</v>
      </c>
      <c r="AC1184" t="s">
        <v>5392</v>
      </c>
      <c r="AD1184" t="s">
        <v>10057</v>
      </c>
      <c r="AE1184">
        <v>60</v>
      </c>
      <c r="AF1184" t="s">
        <v>11005</v>
      </c>
      <c r="AG1184" t="s">
        <v>5406</v>
      </c>
      <c r="AH1184">
        <v>39</v>
      </c>
      <c r="AI1184">
        <v>2</v>
      </c>
      <c r="AJ1184">
        <v>0</v>
      </c>
      <c r="AK1184">
        <v>182.26</v>
      </c>
      <c r="AL1184" t="s">
        <v>485</v>
      </c>
      <c r="AN1184" t="s">
        <v>11049</v>
      </c>
      <c r="AO1184">
        <v>30000</v>
      </c>
      <c r="AU1184">
        <v>0.2</v>
      </c>
      <c r="AV1184" t="s">
        <v>677</v>
      </c>
      <c r="AW1184" t="s">
        <v>11506</v>
      </c>
    </row>
    <row r="1185" spans="1:50">
      <c r="A1185" s="1">
        <f>HYPERLINK("https://cms.ls-nyc.org/matter/dynamic-profile/view/1861662","18-1861662")</f>
        <v>0</v>
      </c>
      <c r="B1185" t="s">
        <v>176</v>
      </c>
      <c r="C1185" t="s">
        <v>235</v>
      </c>
      <c r="D1185" t="s">
        <v>362</v>
      </c>
      <c r="F1185" t="s">
        <v>1568</v>
      </c>
      <c r="G1185" t="s">
        <v>2849</v>
      </c>
      <c r="H1185" t="s">
        <v>3576</v>
      </c>
      <c r="I1185" t="s">
        <v>5087</v>
      </c>
      <c r="J1185" t="s">
        <v>5317</v>
      </c>
      <c r="K1185">
        <v>11432</v>
      </c>
      <c r="L1185" t="s">
        <v>5355</v>
      </c>
      <c r="M1185" t="s">
        <v>5356</v>
      </c>
      <c r="N1185" t="s">
        <v>5582</v>
      </c>
      <c r="O1185" t="s">
        <v>6499</v>
      </c>
      <c r="P1185" t="s">
        <v>6528</v>
      </c>
      <c r="R1185" t="s">
        <v>6539</v>
      </c>
      <c r="S1185" t="s">
        <v>5355</v>
      </c>
      <c r="U1185" t="s">
        <v>6557</v>
      </c>
      <c r="W1185" t="s">
        <v>362</v>
      </c>
      <c r="X1185">
        <v>1058</v>
      </c>
      <c r="Y1185" t="s">
        <v>6604</v>
      </c>
      <c r="Z1185" t="s">
        <v>6623</v>
      </c>
      <c r="AB1185" t="s">
        <v>7698</v>
      </c>
      <c r="AC1185" t="s">
        <v>5392</v>
      </c>
      <c r="AD1185" t="s">
        <v>10057</v>
      </c>
      <c r="AE1185">
        <v>60</v>
      </c>
      <c r="AF1185" t="s">
        <v>11005</v>
      </c>
      <c r="AG1185" t="s">
        <v>5406</v>
      </c>
      <c r="AH1185">
        <v>39</v>
      </c>
      <c r="AI1185">
        <v>2</v>
      </c>
      <c r="AJ1185">
        <v>0</v>
      </c>
      <c r="AK1185">
        <v>182.26</v>
      </c>
      <c r="AL1185" t="s">
        <v>485</v>
      </c>
      <c r="AN1185" t="s">
        <v>11049</v>
      </c>
      <c r="AO1185">
        <v>30000</v>
      </c>
      <c r="AU1185">
        <v>0.2</v>
      </c>
      <c r="AV1185" t="s">
        <v>677</v>
      </c>
      <c r="AW1185" t="s">
        <v>11506</v>
      </c>
    </row>
    <row r="1186" spans="1:50">
      <c r="A1186" s="1">
        <f>HYPERLINK("https://cms.ls-nyc.org/matter/dynamic-profile/view/1842911","17-1842911")</f>
        <v>0</v>
      </c>
      <c r="B1186" t="s">
        <v>63</v>
      </c>
      <c r="C1186" t="s">
        <v>235</v>
      </c>
      <c r="D1186" t="s">
        <v>472</v>
      </c>
      <c r="F1186" t="s">
        <v>1569</v>
      </c>
      <c r="G1186" t="s">
        <v>2850</v>
      </c>
      <c r="H1186" t="s">
        <v>4057</v>
      </c>
      <c r="I1186" t="s">
        <v>5088</v>
      </c>
      <c r="J1186" t="s">
        <v>5322</v>
      </c>
      <c r="K1186">
        <v>10314</v>
      </c>
      <c r="L1186" t="s">
        <v>5355</v>
      </c>
      <c r="M1186" t="s">
        <v>5356</v>
      </c>
      <c r="N1186" t="s">
        <v>5572</v>
      </c>
      <c r="O1186" t="s">
        <v>6499</v>
      </c>
      <c r="P1186" t="s">
        <v>6528</v>
      </c>
      <c r="R1186" t="s">
        <v>6539</v>
      </c>
      <c r="S1186" t="s">
        <v>5355</v>
      </c>
      <c r="U1186" t="s">
        <v>6557</v>
      </c>
      <c r="W1186" t="s">
        <v>388</v>
      </c>
      <c r="X1186">
        <v>950</v>
      </c>
      <c r="Y1186" t="s">
        <v>6607</v>
      </c>
      <c r="Z1186" t="s">
        <v>6622</v>
      </c>
      <c r="AB1186" t="s">
        <v>7699</v>
      </c>
      <c r="AD1186" t="s">
        <v>10058</v>
      </c>
      <c r="AE1186">
        <v>96</v>
      </c>
      <c r="AF1186" t="s">
        <v>11005</v>
      </c>
      <c r="AG1186" t="s">
        <v>11024</v>
      </c>
      <c r="AH1186">
        <v>8</v>
      </c>
      <c r="AI1186">
        <v>1</v>
      </c>
      <c r="AJ1186">
        <v>0</v>
      </c>
      <c r="AK1186">
        <v>184.08</v>
      </c>
      <c r="AL1186" t="s">
        <v>11034</v>
      </c>
      <c r="AN1186" t="s">
        <v>11050</v>
      </c>
      <c r="AO1186">
        <v>22200</v>
      </c>
      <c r="AU1186">
        <v>0.55</v>
      </c>
      <c r="AV1186" t="s">
        <v>807</v>
      </c>
      <c r="AW1186" t="s">
        <v>62</v>
      </c>
    </row>
    <row r="1187" spans="1:50">
      <c r="A1187" s="1">
        <f>HYPERLINK("https://cms.ls-nyc.org/matter/dynamic-profile/view/1855161","18-1855161")</f>
        <v>0</v>
      </c>
      <c r="B1187" t="s">
        <v>129</v>
      </c>
      <c r="C1187" t="s">
        <v>234</v>
      </c>
      <c r="D1187" t="s">
        <v>269</v>
      </c>
      <c r="E1187" t="s">
        <v>402</v>
      </c>
      <c r="F1187" t="s">
        <v>1570</v>
      </c>
      <c r="G1187" t="s">
        <v>2115</v>
      </c>
      <c r="H1187" t="s">
        <v>4078</v>
      </c>
      <c r="I1187" t="s">
        <v>5089</v>
      </c>
      <c r="J1187" t="s">
        <v>5321</v>
      </c>
      <c r="K1187">
        <v>10463</v>
      </c>
      <c r="L1187" t="s">
        <v>5355</v>
      </c>
      <c r="M1187" t="s">
        <v>5356</v>
      </c>
      <c r="N1187" t="s">
        <v>5594</v>
      </c>
      <c r="O1187" t="s">
        <v>6499</v>
      </c>
      <c r="P1187" t="s">
        <v>6528</v>
      </c>
      <c r="Q1187" t="s">
        <v>6536</v>
      </c>
      <c r="R1187" t="s">
        <v>6539</v>
      </c>
      <c r="S1187" t="s">
        <v>5357</v>
      </c>
      <c r="U1187" t="s">
        <v>6557</v>
      </c>
      <c r="W1187" t="s">
        <v>490</v>
      </c>
      <c r="X1187">
        <v>1237.25</v>
      </c>
      <c r="Y1187" t="s">
        <v>6606</v>
      </c>
      <c r="Z1187" t="s">
        <v>6620</v>
      </c>
      <c r="AA1187" t="s">
        <v>6634</v>
      </c>
      <c r="AB1187" t="s">
        <v>7700</v>
      </c>
      <c r="AD1187" t="s">
        <v>10059</v>
      </c>
      <c r="AE1187">
        <v>57</v>
      </c>
      <c r="AF1187" t="s">
        <v>11005</v>
      </c>
      <c r="AG1187" t="s">
        <v>5406</v>
      </c>
      <c r="AH1187">
        <v>3</v>
      </c>
      <c r="AI1187">
        <v>2</v>
      </c>
      <c r="AJ1187">
        <v>0</v>
      </c>
      <c r="AK1187">
        <v>184.73</v>
      </c>
      <c r="AN1187" t="s">
        <v>11049</v>
      </c>
      <c r="AO1187">
        <v>30000</v>
      </c>
      <c r="AU1187">
        <v>0.3</v>
      </c>
      <c r="AV1187" t="s">
        <v>269</v>
      </c>
      <c r="AW1187" t="s">
        <v>11543</v>
      </c>
    </row>
    <row r="1188" spans="1:50">
      <c r="A1188" s="1">
        <f>HYPERLINK("https://cms.ls-nyc.org/matter/dynamic-profile/view/1854894","17-1854894")</f>
        <v>0</v>
      </c>
      <c r="B1188" t="s">
        <v>90</v>
      </c>
      <c r="C1188" t="s">
        <v>235</v>
      </c>
      <c r="D1188" t="s">
        <v>469</v>
      </c>
      <c r="F1188" t="s">
        <v>1571</v>
      </c>
      <c r="G1188" t="s">
        <v>2311</v>
      </c>
      <c r="H1188" t="s">
        <v>4059</v>
      </c>
      <c r="I1188" t="s">
        <v>4778</v>
      </c>
      <c r="J1188" t="s">
        <v>5321</v>
      </c>
      <c r="K1188">
        <v>10452</v>
      </c>
      <c r="L1188" t="s">
        <v>5355</v>
      </c>
      <c r="M1188" t="s">
        <v>5356</v>
      </c>
      <c r="N1188" t="s">
        <v>5574</v>
      </c>
      <c r="O1188" t="s">
        <v>6499</v>
      </c>
      <c r="P1188" t="s">
        <v>6528</v>
      </c>
      <c r="R1188" t="s">
        <v>6539</v>
      </c>
      <c r="S1188" t="s">
        <v>5355</v>
      </c>
      <c r="U1188" t="s">
        <v>6557</v>
      </c>
      <c r="W1188" t="s">
        <v>247</v>
      </c>
      <c r="X1188">
        <v>1233</v>
      </c>
      <c r="Y1188" t="s">
        <v>6606</v>
      </c>
      <c r="Z1188" t="s">
        <v>6612</v>
      </c>
      <c r="AB1188" t="s">
        <v>7701</v>
      </c>
      <c r="AD1188" t="s">
        <v>10060</v>
      </c>
      <c r="AE1188">
        <v>62</v>
      </c>
      <c r="AF1188" t="s">
        <v>11005</v>
      </c>
      <c r="AG1188" t="s">
        <v>5406</v>
      </c>
      <c r="AH1188">
        <v>2</v>
      </c>
      <c r="AI1188">
        <v>2</v>
      </c>
      <c r="AJ1188">
        <v>0</v>
      </c>
      <c r="AK1188">
        <v>184.73</v>
      </c>
      <c r="AN1188" t="s">
        <v>11049</v>
      </c>
      <c r="AO1188">
        <v>30000</v>
      </c>
      <c r="AU1188">
        <v>0.5</v>
      </c>
      <c r="AV1188" t="s">
        <v>369</v>
      </c>
      <c r="AW1188" t="s">
        <v>59</v>
      </c>
    </row>
    <row r="1189" spans="1:50">
      <c r="A1189" s="1">
        <f>HYPERLINK("https://cms.ls-nyc.org/matter/dynamic-profile/view/1855272","18-1855272")</f>
        <v>0</v>
      </c>
      <c r="B1189" t="s">
        <v>90</v>
      </c>
      <c r="C1189" t="s">
        <v>235</v>
      </c>
      <c r="D1189" t="s">
        <v>351</v>
      </c>
      <c r="F1189" t="s">
        <v>1571</v>
      </c>
      <c r="G1189" t="s">
        <v>2311</v>
      </c>
      <c r="H1189" t="s">
        <v>4059</v>
      </c>
      <c r="I1189" t="s">
        <v>4778</v>
      </c>
      <c r="J1189" t="s">
        <v>5321</v>
      </c>
      <c r="K1189">
        <v>10452</v>
      </c>
      <c r="L1189" t="s">
        <v>5355</v>
      </c>
      <c r="M1189" t="s">
        <v>5356</v>
      </c>
      <c r="N1189" t="s">
        <v>5575</v>
      </c>
      <c r="O1189" t="s">
        <v>6499</v>
      </c>
      <c r="P1189" t="s">
        <v>6528</v>
      </c>
      <c r="R1189" t="s">
        <v>6539</v>
      </c>
      <c r="S1189" t="s">
        <v>5355</v>
      </c>
      <c r="U1189" t="s">
        <v>6557</v>
      </c>
      <c r="W1189" t="s">
        <v>247</v>
      </c>
      <c r="X1189">
        <v>1233</v>
      </c>
      <c r="Y1189" t="s">
        <v>6606</v>
      </c>
      <c r="Z1189" t="s">
        <v>6612</v>
      </c>
      <c r="AB1189" t="s">
        <v>7701</v>
      </c>
      <c r="AD1189" t="s">
        <v>10060</v>
      </c>
      <c r="AE1189">
        <v>62</v>
      </c>
      <c r="AF1189" t="s">
        <v>11005</v>
      </c>
      <c r="AG1189" t="s">
        <v>5406</v>
      </c>
      <c r="AH1189">
        <v>2</v>
      </c>
      <c r="AI1189">
        <v>2</v>
      </c>
      <c r="AJ1189">
        <v>0</v>
      </c>
      <c r="AK1189">
        <v>184.73</v>
      </c>
      <c r="AN1189" t="s">
        <v>11049</v>
      </c>
      <c r="AO1189">
        <v>30000</v>
      </c>
      <c r="AU1189">
        <v>0</v>
      </c>
      <c r="AW1189" t="s">
        <v>11509</v>
      </c>
    </row>
    <row r="1190" spans="1:50">
      <c r="A1190" s="1">
        <f>HYPERLINK("https://cms.ls-nyc.org/matter/dynamic-profile/view/1850609","17-1850609")</f>
        <v>0</v>
      </c>
      <c r="B1190" t="s">
        <v>63</v>
      </c>
      <c r="C1190" t="s">
        <v>235</v>
      </c>
      <c r="D1190" t="s">
        <v>333</v>
      </c>
      <c r="F1190" t="s">
        <v>838</v>
      </c>
      <c r="G1190" t="s">
        <v>2851</v>
      </c>
      <c r="H1190" t="s">
        <v>4057</v>
      </c>
      <c r="I1190" t="s">
        <v>5090</v>
      </c>
      <c r="J1190" t="s">
        <v>5322</v>
      </c>
      <c r="K1190">
        <v>10314</v>
      </c>
      <c r="L1190" t="s">
        <v>5355</v>
      </c>
      <c r="M1190" t="s">
        <v>5356</v>
      </c>
      <c r="N1190" t="s">
        <v>5614</v>
      </c>
      <c r="O1190" t="s">
        <v>6499</v>
      </c>
      <c r="P1190" t="s">
        <v>6528</v>
      </c>
      <c r="R1190" t="s">
        <v>6539</v>
      </c>
      <c r="S1190" t="s">
        <v>5357</v>
      </c>
      <c r="U1190" t="s">
        <v>6557</v>
      </c>
      <c r="W1190" t="s">
        <v>333</v>
      </c>
      <c r="X1190">
        <v>1120</v>
      </c>
      <c r="Y1190" t="s">
        <v>6607</v>
      </c>
      <c r="Z1190" t="s">
        <v>6614</v>
      </c>
      <c r="AB1190" t="s">
        <v>7702</v>
      </c>
      <c r="AD1190" t="s">
        <v>10061</v>
      </c>
      <c r="AE1190">
        <v>96</v>
      </c>
      <c r="AF1190" t="s">
        <v>11005</v>
      </c>
      <c r="AG1190" t="s">
        <v>5406</v>
      </c>
      <c r="AH1190">
        <v>8</v>
      </c>
      <c r="AI1190">
        <v>2</v>
      </c>
      <c r="AJ1190">
        <v>0</v>
      </c>
      <c r="AK1190">
        <v>184.73</v>
      </c>
      <c r="AL1190" t="s">
        <v>11034</v>
      </c>
      <c r="AN1190" t="s">
        <v>11050</v>
      </c>
      <c r="AO1190">
        <v>38365</v>
      </c>
      <c r="AU1190">
        <v>4.35</v>
      </c>
      <c r="AV1190" t="s">
        <v>807</v>
      </c>
      <c r="AW1190" t="s">
        <v>140</v>
      </c>
    </row>
    <row r="1191" spans="1:50">
      <c r="A1191" s="1">
        <f>HYPERLINK("https://cms.ls-nyc.org/matter/dynamic-profile/view/1860579","18-1860579")</f>
        <v>0</v>
      </c>
      <c r="B1191" t="s">
        <v>106</v>
      </c>
      <c r="C1191" t="s">
        <v>235</v>
      </c>
      <c r="D1191" t="s">
        <v>409</v>
      </c>
      <c r="F1191" t="s">
        <v>1572</v>
      </c>
      <c r="G1191" t="s">
        <v>2633</v>
      </c>
      <c r="H1191" t="s">
        <v>4101</v>
      </c>
      <c r="I1191" t="s">
        <v>5091</v>
      </c>
      <c r="J1191" t="s">
        <v>5321</v>
      </c>
      <c r="K1191">
        <v>10459</v>
      </c>
      <c r="L1191" t="s">
        <v>5355</v>
      </c>
      <c r="M1191" t="s">
        <v>5355</v>
      </c>
      <c r="N1191" t="s">
        <v>5615</v>
      </c>
      <c r="O1191" t="s">
        <v>6499</v>
      </c>
      <c r="P1191" t="s">
        <v>6528</v>
      </c>
      <c r="R1191" t="s">
        <v>6539</v>
      </c>
      <c r="S1191" t="s">
        <v>5357</v>
      </c>
      <c r="U1191" t="s">
        <v>6557</v>
      </c>
      <c r="W1191" t="s">
        <v>326</v>
      </c>
      <c r="X1191">
        <v>1584.51</v>
      </c>
      <c r="Y1191" t="s">
        <v>6606</v>
      </c>
      <c r="Z1191" t="s">
        <v>6614</v>
      </c>
      <c r="AB1191" t="s">
        <v>7703</v>
      </c>
      <c r="AC1191" t="s">
        <v>8842</v>
      </c>
      <c r="AD1191" t="s">
        <v>10062</v>
      </c>
      <c r="AE1191">
        <v>19</v>
      </c>
      <c r="AF1191" t="s">
        <v>11005</v>
      </c>
      <c r="AG1191" t="s">
        <v>5406</v>
      </c>
      <c r="AH1191">
        <v>22</v>
      </c>
      <c r="AI1191">
        <v>2</v>
      </c>
      <c r="AJ1191">
        <v>2</v>
      </c>
      <c r="AK1191">
        <v>188.21</v>
      </c>
      <c r="AN1191" t="s">
        <v>11050</v>
      </c>
      <c r="AO1191">
        <v>70240</v>
      </c>
      <c r="AU1191">
        <v>13.6</v>
      </c>
      <c r="AV1191" t="s">
        <v>832</v>
      </c>
      <c r="AW1191" t="s">
        <v>11499</v>
      </c>
    </row>
    <row r="1192" spans="1:50">
      <c r="A1192" s="1">
        <f>HYPERLINK("https://cms.ls-nyc.org/matter/dynamic-profile/view/1857418","18-1857418")</f>
        <v>0</v>
      </c>
      <c r="B1192" t="s">
        <v>58</v>
      </c>
      <c r="C1192" t="s">
        <v>235</v>
      </c>
      <c r="D1192" t="s">
        <v>397</v>
      </c>
      <c r="F1192" t="s">
        <v>1096</v>
      </c>
      <c r="G1192" t="s">
        <v>2852</v>
      </c>
      <c r="H1192" t="s">
        <v>4007</v>
      </c>
      <c r="I1192" t="s">
        <v>4947</v>
      </c>
      <c r="J1192" t="s">
        <v>5321</v>
      </c>
      <c r="K1192">
        <v>10452</v>
      </c>
      <c r="L1192" t="s">
        <v>5355</v>
      </c>
      <c r="M1192" t="s">
        <v>5356</v>
      </c>
      <c r="N1192" t="s">
        <v>5571</v>
      </c>
      <c r="O1192" t="s">
        <v>6499</v>
      </c>
      <c r="P1192" t="s">
        <v>6528</v>
      </c>
      <c r="R1192" t="s">
        <v>6539</v>
      </c>
      <c r="S1192" t="s">
        <v>5355</v>
      </c>
      <c r="U1192" t="s">
        <v>6557</v>
      </c>
      <c r="W1192" t="s">
        <v>6592</v>
      </c>
      <c r="X1192">
        <v>705.09</v>
      </c>
      <c r="Y1192" t="s">
        <v>6606</v>
      </c>
      <c r="Z1192" t="s">
        <v>6612</v>
      </c>
      <c r="AB1192" t="s">
        <v>7704</v>
      </c>
      <c r="AD1192" t="s">
        <v>10063</v>
      </c>
      <c r="AE1192">
        <v>122</v>
      </c>
      <c r="AF1192" t="s">
        <v>11005</v>
      </c>
      <c r="AH1192">
        <v>24</v>
      </c>
      <c r="AI1192">
        <v>2</v>
      </c>
      <c r="AJ1192">
        <v>0</v>
      </c>
      <c r="AK1192">
        <v>189.48</v>
      </c>
      <c r="AN1192" t="s">
        <v>11050</v>
      </c>
      <c r="AO1192">
        <v>41019.88</v>
      </c>
      <c r="AU1192">
        <v>0</v>
      </c>
      <c r="AW1192" t="s">
        <v>11492</v>
      </c>
    </row>
    <row r="1193" spans="1:50">
      <c r="A1193" s="1">
        <f>HYPERLINK("https://cms.ls-nyc.org/matter/dynamic-profile/view/1860438","18-1860438")</f>
        <v>0</v>
      </c>
      <c r="B1193" t="s">
        <v>176</v>
      </c>
      <c r="C1193" t="s">
        <v>235</v>
      </c>
      <c r="D1193" t="s">
        <v>319</v>
      </c>
      <c r="F1193" t="s">
        <v>1573</v>
      </c>
      <c r="G1193" t="s">
        <v>2853</v>
      </c>
      <c r="H1193" t="s">
        <v>3576</v>
      </c>
      <c r="I1193" t="s">
        <v>5092</v>
      </c>
      <c r="J1193" t="s">
        <v>5317</v>
      </c>
      <c r="K1193">
        <v>11432</v>
      </c>
      <c r="L1193" t="s">
        <v>5355</v>
      </c>
      <c r="M1193" t="s">
        <v>5356</v>
      </c>
      <c r="N1193" t="s">
        <v>5583</v>
      </c>
      <c r="O1193" t="s">
        <v>6499</v>
      </c>
      <c r="P1193" t="s">
        <v>6528</v>
      </c>
      <c r="R1193" t="s">
        <v>6539</v>
      </c>
      <c r="S1193" t="s">
        <v>5355</v>
      </c>
      <c r="U1193" t="s">
        <v>6559</v>
      </c>
      <c r="W1193" t="s">
        <v>6575</v>
      </c>
      <c r="X1193">
        <v>1300</v>
      </c>
      <c r="Y1193" t="s">
        <v>6604</v>
      </c>
      <c r="Z1193" t="s">
        <v>6614</v>
      </c>
      <c r="AB1193" t="s">
        <v>7705</v>
      </c>
      <c r="AD1193" t="s">
        <v>10064</v>
      </c>
      <c r="AE1193">
        <v>60</v>
      </c>
      <c r="AF1193" t="s">
        <v>11005</v>
      </c>
      <c r="AG1193" t="s">
        <v>5406</v>
      </c>
      <c r="AH1193">
        <v>38</v>
      </c>
      <c r="AI1193">
        <v>2</v>
      </c>
      <c r="AJ1193">
        <v>0</v>
      </c>
      <c r="AK1193">
        <v>189.55</v>
      </c>
      <c r="AL1193" t="s">
        <v>485</v>
      </c>
      <c r="AN1193" t="s">
        <v>11049</v>
      </c>
      <c r="AO1193">
        <v>31200</v>
      </c>
      <c r="AU1193">
        <v>0.1</v>
      </c>
      <c r="AV1193" t="s">
        <v>677</v>
      </c>
      <c r="AW1193" t="s">
        <v>93</v>
      </c>
    </row>
    <row r="1194" spans="1:50">
      <c r="A1194" s="1">
        <f>HYPERLINK("https://cms.ls-nyc.org/matter/dynamic-profile/view/1860441","18-1860441")</f>
        <v>0</v>
      </c>
      <c r="B1194" t="s">
        <v>176</v>
      </c>
      <c r="C1194" t="s">
        <v>235</v>
      </c>
      <c r="D1194" t="s">
        <v>319</v>
      </c>
      <c r="F1194" t="s">
        <v>1573</v>
      </c>
      <c r="G1194" t="s">
        <v>2853</v>
      </c>
      <c r="H1194" t="s">
        <v>3576</v>
      </c>
      <c r="I1194" t="s">
        <v>5092</v>
      </c>
      <c r="J1194" t="s">
        <v>5317</v>
      </c>
      <c r="K1194">
        <v>11432</v>
      </c>
      <c r="L1194" t="s">
        <v>5355</v>
      </c>
      <c r="M1194" t="s">
        <v>5356</v>
      </c>
      <c r="N1194" t="s">
        <v>5582</v>
      </c>
      <c r="O1194" t="s">
        <v>6499</v>
      </c>
      <c r="P1194" t="s">
        <v>6528</v>
      </c>
      <c r="R1194" t="s">
        <v>6539</v>
      </c>
      <c r="S1194" t="s">
        <v>5355</v>
      </c>
      <c r="U1194" t="s">
        <v>6559</v>
      </c>
      <c r="W1194" t="s">
        <v>6575</v>
      </c>
      <c r="X1194">
        <v>1300</v>
      </c>
      <c r="Y1194" t="s">
        <v>6604</v>
      </c>
      <c r="Z1194" t="s">
        <v>6614</v>
      </c>
      <c r="AB1194" t="s">
        <v>7705</v>
      </c>
      <c r="AC1194" t="s">
        <v>5392</v>
      </c>
      <c r="AD1194" t="s">
        <v>10064</v>
      </c>
      <c r="AE1194">
        <v>60</v>
      </c>
      <c r="AF1194" t="s">
        <v>11005</v>
      </c>
      <c r="AG1194" t="s">
        <v>5406</v>
      </c>
      <c r="AH1194">
        <v>37</v>
      </c>
      <c r="AI1194">
        <v>2</v>
      </c>
      <c r="AJ1194">
        <v>0</v>
      </c>
      <c r="AK1194">
        <v>189.55</v>
      </c>
      <c r="AL1194" t="s">
        <v>485</v>
      </c>
      <c r="AN1194" t="s">
        <v>11049</v>
      </c>
      <c r="AO1194">
        <v>31200</v>
      </c>
      <c r="AU1194">
        <v>0.2</v>
      </c>
      <c r="AV1194" t="s">
        <v>677</v>
      </c>
      <c r="AW1194" t="s">
        <v>93</v>
      </c>
    </row>
    <row r="1195" spans="1:50">
      <c r="A1195" s="1">
        <f>HYPERLINK("https://cms.ls-nyc.org/matter/dynamic-profile/view/1860276","18-1860276")</f>
        <v>0</v>
      </c>
      <c r="B1195" t="s">
        <v>142</v>
      </c>
      <c r="C1195" t="s">
        <v>235</v>
      </c>
      <c r="D1195" t="s">
        <v>428</v>
      </c>
      <c r="F1195" t="s">
        <v>1010</v>
      </c>
      <c r="G1195" t="s">
        <v>2540</v>
      </c>
      <c r="H1195" t="s">
        <v>3887</v>
      </c>
      <c r="J1195" t="s">
        <v>5320</v>
      </c>
      <c r="K1195">
        <v>11206</v>
      </c>
      <c r="L1195" t="s">
        <v>5355</v>
      </c>
      <c r="M1195" t="s">
        <v>5355</v>
      </c>
      <c r="N1195" t="s">
        <v>5616</v>
      </c>
      <c r="O1195" t="s">
        <v>6507</v>
      </c>
      <c r="P1195" t="s">
        <v>6528</v>
      </c>
      <c r="R1195" t="s">
        <v>6539</v>
      </c>
      <c r="S1195" t="s">
        <v>5355</v>
      </c>
      <c r="U1195" t="s">
        <v>6557</v>
      </c>
      <c r="W1195" t="s">
        <v>248</v>
      </c>
      <c r="X1195">
        <v>588</v>
      </c>
      <c r="Y1195" t="s">
        <v>6605</v>
      </c>
      <c r="Z1195" t="s">
        <v>6614</v>
      </c>
      <c r="AB1195" t="s">
        <v>7229</v>
      </c>
      <c r="AD1195" t="s">
        <v>9617</v>
      </c>
      <c r="AE1195">
        <v>8</v>
      </c>
      <c r="AF1195" t="s">
        <v>11005</v>
      </c>
      <c r="AH1195">
        <v>4</v>
      </c>
      <c r="AI1195">
        <v>1</v>
      </c>
      <c r="AJ1195">
        <v>1</v>
      </c>
      <c r="AK1195">
        <v>189.66</v>
      </c>
      <c r="AN1195" t="s">
        <v>11050</v>
      </c>
      <c r="AO1195">
        <v>30800</v>
      </c>
      <c r="AP1195" t="s">
        <v>11107</v>
      </c>
      <c r="AU1195">
        <v>1.8</v>
      </c>
      <c r="AV1195" t="s">
        <v>705</v>
      </c>
      <c r="AW1195" t="s">
        <v>11512</v>
      </c>
      <c r="AX1195" t="s">
        <v>11564</v>
      </c>
    </row>
    <row r="1196" spans="1:50">
      <c r="A1196" s="1">
        <f>HYPERLINK("https://cms.ls-nyc.org/matter/dynamic-profile/view/1854121","17-1854121")</f>
        <v>0</v>
      </c>
      <c r="B1196" t="s">
        <v>129</v>
      </c>
      <c r="C1196" t="s">
        <v>235</v>
      </c>
      <c r="D1196" t="s">
        <v>439</v>
      </c>
      <c r="F1196" t="s">
        <v>1574</v>
      </c>
      <c r="G1196" t="s">
        <v>2854</v>
      </c>
      <c r="H1196" t="s">
        <v>3808</v>
      </c>
      <c r="I1196" t="s">
        <v>5093</v>
      </c>
      <c r="J1196" t="s">
        <v>5321</v>
      </c>
      <c r="K1196">
        <v>10456</v>
      </c>
      <c r="L1196" t="s">
        <v>5355</v>
      </c>
      <c r="M1196" t="s">
        <v>5356</v>
      </c>
      <c r="N1196" t="s">
        <v>5585</v>
      </c>
      <c r="O1196" t="s">
        <v>6499</v>
      </c>
      <c r="P1196" t="s">
        <v>6528</v>
      </c>
      <c r="R1196" t="s">
        <v>6539</v>
      </c>
      <c r="S1196" t="s">
        <v>5355</v>
      </c>
      <c r="U1196" t="s">
        <v>6557</v>
      </c>
      <c r="W1196" t="s">
        <v>6572</v>
      </c>
      <c r="X1196">
        <v>1255</v>
      </c>
      <c r="Y1196" t="s">
        <v>6606</v>
      </c>
      <c r="Z1196" t="s">
        <v>6612</v>
      </c>
      <c r="AB1196" t="s">
        <v>7706</v>
      </c>
      <c r="AD1196" t="s">
        <v>10065</v>
      </c>
      <c r="AE1196">
        <v>61</v>
      </c>
      <c r="AF1196" t="s">
        <v>11005</v>
      </c>
      <c r="AG1196" t="s">
        <v>11020</v>
      </c>
      <c r="AH1196">
        <v>19</v>
      </c>
      <c r="AI1196">
        <v>3</v>
      </c>
      <c r="AJ1196">
        <v>0</v>
      </c>
      <c r="AK1196">
        <v>190.99</v>
      </c>
      <c r="AL1196" t="s">
        <v>366</v>
      </c>
      <c r="AN1196" t="s">
        <v>11049</v>
      </c>
      <c r="AO1196">
        <v>39000</v>
      </c>
      <c r="AU1196">
        <v>0</v>
      </c>
      <c r="AW1196" t="s">
        <v>11509</v>
      </c>
    </row>
    <row r="1197" spans="1:50">
      <c r="A1197" s="1">
        <f>HYPERLINK("https://cms.ls-nyc.org/matter/dynamic-profile/view/1838974","17-1838974")</f>
        <v>0</v>
      </c>
      <c r="B1197" t="s">
        <v>129</v>
      </c>
      <c r="C1197" t="s">
        <v>235</v>
      </c>
      <c r="D1197" t="s">
        <v>538</v>
      </c>
      <c r="F1197" t="s">
        <v>1575</v>
      </c>
      <c r="G1197" t="s">
        <v>1407</v>
      </c>
      <c r="H1197" t="s">
        <v>3786</v>
      </c>
      <c r="I1197" t="s">
        <v>5028</v>
      </c>
      <c r="J1197" t="s">
        <v>5321</v>
      </c>
      <c r="K1197">
        <v>10473</v>
      </c>
      <c r="L1197" t="s">
        <v>5355</v>
      </c>
      <c r="M1197" t="s">
        <v>5356</v>
      </c>
      <c r="N1197" t="s">
        <v>5592</v>
      </c>
      <c r="O1197" t="s">
        <v>6499</v>
      </c>
      <c r="P1197" t="s">
        <v>6528</v>
      </c>
      <c r="R1197" t="s">
        <v>6539</v>
      </c>
      <c r="S1197" t="s">
        <v>5355</v>
      </c>
      <c r="U1197" t="s">
        <v>6557</v>
      </c>
      <c r="W1197" t="s">
        <v>6572</v>
      </c>
      <c r="X1197">
        <v>1182</v>
      </c>
      <c r="Y1197" t="s">
        <v>6606</v>
      </c>
      <c r="Z1197" t="s">
        <v>6620</v>
      </c>
      <c r="AB1197" t="s">
        <v>7707</v>
      </c>
      <c r="AD1197" t="s">
        <v>10066</v>
      </c>
      <c r="AE1197">
        <v>976</v>
      </c>
      <c r="AF1197" t="s">
        <v>11005</v>
      </c>
      <c r="AG1197" t="s">
        <v>5406</v>
      </c>
      <c r="AH1197">
        <v>40</v>
      </c>
      <c r="AI1197">
        <v>2</v>
      </c>
      <c r="AJ1197">
        <v>0</v>
      </c>
      <c r="AK1197">
        <v>192.12</v>
      </c>
      <c r="AL1197" t="s">
        <v>578</v>
      </c>
      <c r="AN1197" t="s">
        <v>11050</v>
      </c>
      <c r="AO1197">
        <v>46800</v>
      </c>
      <c r="AU1197">
        <v>0</v>
      </c>
      <c r="AW1197" t="s">
        <v>11509</v>
      </c>
    </row>
    <row r="1198" spans="1:50">
      <c r="A1198" s="1">
        <f>HYPERLINK("https://cms.ls-nyc.org/matter/dynamic-profile/view/1842878","17-1842878")</f>
        <v>0</v>
      </c>
      <c r="B1198" t="s">
        <v>92</v>
      </c>
      <c r="C1198" t="s">
        <v>235</v>
      </c>
      <c r="D1198" t="s">
        <v>472</v>
      </c>
      <c r="F1198" t="s">
        <v>942</v>
      </c>
      <c r="G1198" t="s">
        <v>2855</v>
      </c>
      <c r="H1198" t="s">
        <v>4102</v>
      </c>
      <c r="I1198" t="s">
        <v>4744</v>
      </c>
      <c r="J1198" t="s">
        <v>5323</v>
      </c>
      <c r="K1198">
        <v>10033</v>
      </c>
      <c r="L1198" t="s">
        <v>5355</v>
      </c>
      <c r="M1198" t="s">
        <v>5356</v>
      </c>
      <c r="N1198" t="s">
        <v>5617</v>
      </c>
      <c r="O1198" t="s">
        <v>6499</v>
      </c>
      <c r="P1198" t="s">
        <v>6528</v>
      </c>
      <c r="R1198" t="s">
        <v>6539</v>
      </c>
      <c r="S1198" t="s">
        <v>5357</v>
      </c>
      <c r="U1198" t="s">
        <v>6557</v>
      </c>
      <c r="W1198" t="s">
        <v>404</v>
      </c>
      <c r="X1198">
        <v>1115</v>
      </c>
      <c r="Y1198" t="s">
        <v>6608</v>
      </c>
      <c r="Z1198" t="s">
        <v>6616</v>
      </c>
      <c r="AB1198" t="s">
        <v>7708</v>
      </c>
      <c r="AD1198" t="s">
        <v>10067</v>
      </c>
      <c r="AE1198">
        <v>48</v>
      </c>
      <c r="AF1198" t="s">
        <v>11006</v>
      </c>
      <c r="AG1198" t="s">
        <v>5406</v>
      </c>
      <c r="AH1198">
        <v>50</v>
      </c>
      <c r="AI1198">
        <v>1</v>
      </c>
      <c r="AJ1198">
        <v>0</v>
      </c>
      <c r="AK1198">
        <v>192.55</v>
      </c>
      <c r="AL1198" t="s">
        <v>432</v>
      </c>
      <c r="AN1198" t="s">
        <v>11050</v>
      </c>
      <c r="AO1198">
        <v>23221.44</v>
      </c>
      <c r="AU1198">
        <v>5.5</v>
      </c>
      <c r="AV1198" t="s">
        <v>292</v>
      </c>
      <c r="AW1198" t="s">
        <v>11495</v>
      </c>
    </row>
    <row r="1199" spans="1:50">
      <c r="A1199" s="1">
        <f>HYPERLINK("https://cms.ls-nyc.org/matter/dynamic-profile/view/1843591","17-1843591")</f>
        <v>0</v>
      </c>
      <c r="B1199" t="s">
        <v>111</v>
      </c>
      <c r="C1199" t="s">
        <v>235</v>
      </c>
      <c r="D1199" t="s">
        <v>503</v>
      </c>
      <c r="F1199" t="s">
        <v>1576</v>
      </c>
      <c r="G1199" t="s">
        <v>2779</v>
      </c>
      <c r="H1199" t="s">
        <v>4075</v>
      </c>
      <c r="J1199" t="s">
        <v>5323</v>
      </c>
      <c r="K1199">
        <v>10040</v>
      </c>
      <c r="L1199" t="s">
        <v>5355</v>
      </c>
      <c r="M1199" t="s">
        <v>5355</v>
      </c>
      <c r="N1199" t="s">
        <v>5591</v>
      </c>
      <c r="O1199" t="s">
        <v>6494</v>
      </c>
      <c r="P1199" t="s">
        <v>6528</v>
      </c>
      <c r="R1199" t="s">
        <v>6539</v>
      </c>
      <c r="S1199" t="s">
        <v>5355</v>
      </c>
      <c r="U1199" t="s">
        <v>6557</v>
      </c>
      <c r="W1199" t="s">
        <v>460</v>
      </c>
      <c r="X1199">
        <v>1147</v>
      </c>
      <c r="Y1199" t="s">
        <v>6608</v>
      </c>
      <c r="Z1199" t="s">
        <v>6616</v>
      </c>
      <c r="AB1199" t="s">
        <v>7709</v>
      </c>
      <c r="AD1199" t="s">
        <v>10068</v>
      </c>
      <c r="AE1199">
        <v>44</v>
      </c>
      <c r="AF1199" t="s">
        <v>11005</v>
      </c>
      <c r="AG1199" t="s">
        <v>5406</v>
      </c>
      <c r="AH1199">
        <v>8</v>
      </c>
      <c r="AI1199">
        <v>3</v>
      </c>
      <c r="AJ1199">
        <v>0</v>
      </c>
      <c r="AK1199">
        <v>193.1</v>
      </c>
      <c r="AL1199" t="s">
        <v>11035</v>
      </c>
      <c r="AN1199" t="s">
        <v>11049</v>
      </c>
      <c r="AO1199">
        <v>39432</v>
      </c>
      <c r="AU1199">
        <v>1.8</v>
      </c>
      <c r="AV1199" t="s">
        <v>11462</v>
      </c>
      <c r="AW1199" t="s">
        <v>11495</v>
      </c>
    </row>
    <row r="1200" spans="1:50">
      <c r="A1200" s="1">
        <f>HYPERLINK("https://cms.ls-nyc.org/matter/dynamic-profile/view/1838164","17-1838164")</f>
        <v>0</v>
      </c>
      <c r="B1200" t="s">
        <v>129</v>
      </c>
      <c r="C1200" t="s">
        <v>235</v>
      </c>
      <c r="D1200" t="s">
        <v>539</v>
      </c>
      <c r="F1200" t="s">
        <v>1397</v>
      </c>
      <c r="G1200" t="s">
        <v>2856</v>
      </c>
      <c r="H1200" t="s">
        <v>4077</v>
      </c>
      <c r="I1200" t="s">
        <v>4845</v>
      </c>
      <c r="J1200" t="s">
        <v>5321</v>
      </c>
      <c r="K1200">
        <v>10473</v>
      </c>
      <c r="L1200" t="s">
        <v>5355</v>
      </c>
      <c r="M1200" t="s">
        <v>5356</v>
      </c>
      <c r="N1200" t="s">
        <v>5593</v>
      </c>
      <c r="O1200" t="s">
        <v>6499</v>
      </c>
      <c r="P1200" t="s">
        <v>6528</v>
      </c>
      <c r="R1200" t="s">
        <v>6539</v>
      </c>
      <c r="S1200" t="s">
        <v>5355</v>
      </c>
      <c r="U1200" t="s">
        <v>6557</v>
      </c>
      <c r="W1200" t="s">
        <v>6572</v>
      </c>
      <c r="X1200">
        <v>863</v>
      </c>
      <c r="Y1200" t="s">
        <v>6606</v>
      </c>
      <c r="Z1200" t="s">
        <v>6620</v>
      </c>
      <c r="AB1200" t="s">
        <v>7710</v>
      </c>
      <c r="AD1200" t="s">
        <v>10069</v>
      </c>
      <c r="AE1200">
        <v>244</v>
      </c>
      <c r="AF1200" t="s">
        <v>11005</v>
      </c>
      <c r="AG1200" t="s">
        <v>5406</v>
      </c>
      <c r="AH1200">
        <v>13</v>
      </c>
      <c r="AI1200">
        <v>1</v>
      </c>
      <c r="AJ1200">
        <v>1</v>
      </c>
      <c r="AK1200">
        <v>193.43</v>
      </c>
      <c r="AL1200" t="s">
        <v>578</v>
      </c>
      <c r="AN1200" t="s">
        <v>11050</v>
      </c>
      <c r="AO1200">
        <v>31413</v>
      </c>
      <c r="AU1200">
        <v>0</v>
      </c>
      <c r="AW1200" t="s">
        <v>11509</v>
      </c>
    </row>
    <row r="1201" spans="1:49">
      <c r="A1201" s="1">
        <f>HYPERLINK("https://cms.ls-nyc.org/matter/dynamic-profile/view/1867098","18-1867098")</f>
        <v>0</v>
      </c>
      <c r="B1201" t="s">
        <v>135</v>
      </c>
      <c r="C1201" t="s">
        <v>235</v>
      </c>
      <c r="D1201" t="s">
        <v>391</v>
      </c>
      <c r="F1201" t="s">
        <v>1290</v>
      </c>
      <c r="G1201" t="s">
        <v>2542</v>
      </c>
      <c r="H1201" t="s">
        <v>3739</v>
      </c>
      <c r="I1201" t="s">
        <v>4945</v>
      </c>
      <c r="J1201" t="s">
        <v>5320</v>
      </c>
      <c r="K1201">
        <v>11212</v>
      </c>
      <c r="L1201" t="s">
        <v>5355</v>
      </c>
      <c r="M1201" t="s">
        <v>5356</v>
      </c>
      <c r="O1201" t="s">
        <v>6500</v>
      </c>
      <c r="P1201" t="s">
        <v>6528</v>
      </c>
      <c r="R1201" t="s">
        <v>6539</v>
      </c>
      <c r="S1201" t="s">
        <v>5355</v>
      </c>
      <c r="U1201" t="s">
        <v>6557</v>
      </c>
      <c r="W1201" t="s">
        <v>298</v>
      </c>
      <c r="X1201">
        <v>1375</v>
      </c>
      <c r="Y1201" t="s">
        <v>6605</v>
      </c>
      <c r="Z1201" t="s">
        <v>6493</v>
      </c>
      <c r="AB1201" t="s">
        <v>7232</v>
      </c>
      <c r="AE1201">
        <v>32</v>
      </c>
      <c r="AF1201" t="s">
        <v>11005</v>
      </c>
      <c r="AH1201">
        <v>2</v>
      </c>
      <c r="AI1201">
        <v>2</v>
      </c>
      <c r="AJ1201">
        <v>0</v>
      </c>
      <c r="AK1201">
        <v>194.41</v>
      </c>
      <c r="AN1201" t="s">
        <v>11050</v>
      </c>
      <c r="AO1201">
        <v>32000</v>
      </c>
      <c r="AU1201">
        <v>0</v>
      </c>
      <c r="AW1201" t="s">
        <v>11512</v>
      </c>
    </row>
    <row r="1202" spans="1:49">
      <c r="A1202" s="1">
        <f>HYPERLINK("https://cms.ls-nyc.org/matter/dynamic-profile/view/0799066","16-0799066")</f>
        <v>0</v>
      </c>
      <c r="B1202" t="s">
        <v>90</v>
      </c>
      <c r="C1202" t="s">
        <v>235</v>
      </c>
      <c r="D1202" t="s">
        <v>540</v>
      </c>
      <c r="F1202" t="s">
        <v>837</v>
      </c>
      <c r="G1202" t="s">
        <v>2473</v>
      </c>
      <c r="H1202" t="s">
        <v>4059</v>
      </c>
      <c r="I1202" t="s">
        <v>4885</v>
      </c>
      <c r="J1202" t="s">
        <v>5321</v>
      </c>
      <c r="K1202">
        <v>10452</v>
      </c>
      <c r="L1202" t="s">
        <v>5355</v>
      </c>
      <c r="M1202" t="s">
        <v>5356</v>
      </c>
      <c r="N1202" t="s">
        <v>5618</v>
      </c>
      <c r="O1202" t="s">
        <v>6499</v>
      </c>
      <c r="P1202" t="s">
        <v>6528</v>
      </c>
      <c r="R1202" t="s">
        <v>6539</v>
      </c>
      <c r="S1202" t="s">
        <v>5355</v>
      </c>
      <c r="U1202" t="s">
        <v>6557</v>
      </c>
      <c r="W1202" t="s">
        <v>516</v>
      </c>
      <c r="X1202">
        <v>798.6</v>
      </c>
      <c r="Y1202" t="s">
        <v>6606</v>
      </c>
      <c r="Z1202" t="s">
        <v>6612</v>
      </c>
      <c r="AB1202" t="s">
        <v>7711</v>
      </c>
      <c r="AE1202">
        <v>61</v>
      </c>
      <c r="AF1202" t="s">
        <v>11005</v>
      </c>
      <c r="AH1202">
        <v>25</v>
      </c>
      <c r="AI1202">
        <v>1</v>
      </c>
      <c r="AJ1202">
        <v>0</v>
      </c>
      <c r="AK1202">
        <v>195.36</v>
      </c>
      <c r="AN1202" t="s">
        <v>11050</v>
      </c>
      <c r="AO1202">
        <v>23208.38</v>
      </c>
      <c r="AU1202">
        <v>0.6</v>
      </c>
      <c r="AV1202" t="s">
        <v>369</v>
      </c>
      <c r="AW1202" t="s">
        <v>11539</v>
      </c>
    </row>
    <row r="1203" spans="1:49">
      <c r="A1203" s="1">
        <f>HYPERLINK("https://cms.ls-nyc.org/matter/dynamic-profile/view/1866535","18-1866535")</f>
        <v>0</v>
      </c>
      <c r="B1203" t="s">
        <v>129</v>
      </c>
      <c r="C1203" t="s">
        <v>234</v>
      </c>
      <c r="D1203" t="s">
        <v>414</v>
      </c>
      <c r="E1203" t="s">
        <v>749</v>
      </c>
      <c r="F1203" t="s">
        <v>1577</v>
      </c>
      <c r="G1203" t="s">
        <v>2422</v>
      </c>
      <c r="H1203" t="s">
        <v>3706</v>
      </c>
      <c r="I1203">
        <v>55</v>
      </c>
      <c r="J1203" t="s">
        <v>5321</v>
      </c>
      <c r="K1203">
        <v>10453</v>
      </c>
      <c r="L1203" t="s">
        <v>5355</v>
      </c>
      <c r="M1203" t="s">
        <v>5356</v>
      </c>
      <c r="N1203" t="s">
        <v>5570</v>
      </c>
      <c r="O1203" t="s">
        <v>6499</v>
      </c>
      <c r="P1203" t="s">
        <v>6528</v>
      </c>
      <c r="Q1203" t="s">
        <v>6536</v>
      </c>
      <c r="R1203" t="s">
        <v>6539</v>
      </c>
      <c r="S1203" t="s">
        <v>5355</v>
      </c>
      <c r="U1203" t="s">
        <v>6557</v>
      </c>
      <c r="W1203" t="s">
        <v>275</v>
      </c>
      <c r="X1203">
        <v>1136.42</v>
      </c>
      <c r="Y1203" t="s">
        <v>6606</v>
      </c>
      <c r="Z1203" t="s">
        <v>6622</v>
      </c>
      <c r="AA1203" t="s">
        <v>6636</v>
      </c>
      <c r="AB1203" t="s">
        <v>7712</v>
      </c>
      <c r="AD1203" t="s">
        <v>10070</v>
      </c>
      <c r="AE1203">
        <v>43</v>
      </c>
      <c r="AF1203" t="s">
        <v>11005</v>
      </c>
      <c r="AG1203" t="s">
        <v>11024</v>
      </c>
      <c r="AH1203">
        <v>21</v>
      </c>
      <c r="AI1203">
        <v>1</v>
      </c>
      <c r="AJ1203">
        <v>0</v>
      </c>
      <c r="AK1203">
        <v>195.58</v>
      </c>
      <c r="AN1203" t="s">
        <v>11049</v>
      </c>
      <c r="AO1203">
        <v>23744</v>
      </c>
      <c r="AU1203">
        <v>0.6</v>
      </c>
      <c r="AV1203" t="s">
        <v>749</v>
      </c>
      <c r="AW1203" t="s">
        <v>11499</v>
      </c>
    </row>
    <row r="1204" spans="1:49">
      <c r="A1204" s="1">
        <f>HYPERLINK("https://cms.ls-nyc.org/matter/dynamic-profile/view/1838125","17-1838125")</f>
        <v>0</v>
      </c>
      <c r="B1204" t="s">
        <v>129</v>
      </c>
      <c r="C1204" t="s">
        <v>235</v>
      </c>
      <c r="D1204" t="s">
        <v>539</v>
      </c>
      <c r="F1204" t="s">
        <v>1014</v>
      </c>
      <c r="G1204" t="s">
        <v>2857</v>
      </c>
      <c r="H1204" t="s">
        <v>4103</v>
      </c>
      <c r="I1204" t="s">
        <v>4785</v>
      </c>
      <c r="J1204" t="s">
        <v>5321</v>
      </c>
      <c r="K1204">
        <v>10473</v>
      </c>
      <c r="L1204" t="s">
        <v>5355</v>
      </c>
      <c r="M1204" t="s">
        <v>5356</v>
      </c>
      <c r="N1204" t="s">
        <v>5593</v>
      </c>
      <c r="O1204" t="s">
        <v>6499</v>
      </c>
      <c r="P1204" t="s">
        <v>6528</v>
      </c>
      <c r="R1204" t="s">
        <v>6539</v>
      </c>
      <c r="S1204" t="s">
        <v>5355</v>
      </c>
      <c r="U1204" t="s">
        <v>6557</v>
      </c>
      <c r="W1204" t="s">
        <v>341</v>
      </c>
      <c r="X1204">
        <v>932.5</v>
      </c>
      <c r="Y1204" t="s">
        <v>6606</v>
      </c>
      <c r="AB1204" t="s">
        <v>7713</v>
      </c>
      <c r="AD1204" t="s">
        <v>10071</v>
      </c>
      <c r="AE1204">
        <v>225</v>
      </c>
      <c r="AF1204" t="s">
        <v>11005</v>
      </c>
      <c r="AG1204" t="s">
        <v>5406</v>
      </c>
      <c r="AH1204">
        <v>13</v>
      </c>
      <c r="AI1204">
        <v>2</v>
      </c>
      <c r="AJ1204">
        <v>1</v>
      </c>
      <c r="AK1204">
        <v>195.89</v>
      </c>
      <c r="AN1204" t="s">
        <v>11050</v>
      </c>
      <c r="AO1204">
        <v>40000</v>
      </c>
      <c r="AU1204">
        <v>0</v>
      </c>
      <c r="AW1204" t="s">
        <v>11509</v>
      </c>
    </row>
    <row r="1205" spans="1:49">
      <c r="A1205" s="1">
        <f>HYPERLINK("https://cms.ls-nyc.org/matter/dynamic-profile/view/1867103","18-1867103")</f>
        <v>0</v>
      </c>
      <c r="B1205" t="s">
        <v>135</v>
      </c>
      <c r="C1205" t="s">
        <v>235</v>
      </c>
      <c r="D1205" t="s">
        <v>391</v>
      </c>
      <c r="F1205" t="s">
        <v>1404</v>
      </c>
      <c r="G1205" t="s">
        <v>2858</v>
      </c>
      <c r="H1205" t="s">
        <v>3739</v>
      </c>
      <c r="I1205" t="s">
        <v>5094</v>
      </c>
      <c r="J1205" t="s">
        <v>5320</v>
      </c>
      <c r="K1205">
        <v>11212</v>
      </c>
      <c r="L1205" t="s">
        <v>5355</v>
      </c>
      <c r="M1205" t="s">
        <v>5356</v>
      </c>
      <c r="O1205" t="s">
        <v>6500</v>
      </c>
      <c r="P1205" t="s">
        <v>6528</v>
      </c>
      <c r="R1205" t="s">
        <v>6539</v>
      </c>
      <c r="S1205" t="s">
        <v>5355</v>
      </c>
      <c r="U1205" t="s">
        <v>6557</v>
      </c>
      <c r="W1205" t="s">
        <v>298</v>
      </c>
      <c r="X1205">
        <v>920.21</v>
      </c>
      <c r="Y1205" t="s">
        <v>6605</v>
      </c>
      <c r="Z1205" t="s">
        <v>6493</v>
      </c>
      <c r="AB1205" t="s">
        <v>7714</v>
      </c>
      <c r="AD1205" t="s">
        <v>10072</v>
      </c>
      <c r="AE1205">
        <v>32</v>
      </c>
      <c r="AF1205" t="s">
        <v>11005</v>
      </c>
      <c r="AG1205" t="s">
        <v>5406</v>
      </c>
      <c r="AH1205">
        <v>18</v>
      </c>
      <c r="AI1205">
        <v>1</v>
      </c>
      <c r="AJ1205">
        <v>0</v>
      </c>
      <c r="AK1205">
        <v>197.69</v>
      </c>
      <c r="AN1205" t="s">
        <v>11050</v>
      </c>
      <c r="AO1205">
        <v>24000</v>
      </c>
      <c r="AU1205">
        <v>0</v>
      </c>
      <c r="AW1205" t="s">
        <v>11512</v>
      </c>
    </row>
    <row r="1206" spans="1:49">
      <c r="A1206" s="1">
        <f>HYPERLINK("https://cms.ls-nyc.org/matter/dynamic-profile/view/1872376","18-1872376")</f>
        <v>0</v>
      </c>
      <c r="B1206" t="s">
        <v>135</v>
      </c>
      <c r="C1206" t="s">
        <v>235</v>
      </c>
      <c r="D1206" t="s">
        <v>541</v>
      </c>
      <c r="F1206" t="s">
        <v>1185</v>
      </c>
      <c r="G1206" t="s">
        <v>2544</v>
      </c>
      <c r="H1206" t="s">
        <v>3775</v>
      </c>
      <c r="I1206" t="s">
        <v>4749</v>
      </c>
      <c r="J1206" t="s">
        <v>5320</v>
      </c>
      <c r="K1206">
        <v>11206</v>
      </c>
      <c r="L1206" t="s">
        <v>5355</v>
      </c>
      <c r="M1206" t="s">
        <v>5356</v>
      </c>
      <c r="O1206" t="s">
        <v>6500</v>
      </c>
      <c r="P1206" t="s">
        <v>6528</v>
      </c>
      <c r="R1206" t="s">
        <v>6539</v>
      </c>
      <c r="U1206" t="s">
        <v>6557</v>
      </c>
      <c r="W1206" t="s">
        <v>6589</v>
      </c>
      <c r="X1206">
        <v>1157.82</v>
      </c>
      <c r="Y1206" t="s">
        <v>6605</v>
      </c>
      <c r="Z1206" t="s">
        <v>6612</v>
      </c>
      <c r="AB1206" t="s">
        <v>7234</v>
      </c>
      <c r="AD1206" t="s">
        <v>9620</v>
      </c>
      <c r="AE1206">
        <v>25</v>
      </c>
      <c r="AF1206" t="s">
        <v>11013</v>
      </c>
      <c r="AG1206" t="s">
        <v>5406</v>
      </c>
      <c r="AH1206">
        <v>25</v>
      </c>
      <c r="AI1206">
        <v>1</v>
      </c>
      <c r="AJ1206">
        <v>0</v>
      </c>
      <c r="AK1206">
        <v>197.69</v>
      </c>
      <c r="AN1206" t="s">
        <v>11050</v>
      </c>
      <c r="AO1206">
        <v>24000</v>
      </c>
      <c r="AU1206">
        <v>7.5</v>
      </c>
      <c r="AV1206" t="s">
        <v>827</v>
      </c>
      <c r="AW1206" t="s">
        <v>11517</v>
      </c>
    </row>
    <row r="1207" spans="1:49">
      <c r="A1207" s="1">
        <f>HYPERLINK("https://cms.ls-nyc.org/matter/dynamic-profile/view/1838781","17-1838781")</f>
        <v>0</v>
      </c>
      <c r="B1207" t="s">
        <v>129</v>
      </c>
      <c r="C1207" t="s">
        <v>235</v>
      </c>
      <c r="D1207" t="s">
        <v>537</v>
      </c>
      <c r="F1207" t="s">
        <v>855</v>
      </c>
      <c r="G1207" t="s">
        <v>2859</v>
      </c>
      <c r="H1207" t="s">
        <v>4096</v>
      </c>
      <c r="I1207" t="s">
        <v>4777</v>
      </c>
      <c r="J1207" t="s">
        <v>5321</v>
      </c>
      <c r="K1207">
        <v>10473</v>
      </c>
      <c r="L1207" t="s">
        <v>5355</v>
      </c>
      <c r="M1207" t="s">
        <v>5356</v>
      </c>
      <c r="N1207" t="s">
        <v>5609</v>
      </c>
      <c r="O1207" t="s">
        <v>6499</v>
      </c>
      <c r="P1207" t="s">
        <v>6528</v>
      </c>
      <c r="R1207" t="s">
        <v>6539</v>
      </c>
      <c r="S1207" t="s">
        <v>5355</v>
      </c>
      <c r="U1207" t="s">
        <v>6557</v>
      </c>
      <c r="W1207" t="s">
        <v>6572</v>
      </c>
      <c r="X1207">
        <v>627.54</v>
      </c>
      <c r="Y1207" t="s">
        <v>6606</v>
      </c>
      <c r="Z1207" t="s">
        <v>6620</v>
      </c>
      <c r="AB1207" t="s">
        <v>7715</v>
      </c>
      <c r="AD1207" t="s">
        <v>10073</v>
      </c>
      <c r="AE1207">
        <v>976</v>
      </c>
      <c r="AF1207" t="s">
        <v>11005</v>
      </c>
      <c r="AG1207" t="s">
        <v>11020</v>
      </c>
      <c r="AH1207">
        <v>37</v>
      </c>
      <c r="AI1207">
        <v>1</v>
      </c>
      <c r="AJ1207">
        <v>0</v>
      </c>
      <c r="AK1207">
        <v>199</v>
      </c>
      <c r="AL1207" t="s">
        <v>578</v>
      </c>
      <c r="AN1207" t="s">
        <v>11050</v>
      </c>
      <c r="AO1207">
        <v>24000</v>
      </c>
      <c r="AU1207">
        <v>0</v>
      </c>
      <c r="AW1207" t="s">
        <v>11509</v>
      </c>
    </row>
    <row r="1208" spans="1:49">
      <c r="A1208" s="1">
        <f>HYPERLINK("https://cms.ls-nyc.org/matter/dynamic-profile/view/1858045","18-1858045")</f>
        <v>0</v>
      </c>
      <c r="B1208" t="s">
        <v>129</v>
      </c>
      <c r="C1208" t="s">
        <v>234</v>
      </c>
      <c r="D1208" t="s">
        <v>272</v>
      </c>
      <c r="E1208" t="s">
        <v>600</v>
      </c>
      <c r="F1208" t="s">
        <v>1578</v>
      </c>
      <c r="G1208" t="s">
        <v>2860</v>
      </c>
      <c r="H1208" t="s">
        <v>4078</v>
      </c>
      <c r="I1208" t="s">
        <v>4743</v>
      </c>
      <c r="J1208" t="s">
        <v>5321</v>
      </c>
      <c r="K1208">
        <v>10463</v>
      </c>
      <c r="L1208" t="s">
        <v>5355</v>
      </c>
      <c r="M1208" t="s">
        <v>5356</v>
      </c>
      <c r="N1208" t="s">
        <v>5594</v>
      </c>
      <c r="O1208" t="s">
        <v>6499</v>
      </c>
      <c r="P1208" t="s">
        <v>6528</v>
      </c>
      <c r="Q1208" t="s">
        <v>6536</v>
      </c>
      <c r="R1208" t="s">
        <v>6539</v>
      </c>
      <c r="S1208" t="s">
        <v>5355</v>
      </c>
      <c r="U1208" t="s">
        <v>6557</v>
      </c>
      <c r="W1208" t="s">
        <v>247</v>
      </c>
      <c r="X1208">
        <v>1100</v>
      </c>
      <c r="Y1208" t="s">
        <v>6606</v>
      </c>
      <c r="Z1208" t="s">
        <v>6620</v>
      </c>
      <c r="AA1208" t="s">
        <v>6634</v>
      </c>
      <c r="AB1208" t="s">
        <v>7716</v>
      </c>
      <c r="AD1208" t="s">
        <v>10074</v>
      </c>
      <c r="AE1208">
        <v>57</v>
      </c>
      <c r="AF1208" t="s">
        <v>11005</v>
      </c>
      <c r="AG1208" t="s">
        <v>5406</v>
      </c>
      <c r="AH1208">
        <v>12</v>
      </c>
      <c r="AI1208">
        <v>1</v>
      </c>
      <c r="AJ1208">
        <v>0</v>
      </c>
      <c r="AK1208">
        <v>199</v>
      </c>
      <c r="AN1208" t="s">
        <v>11050</v>
      </c>
      <c r="AO1208">
        <v>24000</v>
      </c>
      <c r="AU1208">
        <v>0.5</v>
      </c>
      <c r="AV1208" t="s">
        <v>272</v>
      </c>
      <c r="AW1208" t="s">
        <v>11499</v>
      </c>
    </row>
    <row r="1209" spans="1:49">
      <c r="A1209" s="1">
        <f>HYPERLINK("https://cms.ls-nyc.org/matter/dynamic-profile/view/1867767","18-1867767")</f>
        <v>0</v>
      </c>
      <c r="B1209" t="s">
        <v>129</v>
      </c>
      <c r="C1209" t="s">
        <v>234</v>
      </c>
      <c r="D1209" t="s">
        <v>382</v>
      </c>
      <c r="E1209" t="s">
        <v>600</v>
      </c>
      <c r="F1209" t="s">
        <v>1579</v>
      </c>
      <c r="G1209" t="s">
        <v>2633</v>
      </c>
      <c r="H1209" t="s">
        <v>4078</v>
      </c>
      <c r="I1209" t="s">
        <v>4777</v>
      </c>
      <c r="J1209" t="s">
        <v>5321</v>
      </c>
      <c r="K1209">
        <v>10463</v>
      </c>
      <c r="L1209" t="s">
        <v>5355</v>
      </c>
      <c r="M1209" t="s">
        <v>5356</v>
      </c>
      <c r="N1209" t="s">
        <v>5594</v>
      </c>
      <c r="O1209" t="s">
        <v>6499</v>
      </c>
      <c r="P1209" t="s">
        <v>6528</v>
      </c>
      <c r="Q1209" t="s">
        <v>6536</v>
      </c>
      <c r="R1209" t="s">
        <v>6539</v>
      </c>
      <c r="S1209" t="s">
        <v>5355</v>
      </c>
      <c r="U1209" t="s">
        <v>6557</v>
      </c>
      <c r="W1209" t="s">
        <v>382</v>
      </c>
      <c r="X1209">
        <v>1550</v>
      </c>
      <c r="Y1209" t="s">
        <v>6606</v>
      </c>
      <c r="Z1209" t="s">
        <v>6620</v>
      </c>
      <c r="AA1209" t="s">
        <v>6634</v>
      </c>
      <c r="AB1209" t="s">
        <v>7717</v>
      </c>
      <c r="AC1209" t="s">
        <v>8843</v>
      </c>
      <c r="AE1209">
        <v>57</v>
      </c>
      <c r="AF1209" t="s">
        <v>11005</v>
      </c>
      <c r="AG1209" t="s">
        <v>6493</v>
      </c>
      <c r="AH1209">
        <v>1</v>
      </c>
      <c r="AI1209">
        <v>3</v>
      </c>
      <c r="AJ1209">
        <v>0</v>
      </c>
      <c r="AK1209">
        <v>200.19</v>
      </c>
      <c r="AN1209" t="s">
        <v>11050</v>
      </c>
      <c r="AO1209">
        <v>41600</v>
      </c>
      <c r="AU1209">
        <v>1</v>
      </c>
      <c r="AV1209" t="s">
        <v>382</v>
      </c>
      <c r="AW1209" t="s">
        <v>95</v>
      </c>
    </row>
    <row r="1210" spans="1:49">
      <c r="A1210" s="1">
        <f>HYPERLINK("https://cms.ls-nyc.org/matter/dynamic-profile/view/1855958","18-1855958")</f>
        <v>0</v>
      </c>
      <c r="B1210" t="s">
        <v>135</v>
      </c>
      <c r="C1210" t="s">
        <v>235</v>
      </c>
      <c r="D1210" t="s">
        <v>380</v>
      </c>
      <c r="F1210" t="s">
        <v>1580</v>
      </c>
      <c r="G1210" t="s">
        <v>2861</v>
      </c>
      <c r="H1210" t="s">
        <v>3762</v>
      </c>
      <c r="I1210" t="s">
        <v>4777</v>
      </c>
      <c r="J1210" t="s">
        <v>5320</v>
      </c>
      <c r="K1210">
        <v>11206</v>
      </c>
      <c r="L1210" t="s">
        <v>5355</v>
      </c>
      <c r="M1210" t="s">
        <v>5356</v>
      </c>
      <c r="O1210" t="s">
        <v>6500</v>
      </c>
      <c r="P1210" t="s">
        <v>6528</v>
      </c>
      <c r="R1210" t="s">
        <v>6539</v>
      </c>
      <c r="U1210" t="s">
        <v>6557</v>
      </c>
      <c r="W1210" t="s">
        <v>329</v>
      </c>
      <c r="X1210">
        <v>811</v>
      </c>
      <c r="Y1210" t="s">
        <v>6605</v>
      </c>
      <c r="AB1210" t="s">
        <v>7718</v>
      </c>
      <c r="AE1210">
        <v>29</v>
      </c>
      <c r="AF1210" t="s">
        <v>11005</v>
      </c>
      <c r="AG1210" t="s">
        <v>5406</v>
      </c>
      <c r="AH1210">
        <v>6</v>
      </c>
      <c r="AI1210">
        <v>1</v>
      </c>
      <c r="AJ1210">
        <v>2</v>
      </c>
      <c r="AK1210">
        <v>200.78</v>
      </c>
      <c r="AL1210" t="s">
        <v>11029</v>
      </c>
      <c r="AN1210" t="s">
        <v>11050</v>
      </c>
      <c r="AO1210">
        <v>41000</v>
      </c>
      <c r="AU1210">
        <v>5</v>
      </c>
      <c r="AV1210" t="s">
        <v>809</v>
      </c>
      <c r="AW1210" t="s">
        <v>11512</v>
      </c>
    </row>
    <row r="1211" spans="1:49">
      <c r="A1211" s="1">
        <f>HYPERLINK("https://cms.ls-nyc.org/matter/dynamic-profile/view/1838769","17-1838769")</f>
        <v>0</v>
      </c>
      <c r="B1211" t="s">
        <v>129</v>
      </c>
      <c r="C1211" t="s">
        <v>235</v>
      </c>
      <c r="D1211" t="s">
        <v>537</v>
      </c>
      <c r="F1211" t="s">
        <v>1581</v>
      </c>
      <c r="G1211" t="s">
        <v>2435</v>
      </c>
      <c r="H1211" t="s">
        <v>4096</v>
      </c>
      <c r="I1211" t="s">
        <v>4743</v>
      </c>
      <c r="J1211" t="s">
        <v>5321</v>
      </c>
      <c r="K1211">
        <v>10473</v>
      </c>
      <c r="L1211" t="s">
        <v>5355</v>
      </c>
      <c r="M1211" t="s">
        <v>5356</v>
      </c>
      <c r="N1211" t="s">
        <v>5609</v>
      </c>
      <c r="O1211" t="s">
        <v>6499</v>
      </c>
      <c r="P1211" t="s">
        <v>6528</v>
      </c>
      <c r="R1211" t="s">
        <v>6539</v>
      </c>
      <c r="S1211" t="s">
        <v>5355</v>
      </c>
      <c r="U1211" t="s">
        <v>6557</v>
      </c>
      <c r="W1211" t="s">
        <v>6572</v>
      </c>
      <c r="X1211">
        <v>700.9</v>
      </c>
      <c r="Y1211" t="s">
        <v>6606</v>
      </c>
      <c r="Z1211" t="s">
        <v>6620</v>
      </c>
      <c r="AB1211" t="s">
        <v>7719</v>
      </c>
      <c r="AD1211" t="s">
        <v>10075</v>
      </c>
      <c r="AE1211">
        <v>976</v>
      </c>
      <c r="AF1211" t="s">
        <v>11005</v>
      </c>
      <c r="AG1211" t="s">
        <v>6493</v>
      </c>
      <c r="AH1211">
        <v>36</v>
      </c>
      <c r="AI1211">
        <v>1</v>
      </c>
      <c r="AJ1211">
        <v>0</v>
      </c>
      <c r="AK1211">
        <v>202.21</v>
      </c>
      <c r="AL1211" t="s">
        <v>578</v>
      </c>
      <c r="AN1211" t="s">
        <v>11050</v>
      </c>
      <c r="AO1211">
        <v>24386.8</v>
      </c>
      <c r="AU1211">
        <v>0</v>
      </c>
      <c r="AW1211" t="s">
        <v>11509</v>
      </c>
    </row>
    <row r="1212" spans="1:49">
      <c r="A1212" s="1">
        <f>HYPERLINK("https://cms.ls-nyc.org/matter/dynamic-profile/view/1835830","17-1835830")</f>
        <v>0</v>
      </c>
      <c r="B1212" t="s">
        <v>92</v>
      </c>
      <c r="C1212" t="s">
        <v>235</v>
      </c>
      <c r="D1212" t="s">
        <v>431</v>
      </c>
      <c r="F1212" t="s">
        <v>860</v>
      </c>
      <c r="G1212" t="s">
        <v>2258</v>
      </c>
      <c r="H1212" t="s">
        <v>4104</v>
      </c>
      <c r="I1212" t="s">
        <v>4746</v>
      </c>
      <c r="J1212" t="s">
        <v>5323</v>
      </c>
      <c r="K1212">
        <v>10034</v>
      </c>
      <c r="L1212" t="s">
        <v>5355</v>
      </c>
      <c r="M1212" t="s">
        <v>5356</v>
      </c>
      <c r="N1212" t="s">
        <v>5556</v>
      </c>
      <c r="O1212" t="s">
        <v>6499</v>
      </c>
      <c r="P1212" t="s">
        <v>6528</v>
      </c>
      <c r="R1212" t="s">
        <v>6539</v>
      </c>
      <c r="S1212" t="s">
        <v>5355</v>
      </c>
      <c r="U1212" t="s">
        <v>6557</v>
      </c>
      <c r="W1212" t="s">
        <v>404</v>
      </c>
      <c r="X1212">
        <v>1419.68</v>
      </c>
      <c r="Y1212" t="s">
        <v>6608</v>
      </c>
      <c r="Z1212" t="s">
        <v>6622</v>
      </c>
      <c r="AB1212" t="s">
        <v>7400</v>
      </c>
      <c r="AE1212">
        <v>43</v>
      </c>
      <c r="AF1212" t="s">
        <v>11005</v>
      </c>
      <c r="AG1212" t="s">
        <v>5406</v>
      </c>
      <c r="AH1212">
        <v>8</v>
      </c>
      <c r="AI1212">
        <v>3</v>
      </c>
      <c r="AJ1212">
        <v>1</v>
      </c>
      <c r="AK1212">
        <v>203.25</v>
      </c>
      <c r="AL1212" t="s">
        <v>11029</v>
      </c>
      <c r="AN1212" t="s">
        <v>11049</v>
      </c>
      <c r="AO1212">
        <v>50000</v>
      </c>
      <c r="AP1212" t="s">
        <v>11095</v>
      </c>
      <c r="AU1212">
        <v>0</v>
      </c>
      <c r="AW1212" t="s">
        <v>11497</v>
      </c>
    </row>
    <row r="1213" spans="1:49">
      <c r="A1213" s="1">
        <f>HYPERLINK("https://cms.ls-nyc.org/matter/dynamic-profile/view/1851780","17-1851780")</f>
        <v>0</v>
      </c>
      <c r="B1213" t="s">
        <v>129</v>
      </c>
      <c r="C1213" t="s">
        <v>234</v>
      </c>
      <c r="D1213" t="s">
        <v>381</v>
      </c>
      <c r="E1213" t="s">
        <v>600</v>
      </c>
      <c r="F1213" t="s">
        <v>914</v>
      </c>
      <c r="G1213" t="s">
        <v>2862</v>
      </c>
      <c r="H1213" t="s">
        <v>4055</v>
      </c>
      <c r="I1213" t="s">
        <v>4778</v>
      </c>
      <c r="J1213" t="s">
        <v>5321</v>
      </c>
      <c r="K1213">
        <v>10468</v>
      </c>
      <c r="L1213" t="s">
        <v>5355</v>
      </c>
      <c r="M1213" t="s">
        <v>5356</v>
      </c>
      <c r="N1213" t="s">
        <v>5568</v>
      </c>
      <c r="O1213" t="s">
        <v>6499</v>
      </c>
      <c r="P1213" t="s">
        <v>6528</v>
      </c>
      <c r="Q1213" t="s">
        <v>6536</v>
      </c>
      <c r="R1213" t="s">
        <v>6539</v>
      </c>
      <c r="S1213" t="s">
        <v>5355</v>
      </c>
      <c r="U1213" t="s">
        <v>6557</v>
      </c>
      <c r="W1213" t="s">
        <v>381</v>
      </c>
      <c r="X1213">
        <v>1900</v>
      </c>
      <c r="Y1213" t="s">
        <v>6606</v>
      </c>
      <c r="Z1213" t="s">
        <v>6620</v>
      </c>
      <c r="AA1213" t="s">
        <v>6634</v>
      </c>
      <c r="AB1213" t="s">
        <v>7720</v>
      </c>
      <c r="AD1213" t="s">
        <v>10076</v>
      </c>
      <c r="AE1213">
        <v>47</v>
      </c>
      <c r="AF1213" t="s">
        <v>11005</v>
      </c>
      <c r="AG1213" t="s">
        <v>5406</v>
      </c>
      <c r="AH1213">
        <v>2</v>
      </c>
      <c r="AI1213">
        <v>1</v>
      </c>
      <c r="AJ1213">
        <v>0</v>
      </c>
      <c r="AK1213">
        <v>206.97</v>
      </c>
      <c r="AL1213" t="s">
        <v>463</v>
      </c>
      <c r="AN1213" t="s">
        <v>11049</v>
      </c>
      <c r="AO1213">
        <v>24960</v>
      </c>
      <c r="AU1213">
        <v>0.5</v>
      </c>
      <c r="AV1213" t="s">
        <v>381</v>
      </c>
      <c r="AW1213" t="s">
        <v>11499</v>
      </c>
    </row>
    <row r="1214" spans="1:49">
      <c r="A1214" s="1">
        <f>HYPERLINK("https://cms.ls-nyc.org/matter/dynamic-profile/view/1838041","17-1838041")</f>
        <v>0</v>
      </c>
      <c r="B1214" t="s">
        <v>129</v>
      </c>
      <c r="C1214" t="s">
        <v>235</v>
      </c>
      <c r="D1214" t="s">
        <v>539</v>
      </c>
      <c r="F1214" t="s">
        <v>1582</v>
      </c>
      <c r="G1214" t="s">
        <v>2863</v>
      </c>
      <c r="H1214" t="s">
        <v>4077</v>
      </c>
      <c r="I1214" t="s">
        <v>4796</v>
      </c>
      <c r="J1214" t="s">
        <v>5321</v>
      </c>
      <c r="K1214">
        <v>10473</v>
      </c>
      <c r="L1214" t="s">
        <v>5355</v>
      </c>
      <c r="M1214" t="s">
        <v>5356</v>
      </c>
      <c r="N1214" t="s">
        <v>5593</v>
      </c>
      <c r="O1214" t="s">
        <v>6499</v>
      </c>
      <c r="P1214" t="s">
        <v>6528</v>
      </c>
      <c r="R1214" t="s">
        <v>6539</v>
      </c>
      <c r="S1214" t="s">
        <v>5355</v>
      </c>
      <c r="U1214" t="s">
        <v>6557</v>
      </c>
      <c r="W1214" t="s">
        <v>6572</v>
      </c>
      <c r="X1214">
        <v>1340.5</v>
      </c>
      <c r="Y1214" t="s">
        <v>6606</v>
      </c>
      <c r="Z1214" t="s">
        <v>6620</v>
      </c>
      <c r="AB1214" t="s">
        <v>7721</v>
      </c>
      <c r="AE1214">
        <v>976</v>
      </c>
      <c r="AF1214" t="s">
        <v>11005</v>
      </c>
      <c r="AG1214" t="s">
        <v>5406</v>
      </c>
      <c r="AH1214">
        <v>4</v>
      </c>
      <c r="AI1214">
        <v>1</v>
      </c>
      <c r="AJ1214">
        <v>1</v>
      </c>
      <c r="AK1214">
        <v>208.13</v>
      </c>
      <c r="AL1214" t="s">
        <v>578</v>
      </c>
      <c r="AN1214" t="s">
        <v>11050</v>
      </c>
      <c r="AO1214">
        <v>33800</v>
      </c>
      <c r="AU1214">
        <v>0</v>
      </c>
      <c r="AW1214" t="s">
        <v>11509</v>
      </c>
    </row>
    <row r="1215" spans="1:49">
      <c r="A1215" s="1">
        <f>HYPERLINK("https://cms.ls-nyc.org/matter/dynamic-profile/view/1872135","18-1872135")</f>
        <v>0</v>
      </c>
      <c r="B1215" t="s">
        <v>106</v>
      </c>
      <c r="C1215" t="s">
        <v>235</v>
      </c>
      <c r="D1215" t="s">
        <v>516</v>
      </c>
      <c r="F1215" t="s">
        <v>1530</v>
      </c>
      <c r="G1215" t="s">
        <v>2811</v>
      </c>
      <c r="H1215" t="s">
        <v>4089</v>
      </c>
      <c r="I1215" t="s">
        <v>5012</v>
      </c>
      <c r="J1215" t="s">
        <v>5321</v>
      </c>
      <c r="K1215">
        <v>10452</v>
      </c>
      <c r="L1215" t="s">
        <v>5357</v>
      </c>
      <c r="M1215" t="s">
        <v>5356</v>
      </c>
      <c r="O1215" t="s">
        <v>6499</v>
      </c>
      <c r="P1215" t="s">
        <v>6528</v>
      </c>
      <c r="R1215" t="s">
        <v>6539</v>
      </c>
      <c r="S1215" t="s">
        <v>5355</v>
      </c>
      <c r="U1215" t="s">
        <v>6557</v>
      </c>
      <c r="W1215" t="s">
        <v>516</v>
      </c>
      <c r="X1215">
        <v>853.4400000000001</v>
      </c>
      <c r="Y1215" t="s">
        <v>6606</v>
      </c>
      <c r="Z1215" t="s">
        <v>6614</v>
      </c>
      <c r="AB1215" t="s">
        <v>7637</v>
      </c>
      <c r="AC1215" t="s">
        <v>8844</v>
      </c>
      <c r="AD1215" t="s">
        <v>9997</v>
      </c>
      <c r="AE1215">
        <v>0</v>
      </c>
      <c r="AF1215" t="s">
        <v>11005</v>
      </c>
      <c r="AG1215" t="s">
        <v>5406</v>
      </c>
      <c r="AH1215">
        <v>14</v>
      </c>
      <c r="AI1215">
        <v>2</v>
      </c>
      <c r="AJ1215">
        <v>0</v>
      </c>
      <c r="AK1215">
        <v>208.51</v>
      </c>
      <c r="AN1215" t="s">
        <v>11050</v>
      </c>
      <c r="AO1215">
        <v>34320</v>
      </c>
      <c r="AU1215">
        <v>3.25</v>
      </c>
      <c r="AV1215" t="s">
        <v>687</v>
      </c>
      <c r="AW1215" t="s">
        <v>11499</v>
      </c>
    </row>
    <row r="1216" spans="1:49">
      <c r="A1216" s="1">
        <f>HYPERLINK("https://cms.ls-nyc.org/matter/dynamic-profile/view/1842860","17-1842860")</f>
        <v>0</v>
      </c>
      <c r="B1216" t="s">
        <v>63</v>
      </c>
      <c r="C1216" t="s">
        <v>235</v>
      </c>
      <c r="D1216" t="s">
        <v>472</v>
      </c>
      <c r="F1216" t="s">
        <v>1220</v>
      </c>
      <c r="G1216" t="s">
        <v>2144</v>
      </c>
      <c r="H1216" t="s">
        <v>4105</v>
      </c>
      <c r="I1216" t="s">
        <v>5095</v>
      </c>
      <c r="J1216" t="s">
        <v>5322</v>
      </c>
      <c r="K1216">
        <v>10314</v>
      </c>
      <c r="L1216" t="s">
        <v>5355</v>
      </c>
      <c r="M1216" t="s">
        <v>5356</v>
      </c>
      <c r="N1216" t="s">
        <v>5572</v>
      </c>
      <c r="O1216" t="s">
        <v>6499</v>
      </c>
      <c r="P1216" t="s">
        <v>6528</v>
      </c>
      <c r="R1216" t="s">
        <v>6539</v>
      </c>
      <c r="S1216" t="s">
        <v>5355</v>
      </c>
      <c r="U1216" t="s">
        <v>6557</v>
      </c>
      <c r="W1216" t="s">
        <v>388</v>
      </c>
      <c r="X1216">
        <v>871</v>
      </c>
      <c r="Y1216" t="s">
        <v>6607</v>
      </c>
      <c r="Z1216" t="s">
        <v>6622</v>
      </c>
      <c r="AB1216" t="s">
        <v>7722</v>
      </c>
      <c r="AD1216" t="s">
        <v>10077</v>
      </c>
      <c r="AE1216">
        <v>96</v>
      </c>
      <c r="AF1216" t="s">
        <v>11005</v>
      </c>
      <c r="AG1216" t="s">
        <v>11024</v>
      </c>
      <c r="AH1216">
        <v>6</v>
      </c>
      <c r="AI1216">
        <v>1</v>
      </c>
      <c r="AJ1216">
        <v>0</v>
      </c>
      <c r="AK1216">
        <v>208.96</v>
      </c>
      <c r="AL1216" t="s">
        <v>6588</v>
      </c>
      <c r="AN1216" t="s">
        <v>11050</v>
      </c>
      <c r="AO1216">
        <v>25200</v>
      </c>
      <c r="AU1216">
        <v>0.6</v>
      </c>
      <c r="AV1216" t="s">
        <v>807</v>
      </c>
      <c r="AW1216" t="s">
        <v>140</v>
      </c>
    </row>
    <row r="1217" spans="1:49">
      <c r="A1217" s="1">
        <f>HYPERLINK("https://cms.ls-nyc.org/matter/dynamic-profile/view/1838158","17-1838158")</f>
        <v>0</v>
      </c>
      <c r="B1217" t="s">
        <v>129</v>
      </c>
      <c r="C1217" t="s">
        <v>235</v>
      </c>
      <c r="D1217" t="s">
        <v>539</v>
      </c>
      <c r="F1217" t="s">
        <v>1328</v>
      </c>
      <c r="G1217" t="s">
        <v>2864</v>
      </c>
      <c r="H1217" t="s">
        <v>4077</v>
      </c>
      <c r="I1217" t="s">
        <v>5096</v>
      </c>
      <c r="J1217" t="s">
        <v>5321</v>
      </c>
      <c r="K1217">
        <v>10473</v>
      </c>
      <c r="L1217" t="s">
        <v>5355</v>
      </c>
      <c r="M1217" t="s">
        <v>5356</v>
      </c>
      <c r="N1217" t="s">
        <v>5593</v>
      </c>
      <c r="O1217" t="s">
        <v>6499</v>
      </c>
      <c r="P1217" t="s">
        <v>6528</v>
      </c>
      <c r="R1217" t="s">
        <v>6539</v>
      </c>
      <c r="S1217" t="s">
        <v>5355</v>
      </c>
      <c r="U1217" t="s">
        <v>6557</v>
      </c>
      <c r="W1217" t="s">
        <v>6572</v>
      </c>
      <c r="X1217">
        <v>905</v>
      </c>
      <c r="Y1217" t="s">
        <v>6606</v>
      </c>
      <c r="Z1217" t="s">
        <v>6620</v>
      </c>
      <c r="AB1217" t="s">
        <v>7723</v>
      </c>
      <c r="AD1217" t="s">
        <v>10078</v>
      </c>
      <c r="AE1217">
        <v>976</v>
      </c>
      <c r="AF1217" t="s">
        <v>11006</v>
      </c>
      <c r="AG1217" t="s">
        <v>5406</v>
      </c>
      <c r="AH1217">
        <v>44</v>
      </c>
      <c r="AI1217">
        <v>2</v>
      </c>
      <c r="AJ1217">
        <v>0</v>
      </c>
      <c r="AK1217">
        <v>209.36</v>
      </c>
      <c r="AL1217" t="s">
        <v>578</v>
      </c>
      <c r="AN1217" t="s">
        <v>11050</v>
      </c>
      <c r="AO1217">
        <v>46000</v>
      </c>
      <c r="AU1217">
        <v>0</v>
      </c>
      <c r="AW1217" t="s">
        <v>11509</v>
      </c>
    </row>
    <row r="1218" spans="1:49">
      <c r="A1218" s="1">
        <f>HYPERLINK("https://cms.ls-nyc.org/matter/dynamic-profile/view/1858964","18-1858964")</f>
        <v>0</v>
      </c>
      <c r="B1218" t="s">
        <v>129</v>
      </c>
      <c r="C1218" t="s">
        <v>234</v>
      </c>
      <c r="D1218" t="s">
        <v>424</v>
      </c>
      <c r="E1218" t="s">
        <v>600</v>
      </c>
      <c r="F1218" t="s">
        <v>1484</v>
      </c>
      <c r="G1218" t="s">
        <v>2180</v>
      </c>
      <c r="H1218" t="s">
        <v>4055</v>
      </c>
      <c r="I1218" t="s">
        <v>4783</v>
      </c>
      <c r="J1218" t="s">
        <v>5321</v>
      </c>
      <c r="K1218">
        <v>10468</v>
      </c>
      <c r="L1218" t="s">
        <v>5355</v>
      </c>
      <c r="M1218" t="s">
        <v>5356</v>
      </c>
      <c r="N1218" t="s">
        <v>5619</v>
      </c>
      <c r="O1218" t="s">
        <v>6499</v>
      </c>
      <c r="P1218" t="s">
        <v>6528</v>
      </c>
      <c r="Q1218" t="s">
        <v>6536</v>
      </c>
      <c r="R1218" t="s">
        <v>6539</v>
      </c>
      <c r="S1218" t="s">
        <v>5355</v>
      </c>
      <c r="U1218" t="s">
        <v>6557</v>
      </c>
      <c r="W1218" t="s">
        <v>236</v>
      </c>
      <c r="X1218">
        <v>1150</v>
      </c>
      <c r="Y1218" t="s">
        <v>6606</v>
      </c>
      <c r="Z1218" t="s">
        <v>6620</v>
      </c>
      <c r="AA1218" t="s">
        <v>6634</v>
      </c>
      <c r="AB1218" t="s">
        <v>7301</v>
      </c>
      <c r="AE1218">
        <v>47</v>
      </c>
      <c r="AF1218" t="s">
        <v>11005</v>
      </c>
      <c r="AG1218" t="s">
        <v>5406</v>
      </c>
      <c r="AH1218">
        <v>5</v>
      </c>
      <c r="AI1218">
        <v>3</v>
      </c>
      <c r="AJ1218">
        <v>0</v>
      </c>
      <c r="AK1218">
        <v>210.58</v>
      </c>
      <c r="AL1218" t="s">
        <v>463</v>
      </c>
      <c r="AN1218" t="s">
        <v>11049</v>
      </c>
      <c r="AO1218">
        <v>43000</v>
      </c>
      <c r="AU1218">
        <v>0.1</v>
      </c>
      <c r="AV1218" t="s">
        <v>600</v>
      </c>
      <c r="AW1218" t="s">
        <v>11492</v>
      </c>
    </row>
    <row r="1219" spans="1:49">
      <c r="A1219" s="1">
        <f>HYPERLINK("https://cms.ls-nyc.org/matter/dynamic-profile/view/1870548","18-1870548")</f>
        <v>0</v>
      </c>
      <c r="B1219" t="s">
        <v>135</v>
      </c>
      <c r="C1219" t="s">
        <v>235</v>
      </c>
      <c r="D1219" t="s">
        <v>255</v>
      </c>
      <c r="F1219" t="s">
        <v>973</v>
      </c>
      <c r="G1219" t="s">
        <v>2549</v>
      </c>
      <c r="H1219" t="s">
        <v>3739</v>
      </c>
      <c r="I1219" t="s">
        <v>4744</v>
      </c>
      <c r="J1219" t="s">
        <v>5320</v>
      </c>
      <c r="K1219">
        <v>11212</v>
      </c>
      <c r="L1219" t="s">
        <v>5355</v>
      </c>
      <c r="M1219" t="s">
        <v>5356</v>
      </c>
      <c r="P1219" t="s">
        <v>6528</v>
      </c>
      <c r="R1219" t="s">
        <v>6539</v>
      </c>
      <c r="S1219" t="s">
        <v>5355</v>
      </c>
      <c r="U1219" t="s">
        <v>6557</v>
      </c>
      <c r="W1219" t="s">
        <v>6596</v>
      </c>
      <c r="X1219">
        <v>1201</v>
      </c>
      <c r="Y1219" t="s">
        <v>6605</v>
      </c>
      <c r="Z1219" t="s">
        <v>6614</v>
      </c>
      <c r="AB1219" t="s">
        <v>7239</v>
      </c>
      <c r="AD1219" t="s">
        <v>9625</v>
      </c>
      <c r="AE1219">
        <v>32</v>
      </c>
      <c r="AF1219" t="s">
        <v>11005</v>
      </c>
      <c r="AG1219" t="s">
        <v>5406</v>
      </c>
      <c r="AH1219">
        <v>10</v>
      </c>
      <c r="AI1219">
        <v>2</v>
      </c>
      <c r="AJ1219">
        <v>0</v>
      </c>
      <c r="AK1219">
        <v>212.64</v>
      </c>
      <c r="AN1219" t="s">
        <v>11050</v>
      </c>
      <c r="AO1219">
        <v>35000</v>
      </c>
      <c r="AU1219">
        <v>0</v>
      </c>
      <c r="AW1219" t="s">
        <v>11512</v>
      </c>
    </row>
    <row r="1220" spans="1:49">
      <c r="A1220" s="1">
        <f>HYPERLINK("https://cms.ls-nyc.org/matter/dynamic-profile/view/1860351","18-1860351")</f>
        <v>0</v>
      </c>
      <c r="B1220" t="s">
        <v>176</v>
      </c>
      <c r="C1220" t="s">
        <v>235</v>
      </c>
      <c r="D1220" t="s">
        <v>236</v>
      </c>
      <c r="F1220" t="s">
        <v>1583</v>
      </c>
      <c r="G1220" t="s">
        <v>2865</v>
      </c>
      <c r="H1220" t="s">
        <v>3576</v>
      </c>
      <c r="I1220" t="s">
        <v>5097</v>
      </c>
      <c r="J1220" t="s">
        <v>5317</v>
      </c>
      <c r="K1220">
        <v>11432</v>
      </c>
      <c r="L1220" t="s">
        <v>5355</v>
      </c>
      <c r="M1220" t="s">
        <v>5356</v>
      </c>
      <c r="N1220" t="s">
        <v>5582</v>
      </c>
      <c r="O1220" t="s">
        <v>6499</v>
      </c>
      <c r="P1220" t="s">
        <v>6528</v>
      </c>
      <c r="R1220" t="s">
        <v>6539</v>
      </c>
      <c r="S1220" t="s">
        <v>5355</v>
      </c>
      <c r="U1220" t="s">
        <v>6559</v>
      </c>
      <c r="W1220" t="s">
        <v>6575</v>
      </c>
      <c r="X1220">
        <v>2000</v>
      </c>
      <c r="Y1220" t="s">
        <v>6604</v>
      </c>
      <c r="Z1220" t="s">
        <v>6614</v>
      </c>
      <c r="AB1220" t="s">
        <v>7724</v>
      </c>
      <c r="AC1220" t="s">
        <v>5392</v>
      </c>
      <c r="AD1220" t="s">
        <v>10079</v>
      </c>
      <c r="AE1220">
        <v>60</v>
      </c>
      <c r="AF1220" t="s">
        <v>11005</v>
      </c>
      <c r="AG1220" t="s">
        <v>5406</v>
      </c>
      <c r="AH1220">
        <v>13</v>
      </c>
      <c r="AI1220">
        <v>4</v>
      </c>
      <c r="AJ1220">
        <v>0</v>
      </c>
      <c r="AK1220">
        <v>215.14</v>
      </c>
      <c r="AL1220" t="s">
        <v>11029</v>
      </c>
      <c r="AN1220" t="s">
        <v>11050</v>
      </c>
      <c r="AO1220">
        <v>54000</v>
      </c>
      <c r="AU1220">
        <v>0.2</v>
      </c>
      <c r="AV1220" t="s">
        <v>677</v>
      </c>
      <c r="AW1220" t="s">
        <v>93</v>
      </c>
    </row>
    <row r="1221" spans="1:49">
      <c r="A1221" s="1">
        <f>HYPERLINK("https://cms.ls-nyc.org/matter/dynamic-profile/view/1860363","18-1860363")</f>
        <v>0</v>
      </c>
      <c r="B1221" t="s">
        <v>176</v>
      </c>
      <c r="C1221" t="s">
        <v>235</v>
      </c>
      <c r="D1221" t="s">
        <v>236</v>
      </c>
      <c r="F1221" t="s">
        <v>1583</v>
      </c>
      <c r="G1221" t="s">
        <v>2865</v>
      </c>
      <c r="H1221" t="s">
        <v>3576</v>
      </c>
      <c r="I1221" t="s">
        <v>5097</v>
      </c>
      <c r="J1221" t="s">
        <v>5317</v>
      </c>
      <c r="K1221">
        <v>11432</v>
      </c>
      <c r="L1221" t="s">
        <v>5355</v>
      </c>
      <c r="M1221" t="s">
        <v>5356</v>
      </c>
      <c r="N1221" t="s">
        <v>5583</v>
      </c>
      <c r="O1221" t="s">
        <v>6499</v>
      </c>
      <c r="P1221" t="s">
        <v>6528</v>
      </c>
      <c r="R1221" t="s">
        <v>6539</v>
      </c>
      <c r="S1221" t="s">
        <v>5355</v>
      </c>
      <c r="U1221" t="s">
        <v>6559</v>
      </c>
      <c r="W1221" t="s">
        <v>6575</v>
      </c>
      <c r="X1221">
        <v>2000.23</v>
      </c>
      <c r="Y1221" t="s">
        <v>6604</v>
      </c>
      <c r="Z1221" t="s">
        <v>6614</v>
      </c>
      <c r="AB1221" t="s">
        <v>7724</v>
      </c>
      <c r="AC1221" t="s">
        <v>5392</v>
      </c>
      <c r="AD1221" t="s">
        <v>10079</v>
      </c>
      <c r="AE1221">
        <v>60</v>
      </c>
      <c r="AF1221" t="s">
        <v>11005</v>
      </c>
      <c r="AG1221" t="s">
        <v>5406</v>
      </c>
      <c r="AH1221">
        <v>13</v>
      </c>
      <c r="AI1221">
        <v>4</v>
      </c>
      <c r="AJ1221">
        <v>0</v>
      </c>
      <c r="AK1221">
        <v>215.14</v>
      </c>
      <c r="AL1221" t="s">
        <v>387</v>
      </c>
      <c r="AN1221" t="s">
        <v>11050</v>
      </c>
      <c r="AO1221">
        <v>54000</v>
      </c>
      <c r="AU1221">
        <v>0.7</v>
      </c>
      <c r="AV1221" t="s">
        <v>677</v>
      </c>
      <c r="AW1221" t="s">
        <v>93</v>
      </c>
    </row>
    <row r="1222" spans="1:49">
      <c r="A1222" s="1">
        <f>HYPERLINK("https://cms.ls-nyc.org/matter/dynamic-profile/view/1866878","18-1866878")</f>
        <v>0</v>
      </c>
      <c r="B1222" t="s">
        <v>135</v>
      </c>
      <c r="C1222" t="s">
        <v>235</v>
      </c>
      <c r="D1222" t="s">
        <v>355</v>
      </c>
      <c r="F1222" t="s">
        <v>973</v>
      </c>
      <c r="G1222" t="s">
        <v>2549</v>
      </c>
      <c r="H1222" t="s">
        <v>3739</v>
      </c>
      <c r="I1222" t="s">
        <v>4744</v>
      </c>
      <c r="J1222" t="s">
        <v>5320</v>
      </c>
      <c r="K1222">
        <v>11212</v>
      </c>
      <c r="L1222" t="s">
        <v>5355</v>
      </c>
      <c r="M1222" t="s">
        <v>5356</v>
      </c>
      <c r="O1222" t="s">
        <v>5393</v>
      </c>
      <c r="P1222" t="s">
        <v>6528</v>
      </c>
      <c r="R1222" t="s">
        <v>6539</v>
      </c>
      <c r="S1222" t="s">
        <v>5355</v>
      </c>
      <c r="U1222" t="s">
        <v>6557</v>
      </c>
      <c r="W1222" t="s">
        <v>522</v>
      </c>
      <c r="X1222">
        <v>1201</v>
      </c>
      <c r="Y1222" t="s">
        <v>6605</v>
      </c>
      <c r="AB1222" t="s">
        <v>7239</v>
      </c>
      <c r="AD1222" t="s">
        <v>9625</v>
      </c>
      <c r="AE1222">
        <v>31</v>
      </c>
      <c r="AF1222" t="s">
        <v>11005</v>
      </c>
      <c r="AH1222">
        <v>11</v>
      </c>
      <c r="AI1222">
        <v>2</v>
      </c>
      <c r="AJ1222">
        <v>0</v>
      </c>
      <c r="AK1222">
        <v>215.52</v>
      </c>
      <c r="AN1222" t="s">
        <v>11050</v>
      </c>
      <c r="AO1222">
        <v>35000</v>
      </c>
      <c r="AU1222">
        <v>0.25</v>
      </c>
      <c r="AV1222" t="s">
        <v>355</v>
      </c>
      <c r="AW1222" t="s">
        <v>135</v>
      </c>
    </row>
    <row r="1223" spans="1:49">
      <c r="A1223" s="1">
        <f>HYPERLINK("https://cms.ls-nyc.org/matter/dynamic-profile/view/1856743","18-1856743")</f>
        <v>0</v>
      </c>
      <c r="B1223" t="s">
        <v>129</v>
      </c>
      <c r="C1223" t="s">
        <v>235</v>
      </c>
      <c r="D1223" t="s">
        <v>310</v>
      </c>
      <c r="F1223" t="s">
        <v>1584</v>
      </c>
      <c r="G1223" t="s">
        <v>2866</v>
      </c>
      <c r="H1223" t="s">
        <v>3808</v>
      </c>
      <c r="I1223" t="s">
        <v>4886</v>
      </c>
      <c r="J1223" t="s">
        <v>5321</v>
      </c>
      <c r="K1223">
        <v>10456</v>
      </c>
      <c r="L1223" t="s">
        <v>5355</v>
      </c>
      <c r="M1223" t="s">
        <v>5356</v>
      </c>
      <c r="N1223" t="s">
        <v>5585</v>
      </c>
      <c r="O1223" t="s">
        <v>6499</v>
      </c>
      <c r="P1223" t="s">
        <v>6528</v>
      </c>
      <c r="R1223" t="s">
        <v>6539</v>
      </c>
      <c r="S1223" t="s">
        <v>5355</v>
      </c>
      <c r="U1223" t="s">
        <v>6557</v>
      </c>
      <c r="W1223" t="s">
        <v>247</v>
      </c>
      <c r="X1223">
        <v>1245</v>
      </c>
      <c r="Y1223" t="s">
        <v>6606</v>
      </c>
      <c r="Z1223" t="s">
        <v>6612</v>
      </c>
      <c r="AB1223" t="s">
        <v>7725</v>
      </c>
      <c r="AD1223" t="s">
        <v>10080</v>
      </c>
      <c r="AE1223">
        <v>61</v>
      </c>
      <c r="AF1223" t="s">
        <v>11005</v>
      </c>
      <c r="AG1223" t="s">
        <v>11022</v>
      </c>
      <c r="AH1223">
        <v>21</v>
      </c>
      <c r="AI1223">
        <v>1</v>
      </c>
      <c r="AJ1223">
        <v>1</v>
      </c>
      <c r="AK1223">
        <v>215.52</v>
      </c>
      <c r="AL1223" t="s">
        <v>366</v>
      </c>
      <c r="AN1223" t="s">
        <v>11050</v>
      </c>
      <c r="AO1223">
        <v>35000</v>
      </c>
      <c r="AU1223">
        <v>0.5</v>
      </c>
      <c r="AV1223" t="s">
        <v>310</v>
      </c>
      <c r="AW1223" t="s">
        <v>11499</v>
      </c>
    </row>
    <row r="1224" spans="1:49">
      <c r="A1224" s="1">
        <f>HYPERLINK("https://cms.ls-nyc.org/matter/dynamic-profile/view/1858760","18-1858760")</f>
        <v>0</v>
      </c>
      <c r="B1224" t="s">
        <v>90</v>
      </c>
      <c r="C1224" t="s">
        <v>235</v>
      </c>
      <c r="D1224" t="s">
        <v>248</v>
      </c>
      <c r="F1224" t="s">
        <v>1559</v>
      </c>
      <c r="G1224" t="s">
        <v>2840</v>
      </c>
      <c r="H1224" t="s">
        <v>4059</v>
      </c>
      <c r="I1224" t="s">
        <v>4791</v>
      </c>
      <c r="J1224" t="s">
        <v>5321</v>
      </c>
      <c r="K1224">
        <v>10452</v>
      </c>
      <c r="L1224" t="s">
        <v>5355</v>
      </c>
      <c r="M1224" t="s">
        <v>5356</v>
      </c>
      <c r="N1224" t="s">
        <v>5575</v>
      </c>
      <c r="O1224" t="s">
        <v>6499</v>
      </c>
      <c r="P1224" t="s">
        <v>6528</v>
      </c>
      <c r="R1224" t="s">
        <v>6539</v>
      </c>
      <c r="S1224" t="s">
        <v>5355</v>
      </c>
      <c r="U1224" t="s">
        <v>6557</v>
      </c>
      <c r="W1224" t="s">
        <v>573</v>
      </c>
      <c r="X1224">
        <v>0</v>
      </c>
      <c r="Y1224" t="s">
        <v>6606</v>
      </c>
      <c r="Z1224" t="s">
        <v>6612</v>
      </c>
      <c r="AB1224" t="s">
        <v>7683</v>
      </c>
      <c r="AD1224" t="s">
        <v>10044</v>
      </c>
      <c r="AE1224">
        <v>62</v>
      </c>
      <c r="AF1224" t="s">
        <v>11005</v>
      </c>
      <c r="AG1224" t="s">
        <v>5406</v>
      </c>
      <c r="AH1224">
        <v>0</v>
      </c>
      <c r="AI1224">
        <v>2</v>
      </c>
      <c r="AJ1224">
        <v>0</v>
      </c>
      <c r="AK1224">
        <v>216.67</v>
      </c>
      <c r="AN1224" t="s">
        <v>11049</v>
      </c>
      <c r="AO1224">
        <v>35664</v>
      </c>
      <c r="AU1224">
        <v>0</v>
      </c>
      <c r="AW1224" t="s">
        <v>59</v>
      </c>
    </row>
    <row r="1225" spans="1:49">
      <c r="A1225" s="1">
        <f>HYPERLINK("https://cms.ls-nyc.org/matter/dynamic-profile/view/1840512","17-1840512")</f>
        <v>0</v>
      </c>
      <c r="B1225" t="s">
        <v>129</v>
      </c>
      <c r="C1225" t="s">
        <v>234</v>
      </c>
      <c r="D1225" t="s">
        <v>441</v>
      </c>
      <c r="E1225" t="s">
        <v>778</v>
      </c>
      <c r="F1225" t="s">
        <v>1094</v>
      </c>
      <c r="G1225" t="s">
        <v>2867</v>
      </c>
      <c r="H1225" t="s">
        <v>3721</v>
      </c>
      <c r="I1225" t="s">
        <v>5098</v>
      </c>
      <c r="J1225" t="s">
        <v>5321</v>
      </c>
      <c r="K1225">
        <v>10453</v>
      </c>
      <c r="L1225" t="s">
        <v>5355</v>
      </c>
      <c r="M1225" t="s">
        <v>5356</v>
      </c>
      <c r="O1225" t="s">
        <v>6499</v>
      </c>
      <c r="P1225" t="s">
        <v>6528</v>
      </c>
      <c r="Q1225" t="s">
        <v>6536</v>
      </c>
      <c r="R1225" t="s">
        <v>6539</v>
      </c>
      <c r="S1225" t="s">
        <v>5355</v>
      </c>
      <c r="U1225" t="s">
        <v>6557</v>
      </c>
      <c r="W1225" t="s">
        <v>404</v>
      </c>
      <c r="X1225">
        <v>814.02</v>
      </c>
      <c r="Y1225" t="s">
        <v>6606</v>
      </c>
      <c r="Z1225" t="s">
        <v>6612</v>
      </c>
      <c r="AA1225" t="s">
        <v>6636</v>
      </c>
      <c r="AB1225" t="s">
        <v>7726</v>
      </c>
      <c r="AE1225">
        <v>170</v>
      </c>
      <c r="AF1225" t="s">
        <v>11005</v>
      </c>
      <c r="AG1225" t="s">
        <v>11024</v>
      </c>
      <c r="AH1225">
        <v>32</v>
      </c>
      <c r="AI1225">
        <v>1</v>
      </c>
      <c r="AJ1225">
        <v>0</v>
      </c>
      <c r="AK1225">
        <v>218.91</v>
      </c>
      <c r="AN1225" t="s">
        <v>11050</v>
      </c>
      <c r="AO1225">
        <v>26400</v>
      </c>
      <c r="AU1225">
        <v>0.1</v>
      </c>
      <c r="AV1225" t="s">
        <v>778</v>
      </c>
      <c r="AW1225" t="s">
        <v>11509</v>
      </c>
    </row>
    <row r="1226" spans="1:49">
      <c r="A1226" s="1">
        <f>HYPERLINK("https://cms.ls-nyc.org/matter/dynamic-profile/view/1842835","17-1842835")</f>
        <v>0</v>
      </c>
      <c r="B1226" t="s">
        <v>63</v>
      </c>
      <c r="C1226" t="s">
        <v>235</v>
      </c>
      <c r="D1226" t="s">
        <v>472</v>
      </c>
      <c r="F1226" t="s">
        <v>1585</v>
      </c>
      <c r="G1226" t="s">
        <v>2868</v>
      </c>
      <c r="H1226" t="s">
        <v>4105</v>
      </c>
      <c r="I1226" t="s">
        <v>5099</v>
      </c>
      <c r="J1226" t="s">
        <v>5322</v>
      </c>
      <c r="K1226">
        <v>10314</v>
      </c>
      <c r="L1226" t="s">
        <v>5355</v>
      </c>
      <c r="M1226" t="s">
        <v>5356</v>
      </c>
      <c r="N1226" t="s">
        <v>5572</v>
      </c>
      <c r="O1226" t="s">
        <v>6499</v>
      </c>
      <c r="P1226" t="s">
        <v>6528</v>
      </c>
      <c r="R1226" t="s">
        <v>6539</v>
      </c>
      <c r="S1226" t="s">
        <v>5355</v>
      </c>
      <c r="U1226" t="s">
        <v>6557</v>
      </c>
      <c r="W1226" t="s">
        <v>388</v>
      </c>
      <c r="X1226">
        <v>859</v>
      </c>
      <c r="Y1226" t="s">
        <v>6607</v>
      </c>
      <c r="Z1226" t="s">
        <v>6622</v>
      </c>
      <c r="AB1226" t="s">
        <v>7727</v>
      </c>
      <c r="AD1226" t="s">
        <v>10081</v>
      </c>
      <c r="AE1226">
        <v>96</v>
      </c>
      <c r="AF1226" t="s">
        <v>11005</v>
      </c>
      <c r="AG1226" t="s">
        <v>11024</v>
      </c>
      <c r="AH1226">
        <v>6</v>
      </c>
      <c r="AI1226">
        <v>1</v>
      </c>
      <c r="AJ1226">
        <v>0</v>
      </c>
      <c r="AK1226">
        <v>218.91</v>
      </c>
      <c r="AL1226" t="s">
        <v>6588</v>
      </c>
      <c r="AN1226" t="s">
        <v>11050</v>
      </c>
      <c r="AO1226">
        <v>26400</v>
      </c>
      <c r="AU1226">
        <v>0.6</v>
      </c>
      <c r="AV1226" t="s">
        <v>807</v>
      </c>
      <c r="AW1226" t="s">
        <v>140</v>
      </c>
    </row>
    <row r="1227" spans="1:49">
      <c r="A1227" s="1">
        <f>HYPERLINK("https://cms.ls-nyc.org/matter/dynamic-profile/view/1838959","17-1838959")</f>
        <v>0</v>
      </c>
      <c r="B1227" t="s">
        <v>129</v>
      </c>
      <c r="C1227" t="s">
        <v>235</v>
      </c>
      <c r="D1227" t="s">
        <v>446</v>
      </c>
      <c r="F1227" t="s">
        <v>1004</v>
      </c>
      <c r="G1227" t="s">
        <v>2444</v>
      </c>
      <c r="H1227" t="s">
        <v>3786</v>
      </c>
      <c r="I1227" t="s">
        <v>5100</v>
      </c>
      <c r="J1227" t="s">
        <v>5321</v>
      </c>
      <c r="K1227">
        <v>10473</v>
      </c>
      <c r="L1227" t="s">
        <v>5355</v>
      </c>
      <c r="M1227" t="s">
        <v>5356</v>
      </c>
      <c r="N1227" t="s">
        <v>5592</v>
      </c>
      <c r="O1227" t="s">
        <v>6499</v>
      </c>
      <c r="P1227" t="s">
        <v>6528</v>
      </c>
      <c r="R1227" t="s">
        <v>6539</v>
      </c>
      <c r="S1227" t="s">
        <v>5355</v>
      </c>
      <c r="U1227" t="s">
        <v>6557</v>
      </c>
      <c r="W1227" t="s">
        <v>6572</v>
      </c>
      <c r="X1227">
        <v>870</v>
      </c>
      <c r="Y1227" t="s">
        <v>6606</v>
      </c>
      <c r="Z1227" t="s">
        <v>6620</v>
      </c>
      <c r="AB1227" t="s">
        <v>7728</v>
      </c>
      <c r="AD1227" t="s">
        <v>10082</v>
      </c>
      <c r="AE1227">
        <v>976</v>
      </c>
      <c r="AF1227" t="s">
        <v>11005</v>
      </c>
      <c r="AG1227" t="s">
        <v>5406</v>
      </c>
      <c r="AH1227">
        <v>25</v>
      </c>
      <c r="AI1227">
        <v>2</v>
      </c>
      <c r="AJ1227">
        <v>1</v>
      </c>
      <c r="AK1227">
        <v>220.37</v>
      </c>
      <c r="AL1227" t="s">
        <v>578</v>
      </c>
      <c r="AN1227" t="s">
        <v>11050</v>
      </c>
      <c r="AO1227">
        <v>45000</v>
      </c>
      <c r="AU1227">
        <v>0</v>
      </c>
      <c r="AW1227" t="s">
        <v>11509</v>
      </c>
    </row>
    <row r="1228" spans="1:49">
      <c r="A1228" s="1">
        <f>HYPERLINK("https://cms.ls-nyc.org/matter/dynamic-profile/view/0768714","14-0768714")</f>
        <v>0</v>
      </c>
      <c r="B1228" t="s">
        <v>154</v>
      </c>
      <c r="C1228" t="s">
        <v>235</v>
      </c>
      <c r="D1228" t="s">
        <v>542</v>
      </c>
      <c r="F1228" t="s">
        <v>1270</v>
      </c>
      <c r="G1228" t="s">
        <v>2270</v>
      </c>
      <c r="H1228" t="s">
        <v>4106</v>
      </c>
      <c r="I1228" t="s">
        <v>5101</v>
      </c>
      <c r="J1228" t="s">
        <v>5320</v>
      </c>
      <c r="K1228">
        <v>11216</v>
      </c>
      <c r="L1228" t="s">
        <v>5355</v>
      </c>
      <c r="M1228" t="s">
        <v>5356</v>
      </c>
      <c r="N1228" t="s">
        <v>5620</v>
      </c>
      <c r="O1228" t="s">
        <v>6499</v>
      </c>
      <c r="P1228" t="s">
        <v>6528</v>
      </c>
      <c r="R1228" t="s">
        <v>6539</v>
      </c>
      <c r="T1228" t="s">
        <v>6544</v>
      </c>
      <c r="U1228" t="s">
        <v>6557</v>
      </c>
      <c r="W1228" t="s">
        <v>6583</v>
      </c>
      <c r="X1228">
        <v>0</v>
      </c>
      <c r="Y1228" t="s">
        <v>6605</v>
      </c>
      <c r="AA1228" t="s">
        <v>6643</v>
      </c>
      <c r="AB1228" t="s">
        <v>7004</v>
      </c>
      <c r="AE1228">
        <v>8</v>
      </c>
      <c r="AF1228" t="s">
        <v>11006</v>
      </c>
      <c r="AH1228">
        <v>49</v>
      </c>
      <c r="AI1228">
        <v>2</v>
      </c>
      <c r="AJ1228">
        <v>1</v>
      </c>
      <c r="AK1228">
        <v>221.45</v>
      </c>
      <c r="AL1228" t="s">
        <v>11029</v>
      </c>
      <c r="AO1228">
        <v>43824</v>
      </c>
      <c r="AU1228">
        <v>46.2</v>
      </c>
      <c r="AV1228" t="s">
        <v>702</v>
      </c>
      <c r="AW1228" t="s">
        <v>11544</v>
      </c>
    </row>
    <row r="1229" spans="1:49">
      <c r="A1229" s="1">
        <f>HYPERLINK("https://cms.ls-nyc.org/matter/dynamic-profile/view/1842824","17-1842824")</f>
        <v>0</v>
      </c>
      <c r="B1229" t="s">
        <v>63</v>
      </c>
      <c r="C1229" t="s">
        <v>235</v>
      </c>
      <c r="D1229" t="s">
        <v>472</v>
      </c>
      <c r="F1229" t="s">
        <v>838</v>
      </c>
      <c r="G1229" t="s">
        <v>2851</v>
      </c>
      <c r="H1229" t="s">
        <v>4057</v>
      </c>
      <c r="I1229" t="s">
        <v>5090</v>
      </c>
      <c r="J1229" t="s">
        <v>5322</v>
      </c>
      <c r="K1229">
        <v>10314</v>
      </c>
      <c r="L1229" t="s">
        <v>5355</v>
      </c>
      <c r="M1229" t="s">
        <v>5356</v>
      </c>
      <c r="N1229" t="s">
        <v>5572</v>
      </c>
      <c r="O1229" t="s">
        <v>6499</v>
      </c>
      <c r="P1229" t="s">
        <v>6528</v>
      </c>
      <c r="R1229" t="s">
        <v>6539</v>
      </c>
      <c r="S1229" t="s">
        <v>5355</v>
      </c>
      <c r="U1229" t="s">
        <v>6557</v>
      </c>
      <c r="W1229" t="s">
        <v>388</v>
      </c>
      <c r="X1229">
        <v>1120</v>
      </c>
      <c r="Y1229" t="s">
        <v>6607</v>
      </c>
      <c r="Z1229" t="s">
        <v>6614</v>
      </c>
      <c r="AB1229" t="s">
        <v>7702</v>
      </c>
      <c r="AD1229" t="s">
        <v>10061</v>
      </c>
      <c r="AE1229">
        <v>96</v>
      </c>
      <c r="AF1229" t="s">
        <v>11005</v>
      </c>
      <c r="AG1229" t="s">
        <v>5406</v>
      </c>
      <c r="AH1229">
        <v>8</v>
      </c>
      <c r="AI1229">
        <v>2</v>
      </c>
      <c r="AJ1229">
        <v>0</v>
      </c>
      <c r="AK1229">
        <v>221.67</v>
      </c>
      <c r="AL1229" t="s">
        <v>11034</v>
      </c>
      <c r="AN1229" t="s">
        <v>11050</v>
      </c>
      <c r="AO1229">
        <v>44365</v>
      </c>
      <c r="AU1229">
        <v>0.5</v>
      </c>
      <c r="AV1229" t="s">
        <v>11029</v>
      </c>
      <c r="AW1229" t="s">
        <v>140</v>
      </c>
    </row>
    <row r="1230" spans="1:49">
      <c r="A1230" s="1">
        <f>HYPERLINK("https://cms.ls-nyc.org/matter/dynamic-profile/view/1859052","18-1859052")</f>
        <v>0</v>
      </c>
      <c r="B1230" t="s">
        <v>129</v>
      </c>
      <c r="C1230" t="s">
        <v>234</v>
      </c>
      <c r="D1230" t="s">
        <v>424</v>
      </c>
      <c r="E1230" t="s">
        <v>600</v>
      </c>
      <c r="F1230" t="s">
        <v>1586</v>
      </c>
      <c r="G1230" t="s">
        <v>2340</v>
      </c>
      <c r="H1230" t="s">
        <v>4055</v>
      </c>
      <c r="I1230" t="s">
        <v>4840</v>
      </c>
      <c r="J1230" t="s">
        <v>5321</v>
      </c>
      <c r="K1230">
        <v>10468</v>
      </c>
      <c r="L1230" t="s">
        <v>5355</v>
      </c>
      <c r="M1230" t="s">
        <v>5356</v>
      </c>
      <c r="N1230" t="s">
        <v>5619</v>
      </c>
      <c r="O1230" t="s">
        <v>6499</v>
      </c>
      <c r="P1230" t="s">
        <v>6528</v>
      </c>
      <c r="Q1230" t="s">
        <v>6536</v>
      </c>
      <c r="R1230" t="s">
        <v>6539</v>
      </c>
      <c r="S1230" t="s">
        <v>5355</v>
      </c>
      <c r="U1230" t="s">
        <v>6557</v>
      </c>
      <c r="W1230" t="s">
        <v>236</v>
      </c>
      <c r="X1230">
        <v>2100</v>
      </c>
      <c r="Y1230" t="s">
        <v>6606</v>
      </c>
      <c r="Z1230" t="s">
        <v>6620</v>
      </c>
      <c r="AA1230" t="s">
        <v>6634</v>
      </c>
      <c r="AB1230" t="s">
        <v>7729</v>
      </c>
      <c r="AE1230">
        <v>47</v>
      </c>
      <c r="AF1230" t="s">
        <v>11005</v>
      </c>
      <c r="AG1230" t="s">
        <v>5406</v>
      </c>
      <c r="AH1230">
        <v>1</v>
      </c>
      <c r="AI1230">
        <v>6</v>
      </c>
      <c r="AJ1230">
        <v>1</v>
      </c>
      <c r="AK1230">
        <v>229.98</v>
      </c>
      <c r="AL1230" t="s">
        <v>463</v>
      </c>
      <c r="AN1230" t="s">
        <v>11049</v>
      </c>
      <c r="AO1230">
        <v>85416</v>
      </c>
      <c r="AU1230">
        <v>0.1</v>
      </c>
      <c r="AV1230" t="s">
        <v>600</v>
      </c>
      <c r="AW1230" t="s">
        <v>11492</v>
      </c>
    </row>
    <row r="1231" spans="1:49">
      <c r="A1231" s="1">
        <f>HYPERLINK("https://cms.ls-nyc.org/matter/dynamic-profile/view/0792003","15-0792003")</f>
        <v>0</v>
      </c>
      <c r="B1231" t="s">
        <v>52</v>
      </c>
      <c r="C1231" t="s">
        <v>234</v>
      </c>
      <c r="D1231" t="s">
        <v>543</v>
      </c>
      <c r="E1231" t="s">
        <v>780</v>
      </c>
      <c r="F1231" t="s">
        <v>1134</v>
      </c>
      <c r="G1231" t="s">
        <v>2812</v>
      </c>
      <c r="H1231" t="s">
        <v>4091</v>
      </c>
      <c r="I1231" t="s">
        <v>5065</v>
      </c>
      <c r="J1231" t="s">
        <v>5317</v>
      </c>
      <c r="K1231">
        <v>11435</v>
      </c>
      <c r="L1231" t="s">
        <v>5355</v>
      </c>
      <c r="M1231" t="s">
        <v>5355</v>
      </c>
      <c r="N1231" t="s">
        <v>5621</v>
      </c>
      <c r="O1231" t="s">
        <v>6499</v>
      </c>
      <c r="P1231" t="s">
        <v>6528</v>
      </c>
      <c r="Q1231" t="s">
        <v>6536</v>
      </c>
      <c r="R1231" t="s">
        <v>6539</v>
      </c>
      <c r="S1231" t="s">
        <v>5357</v>
      </c>
      <c r="T1231" t="s">
        <v>6547</v>
      </c>
      <c r="U1231" t="s">
        <v>6557</v>
      </c>
      <c r="V1231" t="s">
        <v>6566</v>
      </c>
      <c r="W1231" t="s">
        <v>262</v>
      </c>
      <c r="X1231">
        <v>1756.34</v>
      </c>
      <c r="Y1231" t="s">
        <v>6604</v>
      </c>
      <c r="Z1231" t="s">
        <v>6609</v>
      </c>
      <c r="AA1231" t="s">
        <v>6642</v>
      </c>
      <c r="AB1231" t="s">
        <v>7640</v>
      </c>
      <c r="AD1231" t="s">
        <v>10000</v>
      </c>
      <c r="AE1231">
        <v>112</v>
      </c>
      <c r="AF1231" t="s">
        <v>11005</v>
      </c>
      <c r="AG1231" t="s">
        <v>5406</v>
      </c>
      <c r="AH1231">
        <v>5</v>
      </c>
      <c r="AI1231">
        <v>2</v>
      </c>
      <c r="AJ1231">
        <v>0</v>
      </c>
      <c r="AK1231">
        <v>230.51</v>
      </c>
      <c r="AL1231" t="s">
        <v>11029</v>
      </c>
      <c r="AN1231" t="s">
        <v>11050</v>
      </c>
      <c r="AO1231">
        <v>36720</v>
      </c>
      <c r="AP1231" t="s">
        <v>11136</v>
      </c>
      <c r="AR1231" t="s">
        <v>6493</v>
      </c>
      <c r="AS1231" t="s">
        <v>11253</v>
      </c>
      <c r="AT1231" t="s">
        <v>11267</v>
      </c>
      <c r="AU1231">
        <v>53.95</v>
      </c>
      <c r="AV1231" t="s">
        <v>812</v>
      </c>
      <c r="AW1231" t="s">
        <v>149</v>
      </c>
    </row>
    <row r="1232" spans="1:49">
      <c r="A1232" s="1">
        <f>HYPERLINK("https://cms.ls-nyc.org/matter/dynamic-profile/view/1841513","17-1841513")</f>
        <v>0</v>
      </c>
      <c r="B1232" t="s">
        <v>111</v>
      </c>
      <c r="C1232" t="s">
        <v>235</v>
      </c>
      <c r="D1232" t="s">
        <v>410</v>
      </c>
      <c r="F1232" t="s">
        <v>1587</v>
      </c>
      <c r="G1232" t="s">
        <v>2869</v>
      </c>
      <c r="H1232" t="s">
        <v>3877</v>
      </c>
      <c r="I1232" t="s">
        <v>4868</v>
      </c>
      <c r="J1232" t="s">
        <v>5323</v>
      </c>
      <c r="K1232">
        <v>10034</v>
      </c>
      <c r="L1232" t="s">
        <v>5355</v>
      </c>
      <c r="M1232" t="s">
        <v>5356</v>
      </c>
      <c r="N1232" t="s">
        <v>5622</v>
      </c>
      <c r="O1232" t="s">
        <v>6494</v>
      </c>
      <c r="P1232" t="s">
        <v>6528</v>
      </c>
      <c r="R1232" t="s">
        <v>6539</v>
      </c>
      <c r="S1232" t="s">
        <v>5355</v>
      </c>
      <c r="U1232" t="s">
        <v>6557</v>
      </c>
      <c r="W1232" t="s">
        <v>404</v>
      </c>
      <c r="X1232">
        <v>1738.72</v>
      </c>
      <c r="Y1232" t="s">
        <v>6608</v>
      </c>
      <c r="Z1232" t="s">
        <v>6617</v>
      </c>
      <c r="AB1232" t="s">
        <v>7730</v>
      </c>
      <c r="AD1232" t="s">
        <v>10083</v>
      </c>
      <c r="AE1232">
        <v>48</v>
      </c>
      <c r="AF1232" t="s">
        <v>11005</v>
      </c>
      <c r="AG1232" t="s">
        <v>5406</v>
      </c>
      <c r="AH1232">
        <v>1</v>
      </c>
      <c r="AI1232">
        <v>1</v>
      </c>
      <c r="AJ1232">
        <v>0</v>
      </c>
      <c r="AK1232">
        <v>232.17</v>
      </c>
      <c r="AL1232" t="s">
        <v>11029</v>
      </c>
      <c r="AN1232" t="s">
        <v>11050</v>
      </c>
      <c r="AO1232">
        <v>28000</v>
      </c>
      <c r="AU1232">
        <v>39.35</v>
      </c>
      <c r="AV1232" t="s">
        <v>682</v>
      </c>
      <c r="AW1232" t="s">
        <v>11495</v>
      </c>
    </row>
    <row r="1233" spans="1:49">
      <c r="A1233" s="1">
        <f>HYPERLINK("https://cms.ls-nyc.org/matter/dynamic-profile/view/1840779","17-1840779")</f>
        <v>0</v>
      </c>
      <c r="B1233" t="s">
        <v>129</v>
      </c>
      <c r="C1233" t="s">
        <v>234</v>
      </c>
      <c r="D1233" t="s">
        <v>526</v>
      </c>
      <c r="E1233" t="s">
        <v>778</v>
      </c>
      <c r="F1233" t="s">
        <v>1048</v>
      </c>
      <c r="G1233" t="s">
        <v>2677</v>
      </c>
      <c r="H1233" t="s">
        <v>3721</v>
      </c>
      <c r="I1233" t="s">
        <v>4803</v>
      </c>
      <c r="J1233" t="s">
        <v>5321</v>
      </c>
      <c r="K1233">
        <v>10453</v>
      </c>
      <c r="L1233" t="s">
        <v>5355</v>
      </c>
      <c r="M1233" t="s">
        <v>5356</v>
      </c>
      <c r="O1233" t="s">
        <v>6499</v>
      </c>
      <c r="P1233" t="s">
        <v>6528</v>
      </c>
      <c r="Q1233" t="s">
        <v>6536</v>
      </c>
      <c r="R1233" t="s">
        <v>6539</v>
      </c>
      <c r="S1233" t="s">
        <v>5355</v>
      </c>
      <c r="U1233" t="s">
        <v>6557</v>
      </c>
      <c r="W1233" t="s">
        <v>404</v>
      </c>
      <c r="X1233">
        <v>1300</v>
      </c>
      <c r="Y1233" t="s">
        <v>6606</v>
      </c>
      <c r="Z1233" t="s">
        <v>6612</v>
      </c>
      <c r="AA1233" t="s">
        <v>6636</v>
      </c>
      <c r="AB1233" t="s">
        <v>7731</v>
      </c>
      <c r="AD1233" t="s">
        <v>10084</v>
      </c>
      <c r="AE1233">
        <v>170</v>
      </c>
      <c r="AF1233" t="s">
        <v>11005</v>
      </c>
      <c r="AG1233" t="s">
        <v>5406</v>
      </c>
      <c r="AH1233">
        <v>0</v>
      </c>
      <c r="AI1233">
        <v>2</v>
      </c>
      <c r="AJ1233">
        <v>0</v>
      </c>
      <c r="AK1233">
        <v>233.99</v>
      </c>
      <c r="AN1233" t="s">
        <v>11050</v>
      </c>
      <c r="AO1233">
        <v>38000</v>
      </c>
      <c r="AU1233">
        <v>0.1</v>
      </c>
      <c r="AV1233" t="s">
        <v>778</v>
      </c>
      <c r="AW1233" t="s">
        <v>11509</v>
      </c>
    </row>
    <row r="1234" spans="1:49">
      <c r="A1234" s="1">
        <f>HYPERLINK("https://cms.ls-nyc.org/matter/dynamic-profile/view/1836934","17-1836934")</f>
        <v>0</v>
      </c>
      <c r="B1234" t="s">
        <v>97</v>
      </c>
      <c r="C1234" t="s">
        <v>235</v>
      </c>
      <c r="D1234" t="s">
        <v>471</v>
      </c>
      <c r="F1234" t="s">
        <v>1588</v>
      </c>
      <c r="G1234" t="s">
        <v>2870</v>
      </c>
      <c r="H1234" t="s">
        <v>4107</v>
      </c>
      <c r="I1234" t="s">
        <v>4923</v>
      </c>
      <c r="J1234" t="s">
        <v>5323</v>
      </c>
      <c r="K1234">
        <v>10034</v>
      </c>
      <c r="L1234" t="s">
        <v>5355</v>
      </c>
      <c r="M1234" t="s">
        <v>5356</v>
      </c>
      <c r="O1234" t="s">
        <v>6499</v>
      </c>
      <c r="P1234" t="s">
        <v>6528</v>
      </c>
      <c r="R1234" t="s">
        <v>6539</v>
      </c>
      <c r="S1234" t="s">
        <v>5357</v>
      </c>
      <c r="U1234" t="s">
        <v>6557</v>
      </c>
      <c r="W1234" t="s">
        <v>404</v>
      </c>
      <c r="X1234">
        <v>1714</v>
      </c>
      <c r="Y1234" t="s">
        <v>6608</v>
      </c>
      <c r="Z1234" t="s">
        <v>6609</v>
      </c>
      <c r="AB1234" t="s">
        <v>7732</v>
      </c>
      <c r="AD1234" t="s">
        <v>10085</v>
      </c>
      <c r="AE1234">
        <v>110</v>
      </c>
      <c r="AF1234" t="s">
        <v>11005</v>
      </c>
      <c r="AG1234" t="s">
        <v>5406</v>
      </c>
      <c r="AH1234">
        <v>21</v>
      </c>
      <c r="AI1234">
        <v>1</v>
      </c>
      <c r="AJ1234">
        <v>1</v>
      </c>
      <c r="AK1234">
        <v>233.99</v>
      </c>
      <c r="AL1234" t="s">
        <v>373</v>
      </c>
      <c r="AN1234" t="s">
        <v>11050</v>
      </c>
      <c r="AO1234">
        <v>38000</v>
      </c>
      <c r="AU1234">
        <v>56.9</v>
      </c>
      <c r="AV1234" t="s">
        <v>449</v>
      </c>
      <c r="AW1234" t="s">
        <v>11519</v>
      </c>
    </row>
    <row r="1235" spans="1:49">
      <c r="A1235" s="1">
        <f>HYPERLINK("https://cms.ls-nyc.org/matter/dynamic-profile/view/1836130","17-1836130")</f>
        <v>0</v>
      </c>
      <c r="B1235" t="s">
        <v>111</v>
      </c>
      <c r="C1235" t="s">
        <v>235</v>
      </c>
      <c r="D1235" t="s">
        <v>450</v>
      </c>
      <c r="F1235" t="s">
        <v>1072</v>
      </c>
      <c r="G1235" t="s">
        <v>2871</v>
      </c>
      <c r="H1235" t="s">
        <v>4075</v>
      </c>
      <c r="I1235" t="s">
        <v>4811</v>
      </c>
      <c r="J1235" t="s">
        <v>5323</v>
      </c>
      <c r="K1235">
        <v>10040</v>
      </c>
      <c r="L1235" t="s">
        <v>5355</v>
      </c>
      <c r="M1235" t="s">
        <v>5356</v>
      </c>
      <c r="N1235" t="s">
        <v>5591</v>
      </c>
      <c r="O1235" t="s">
        <v>6494</v>
      </c>
      <c r="P1235" t="s">
        <v>6528</v>
      </c>
      <c r="R1235" t="s">
        <v>6539</v>
      </c>
      <c r="S1235" t="s">
        <v>5355</v>
      </c>
      <c r="U1235" t="s">
        <v>6557</v>
      </c>
      <c r="W1235" t="s">
        <v>6575</v>
      </c>
      <c r="X1235">
        <v>1231.45</v>
      </c>
      <c r="Y1235" t="s">
        <v>6608</v>
      </c>
      <c r="Z1235" t="s">
        <v>6622</v>
      </c>
      <c r="AB1235" t="s">
        <v>7733</v>
      </c>
      <c r="AD1235" t="s">
        <v>10086</v>
      </c>
      <c r="AE1235">
        <v>45</v>
      </c>
      <c r="AF1235" t="s">
        <v>11005</v>
      </c>
      <c r="AG1235" t="s">
        <v>5406</v>
      </c>
      <c r="AH1235">
        <v>13</v>
      </c>
      <c r="AI1235">
        <v>2</v>
      </c>
      <c r="AJ1235">
        <v>0</v>
      </c>
      <c r="AK1235">
        <v>235.99</v>
      </c>
      <c r="AL1235" t="s">
        <v>11035</v>
      </c>
      <c r="AN1235" t="s">
        <v>11049</v>
      </c>
      <c r="AO1235">
        <v>38324</v>
      </c>
      <c r="AU1235">
        <v>1.2</v>
      </c>
      <c r="AV1235" t="s">
        <v>768</v>
      </c>
      <c r="AW1235" t="s">
        <v>11497</v>
      </c>
    </row>
    <row r="1236" spans="1:49">
      <c r="A1236" s="1">
        <f>HYPERLINK("https://cms.ls-nyc.org/matter/dynamic-profile/view/1857551","18-1857551")</f>
        <v>0</v>
      </c>
      <c r="B1236" t="s">
        <v>104</v>
      </c>
      <c r="C1236" t="s">
        <v>235</v>
      </c>
      <c r="D1236" t="s">
        <v>397</v>
      </c>
      <c r="F1236" t="s">
        <v>1364</v>
      </c>
      <c r="G1236" t="s">
        <v>2872</v>
      </c>
      <c r="H1236" t="s">
        <v>4007</v>
      </c>
      <c r="I1236" t="s">
        <v>5102</v>
      </c>
      <c r="J1236" t="s">
        <v>5321</v>
      </c>
      <c r="K1236">
        <v>10452</v>
      </c>
      <c r="L1236" t="s">
        <v>5355</v>
      </c>
      <c r="M1236" t="s">
        <v>5356</v>
      </c>
      <c r="N1236" t="s">
        <v>5571</v>
      </c>
      <c r="O1236" t="s">
        <v>6499</v>
      </c>
      <c r="P1236" t="s">
        <v>6528</v>
      </c>
      <c r="R1236" t="s">
        <v>6539</v>
      </c>
      <c r="S1236" t="s">
        <v>5355</v>
      </c>
      <c r="U1236" t="s">
        <v>6557</v>
      </c>
      <c r="W1236" t="s">
        <v>516</v>
      </c>
      <c r="X1236">
        <v>818.46</v>
      </c>
      <c r="Y1236" t="s">
        <v>6606</v>
      </c>
      <c r="Z1236" t="s">
        <v>6612</v>
      </c>
      <c r="AB1236" t="s">
        <v>7734</v>
      </c>
      <c r="AD1236" t="s">
        <v>10087</v>
      </c>
      <c r="AE1236">
        <v>122</v>
      </c>
      <c r="AF1236" t="s">
        <v>11005</v>
      </c>
      <c r="AG1236" t="s">
        <v>5406</v>
      </c>
      <c r="AH1236">
        <v>25</v>
      </c>
      <c r="AI1236">
        <v>3</v>
      </c>
      <c r="AJ1236">
        <v>0</v>
      </c>
      <c r="AK1236">
        <v>240.62</v>
      </c>
      <c r="AN1236" t="s">
        <v>11050</v>
      </c>
      <c r="AO1236">
        <v>50000</v>
      </c>
      <c r="AP1236" t="s">
        <v>11145</v>
      </c>
      <c r="AU1236">
        <v>0.1</v>
      </c>
      <c r="AV1236" t="s">
        <v>732</v>
      </c>
      <c r="AW1236" t="s">
        <v>11492</v>
      </c>
    </row>
    <row r="1237" spans="1:49">
      <c r="A1237" s="1">
        <f>HYPERLINK("https://cms.ls-nyc.org/matter/dynamic-profile/view/1872188","18-1872188")</f>
        <v>0</v>
      </c>
      <c r="B1237" t="s">
        <v>106</v>
      </c>
      <c r="C1237" t="s">
        <v>235</v>
      </c>
      <c r="D1237" t="s">
        <v>516</v>
      </c>
      <c r="F1237" t="s">
        <v>1405</v>
      </c>
      <c r="G1237" t="s">
        <v>2168</v>
      </c>
      <c r="H1237" t="s">
        <v>4062</v>
      </c>
      <c r="I1237" t="s">
        <v>5103</v>
      </c>
      <c r="J1237" t="s">
        <v>5321</v>
      </c>
      <c r="K1237">
        <v>10452</v>
      </c>
      <c r="L1237" t="s">
        <v>5355</v>
      </c>
      <c r="M1237" t="s">
        <v>5356</v>
      </c>
      <c r="O1237" t="s">
        <v>6499</v>
      </c>
      <c r="P1237" t="s">
        <v>6528</v>
      </c>
      <c r="R1237" t="s">
        <v>6539</v>
      </c>
      <c r="S1237" t="s">
        <v>5355</v>
      </c>
      <c r="U1237" t="s">
        <v>6557</v>
      </c>
      <c r="W1237" t="s">
        <v>516</v>
      </c>
      <c r="X1237">
        <v>843</v>
      </c>
      <c r="Y1237" t="s">
        <v>6606</v>
      </c>
      <c r="Z1237" t="s">
        <v>6612</v>
      </c>
      <c r="AB1237" t="s">
        <v>7735</v>
      </c>
      <c r="AD1237" t="s">
        <v>10088</v>
      </c>
      <c r="AE1237">
        <v>0</v>
      </c>
      <c r="AF1237" t="s">
        <v>11005</v>
      </c>
      <c r="AG1237" t="s">
        <v>5406</v>
      </c>
      <c r="AH1237">
        <v>24</v>
      </c>
      <c r="AI1237">
        <v>3</v>
      </c>
      <c r="AJ1237">
        <v>0</v>
      </c>
      <c r="AK1237">
        <v>240.62</v>
      </c>
      <c r="AN1237" t="s">
        <v>11049</v>
      </c>
      <c r="AO1237">
        <v>50000</v>
      </c>
      <c r="AU1237">
        <v>0</v>
      </c>
      <c r="AW1237" t="s">
        <v>11499</v>
      </c>
    </row>
    <row r="1238" spans="1:49">
      <c r="A1238" s="1">
        <f>HYPERLINK("https://cms.ls-nyc.org/matter/dynamic-profile/view/1840750","17-1840750")</f>
        <v>0</v>
      </c>
      <c r="B1238" t="s">
        <v>129</v>
      </c>
      <c r="C1238" t="s">
        <v>234</v>
      </c>
      <c r="D1238" t="s">
        <v>526</v>
      </c>
      <c r="E1238" t="s">
        <v>778</v>
      </c>
      <c r="F1238" t="s">
        <v>1589</v>
      </c>
      <c r="G1238" t="s">
        <v>2187</v>
      </c>
      <c r="H1238" t="s">
        <v>3721</v>
      </c>
      <c r="I1238" t="s">
        <v>5104</v>
      </c>
      <c r="J1238" t="s">
        <v>5321</v>
      </c>
      <c r="K1238">
        <v>10453</v>
      </c>
      <c r="L1238" t="s">
        <v>5355</v>
      </c>
      <c r="M1238" t="s">
        <v>5356</v>
      </c>
      <c r="O1238" t="s">
        <v>6499</v>
      </c>
      <c r="P1238" t="s">
        <v>6528</v>
      </c>
      <c r="Q1238" t="s">
        <v>6536</v>
      </c>
      <c r="R1238" t="s">
        <v>6539</v>
      </c>
      <c r="S1238" t="s">
        <v>5355</v>
      </c>
      <c r="U1238" t="s">
        <v>6557</v>
      </c>
      <c r="W1238" t="s">
        <v>404</v>
      </c>
      <c r="X1238">
        <v>920.48</v>
      </c>
      <c r="Y1238" t="s">
        <v>6606</v>
      </c>
      <c r="Z1238" t="s">
        <v>6612</v>
      </c>
      <c r="AA1238" t="s">
        <v>6636</v>
      </c>
      <c r="AB1238" t="s">
        <v>7736</v>
      </c>
      <c r="AE1238">
        <v>170</v>
      </c>
      <c r="AF1238" t="s">
        <v>11005</v>
      </c>
      <c r="AG1238" t="s">
        <v>5406</v>
      </c>
      <c r="AH1238">
        <v>39</v>
      </c>
      <c r="AI1238">
        <v>4</v>
      </c>
      <c r="AJ1238">
        <v>0</v>
      </c>
      <c r="AK1238">
        <v>243.09</v>
      </c>
      <c r="AN1238" t="s">
        <v>11049</v>
      </c>
      <c r="AO1238">
        <v>119600</v>
      </c>
      <c r="AU1238">
        <v>0.1</v>
      </c>
      <c r="AV1238" t="s">
        <v>778</v>
      </c>
      <c r="AW1238" t="s">
        <v>11509</v>
      </c>
    </row>
    <row r="1239" spans="1:49">
      <c r="A1239" s="1">
        <f>HYPERLINK("https://cms.ls-nyc.org/matter/dynamic-profile/view/1854899","17-1854899")</f>
        <v>0</v>
      </c>
      <c r="B1239" t="s">
        <v>90</v>
      </c>
      <c r="C1239" t="s">
        <v>235</v>
      </c>
      <c r="D1239" t="s">
        <v>469</v>
      </c>
      <c r="F1239" t="s">
        <v>1121</v>
      </c>
      <c r="G1239" t="s">
        <v>2873</v>
      </c>
      <c r="H1239" t="s">
        <v>4059</v>
      </c>
      <c r="I1239" t="s">
        <v>4746</v>
      </c>
      <c r="J1239" t="s">
        <v>5321</v>
      </c>
      <c r="K1239">
        <v>10452</v>
      </c>
      <c r="L1239" t="s">
        <v>5355</v>
      </c>
      <c r="M1239" t="s">
        <v>5356</v>
      </c>
      <c r="N1239" t="s">
        <v>5574</v>
      </c>
      <c r="O1239" t="s">
        <v>6499</v>
      </c>
      <c r="P1239" t="s">
        <v>6528</v>
      </c>
      <c r="R1239" t="s">
        <v>6539</v>
      </c>
      <c r="S1239" t="s">
        <v>5355</v>
      </c>
      <c r="U1239" t="s">
        <v>6557</v>
      </c>
      <c r="W1239" t="s">
        <v>247</v>
      </c>
      <c r="X1239">
        <v>814.37</v>
      </c>
      <c r="Y1239" t="s">
        <v>6606</v>
      </c>
      <c r="Z1239" t="s">
        <v>6612</v>
      </c>
      <c r="AB1239" t="s">
        <v>7737</v>
      </c>
      <c r="AD1239" t="s">
        <v>10089</v>
      </c>
      <c r="AE1239">
        <v>62</v>
      </c>
      <c r="AF1239" t="s">
        <v>11005</v>
      </c>
      <c r="AG1239" t="s">
        <v>5406</v>
      </c>
      <c r="AH1239">
        <v>42</v>
      </c>
      <c r="AI1239">
        <v>3</v>
      </c>
      <c r="AJ1239">
        <v>0</v>
      </c>
      <c r="AK1239">
        <v>244.86</v>
      </c>
      <c r="AN1239" t="s">
        <v>11050</v>
      </c>
      <c r="AO1239">
        <v>75000</v>
      </c>
      <c r="AU1239">
        <v>0.4</v>
      </c>
      <c r="AV1239" t="s">
        <v>469</v>
      </c>
      <c r="AW1239" t="s">
        <v>59</v>
      </c>
    </row>
    <row r="1240" spans="1:49">
      <c r="A1240" s="1">
        <f>HYPERLINK("https://cms.ls-nyc.org/matter/dynamic-profile/view/1855293","18-1855293")</f>
        <v>0</v>
      </c>
      <c r="B1240" t="s">
        <v>90</v>
      </c>
      <c r="C1240" t="s">
        <v>235</v>
      </c>
      <c r="D1240" t="s">
        <v>351</v>
      </c>
      <c r="F1240" t="s">
        <v>1121</v>
      </c>
      <c r="G1240" t="s">
        <v>2873</v>
      </c>
      <c r="H1240" t="s">
        <v>4059</v>
      </c>
      <c r="I1240" t="s">
        <v>4746</v>
      </c>
      <c r="J1240" t="s">
        <v>5321</v>
      </c>
      <c r="K1240">
        <v>10452</v>
      </c>
      <c r="L1240" t="s">
        <v>5355</v>
      </c>
      <c r="M1240" t="s">
        <v>5356</v>
      </c>
      <c r="N1240" t="s">
        <v>5575</v>
      </c>
      <c r="O1240" t="s">
        <v>6499</v>
      </c>
      <c r="P1240" t="s">
        <v>6528</v>
      </c>
      <c r="R1240" t="s">
        <v>6539</v>
      </c>
      <c r="S1240" t="s">
        <v>5355</v>
      </c>
      <c r="U1240" t="s">
        <v>6557</v>
      </c>
      <c r="W1240" t="s">
        <v>247</v>
      </c>
      <c r="X1240">
        <v>814.37</v>
      </c>
      <c r="Y1240" t="s">
        <v>6606</v>
      </c>
      <c r="Z1240" t="s">
        <v>6612</v>
      </c>
      <c r="AB1240" t="s">
        <v>7737</v>
      </c>
      <c r="AD1240" t="s">
        <v>10089</v>
      </c>
      <c r="AE1240">
        <v>62</v>
      </c>
      <c r="AF1240" t="s">
        <v>11005</v>
      </c>
      <c r="AG1240" t="s">
        <v>5406</v>
      </c>
      <c r="AH1240">
        <v>42</v>
      </c>
      <c r="AI1240">
        <v>3</v>
      </c>
      <c r="AJ1240">
        <v>0</v>
      </c>
      <c r="AK1240">
        <v>244.86</v>
      </c>
      <c r="AN1240" t="s">
        <v>11050</v>
      </c>
      <c r="AO1240">
        <v>75000</v>
      </c>
      <c r="AU1240">
        <v>0</v>
      </c>
      <c r="AW1240" t="s">
        <v>11509</v>
      </c>
    </row>
    <row r="1241" spans="1:49">
      <c r="A1241" s="1">
        <f>HYPERLINK("https://cms.ls-nyc.org/matter/dynamic-profile/view/1868952","18-1868952")</f>
        <v>0</v>
      </c>
      <c r="B1241" t="s">
        <v>172</v>
      </c>
      <c r="C1241" t="s">
        <v>235</v>
      </c>
      <c r="D1241" t="s">
        <v>345</v>
      </c>
      <c r="F1241" t="s">
        <v>1048</v>
      </c>
      <c r="G1241" t="s">
        <v>2874</v>
      </c>
      <c r="H1241" t="s">
        <v>4099</v>
      </c>
      <c r="I1241" t="s">
        <v>4778</v>
      </c>
      <c r="J1241" t="s">
        <v>5323</v>
      </c>
      <c r="K1241">
        <v>10034</v>
      </c>
      <c r="L1241" t="s">
        <v>5355</v>
      </c>
      <c r="M1241" t="s">
        <v>5356</v>
      </c>
      <c r="N1241" t="s">
        <v>5611</v>
      </c>
      <c r="O1241" t="s">
        <v>6499</v>
      </c>
      <c r="P1241" t="s">
        <v>6528</v>
      </c>
      <c r="R1241" t="s">
        <v>6539</v>
      </c>
      <c r="S1241" t="s">
        <v>5355</v>
      </c>
      <c r="U1241" t="s">
        <v>6557</v>
      </c>
      <c r="W1241" t="s">
        <v>345</v>
      </c>
      <c r="X1241">
        <v>2025</v>
      </c>
      <c r="Y1241" t="s">
        <v>6608</v>
      </c>
      <c r="Z1241" t="s">
        <v>6616</v>
      </c>
      <c r="AB1241" t="s">
        <v>7738</v>
      </c>
      <c r="AD1241" t="s">
        <v>10090</v>
      </c>
      <c r="AE1241">
        <v>72</v>
      </c>
      <c r="AF1241" t="s">
        <v>11005</v>
      </c>
      <c r="AG1241" t="s">
        <v>5406</v>
      </c>
      <c r="AH1241">
        <v>8</v>
      </c>
      <c r="AI1241">
        <v>1</v>
      </c>
      <c r="AJ1241">
        <v>2</v>
      </c>
      <c r="AK1241">
        <v>245.43</v>
      </c>
      <c r="AN1241" t="s">
        <v>11050</v>
      </c>
      <c r="AO1241">
        <v>51000</v>
      </c>
      <c r="AU1241">
        <v>0</v>
      </c>
      <c r="AW1241" t="s">
        <v>11495</v>
      </c>
    </row>
    <row r="1242" spans="1:49">
      <c r="A1242" s="1">
        <f>HYPERLINK("https://cms.ls-nyc.org/matter/dynamic-profile/view/1868956","18-1868956")</f>
        <v>0</v>
      </c>
      <c r="B1242" t="s">
        <v>172</v>
      </c>
      <c r="C1242" t="s">
        <v>235</v>
      </c>
      <c r="D1242" t="s">
        <v>345</v>
      </c>
      <c r="F1242" t="s">
        <v>1048</v>
      </c>
      <c r="G1242" t="s">
        <v>2874</v>
      </c>
      <c r="H1242" t="s">
        <v>4099</v>
      </c>
      <c r="I1242" t="s">
        <v>4778</v>
      </c>
      <c r="J1242" t="s">
        <v>5323</v>
      </c>
      <c r="K1242">
        <v>10034</v>
      </c>
      <c r="L1242" t="s">
        <v>5355</v>
      </c>
      <c r="M1242" t="s">
        <v>5356</v>
      </c>
      <c r="N1242" t="s">
        <v>5612</v>
      </c>
      <c r="O1242" t="s">
        <v>6499</v>
      </c>
      <c r="P1242" t="s">
        <v>6528</v>
      </c>
      <c r="R1242" t="s">
        <v>6539</v>
      </c>
      <c r="S1242" t="s">
        <v>5355</v>
      </c>
      <c r="U1242" t="s">
        <v>6557</v>
      </c>
      <c r="W1242" t="s">
        <v>345</v>
      </c>
      <c r="X1242">
        <v>2025</v>
      </c>
      <c r="Y1242" t="s">
        <v>6608</v>
      </c>
      <c r="Z1242" t="s">
        <v>6616</v>
      </c>
      <c r="AB1242" t="s">
        <v>7738</v>
      </c>
      <c r="AD1242" t="s">
        <v>10090</v>
      </c>
      <c r="AE1242">
        <v>72</v>
      </c>
      <c r="AF1242" t="s">
        <v>11005</v>
      </c>
      <c r="AG1242" t="s">
        <v>5406</v>
      </c>
      <c r="AH1242">
        <v>8</v>
      </c>
      <c r="AI1242">
        <v>1</v>
      </c>
      <c r="AJ1242">
        <v>2</v>
      </c>
      <c r="AK1242">
        <v>245.43</v>
      </c>
      <c r="AN1242" t="s">
        <v>11050</v>
      </c>
      <c r="AO1242">
        <v>51000</v>
      </c>
      <c r="AU1242">
        <v>0</v>
      </c>
      <c r="AW1242" t="s">
        <v>11495</v>
      </c>
    </row>
    <row r="1243" spans="1:49">
      <c r="A1243" s="1">
        <f>HYPERLINK("https://cms.ls-nyc.org/matter/dynamic-profile/view/1887835","19-1887835")</f>
        <v>0</v>
      </c>
      <c r="B1243" t="s">
        <v>135</v>
      </c>
      <c r="C1243" t="s">
        <v>235</v>
      </c>
      <c r="D1243" t="s">
        <v>513</v>
      </c>
      <c r="F1243" t="s">
        <v>1590</v>
      </c>
      <c r="G1243" t="s">
        <v>2875</v>
      </c>
      <c r="H1243" t="s">
        <v>3735</v>
      </c>
      <c r="I1243" t="s">
        <v>5105</v>
      </c>
      <c r="J1243" t="s">
        <v>5320</v>
      </c>
      <c r="K1243">
        <v>11225</v>
      </c>
      <c r="L1243" t="s">
        <v>5355</v>
      </c>
      <c r="M1243" t="s">
        <v>5356</v>
      </c>
      <c r="O1243" t="s">
        <v>6507</v>
      </c>
      <c r="P1243" t="s">
        <v>6528</v>
      </c>
      <c r="R1243" t="s">
        <v>6539</v>
      </c>
      <c r="S1243" t="s">
        <v>5355</v>
      </c>
      <c r="U1243" t="s">
        <v>6557</v>
      </c>
      <c r="W1243" t="s">
        <v>523</v>
      </c>
      <c r="X1243">
        <v>1895</v>
      </c>
      <c r="Y1243" t="s">
        <v>6605</v>
      </c>
      <c r="Z1243" t="s">
        <v>6622</v>
      </c>
      <c r="AB1243" t="s">
        <v>7739</v>
      </c>
      <c r="AD1243" t="s">
        <v>10091</v>
      </c>
      <c r="AE1243">
        <v>0</v>
      </c>
      <c r="AF1243" t="s">
        <v>11005</v>
      </c>
      <c r="AG1243" t="s">
        <v>5406</v>
      </c>
      <c r="AH1243">
        <v>1</v>
      </c>
      <c r="AI1243">
        <v>1</v>
      </c>
      <c r="AJ1243">
        <v>0</v>
      </c>
      <c r="AK1243">
        <v>247.12</v>
      </c>
      <c r="AN1243" t="s">
        <v>11050</v>
      </c>
      <c r="AO1243">
        <v>30000</v>
      </c>
      <c r="AU1243">
        <v>0</v>
      </c>
      <c r="AW1243" t="s">
        <v>11516</v>
      </c>
    </row>
    <row r="1244" spans="1:49">
      <c r="A1244" s="1">
        <f>HYPERLINK("https://cms.ls-nyc.org/matter/dynamic-profile/view/1842902","17-1842902")</f>
        <v>0</v>
      </c>
      <c r="B1244" t="s">
        <v>63</v>
      </c>
      <c r="C1244" t="s">
        <v>235</v>
      </c>
      <c r="D1244" t="s">
        <v>472</v>
      </c>
      <c r="F1244" t="s">
        <v>1355</v>
      </c>
      <c r="G1244" t="s">
        <v>2876</v>
      </c>
      <c r="H1244" t="s">
        <v>4057</v>
      </c>
      <c r="I1244" t="s">
        <v>5106</v>
      </c>
      <c r="J1244" t="s">
        <v>5322</v>
      </c>
      <c r="K1244">
        <v>10314</v>
      </c>
      <c r="L1244" t="s">
        <v>5355</v>
      </c>
      <c r="M1244" t="s">
        <v>5356</v>
      </c>
      <c r="N1244" t="s">
        <v>5601</v>
      </c>
      <c r="O1244" t="s">
        <v>6499</v>
      </c>
      <c r="P1244" t="s">
        <v>6528</v>
      </c>
      <c r="R1244" t="s">
        <v>6539</v>
      </c>
      <c r="S1244" t="s">
        <v>5355</v>
      </c>
      <c r="U1244" t="s">
        <v>6557</v>
      </c>
      <c r="W1244" t="s">
        <v>388</v>
      </c>
      <c r="X1244">
        <v>1439</v>
      </c>
      <c r="Y1244" t="s">
        <v>6607</v>
      </c>
      <c r="Z1244" t="s">
        <v>6622</v>
      </c>
      <c r="AB1244" t="s">
        <v>7740</v>
      </c>
      <c r="AD1244" t="s">
        <v>10092</v>
      </c>
      <c r="AE1244">
        <v>96</v>
      </c>
      <c r="AF1244" t="s">
        <v>11005</v>
      </c>
      <c r="AG1244" t="s">
        <v>11024</v>
      </c>
      <c r="AH1244">
        <v>7</v>
      </c>
      <c r="AI1244">
        <v>1</v>
      </c>
      <c r="AJ1244">
        <v>0</v>
      </c>
      <c r="AK1244">
        <v>248.76</v>
      </c>
      <c r="AL1244" t="s">
        <v>11034</v>
      </c>
      <c r="AN1244" t="s">
        <v>11050</v>
      </c>
      <c r="AO1244">
        <v>30000</v>
      </c>
      <c r="AU1244">
        <v>0.6</v>
      </c>
      <c r="AV1244" t="s">
        <v>807</v>
      </c>
      <c r="AW1244" t="s">
        <v>62</v>
      </c>
    </row>
    <row r="1245" spans="1:49">
      <c r="A1245" s="1">
        <f>HYPERLINK("https://cms.ls-nyc.org/matter/dynamic-profile/view/1842817","17-1842817")</f>
        <v>0</v>
      </c>
      <c r="B1245" t="s">
        <v>63</v>
      </c>
      <c r="C1245" t="s">
        <v>235</v>
      </c>
      <c r="D1245" t="s">
        <v>472</v>
      </c>
      <c r="F1245" t="s">
        <v>961</v>
      </c>
      <c r="G1245" t="s">
        <v>2877</v>
      </c>
      <c r="H1245" t="s">
        <v>4108</v>
      </c>
      <c r="I1245" t="s">
        <v>5107</v>
      </c>
      <c r="J1245" t="s">
        <v>5322</v>
      </c>
      <c r="K1245">
        <v>10314</v>
      </c>
      <c r="L1245" t="s">
        <v>5355</v>
      </c>
      <c r="M1245" t="s">
        <v>5356</v>
      </c>
      <c r="N1245" t="s">
        <v>5572</v>
      </c>
      <c r="O1245" t="s">
        <v>6499</v>
      </c>
      <c r="P1245" t="s">
        <v>6528</v>
      </c>
      <c r="R1245" t="s">
        <v>6539</v>
      </c>
      <c r="S1245" t="s">
        <v>5355</v>
      </c>
      <c r="U1245" t="s">
        <v>6557</v>
      </c>
      <c r="W1245" t="s">
        <v>388</v>
      </c>
      <c r="X1245">
        <v>907</v>
      </c>
      <c r="Y1245" t="s">
        <v>6607</v>
      </c>
      <c r="Z1245" t="s">
        <v>6614</v>
      </c>
      <c r="AB1245" t="s">
        <v>7741</v>
      </c>
      <c r="AD1245" t="s">
        <v>10093</v>
      </c>
      <c r="AE1245">
        <v>96</v>
      </c>
      <c r="AF1245" t="s">
        <v>11005</v>
      </c>
      <c r="AG1245" t="s">
        <v>5406</v>
      </c>
      <c r="AH1245">
        <v>3</v>
      </c>
      <c r="AI1245">
        <v>1</v>
      </c>
      <c r="AJ1245">
        <v>0</v>
      </c>
      <c r="AK1245">
        <v>250.85</v>
      </c>
      <c r="AL1245" t="s">
        <v>11034</v>
      </c>
      <c r="AN1245" t="s">
        <v>11050</v>
      </c>
      <c r="AO1245">
        <v>30252</v>
      </c>
      <c r="AU1245">
        <v>12.4</v>
      </c>
      <c r="AV1245" t="s">
        <v>11029</v>
      </c>
      <c r="AW1245" t="s">
        <v>140</v>
      </c>
    </row>
    <row r="1246" spans="1:49">
      <c r="A1246" s="1">
        <f>HYPERLINK("https://cms.ls-nyc.org/matter/dynamic-profile/view/1840694","17-1840694")</f>
        <v>0</v>
      </c>
      <c r="B1246" t="s">
        <v>129</v>
      </c>
      <c r="C1246" t="s">
        <v>234</v>
      </c>
      <c r="D1246" t="s">
        <v>348</v>
      </c>
      <c r="E1246" t="s">
        <v>778</v>
      </c>
      <c r="F1246" t="s">
        <v>1591</v>
      </c>
      <c r="G1246" t="s">
        <v>2105</v>
      </c>
      <c r="H1246" t="s">
        <v>3721</v>
      </c>
      <c r="I1246" t="s">
        <v>5108</v>
      </c>
      <c r="J1246" t="s">
        <v>5321</v>
      </c>
      <c r="K1246">
        <v>10453</v>
      </c>
      <c r="L1246" t="s">
        <v>5355</v>
      </c>
      <c r="M1246" t="s">
        <v>5356</v>
      </c>
      <c r="O1246" t="s">
        <v>6499</v>
      </c>
      <c r="P1246" t="s">
        <v>6528</v>
      </c>
      <c r="Q1246" t="s">
        <v>6536</v>
      </c>
      <c r="R1246" t="s">
        <v>6539</v>
      </c>
      <c r="S1246" t="s">
        <v>5355</v>
      </c>
      <c r="U1246" t="s">
        <v>6557</v>
      </c>
      <c r="W1246" t="s">
        <v>6572</v>
      </c>
      <c r="X1246">
        <v>898.79</v>
      </c>
      <c r="Y1246" t="s">
        <v>6606</v>
      </c>
      <c r="Z1246" t="s">
        <v>6612</v>
      </c>
      <c r="AA1246" t="s">
        <v>6636</v>
      </c>
      <c r="AB1246" t="s">
        <v>7742</v>
      </c>
      <c r="AD1246" t="s">
        <v>10094</v>
      </c>
      <c r="AE1246">
        <v>170</v>
      </c>
      <c r="AF1246" t="s">
        <v>11005</v>
      </c>
      <c r="AG1246" t="s">
        <v>5406</v>
      </c>
      <c r="AH1246">
        <v>8</v>
      </c>
      <c r="AI1246">
        <v>2</v>
      </c>
      <c r="AJ1246">
        <v>0</v>
      </c>
      <c r="AK1246">
        <v>252.16</v>
      </c>
      <c r="AN1246" t="s">
        <v>11050</v>
      </c>
      <c r="AO1246">
        <v>53950</v>
      </c>
      <c r="AU1246">
        <v>0.3</v>
      </c>
      <c r="AV1246" t="s">
        <v>778</v>
      </c>
      <c r="AW1246" t="s">
        <v>11509</v>
      </c>
    </row>
    <row r="1247" spans="1:49">
      <c r="A1247" s="1">
        <f>HYPERLINK("https://cms.ls-nyc.org/matter/dynamic-profile/view/1857053","18-1857053")</f>
        <v>0</v>
      </c>
      <c r="B1247" t="s">
        <v>58</v>
      </c>
      <c r="C1247" t="s">
        <v>235</v>
      </c>
      <c r="D1247" t="s">
        <v>286</v>
      </c>
      <c r="F1247" t="s">
        <v>1094</v>
      </c>
      <c r="G1247" t="s">
        <v>2878</v>
      </c>
      <c r="H1247" t="s">
        <v>4007</v>
      </c>
      <c r="I1247" t="s">
        <v>5109</v>
      </c>
      <c r="J1247" t="s">
        <v>5321</v>
      </c>
      <c r="K1247">
        <v>10452</v>
      </c>
      <c r="L1247" t="s">
        <v>5355</v>
      </c>
      <c r="M1247" t="s">
        <v>5356</v>
      </c>
      <c r="N1247" t="s">
        <v>5587</v>
      </c>
      <c r="O1247" t="s">
        <v>6499</v>
      </c>
      <c r="P1247" t="s">
        <v>6528</v>
      </c>
      <c r="R1247" t="s">
        <v>6539</v>
      </c>
      <c r="S1247" t="s">
        <v>5355</v>
      </c>
      <c r="U1247" t="s">
        <v>6557</v>
      </c>
      <c r="W1247" t="s">
        <v>6592</v>
      </c>
      <c r="X1247">
        <v>799.6</v>
      </c>
      <c r="Y1247" t="s">
        <v>6606</v>
      </c>
      <c r="Z1247" t="s">
        <v>6612</v>
      </c>
      <c r="AB1247" t="s">
        <v>7743</v>
      </c>
      <c r="AD1247" t="s">
        <v>10095</v>
      </c>
      <c r="AE1247">
        <v>122</v>
      </c>
      <c r="AF1247" t="s">
        <v>11005</v>
      </c>
      <c r="AG1247" t="s">
        <v>5406</v>
      </c>
      <c r="AH1247">
        <v>24</v>
      </c>
      <c r="AI1247">
        <v>1</v>
      </c>
      <c r="AJ1247">
        <v>0</v>
      </c>
      <c r="AK1247">
        <v>254.13</v>
      </c>
      <c r="AN1247" t="s">
        <v>11050</v>
      </c>
      <c r="AO1247">
        <v>30648</v>
      </c>
      <c r="AU1247">
        <v>0</v>
      </c>
      <c r="AW1247" t="s">
        <v>11492</v>
      </c>
    </row>
    <row r="1248" spans="1:49">
      <c r="A1248" s="1">
        <f>HYPERLINK("https://cms.ls-nyc.org/matter/dynamic-profile/view/1854707","17-1854707")</f>
        <v>0</v>
      </c>
      <c r="B1248" t="s">
        <v>90</v>
      </c>
      <c r="C1248" t="s">
        <v>235</v>
      </c>
      <c r="D1248" t="s">
        <v>302</v>
      </c>
      <c r="F1248" t="s">
        <v>901</v>
      </c>
      <c r="G1248" t="s">
        <v>2825</v>
      </c>
      <c r="H1248" t="s">
        <v>4059</v>
      </c>
      <c r="I1248" t="s">
        <v>4743</v>
      </c>
      <c r="J1248" t="s">
        <v>5321</v>
      </c>
      <c r="K1248">
        <v>10452</v>
      </c>
      <c r="L1248" t="s">
        <v>5355</v>
      </c>
      <c r="M1248" t="s">
        <v>5356</v>
      </c>
      <c r="N1248" t="s">
        <v>5574</v>
      </c>
      <c r="O1248" t="s">
        <v>6499</v>
      </c>
      <c r="P1248" t="s">
        <v>6528</v>
      </c>
      <c r="R1248" t="s">
        <v>6539</v>
      </c>
      <c r="S1248" t="s">
        <v>5355</v>
      </c>
      <c r="U1248" t="s">
        <v>6557</v>
      </c>
      <c r="W1248" t="s">
        <v>247</v>
      </c>
      <c r="X1248">
        <v>0</v>
      </c>
      <c r="Y1248" t="s">
        <v>6606</v>
      </c>
      <c r="Z1248" t="s">
        <v>6612</v>
      </c>
      <c r="AB1248" t="s">
        <v>7744</v>
      </c>
      <c r="AD1248" t="s">
        <v>10096</v>
      </c>
      <c r="AE1248">
        <v>62</v>
      </c>
      <c r="AF1248" t="s">
        <v>11005</v>
      </c>
      <c r="AG1248" t="s">
        <v>5406</v>
      </c>
      <c r="AH1248">
        <v>0</v>
      </c>
      <c r="AI1248">
        <v>3</v>
      </c>
      <c r="AJ1248">
        <v>0</v>
      </c>
      <c r="AK1248">
        <v>254.65</v>
      </c>
      <c r="AN1248" t="s">
        <v>11050</v>
      </c>
      <c r="AO1248">
        <v>83200</v>
      </c>
      <c r="AU1248">
        <v>0.4</v>
      </c>
      <c r="AV1248" t="s">
        <v>302</v>
      </c>
      <c r="AW1248" t="s">
        <v>59</v>
      </c>
    </row>
    <row r="1249" spans="1:49">
      <c r="A1249" s="1">
        <f>HYPERLINK("https://cms.ls-nyc.org/matter/dynamic-profile/view/1855081","18-1855081")</f>
        <v>0</v>
      </c>
      <c r="B1249" t="s">
        <v>90</v>
      </c>
      <c r="C1249" t="s">
        <v>235</v>
      </c>
      <c r="D1249" t="s">
        <v>269</v>
      </c>
      <c r="F1249" t="s">
        <v>901</v>
      </c>
      <c r="G1249" t="s">
        <v>2825</v>
      </c>
      <c r="H1249" t="s">
        <v>4059</v>
      </c>
      <c r="I1249" t="s">
        <v>4743</v>
      </c>
      <c r="J1249" t="s">
        <v>5321</v>
      </c>
      <c r="K1249">
        <v>10452</v>
      </c>
      <c r="L1249" t="s">
        <v>5355</v>
      </c>
      <c r="M1249" t="s">
        <v>5356</v>
      </c>
      <c r="N1249" t="s">
        <v>5575</v>
      </c>
      <c r="O1249" t="s">
        <v>6499</v>
      </c>
      <c r="P1249" t="s">
        <v>6528</v>
      </c>
      <c r="R1249" t="s">
        <v>6539</v>
      </c>
      <c r="S1249" t="s">
        <v>5355</v>
      </c>
      <c r="U1249" t="s">
        <v>6557</v>
      </c>
      <c r="W1249" t="s">
        <v>247</v>
      </c>
      <c r="X1249">
        <v>0</v>
      </c>
      <c r="Y1249" t="s">
        <v>6606</v>
      </c>
      <c r="Z1249" t="s">
        <v>6612</v>
      </c>
      <c r="AB1249" t="s">
        <v>7744</v>
      </c>
      <c r="AD1249" t="s">
        <v>10096</v>
      </c>
      <c r="AE1249">
        <v>62</v>
      </c>
      <c r="AF1249" t="s">
        <v>11005</v>
      </c>
      <c r="AG1249" t="s">
        <v>5406</v>
      </c>
      <c r="AH1249">
        <v>0</v>
      </c>
      <c r="AI1249">
        <v>3</v>
      </c>
      <c r="AJ1249">
        <v>0</v>
      </c>
      <c r="AK1249">
        <v>254.65</v>
      </c>
      <c r="AN1249" t="s">
        <v>11050</v>
      </c>
      <c r="AO1249">
        <v>83200</v>
      </c>
      <c r="AU1249">
        <v>0</v>
      </c>
      <c r="AW1249" t="s">
        <v>11509</v>
      </c>
    </row>
    <row r="1250" spans="1:49">
      <c r="A1250" s="1">
        <f>HYPERLINK("https://cms.ls-nyc.org/matter/dynamic-profile/view/1887817","19-1887817")</f>
        <v>0</v>
      </c>
      <c r="B1250" t="s">
        <v>135</v>
      </c>
      <c r="C1250" t="s">
        <v>235</v>
      </c>
      <c r="D1250" t="s">
        <v>513</v>
      </c>
      <c r="F1250" t="s">
        <v>1116</v>
      </c>
      <c r="G1250" t="s">
        <v>2879</v>
      </c>
      <c r="H1250" t="s">
        <v>3735</v>
      </c>
      <c r="I1250" t="s">
        <v>5110</v>
      </c>
      <c r="J1250" t="s">
        <v>5320</v>
      </c>
      <c r="K1250">
        <v>11225</v>
      </c>
      <c r="L1250" t="s">
        <v>5355</v>
      </c>
      <c r="M1250" t="s">
        <v>5355</v>
      </c>
      <c r="O1250" t="s">
        <v>6507</v>
      </c>
      <c r="P1250" t="s">
        <v>6528</v>
      </c>
      <c r="R1250" t="s">
        <v>6539</v>
      </c>
      <c r="S1250" t="s">
        <v>5355</v>
      </c>
      <c r="U1250" t="s">
        <v>6557</v>
      </c>
      <c r="W1250" t="s">
        <v>523</v>
      </c>
      <c r="X1250">
        <v>1393.19</v>
      </c>
      <c r="Y1250" t="s">
        <v>6605</v>
      </c>
      <c r="AB1250" t="s">
        <v>7745</v>
      </c>
      <c r="AE1250">
        <v>89</v>
      </c>
      <c r="AF1250" t="s">
        <v>11005</v>
      </c>
      <c r="AG1250" t="s">
        <v>5406</v>
      </c>
      <c r="AH1250">
        <v>7</v>
      </c>
      <c r="AI1250">
        <v>1</v>
      </c>
      <c r="AJ1250">
        <v>0</v>
      </c>
      <c r="AK1250">
        <v>255.35</v>
      </c>
      <c r="AN1250" t="s">
        <v>11050</v>
      </c>
      <c r="AO1250">
        <v>31000</v>
      </c>
      <c r="AP1250" t="s">
        <v>11147</v>
      </c>
      <c r="AU1250">
        <v>0</v>
      </c>
      <c r="AW1250" t="s">
        <v>11516</v>
      </c>
    </row>
    <row r="1251" spans="1:49">
      <c r="A1251" s="1">
        <f>HYPERLINK("https://cms.ls-nyc.org/matter/dynamic-profile/view/1862822","18-1862822")</f>
        <v>0</v>
      </c>
      <c r="B1251" t="s">
        <v>129</v>
      </c>
      <c r="C1251" t="s">
        <v>235</v>
      </c>
      <c r="D1251" t="s">
        <v>293</v>
      </c>
      <c r="F1251" t="s">
        <v>1592</v>
      </c>
      <c r="G1251" t="s">
        <v>2597</v>
      </c>
      <c r="H1251" t="s">
        <v>4056</v>
      </c>
      <c r="J1251" t="s">
        <v>5321</v>
      </c>
      <c r="K1251">
        <v>10457</v>
      </c>
      <c r="L1251" t="s">
        <v>5355</v>
      </c>
      <c r="M1251" t="s">
        <v>5356</v>
      </c>
      <c r="N1251" t="s">
        <v>5578</v>
      </c>
      <c r="O1251" t="s">
        <v>6499</v>
      </c>
      <c r="P1251" t="s">
        <v>6528</v>
      </c>
      <c r="R1251" t="s">
        <v>6539</v>
      </c>
      <c r="S1251" t="s">
        <v>5355</v>
      </c>
      <c r="U1251" t="s">
        <v>6557</v>
      </c>
      <c r="W1251" t="s">
        <v>236</v>
      </c>
      <c r="X1251">
        <v>245</v>
      </c>
      <c r="Y1251" t="s">
        <v>6606</v>
      </c>
      <c r="Z1251" t="s">
        <v>6614</v>
      </c>
      <c r="AB1251" t="s">
        <v>7746</v>
      </c>
      <c r="AD1251" t="s">
        <v>10097</v>
      </c>
      <c r="AE1251">
        <v>100</v>
      </c>
      <c r="AF1251" t="s">
        <v>11005</v>
      </c>
      <c r="AH1251">
        <v>25</v>
      </c>
      <c r="AI1251">
        <v>1</v>
      </c>
      <c r="AJ1251">
        <v>0</v>
      </c>
      <c r="AK1251">
        <v>257</v>
      </c>
      <c r="AL1251" t="s">
        <v>11036</v>
      </c>
      <c r="AN1251" t="s">
        <v>11049</v>
      </c>
      <c r="AO1251">
        <v>31200</v>
      </c>
      <c r="AU1251">
        <v>0.4</v>
      </c>
      <c r="AV1251" t="s">
        <v>293</v>
      </c>
      <c r="AW1251" t="s">
        <v>11499</v>
      </c>
    </row>
    <row r="1252" spans="1:49">
      <c r="A1252" s="1">
        <f>HYPERLINK("https://cms.ls-nyc.org/matter/dynamic-profile/view/1887825","19-1887825")</f>
        <v>0</v>
      </c>
      <c r="B1252" t="s">
        <v>135</v>
      </c>
      <c r="C1252" t="s">
        <v>235</v>
      </c>
      <c r="D1252" t="s">
        <v>513</v>
      </c>
      <c r="F1252" t="s">
        <v>1302</v>
      </c>
      <c r="G1252" t="s">
        <v>2562</v>
      </c>
      <c r="H1252" t="s">
        <v>3735</v>
      </c>
      <c r="I1252" t="s">
        <v>4953</v>
      </c>
      <c r="J1252" t="s">
        <v>5320</v>
      </c>
      <c r="K1252">
        <v>11225</v>
      </c>
      <c r="L1252" t="s">
        <v>5355</v>
      </c>
      <c r="M1252" t="s">
        <v>5356</v>
      </c>
      <c r="O1252" t="s">
        <v>6507</v>
      </c>
      <c r="P1252" t="s">
        <v>6528</v>
      </c>
      <c r="R1252" t="s">
        <v>6539</v>
      </c>
      <c r="S1252" t="s">
        <v>5355</v>
      </c>
      <c r="U1252" t="s">
        <v>6557</v>
      </c>
      <c r="W1252" t="s">
        <v>523</v>
      </c>
      <c r="X1252">
        <v>911.14</v>
      </c>
      <c r="Y1252" t="s">
        <v>6605</v>
      </c>
      <c r="AB1252" t="s">
        <v>7257</v>
      </c>
      <c r="AD1252" t="s">
        <v>9642</v>
      </c>
      <c r="AE1252">
        <v>89</v>
      </c>
      <c r="AF1252" t="s">
        <v>11005</v>
      </c>
      <c r="AG1252" t="s">
        <v>5406</v>
      </c>
      <c r="AH1252">
        <v>40</v>
      </c>
      <c r="AI1252">
        <v>3</v>
      </c>
      <c r="AJ1252">
        <v>0</v>
      </c>
      <c r="AK1252">
        <v>258.5</v>
      </c>
      <c r="AN1252" t="s">
        <v>11050</v>
      </c>
      <c r="AO1252">
        <v>53716</v>
      </c>
      <c r="AU1252">
        <v>0</v>
      </c>
      <c r="AW1252" t="s">
        <v>11516</v>
      </c>
    </row>
    <row r="1253" spans="1:49">
      <c r="A1253" s="1">
        <f>HYPERLINK("https://cms.ls-nyc.org/matter/dynamic-profile/view/1866724","18-1866724")</f>
        <v>0</v>
      </c>
      <c r="B1253" t="s">
        <v>135</v>
      </c>
      <c r="C1253" t="s">
        <v>235</v>
      </c>
      <c r="D1253" t="s">
        <v>335</v>
      </c>
      <c r="F1253" t="s">
        <v>1593</v>
      </c>
      <c r="G1253" t="s">
        <v>2719</v>
      </c>
      <c r="H1253" t="s">
        <v>3739</v>
      </c>
      <c r="I1253" t="s">
        <v>4772</v>
      </c>
      <c r="J1253" t="s">
        <v>5320</v>
      </c>
      <c r="K1253">
        <v>11212</v>
      </c>
      <c r="L1253" t="s">
        <v>5355</v>
      </c>
      <c r="M1253" t="s">
        <v>5356</v>
      </c>
      <c r="O1253" t="s">
        <v>6499</v>
      </c>
      <c r="P1253" t="s">
        <v>6528</v>
      </c>
      <c r="R1253" t="s">
        <v>6539</v>
      </c>
      <c r="S1253" t="s">
        <v>5355</v>
      </c>
      <c r="U1253" t="s">
        <v>6557</v>
      </c>
      <c r="W1253" t="s">
        <v>522</v>
      </c>
      <c r="X1253">
        <v>1002.11</v>
      </c>
      <c r="Y1253" t="s">
        <v>6605</v>
      </c>
      <c r="AB1253" t="s">
        <v>7496</v>
      </c>
      <c r="AD1253" t="s">
        <v>9865</v>
      </c>
      <c r="AE1253">
        <v>31</v>
      </c>
      <c r="AF1253" t="s">
        <v>11005</v>
      </c>
      <c r="AH1253">
        <v>12</v>
      </c>
      <c r="AI1253">
        <v>1</v>
      </c>
      <c r="AJ1253">
        <v>1</v>
      </c>
      <c r="AK1253">
        <v>258.62</v>
      </c>
      <c r="AL1253" t="s">
        <v>11029</v>
      </c>
      <c r="AN1253" t="s">
        <v>11050</v>
      </c>
      <c r="AO1253">
        <v>42000</v>
      </c>
      <c r="AU1253">
        <v>1.25</v>
      </c>
      <c r="AV1253" t="s">
        <v>11450</v>
      </c>
      <c r="AW1253" t="s">
        <v>135</v>
      </c>
    </row>
    <row r="1254" spans="1:49">
      <c r="A1254" s="1">
        <f>HYPERLINK("https://cms.ls-nyc.org/matter/dynamic-profile/view/1842138","17-1842138")</f>
        <v>0</v>
      </c>
      <c r="B1254" t="s">
        <v>129</v>
      </c>
      <c r="C1254" t="s">
        <v>234</v>
      </c>
      <c r="D1254" t="s">
        <v>519</v>
      </c>
      <c r="E1254" t="s">
        <v>583</v>
      </c>
      <c r="F1254" t="s">
        <v>1575</v>
      </c>
      <c r="G1254" t="s">
        <v>2825</v>
      </c>
      <c r="H1254" t="s">
        <v>3721</v>
      </c>
      <c r="I1254" t="s">
        <v>5111</v>
      </c>
      <c r="J1254" t="s">
        <v>5321</v>
      </c>
      <c r="K1254">
        <v>10453</v>
      </c>
      <c r="L1254" t="s">
        <v>5355</v>
      </c>
      <c r="M1254" t="s">
        <v>5356</v>
      </c>
      <c r="O1254" t="s">
        <v>6499</v>
      </c>
      <c r="P1254" t="s">
        <v>6528</v>
      </c>
      <c r="Q1254" t="s">
        <v>6536</v>
      </c>
      <c r="R1254" t="s">
        <v>6539</v>
      </c>
      <c r="S1254" t="s">
        <v>5355</v>
      </c>
      <c r="U1254" t="s">
        <v>6557</v>
      </c>
      <c r="W1254" t="s">
        <v>404</v>
      </c>
      <c r="X1254">
        <v>872</v>
      </c>
      <c r="Y1254" t="s">
        <v>6606</v>
      </c>
      <c r="Z1254" t="s">
        <v>6612</v>
      </c>
      <c r="AA1254" t="s">
        <v>6636</v>
      </c>
      <c r="AB1254" t="s">
        <v>7747</v>
      </c>
      <c r="AD1254" t="s">
        <v>10098</v>
      </c>
      <c r="AE1254">
        <v>170</v>
      </c>
      <c r="AF1254" t="s">
        <v>11005</v>
      </c>
      <c r="AG1254" t="s">
        <v>5406</v>
      </c>
      <c r="AH1254">
        <v>23</v>
      </c>
      <c r="AI1254">
        <v>1</v>
      </c>
      <c r="AJ1254">
        <v>0</v>
      </c>
      <c r="AK1254">
        <v>258.71</v>
      </c>
      <c r="AN1254" t="s">
        <v>11050</v>
      </c>
      <c r="AO1254">
        <v>31200</v>
      </c>
      <c r="AU1254">
        <v>0.1</v>
      </c>
      <c r="AV1254" t="s">
        <v>583</v>
      </c>
      <c r="AW1254" t="s">
        <v>11509</v>
      </c>
    </row>
    <row r="1255" spans="1:49">
      <c r="A1255" s="1">
        <f>HYPERLINK("https://cms.ls-nyc.org/matter/dynamic-profile/view/1842873","17-1842873")</f>
        <v>0</v>
      </c>
      <c r="B1255" t="s">
        <v>63</v>
      </c>
      <c r="C1255" t="s">
        <v>235</v>
      </c>
      <c r="D1255" t="s">
        <v>472</v>
      </c>
      <c r="F1255" t="s">
        <v>1385</v>
      </c>
      <c r="G1255" t="s">
        <v>2880</v>
      </c>
      <c r="H1255" t="s">
        <v>4108</v>
      </c>
      <c r="J1255" t="s">
        <v>5322</v>
      </c>
      <c r="K1255">
        <v>10314</v>
      </c>
      <c r="L1255" t="s">
        <v>5355</v>
      </c>
      <c r="M1255" t="s">
        <v>5356</v>
      </c>
      <c r="N1255" t="s">
        <v>5601</v>
      </c>
      <c r="O1255" t="s">
        <v>6499</v>
      </c>
      <c r="P1255" t="s">
        <v>6528</v>
      </c>
      <c r="R1255" t="s">
        <v>6539</v>
      </c>
      <c r="S1255" t="s">
        <v>5355</v>
      </c>
      <c r="U1255" t="s">
        <v>6557</v>
      </c>
      <c r="W1255" t="s">
        <v>388</v>
      </c>
      <c r="X1255">
        <v>1439.15</v>
      </c>
      <c r="Y1255" t="s">
        <v>6607</v>
      </c>
      <c r="Z1255" t="s">
        <v>6622</v>
      </c>
      <c r="AB1255" t="s">
        <v>7748</v>
      </c>
      <c r="AD1255" t="s">
        <v>10099</v>
      </c>
      <c r="AE1255">
        <v>96</v>
      </c>
      <c r="AF1255" t="s">
        <v>11005</v>
      </c>
      <c r="AG1255" t="s">
        <v>11024</v>
      </c>
      <c r="AH1255">
        <v>7</v>
      </c>
      <c r="AI1255">
        <v>1</v>
      </c>
      <c r="AJ1255">
        <v>0</v>
      </c>
      <c r="AK1255">
        <v>258.71</v>
      </c>
      <c r="AL1255" t="s">
        <v>11034</v>
      </c>
      <c r="AN1255" t="s">
        <v>11050</v>
      </c>
      <c r="AO1255">
        <v>31200</v>
      </c>
      <c r="AU1255">
        <v>3.5</v>
      </c>
      <c r="AV1255" t="s">
        <v>807</v>
      </c>
      <c r="AW1255" t="s">
        <v>140</v>
      </c>
    </row>
    <row r="1256" spans="1:49">
      <c r="A1256" s="1">
        <f>HYPERLINK("https://cms.ls-nyc.org/matter/dynamic-profile/view/1871307","18-1871307")</f>
        <v>0</v>
      </c>
      <c r="B1256" t="s">
        <v>104</v>
      </c>
      <c r="C1256" t="s">
        <v>235</v>
      </c>
      <c r="D1256" t="s">
        <v>401</v>
      </c>
      <c r="F1256" t="s">
        <v>1594</v>
      </c>
      <c r="G1256" t="s">
        <v>2733</v>
      </c>
      <c r="H1256" t="s">
        <v>4095</v>
      </c>
      <c r="I1256" t="s">
        <v>4939</v>
      </c>
      <c r="J1256" t="s">
        <v>5321</v>
      </c>
      <c r="K1256">
        <v>10456</v>
      </c>
      <c r="L1256" t="s">
        <v>5355</v>
      </c>
      <c r="M1256" t="s">
        <v>5355</v>
      </c>
      <c r="O1256" t="s">
        <v>6499</v>
      </c>
      <c r="P1256" t="s">
        <v>6528</v>
      </c>
      <c r="R1256" t="s">
        <v>6539</v>
      </c>
      <c r="S1256" t="s">
        <v>5355</v>
      </c>
      <c r="U1256" t="s">
        <v>6557</v>
      </c>
      <c r="W1256" t="s">
        <v>516</v>
      </c>
      <c r="X1256">
        <v>889.6</v>
      </c>
      <c r="Y1256" t="s">
        <v>6606</v>
      </c>
      <c r="Z1256" t="s">
        <v>6612</v>
      </c>
      <c r="AB1256" t="s">
        <v>7749</v>
      </c>
      <c r="AD1256" t="s">
        <v>10100</v>
      </c>
      <c r="AE1256">
        <v>131</v>
      </c>
      <c r="AF1256" t="s">
        <v>11005</v>
      </c>
      <c r="AG1256" t="s">
        <v>5406</v>
      </c>
      <c r="AH1256">
        <v>26</v>
      </c>
      <c r="AI1256">
        <v>1</v>
      </c>
      <c r="AJ1256">
        <v>0</v>
      </c>
      <c r="AK1256">
        <v>263.59</v>
      </c>
      <c r="AN1256" t="s">
        <v>11050</v>
      </c>
      <c r="AO1256">
        <v>32000</v>
      </c>
      <c r="AP1256" t="s">
        <v>11148</v>
      </c>
      <c r="AU1256">
        <v>19.55</v>
      </c>
      <c r="AV1256" t="s">
        <v>761</v>
      </c>
      <c r="AW1256" t="s">
        <v>11505</v>
      </c>
    </row>
    <row r="1257" spans="1:49">
      <c r="A1257" s="1">
        <f>HYPERLINK("https://cms.ls-nyc.org/matter/dynamic-profile/view/1870084","18-1870084")</f>
        <v>0</v>
      </c>
      <c r="B1257" t="s">
        <v>158</v>
      </c>
      <c r="C1257" t="s">
        <v>234</v>
      </c>
      <c r="D1257" t="s">
        <v>349</v>
      </c>
      <c r="E1257" t="s">
        <v>783</v>
      </c>
      <c r="F1257" t="s">
        <v>1595</v>
      </c>
      <c r="G1257" t="s">
        <v>2881</v>
      </c>
      <c r="H1257" t="s">
        <v>4052</v>
      </c>
      <c r="I1257" t="s">
        <v>4911</v>
      </c>
      <c r="J1257" t="s">
        <v>5321</v>
      </c>
      <c r="K1257">
        <v>10451</v>
      </c>
      <c r="L1257" t="s">
        <v>5355</v>
      </c>
      <c r="M1257" t="s">
        <v>5356</v>
      </c>
      <c r="N1257" t="s">
        <v>5623</v>
      </c>
      <c r="P1257" t="s">
        <v>6528</v>
      </c>
      <c r="Q1257" t="s">
        <v>6536</v>
      </c>
      <c r="R1257" t="s">
        <v>6539</v>
      </c>
      <c r="S1257" t="s">
        <v>5357</v>
      </c>
      <c r="U1257" t="s">
        <v>6557</v>
      </c>
      <c r="W1257" t="s">
        <v>516</v>
      </c>
      <c r="X1257">
        <v>539.75</v>
      </c>
      <c r="Y1257" t="s">
        <v>6606</v>
      </c>
      <c r="Z1257" t="s">
        <v>6614</v>
      </c>
      <c r="AA1257" t="s">
        <v>6632</v>
      </c>
      <c r="AB1257" t="s">
        <v>7750</v>
      </c>
      <c r="AD1257" t="s">
        <v>10101</v>
      </c>
      <c r="AE1257">
        <v>81</v>
      </c>
      <c r="AF1257" t="s">
        <v>11005</v>
      </c>
      <c r="AG1257" t="s">
        <v>5406</v>
      </c>
      <c r="AH1257">
        <v>40</v>
      </c>
      <c r="AI1257">
        <v>1</v>
      </c>
      <c r="AJ1257">
        <v>0</v>
      </c>
      <c r="AK1257">
        <v>263.59</v>
      </c>
      <c r="AN1257" t="s">
        <v>11050</v>
      </c>
      <c r="AO1257">
        <v>32000</v>
      </c>
      <c r="AU1257">
        <v>29.05</v>
      </c>
      <c r="AV1257" t="s">
        <v>665</v>
      </c>
      <c r="AW1257" t="s">
        <v>11499</v>
      </c>
    </row>
    <row r="1258" spans="1:49">
      <c r="A1258" s="1">
        <f>HYPERLINK("https://cms.ls-nyc.org/matter/dynamic-profile/view/1853612","17-1853612")</f>
        <v>0</v>
      </c>
      <c r="B1258" t="s">
        <v>129</v>
      </c>
      <c r="C1258" t="s">
        <v>234</v>
      </c>
      <c r="D1258" t="s">
        <v>327</v>
      </c>
      <c r="E1258" t="s">
        <v>413</v>
      </c>
      <c r="F1258" t="s">
        <v>1178</v>
      </c>
      <c r="G1258" t="s">
        <v>2215</v>
      </c>
      <c r="H1258" t="s">
        <v>4078</v>
      </c>
      <c r="I1258" t="s">
        <v>4849</v>
      </c>
      <c r="J1258" t="s">
        <v>5321</v>
      </c>
      <c r="K1258">
        <v>10463</v>
      </c>
      <c r="L1258" t="s">
        <v>5355</v>
      </c>
      <c r="M1258" t="s">
        <v>5356</v>
      </c>
      <c r="N1258" t="s">
        <v>5594</v>
      </c>
      <c r="O1258" t="s">
        <v>6499</v>
      </c>
      <c r="P1258" t="s">
        <v>6528</v>
      </c>
      <c r="Q1258" t="s">
        <v>6536</v>
      </c>
      <c r="R1258" t="s">
        <v>6539</v>
      </c>
      <c r="S1258" t="s">
        <v>5355</v>
      </c>
      <c r="U1258" t="s">
        <v>6557</v>
      </c>
      <c r="W1258" t="s">
        <v>332</v>
      </c>
      <c r="X1258">
        <v>1632</v>
      </c>
      <c r="Y1258" t="s">
        <v>6606</v>
      </c>
      <c r="Z1258" t="s">
        <v>6620</v>
      </c>
      <c r="AA1258" t="s">
        <v>6645</v>
      </c>
      <c r="AB1258" t="s">
        <v>7751</v>
      </c>
      <c r="AD1258" t="s">
        <v>10102</v>
      </c>
      <c r="AE1258">
        <v>57</v>
      </c>
      <c r="AF1258" t="s">
        <v>11005</v>
      </c>
      <c r="AG1258" t="s">
        <v>5406</v>
      </c>
      <c r="AH1258">
        <v>2</v>
      </c>
      <c r="AI1258">
        <v>2</v>
      </c>
      <c r="AJ1258">
        <v>2</v>
      </c>
      <c r="AK1258">
        <v>264.23</v>
      </c>
      <c r="AN1258" t="s">
        <v>11050</v>
      </c>
      <c r="AO1258">
        <v>65000</v>
      </c>
      <c r="AU1258">
        <v>98.2</v>
      </c>
      <c r="AV1258" t="s">
        <v>413</v>
      </c>
      <c r="AW1258" t="s">
        <v>95</v>
      </c>
    </row>
    <row r="1259" spans="1:49">
      <c r="A1259" s="1">
        <f>HYPERLINK("https://cms.ls-nyc.org/matter/dynamic-profile/view/1859672","18-1859672")</f>
        <v>0</v>
      </c>
      <c r="B1259" t="s">
        <v>102</v>
      </c>
      <c r="C1259" t="s">
        <v>235</v>
      </c>
      <c r="D1259" t="s">
        <v>523</v>
      </c>
      <c r="F1259" t="s">
        <v>1596</v>
      </c>
      <c r="G1259" t="s">
        <v>2882</v>
      </c>
      <c r="H1259" t="s">
        <v>3526</v>
      </c>
      <c r="I1259">
        <v>417</v>
      </c>
      <c r="J1259" t="s">
        <v>5321</v>
      </c>
      <c r="K1259">
        <v>10453</v>
      </c>
      <c r="L1259" t="s">
        <v>5355</v>
      </c>
      <c r="M1259" t="s">
        <v>5356</v>
      </c>
      <c r="O1259" t="s">
        <v>6499</v>
      </c>
      <c r="P1259" t="s">
        <v>6528</v>
      </c>
      <c r="R1259" t="s">
        <v>6539</v>
      </c>
      <c r="S1259" t="s">
        <v>5355</v>
      </c>
      <c r="U1259" t="s">
        <v>6557</v>
      </c>
      <c r="W1259" t="s">
        <v>377</v>
      </c>
      <c r="X1259">
        <v>988</v>
      </c>
      <c r="Y1259" t="s">
        <v>6606</v>
      </c>
      <c r="Z1259" t="s">
        <v>6622</v>
      </c>
      <c r="AB1259" t="s">
        <v>7752</v>
      </c>
      <c r="AD1259" t="s">
        <v>10103</v>
      </c>
      <c r="AE1259">
        <v>146</v>
      </c>
      <c r="AF1259" t="s">
        <v>11005</v>
      </c>
      <c r="AG1259" t="s">
        <v>5406</v>
      </c>
      <c r="AH1259">
        <v>7</v>
      </c>
      <c r="AI1259">
        <v>4</v>
      </c>
      <c r="AJ1259">
        <v>1</v>
      </c>
      <c r="AK1259">
        <v>264.25</v>
      </c>
      <c r="AN1259" t="s">
        <v>11049</v>
      </c>
      <c r="AO1259">
        <v>93860</v>
      </c>
      <c r="AU1259">
        <v>0.6</v>
      </c>
      <c r="AV1259" t="s">
        <v>307</v>
      </c>
      <c r="AW1259" t="s">
        <v>11492</v>
      </c>
    </row>
    <row r="1260" spans="1:49">
      <c r="A1260" s="1">
        <f>HYPERLINK("https://cms.ls-nyc.org/matter/dynamic-profile/view/1856001","18-1856001")</f>
        <v>0</v>
      </c>
      <c r="B1260" t="s">
        <v>135</v>
      </c>
      <c r="C1260" t="s">
        <v>235</v>
      </c>
      <c r="D1260" t="s">
        <v>525</v>
      </c>
      <c r="F1260" t="s">
        <v>1597</v>
      </c>
      <c r="G1260" t="s">
        <v>2883</v>
      </c>
      <c r="H1260" t="s">
        <v>3775</v>
      </c>
      <c r="I1260" t="s">
        <v>4743</v>
      </c>
      <c r="J1260" t="s">
        <v>5320</v>
      </c>
      <c r="K1260">
        <v>11206</v>
      </c>
      <c r="L1260" t="s">
        <v>5355</v>
      </c>
      <c r="M1260" t="s">
        <v>5356</v>
      </c>
      <c r="O1260" t="s">
        <v>6500</v>
      </c>
      <c r="P1260" t="s">
        <v>6528</v>
      </c>
      <c r="R1260" t="s">
        <v>6539</v>
      </c>
      <c r="S1260" t="s">
        <v>5355</v>
      </c>
      <c r="U1260" t="s">
        <v>6557</v>
      </c>
      <c r="W1260" t="s">
        <v>329</v>
      </c>
      <c r="X1260">
        <v>435</v>
      </c>
      <c r="Y1260" t="s">
        <v>6605</v>
      </c>
      <c r="Z1260" t="s">
        <v>6622</v>
      </c>
      <c r="AB1260" t="s">
        <v>7753</v>
      </c>
      <c r="AD1260" t="s">
        <v>10104</v>
      </c>
      <c r="AE1260">
        <v>29</v>
      </c>
      <c r="AF1260" t="s">
        <v>11005</v>
      </c>
      <c r="AG1260" t="s">
        <v>5406</v>
      </c>
      <c r="AH1260">
        <v>7</v>
      </c>
      <c r="AI1260">
        <v>2</v>
      </c>
      <c r="AJ1260">
        <v>1</v>
      </c>
      <c r="AK1260">
        <v>264.45</v>
      </c>
      <c r="AL1260" t="s">
        <v>11029</v>
      </c>
      <c r="AN1260" t="s">
        <v>11050</v>
      </c>
      <c r="AO1260">
        <v>54000</v>
      </c>
      <c r="AU1260">
        <v>0</v>
      </c>
      <c r="AW1260" t="s">
        <v>11512</v>
      </c>
    </row>
    <row r="1261" spans="1:49">
      <c r="A1261" s="1">
        <f>HYPERLINK("https://cms.ls-nyc.org/matter/dynamic-profile/view/1838983","17-1838983")</f>
        <v>0</v>
      </c>
      <c r="B1261" t="s">
        <v>129</v>
      </c>
      <c r="C1261" t="s">
        <v>235</v>
      </c>
      <c r="D1261" t="s">
        <v>538</v>
      </c>
      <c r="F1261" t="s">
        <v>1144</v>
      </c>
      <c r="G1261" t="s">
        <v>2884</v>
      </c>
      <c r="H1261" t="s">
        <v>3786</v>
      </c>
      <c r="I1261" t="s">
        <v>5112</v>
      </c>
      <c r="J1261" t="s">
        <v>5321</v>
      </c>
      <c r="K1261">
        <v>10473</v>
      </c>
      <c r="L1261" t="s">
        <v>5355</v>
      </c>
      <c r="M1261" t="s">
        <v>5356</v>
      </c>
      <c r="N1261" t="s">
        <v>5592</v>
      </c>
      <c r="O1261" t="s">
        <v>6499</v>
      </c>
      <c r="P1261" t="s">
        <v>6528</v>
      </c>
      <c r="R1261" t="s">
        <v>6539</v>
      </c>
      <c r="S1261" t="s">
        <v>5355</v>
      </c>
      <c r="U1261" t="s">
        <v>6557</v>
      </c>
      <c r="W1261" t="s">
        <v>6572</v>
      </c>
      <c r="X1261">
        <v>998</v>
      </c>
      <c r="Y1261" t="s">
        <v>6606</v>
      </c>
      <c r="Z1261" t="s">
        <v>6620</v>
      </c>
      <c r="AB1261" t="s">
        <v>7754</v>
      </c>
      <c r="AD1261" t="s">
        <v>10105</v>
      </c>
      <c r="AE1261">
        <v>976</v>
      </c>
      <c r="AF1261" t="s">
        <v>11005</v>
      </c>
      <c r="AG1261" t="s">
        <v>11020</v>
      </c>
      <c r="AH1261">
        <v>38</v>
      </c>
      <c r="AI1261">
        <v>2</v>
      </c>
      <c r="AJ1261">
        <v>0</v>
      </c>
      <c r="AK1261">
        <v>264.78</v>
      </c>
      <c r="AL1261" t="s">
        <v>578</v>
      </c>
      <c r="AN1261" t="s">
        <v>11050</v>
      </c>
      <c r="AO1261">
        <v>43000</v>
      </c>
      <c r="AU1261">
        <v>0</v>
      </c>
      <c r="AW1261" t="s">
        <v>11509</v>
      </c>
    </row>
    <row r="1262" spans="1:49">
      <c r="A1262" s="1">
        <f>HYPERLINK("https://cms.ls-nyc.org/matter/dynamic-profile/view/1857438","18-1857438")</f>
        <v>0</v>
      </c>
      <c r="B1262" t="s">
        <v>58</v>
      </c>
      <c r="C1262" t="s">
        <v>235</v>
      </c>
      <c r="D1262" t="s">
        <v>397</v>
      </c>
      <c r="F1262" t="s">
        <v>1598</v>
      </c>
      <c r="G1262" t="s">
        <v>2115</v>
      </c>
      <c r="H1262" t="s">
        <v>4007</v>
      </c>
      <c r="I1262" t="s">
        <v>4765</v>
      </c>
      <c r="J1262" t="s">
        <v>5321</v>
      </c>
      <c r="K1262">
        <v>10452</v>
      </c>
      <c r="L1262" t="s">
        <v>5355</v>
      </c>
      <c r="M1262" t="s">
        <v>5356</v>
      </c>
      <c r="N1262" t="s">
        <v>5571</v>
      </c>
      <c r="O1262" t="s">
        <v>6499</v>
      </c>
      <c r="P1262" t="s">
        <v>6528</v>
      </c>
      <c r="R1262" t="s">
        <v>6539</v>
      </c>
      <c r="S1262" t="s">
        <v>5355</v>
      </c>
      <c r="U1262" t="s">
        <v>6557</v>
      </c>
      <c r="W1262" t="s">
        <v>6592</v>
      </c>
      <c r="X1262">
        <v>918.4</v>
      </c>
      <c r="Y1262" t="s">
        <v>6606</v>
      </c>
      <c r="Z1262" t="s">
        <v>6612</v>
      </c>
      <c r="AB1262" t="s">
        <v>7755</v>
      </c>
      <c r="AD1262" t="s">
        <v>10106</v>
      </c>
      <c r="AE1262">
        <v>122</v>
      </c>
      <c r="AF1262" t="s">
        <v>11005</v>
      </c>
      <c r="AG1262" t="s">
        <v>5406</v>
      </c>
      <c r="AH1262">
        <v>22</v>
      </c>
      <c r="AI1262">
        <v>1</v>
      </c>
      <c r="AJ1262">
        <v>0</v>
      </c>
      <c r="AK1262">
        <v>265.34</v>
      </c>
      <c r="AN1262" t="s">
        <v>11049</v>
      </c>
      <c r="AO1262">
        <v>32000</v>
      </c>
      <c r="AU1262">
        <v>0</v>
      </c>
      <c r="AW1262" t="s">
        <v>11492</v>
      </c>
    </row>
    <row r="1263" spans="1:49">
      <c r="A1263" s="1">
        <f>HYPERLINK("https://cms.ls-nyc.org/matter/dynamic-profile/view/1864826","18-1864826")</f>
        <v>0</v>
      </c>
      <c r="B1263" t="s">
        <v>90</v>
      </c>
      <c r="C1263" t="s">
        <v>234</v>
      </c>
      <c r="D1263" t="s">
        <v>395</v>
      </c>
      <c r="E1263" t="s">
        <v>674</v>
      </c>
      <c r="F1263" t="s">
        <v>1599</v>
      </c>
      <c r="G1263" t="s">
        <v>2885</v>
      </c>
      <c r="H1263" t="s">
        <v>3549</v>
      </c>
      <c r="I1263" t="s">
        <v>4841</v>
      </c>
      <c r="J1263" t="s">
        <v>5321</v>
      </c>
      <c r="K1263">
        <v>10452</v>
      </c>
      <c r="L1263" t="s">
        <v>5355</v>
      </c>
      <c r="M1263" t="s">
        <v>5355</v>
      </c>
      <c r="O1263" t="s">
        <v>6499</v>
      </c>
      <c r="P1263" t="s">
        <v>6528</v>
      </c>
      <c r="Q1263" t="s">
        <v>6536</v>
      </c>
      <c r="R1263" t="s">
        <v>6539</v>
      </c>
      <c r="S1263" t="s">
        <v>5355</v>
      </c>
      <c r="U1263" t="s">
        <v>6557</v>
      </c>
      <c r="W1263" t="s">
        <v>326</v>
      </c>
      <c r="X1263">
        <v>837</v>
      </c>
      <c r="Y1263" t="s">
        <v>6606</v>
      </c>
      <c r="Z1263" t="s">
        <v>6612</v>
      </c>
      <c r="AA1263" t="s">
        <v>6634</v>
      </c>
      <c r="AB1263" t="s">
        <v>7078</v>
      </c>
      <c r="AD1263" t="s">
        <v>10107</v>
      </c>
      <c r="AE1263">
        <v>52</v>
      </c>
      <c r="AF1263" t="s">
        <v>11005</v>
      </c>
      <c r="AG1263" t="s">
        <v>5406</v>
      </c>
      <c r="AH1263">
        <v>17</v>
      </c>
      <c r="AI1263">
        <v>1</v>
      </c>
      <c r="AJ1263">
        <v>1</v>
      </c>
      <c r="AK1263">
        <v>273.39</v>
      </c>
      <c r="AN1263" t="s">
        <v>11063</v>
      </c>
      <c r="AO1263">
        <v>45000</v>
      </c>
      <c r="AU1263">
        <v>0.7</v>
      </c>
      <c r="AV1263" t="s">
        <v>674</v>
      </c>
      <c r="AW1263" t="s">
        <v>90</v>
      </c>
    </row>
    <row r="1264" spans="1:49">
      <c r="A1264" s="1">
        <f>HYPERLINK("https://cms.ls-nyc.org/matter/dynamic-profile/view/1867061","18-1867061")</f>
        <v>0</v>
      </c>
      <c r="B1264" t="s">
        <v>135</v>
      </c>
      <c r="C1264" t="s">
        <v>235</v>
      </c>
      <c r="D1264" t="s">
        <v>244</v>
      </c>
      <c r="F1264" t="s">
        <v>1190</v>
      </c>
      <c r="G1264" t="s">
        <v>2572</v>
      </c>
      <c r="H1264" t="s">
        <v>3739</v>
      </c>
      <c r="I1264" t="s">
        <v>4879</v>
      </c>
      <c r="J1264" t="s">
        <v>5320</v>
      </c>
      <c r="K1264">
        <v>11212</v>
      </c>
      <c r="L1264" t="s">
        <v>5355</v>
      </c>
      <c r="M1264" t="s">
        <v>5356</v>
      </c>
      <c r="O1264" t="s">
        <v>5393</v>
      </c>
      <c r="P1264" t="s">
        <v>6528</v>
      </c>
      <c r="R1264" t="s">
        <v>6539</v>
      </c>
      <c r="S1264" t="s">
        <v>5355</v>
      </c>
      <c r="U1264" t="s">
        <v>6557</v>
      </c>
      <c r="W1264" t="s">
        <v>6597</v>
      </c>
      <c r="X1264">
        <v>1248.12</v>
      </c>
      <c r="Y1264" t="s">
        <v>6605</v>
      </c>
      <c r="AB1264" t="s">
        <v>7271</v>
      </c>
      <c r="AD1264" t="s">
        <v>9656</v>
      </c>
      <c r="AE1264">
        <v>0</v>
      </c>
      <c r="AF1264" t="s">
        <v>11005</v>
      </c>
      <c r="AH1264">
        <v>8</v>
      </c>
      <c r="AI1264">
        <v>2</v>
      </c>
      <c r="AJ1264">
        <v>0</v>
      </c>
      <c r="AK1264">
        <v>288.18</v>
      </c>
      <c r="AL1264" t="s">
        <v>11029</v>
      </c>
      <c r="AN1264" t="s">
        <v>11050</v>
      </c>
      <c r="AO1264">
        <v>46800</v>
      </c>
      <c r="AU1264">
        <v>0.25</v>
      </c>
      <c r="AV1264" t="s">
        <v>244</v>
      </c>
      <c r="AW1264" t="s">
        <v>135</v>
      </c>
    </row>
    <row r="1265" spans="1:49">
      <c r="A1265" s="1">
        <f>HYPERLINK("https://cms.ls-nyc.org/matter/dynamic-profile/view/1839011","17-1839011")</f>
        <v>0</v>
      </c>
      <c r="B1265" t="s">
        <v>129</v>
      </c>
      <c r="C1265" t="s">
        <v>235</v>
      </c>
      <c r="D1265" t="s">
        <v>538</v>
      </c>
      <c r="F1265" t="s">
        <v>1600</v>
      </c>
      <c r="G1265" t="s">
        <v>2886</v>
      </c>
      <c r="H1265" t="s">
        <v>3786</v>
      </c>
      <c r="I1265" t="s">
        <v>5113</v>
      </c>
      <c r="J1265" t="s">
        <v>5321</v>
      </c>
      <c r="K1265">
        <v>10473</v>
      </c>
      <c r="L1265" t="s">
        <v>5355</v>
      </c>
      <c r="M1265" t="s">
        <v>5356</v>
      </c>
      <c r="N1265" t="s">
        <v>5592</v>
      </c>
      <c r="O1265" t="s">
        <v>6499</v>
      </c>
      <c r="P1265" t="s">
        <v>6528</v>
      </c>
      <c r="R1265" t="s">
        <v>6539</v>
      </c>
      <c r="S1265" t="s">
        <v>5355</v>
      </c>
      <c r="U1265" t="s">
        <v>6557</v>
      </c>
      <c r="W1265" t="s">
        <v>6572</v>
      </c>
      <c r="X1265">
        <v>1082</v>
      </c>
      <c r="Y1265" t="s">
        <v>6606</v>
      </c>
      <c r="Z1265" t="s">
        <v>6620</v>
      </c>
      <c r="AB1265" t="s">
        <v>7756</v>
      </c>
      <c r="AE1265">
        <v>976</v>
      </c>
      <c r="AF1265" t="s">
        <v>11005</v>
      </c>
      <c r="AG1265" t="s">
        <v>11024</v>
      </c>
      <c r="AH1265">
        <v>40</v>
      </c>
      <c r="AI1265">
        <v>1</v>
      </c>
      <c r="AJ1265">
        <v>0</v>
      </c>
      <c r="AK1265">
        <v>289.55</v>
      </c>
      <c r="AL1265" t="s">
        <v>578</v>
      </c>
      <c r="AN1265" t="s">
        <v>11050</v>
      </c>
      <c r="AO1265">
        <v>34920</v>
      </c>
      <c r="AU1265">
        <v>0</v>
      </c>
      <c r="AW1265" t="s">
        <v>11509</v>
      </c>
    </row>
    <row r="1266" spans="1:49">
      <c r="A1266" s="1">
        <f>HYPERLINK("https://cms.ls-nyc.org/matter/dynamic-profile/view/1842847","17-1842847")</f>
        <v>0</v>
      </c>
      <c r="B1266" t="s">
        <v>63</v>
      </c>
      <c r="C1266" t="s">
        <v>235</v>
      </c>
      <c r="D1266" t="s">
        <v>472</v>
      </c>
      <c r="F1266" t="s">
        <v>1393</v>
      </c>
      <c r="G1266" t="s">
        <v>2887</v>
      </c>
      <c r="H1266" t="s">
        <v>4105</v>
      </c>
      <c r="J1266" t="s">
        <v>5322</v>
      </c>
      <c r="K1266">
        <v>10314</v>
      </c>
      <c r="L1266" t="s">
        <v>5355</v>
      </c>
      <c r="M1266" t="s">
        <v>5356</v>
      </c>
      <c r="N1266" t="s">
        <v>5572</v>
      </c>
      <c r="O1266" t="s">
        <v>6499</v>
      </c>
      <c r="P1266" t="s">
        <v>6528</v>
      </c>
      <c r="R1266" t="s">
        <v>6539</v>
      </c>
      <c r="S1266" t="s">
        <v>5355</v>
      </c>
      <c r="U1266" t="s">
        <v>6557</v>
      </c>
      <c r="W1266" t="s">
        <v>388</v>
      </c>
      <c r="X1266">
        <v>1789.82</v>
      </c>
      <c r="Y1266" t="s">
        <v>6607</v>
      </c>
      <c r="Z1266" t="s">
        <v>6622</v>
      </c>
      <c r="AB1266" t="s">
        <v>7757</v>
      </c>
      <c r="AD1266" t="s">
        <v>10108</v>
      </c>
      <c r="AE1266">
        <v>96</v>
      </c>
      <c r="AF1266" t="s">
        <v>11005</v>
      </c>
      <c r="AG1266" t="s">
        <v>5406</v>
      </c>
      <c r="AH1266">
        <v>8</v>
      </c>
      <c r="AI1266">
        <v>2</v>
      </c>
      <c r="AJ1266">
        <v>0</v>
      </c>
      <c r="AK1266">
        <v>295.57</v>
      </c>
      <c r="AL1266" t="s">
        <v>11034</v>
      </c>
      <c r="AN1266" t="s">
        <v>11050</v>
      </c>
      <c r="AO1266">
        <v>48000</v>
      </c>
      <c r="AU1266">
        <v>0.6</v>
      </c>
      <c r="AV1266" t="s">
        <v>807</v>
      </c>
      <c r="AW1266" t="s">
        <v>140</v>
      </c>
    </row>
    <row r="1267" spans="1:49">
      <c r="A1267" s="1">
        <f>HYPERLINK("https://cms.ls-nyc.org/matter/dynamic-profile/view/1844244","17-1844244")</f>
        <v>0</v>
      </c>
      <c r="B1267" t="s">
        <v>129</v>
      </c>
      <c r="C1267" t="s">
        <v>235</v>
      </c>
      <c r="D1267" t="s">
        <v>495</v>
      </c>
      <c r="F1267" t="s">
        <v>1601</v>
      </c>
      <c r="G1267" t="s">
        <v>2888</v>
      </c>
      <c r="H1267" t="s">
        <v>3846</v>
      </c>
      <c r="I1267" t="s">
        <v>4844</v>
      </c>
      <c r="J1267" t="s">
        <v>5321</v>
      </c>
      <c r="K1267">
        <v>10473</v>
      </c>
      <c r="L1267" t="s">
        <v>5355</v>
      </c>
      <c r="M1267" t="s">
        <v>5356</v>
      </c>
      <c r="O1267" t="s">
        <v>6499</v>
      </c>
      <c r="P1267" t="s">
        <v>6528</v>
      </c>
      <c r="R1267" t="s">
        <v>6539</v>
      </c>
      <c r="S1267" t="s">
        <v>5355</v>
      </c>
      <c r="U1267" t="s">
        <v>6557</v>
      </c>
      <c r="W1267" t="s">
        <v>406</v>
      </c>
      <c r="X1267">
        <v>902</v>
      </c>
      <c r="Y1267" t="s">
        <v>6606</v>
      </c>
      <c r="AB1267" t="s">
        <v>7758</v>
      </c>
      <c r="AD1267" t="s">
        <v>10109</v>
      </c>
      <c r="AE1267">
        <v>976</v>
      </c>
      <c r="AF1267" t="s">
        <v>11005</v>
      </c>
      <c r="AH1267">
        <v>16</v>
      </c>
      <c r="AI1267">
        <v>2</v>
      </c>
      <c r="AJ1267">
        <v>0</v>
      </c>
      <c r="AK1267">
        <v>304.19</v>
      </c>
      <c r="AL1267" t="s">
        <v>578</v>
      </c>
      <c r="AN1267" t="s">
        <v>11050</v>
      </c>
      <c r="AO1267">
        <v>49400</v>
      </c>
      <c r="AU1267">
        <v>0</v>
      </c>
      <c r="AW1267" t="s">
        <v>11491</v>
      </c>
    </row>
    <row r="1268" spans="1:49">
      <c r="A1268" s="1">
        <f>HYPERLINK("https://cms.ls-nyc.org/matter/dynamic-profile/view/1871756","18-1871756")</f>
        <v>0</v>
      </c>
      <c r="B1268" t="s">
        <v>135</v>
      </c>
      <c r="C1268" t="s">
        <v>235</v>
      </c>
      <c r="D1268" t="s">
        <v>445</v>
      </c>
      <c r="F1268" t="s">
        <v>1309</v>
      </c>
      <c r="G1268" t="s">
        <v>2567</v>
      </c>
      <c r="H1268" t="s">
        <v>3775</v>
      </c>
      <c r="I1268" t="s">
        <v>4925</v>
      </c>
      <c r="J1268" t="s">
        <v>5320</v>
      </c>
      <c r="K1268">
        <v>11206</v>
      </c>
      <c r="L1268" t="s">
        <v>5355</v>
      </c>
      <c r="M1268" t="s">
        <v>5356</v>
      </c>
      <c r="N1268" t="s">
        <v>5600</v>
      </c>
      <c r="O1268" t="s">
        <v>6500</v>
      </c>
      <c r="P1268" t="s">
        <v>6528</v>
      </c>
      <c r="R1268" t="s">
        <v>6539</v>
      </c>
      <c r="S1268" t="s">
        <v>5355</v>
      </c>
      <c r="U1268" t="s">
        <v>6557</v>
      </c>
      <c r="W1268" t="s">
        <v>6589</v>
      </c>
      <c r="X1268">
        <v>955</v>
      </c>
      <c r="Y1268" t="s">
        <v>6605</v>
      </c>
      <c r="AB1268" t="s">
        <v>7243</v>
      </c>
      <c r="AE1268">
        <v>29</v>
      </c>
      <c r="AF1268" t="s">
        <v>11005</v>
      </c>
      <c r="AH1268">
        <v>17</v>
      </c>
      <c r="AI1268">
        <v>1</v>
      </c>
      <c r="AJ1268">
        <v>0</v>
      </c>
      <c r="AK1268">
        <v>304.78</v>
      </c>
      <c r="AL1268" t="s">
        <v>11029</v>
      </c>
      <c r="AN1268" t="s">
        <v>11050</v>
      </c>
      <c r="AO1268">
        <v>37000</v>
      </c>
      <c r="AU1268">
        <v>0</v>
      </c>
      <c r="AW1268" t="s">
        <v>11517</v>
      </c>
    </row>
    <row r="1269" spans="1:49">
      <c r="A1269" s="1">
        <f>HYPERLINK("https://cms.ls-nyc.org/matter/dynamic-profile/view/1887829","19-1887829")</f>
        <v>0</v>
      </c>
      <c r="B1269" t="s">
        <v>135</v>
      </c>
      <c r="C1269" t="s">
        <v>235</v>
      </c>
      <c r="D1269" t="s">
        <v>513</v>
      </c>
      <c r="F1269" t="s">
        <v>973</v>
      </c>
      <c r="G1269" t="s">
        <v>2889</v>
      </c>
      <c r="H1269" t="s">
        <v>3735</v>
      </c>
      <c r="I1269" t="s">
        <v>5114</v>
      </c>
      <c r="J1269" t="s">
        <v>5320</v>
      </c>
      <c r="K1269">
        <v>11225</v>
      </c>
      <c r="L1269" t="s">
        <v>5355</v>
      </c>
      <c r="M1269" t="s">
        <v>5356</v>
      </c>
      <c r="O1269" t="s">
        <v>6507</v>
      </c>
      <c r="P1269" t="s">
        <v>6528</v>
      </c>
      <c r="R1269" t="s">
        <v>6539</v>
      </c>
      <c r="S1269" t="s">
        <v>5355</v>
      </c>
      <c r="U1269" t="s">
        <v>6557</v>
      </c>
      <c r="W1269" t="s">
        <v>523</v>
      </c>
      <c r="X1269">
        <v>744</v>
      </c>
      <c r="Y1269" t="s">
        <v>6605</v>
      </c>
      <c r="Z1269" t="s">
        <v>6622</v>
      </c>
      <c r="AB1269" t="s">
        <v>7759</v>
      </c>
      <c r="AD1269" t="s">
        <v>10110</v>
      </c>
      <c r="AE1269">
        <v>89</v>
      </c>
      <c r="AF1269" t="s">
        <v>11005</v>
      </c>
      <c r="AG1269" t="s">
        <v>5406</v>
      </c>
      <c r="AH1269">
        <v>38</v>
      </c>
      <c r="AI1269">
        <v>2</v>
      </c>
      <c r="AJ1269">
        <v>0</v>
      </c>
      <c r="AK1269">
        <v>309.84</v>
      </c>
      <c r="AN1269" t="s">
        <v>11050</v>
      </c>
      <c r="AO1269">
        <v>51000.01</v>
      </c>
      <c r="AU1269">
        <v>0</v>
      </c>
      <c r="AW1269" t="s">
        <v>11516</v>
      </c>
    </row>
    <row r="1270" spans="1:49">
      <c r="A1270" s="1">
        <f>HYPERLINK("https://cms.ls-nyc.org/matter/dynamic-profile/view/1864831","18-1864831")</f>
        <v>0</v>
      </c>
      <c r="B1270" t="s">
        <v>90</v>
      </c>
      <c r="C1270" t="s">
        <v>234</v>
      </c>
      <c r="D1270" t="s">
        <v>395</v>
      </c>
      <c r="E1270" t="s">
        <v>674</v>
      </c>
      <c r="F1270" t="s">
        <v>1171</v>
      </c>
      <c r="G1270" t="s">
        <v>2890</v>
      </c>
      <c r="H1270" t="s">
        <v>3549</v>
      </c>
      <c r="I1270" t="s">
        <v>4838</v>
      </c>
      <c r="J1270" t="s">
        <v>5321</v>
      </c>
      <c r="K1270">
        <v>10452</v>
      </c>
      <c r="L1270" t="s">
        <v>5355</v>
      </c>
      <c r="M1270" t="s">
        <v>5355</v>
      </c>
      <c r="N1270" t="s">
        <v>5603</v>
      </c>
      <c r="O1270" t="s">
        <v>6499</v>
      </c>
      <c r="P1270" t="s">
        <v>6528</v>
      </c>
      <c r="Q1270" t="s">
        <v>6536</v>
      </c>
      <c r="R1270" t="s">
        <v>6539</v>
      </c>
      <c r="S1270" t="s">
        <v>5355</v>
      </c>
      <c r="U1270" t="s">
        <v>6557</v>
      </c>
      <c r="W1270" t="s">
        <v>395</v>
      </c>
      <c r="X1270">
        <v>1575</v>
      </c>
      <c r="Y1270" t="s">
        <v>6606</v>
      </c>
      <c r="Z1270" t="s">
        <v>6612</v>
      </c>
      <c r="AA1270" t="s">
        <v>6634</v>
      </c>
      <c r="AB1270" t="s">
        <v>7760</v>
      </c>
      <c r="AD1270" t="s">
        <v>10111</v>
      </c>
      <c r="AE1270">
        <v>52</v>
      </c>
      <c r="AF1270" t="s">
        <v>11005</v>
      </c>
      <c r="AG1270" t="s">
        <v>5406</v>
      </c>
      <c r="AH1270">
        <v>2</v>
      </c>
      <c r="AI1270">
        <v>3</v>
      </c>
      <c r="AJ1270">
        <v>0</v>
      </c>
      <c r="AK1270">
        <v>317.61</v>
      </c>
      <c r="AN1270" t="s">
        <v>11050</v>
      </c>
      <c r="AO1270">
        <v>132000</v>
      </c>
      <c r="AU1270">
        <v>0.7</v>
      </c>
      <c r="AV1270" t="s">
        <v>674</v>
      </c>
      <c r="AW1270" t="s">
        <v>90</v>
      </c>
    </row>
    <row r="1271" spans="1:49">
      <c r="A1271" s="1">
        <f>HYPERLINK("https://cms.ls-nyc.org/matter/dynamic-profile/view/1855069","18-1855069")</f>
        <v>0</v>
      </c>
      <c r="B1271" t="s">
        <v>90</v>
      </c>
      <c r="C1271" t="s">
        <v>235</v>
      </c>
      <c r="D1271" t="s">
        <v>269</v>
      </c>
      <c r="F1271" t="s">
        <v>1106</v>
      </c>
      <c r="G1271" t="s">
        <v>2838</v>
      </c>
      <c r="H1271" t="s">
        <v>4059</v>
      </c>
      <c r="I1271" t="s">
        <v>4868</v>
      </c>
      <c r="J1271" t="s">
        <v>5321</v>
      </c>
      <c r="K1271">
        <v>10452</v>
      </c>
      <c r="L1271" t="s">
        <v>5355</v>
      </c>
      <c r="M1271" t="s">
        <v>5356</v>
      </c>
      <c r="N1271" t="s">
        <v>5575</v>
      </c>
      <c r="O1271" t="s">
        <v>6499</v>
      </c>
      <c r="P1271" t="s">
        <v>6528</v>
      </c>
      <c r="R1271" t="s">
        <v>6539</v>
      </c>
      <c r="S1271" t="s">
        <v>5355</v>
      </c>
      <c r="U1271" t="s">
        <v>6557</v>
      </c>
      <c r="W1271" t="s">
        <v>247</v>
      </c>
      <c r="X1271">
        <v>1642.54</v>
      </c>
      <c r="Y1271" t="s">
        <v>6606</v>
      </c>
      <c r="Z1271" t="s">
        <v>6612</v>
      </c>
      <c r="AB1271" t="s">
        <v>7680</v>
      </c>
      <c r="AD1271" t="s">
        <v>10041</v>
      </c>
      <c r="AE1271">
        <v>62</v>
      </c>
      <c r="AF1271" t="s">
        <v>11005</v>
      </c>
      <c r="AG1271" t="s">
        <v>11020</v>
      </c>
      <c r="AH1271">
        <v>15</v>
      </c>
      <c r="AI1271">
        <v>3</v>
      </c>
      <c r="AJ1271">
        <v>0</v>
      </c>
      <c r="AK1271">
        <v>318.32</v>
      </c>
      <c r="AN1271" t="s">
        <v>11049</v>
      </c>
      <c r="AO1271">
        <v>65000</v>
      </c>
      <c r="AU1271">
        <v>0</v>
      </c>
      <c r="AW1271" t="s">
        <v>11509</v>
      </c>
    </row>
    <row r="1272" spans="1:49">
      <c r="A1272" s="1">
        <f>HYPERLINK("https://cms.ls-nyc.org/matter/dynamic-profile/view/1866516","18-1866516")</f>
        <v>0</v>
      </c>
      <c r="B1272" t="s">
        <v>129</v>
      </c>
      <c r="C1272" t="s">
        <v>234</v>
      </c>
      <c r="D1272" t="s">
        <v>268</v>
      </c>
      <c r="E1272" t="s">
        <v>749</v>
      </c>
      <c r="F1272" t="s">
        <v>1114</v>
      </c>
      <c r="G1272" t="s">
        <v>2251</v>
      </c>
      <c r="H1272" t="s">
        <v>3706</v>
      </c>
      <c r="I1272">
        <v>54</v>
      </c>
      <c r="J1272" t="s">
        <v>5321</v>
      </c>
      <c r="K1272">
        <v>10453</v>
      </c>
      <c r="L1272" t="s">
        <v>5355</v>
      </c>
      <c r="M1272" t="s">
        <v>5356</v>
      </c>
      <c r="N1272" t="s">
        <v>5570</v>
      </c>
      <c r="O1272" t="s">
        <v>6499</v>
      </c>
      <c r="P1272" t="s">
        <v>6528</v>
      </c>
      <c r="Q1272" t="s">
        <v>6536</v>
      </c>
      <c r="R1272" t="s">
        <v>6539</v>
      </c>
      <c r="S1272" t="s">
        <v>5355</v>
      </c>
      <c r="U1272" t="s">
        <v>6557</v>
      </c>
      <c r="W1272" t="s">
        <v>275</v>
      </c>
      <c r="X1272">
        <v>1339</v>
      </c>
      <c r="Y1272" t="s">
        <v>6606</v>
      </c>
      <c r="Z1272" t="s">
        <v>6622</v>
      </c>
      <c r="AA1272" t="s">
        <v>6636</v>
      </c>
      <c r="AB1272" t="s">
        <v>6974</v>
      </c>
      <c r="AD1272" t="s">
        <v>9383</v>
      </c>
      <c r="AE1272">
        <v>43</v>
      </c>
      <c r="AF1272" t="s">
        <v>11005</v>
      </c>
      <c r="AH1272">
        <v>5</v>
      </c>
      <c r="AI1272">
        <v>2</v>
      </c>
      <c r="AJ1272">
        <v>0</v>
      </c>
      <c r="AK1272">
        <v>328.07</v>
      </c>
      <c r="AN1272" t="s">
        <v>11049</v>
      </c>
      <c r="AO1272">
        <v>54000</v>
      </c>
      <c r="AU1272">
        <v>0.4</v>
      </c>
      <c r="AV1272" t="s">
        <v>749</v>
      </c>
      <c r="AW1272" t="s">
        <v>11499</v>
      </c>
    </row>
    <row r="1273" spans="1:49">
      <c r="A1273" s="1">
        <f>HYPERLINK("https://cms.ls-nyc.org/matter/dynamic-profile/view/1838220","17-1838220")</f>
        <v>0</v>
      </c>
      <c r="B1273" t="s">
        <v>129</v>
      </c>
      <c r="C1273" t="s">
        <v>235</v>
      </c>
      <c r="D1273" t="s">
        <v>544</v>
      </c>
      <c r="F1273" t="s">
        <v>1602</v>
      </c>
      <c r="G1273" t="s">
        <v>2106</v>
      </c>
      <c r="H1273" t="s">
        <v>4103</v>
      </c>
      <c r="I1273" t="s">
        <v>4777</v>
      </c>
      <c r="J1273" t="s">
        <v>5321</v>
      </c>
      <c r="K1273">
        <v>10473</v>
      </c>
      <c r="L1273" t="s">
        <v>5355</v>
      </c>
      <c r="M1273" t="s">
        <v>5356</v>
      </c>
      <c r="N1273" t="s">
        <v>5593</v>
      </c>
      <c r="O1273" t="s">
        <v>6499</v>
      </c>
      <c r="P1273" t="s">
        <v>6528</v>
      </c>
      <c r="R1273" t="s">
        <v>6539</v>
      </c>
      <c r="S1273" t="s">
        <v>5355</v>
      </c>
      <c r="U1273" t="s">
        <v>6557</v>
      </c>
      <c r="W1273" t="s">
        <v>341</v>
      </c>
      <c r="X1273">
        <v>918.8099999999999</v>
      </c>
      <c r="Y1273" t="s">
        <v>6606</v>
      </c>
      <c r="AB1273" t="s">
        <v>7761</v>
      </c>
      <c r="AD1273" t="s">
        <v>10112</v>
      </c>
      <c r="AE1273">
        <v>225</v>
      </c>
      <c r="AF1273" t="s">
        <v>11005</v>
      </c>
      <c r="AG1273" t="s">
        <v>5406</v>
      </c>
      <c r="AH1273">
        <v>17</v>
      </c>
      <c r="AI1273">
        <v>1</v>
      </c>
      <c r="AJ1273">
        <v>0</v>
      </c>
      <c r="AK1273">
        <v>331.67</v>
      </c>
      <c r="AN1273" t="s">
        <v>11050</v>
      </c>
      <c r="AO1273">
        <v>40000</v>
      </c>
      <c r="AU1273">
        <v>0</v>
      </c>
      <c r="AW1273" t="s">
        <v>11509</v>
      </c>
    </row>
    <row r="1274" spans="1:49">
      <c r="A1274" s="1">
        <f>HYPERLINK("https://cms.ls-nyc.org/matter/dynamic-profile/view/1858033","18-1858033")</f>
        <v>0</v>
      </c>
      <c r="B1274" t="s">
        <v>129</v>
      </c>
      <c r="C1274" t="s">
        <v>234</v>
      </c>
      <c r="D1274" t="s">
        <v>272</v>
      </c>
      <c r="E1274" t="s">
        <v>402</v>
      </c>
      <c r="F1274" t="s">
        <v>1000</v>
      </c>
      <c r="G1274" t="s">
        <v>2835</v>
      </c>
      <c r="H1274" t="s">
        <v>4078</v>
      </c>
      <c r="I1274" t="s">
        <v>4768</v>
      </c>
      <c r="J1274" t="s">
        <v>5321</v>
      </c>
      <c r="K1274">
        <v>10463</v>
      </c>
      <c r="L1274" t="s">
        <v>5355</v>
      </c>
      <c r="M1274" t="s">
        <v>5356</v>
      </c>
      <c r="N1274" t="s">
        <v>5594</v>
      </c>
      <c r="O1274" t="s">
        <v>6499</v>
      </c>
      <c r="P1274" t="s">
        <v>6528</v>
      </c>
      <c r="Q1274" t="s">
        <v>6536</v>
      </c>
      <c r="R1274" t="s">
        <v>6539</v>
      </c>
      <c r="S1274" t="s">
        <v>5355</v>
      </c>
      <c r="U1274" t="s">
        <v>6557</v>
      </c>
      <c r="W1274" t="s">
        <v>247</v>
      </c>
      <c r="X1274">
        <v>1061</v>
      </c>
      <c r="Y1274" t="s">
        <v>6606</v>
      </c>
      <c r="Z1274" t="s">
        <v>6620</v>
      </c>
      <c r="AA1274" t="s">
        <v>6634</v>
      </c>
      <c r="AB1274" t="s">
        <v>7762</v>
      </c>
      <c r="AD1274" t="s">
        <v>10113</v>
      </c>
      <c r="AE1274">
        <v>57</v>
      </c>
      <c r="AF1274" t="s">
        <v>11005</v>
      </c>
      <c r="AG1274" t="s">
        <v>5406</v>
      </c>
      <c r="AH1274">
        <v>7</v>
      </c>
      <c r="AI1274">
        <v>1</v>
      </c>
      <c r="AJ1274">
        <v>0</v>
      </c>
      <c r="AK1274">
        <v>331.67</v>
      </c>
      <c r="AN1274" t="s">
        <v>11050</v>
      </c>
      <c r="AO1274">
        <v>40000</v>
      </c>
      <c r="AU1274">
        <v>0.75</v>
      </c>
      <c r="AV1274" t="s">
        <v>272</v>
      </c>
      <c r="AW1274" t="s">
        <v>11499</v>
      </c>
    </row>
    <row r="1275" spans="1:49">
      <c r="A1275" s="1">
        <f>HYPERLINK("https://cms.ls-nyc.org/matter/dynamic-profile/view/1887834","19-1887834")</f>
        <v>0</v>
      </c>
      <c r="B1275" t="s">
        <v>135</v>
      </c>
      <c r="C1275" t="s">
        <v>235</v>
      </c>
      <c r="D1275" t="s">
        <v>513</v>
      </c>
      <c r="F1275" t="s">
        <v>897</v>
      </c>
      <c r="G1275" t="s">
        <v>2891</v>
      </c>
      <c r="H1275" t="s">
        <v>3735</v>
      </c>
      <c r="I1275" t="s">
        <v>4989</v>
      </c>
      <c r="J1275" t="s">
        <v>5320</v>
      </c>
      <c r="K1275">
        <v>11225</v>
      </c>
      <c r="L1275" t="s">
        <v>5355</v>
      </c>
      <c r="M1275" t="s">
        <v>5356</v>
      </c>
      <c r="O1275" t="s">
        <v>6507</v>
      </c>
      <c r="P1275" t="s">
        <v>6528</v>
      </c>
      <c r="R1275" t="s">
        <v>6539</v>
      </c>
      <c r="S1275" t="s">
        <v>5355</v>
      </c>
      <c r="U1275" t="s">
        <v>6557</v>
      </c>
      <c r="W1275" t="s">
        <v>523</v>
      </c>
      <c r="X1275">
        <v>2725</v>
      </c>
      <c r="Y1275" t="s">
        <v>6605</v>
      </c>
      <c r="AB1275" t="s">
        <v>7763</v>
      </c>
      <c r="AD1275" t="s">
        <v>10114</v>
      </c>
      <c r="AE1275">
        <v>89</v>
      </c>
      <c r="AF1275" t="s">
        <v>11005</v>
      </c>
      <c r="AG1275" t="s">
        <v>5406</v>
      </c>
      <c r="AH1275">
        <v>1</v>
      </c>
      <c r="AI1275">
        <v>2</v>
      </c>
      <c r="AJ1275">
        <v>1</v>
      </c>
      <c r="AK1275">
        <v>336.86</v>
      </c>
      <c r="AO1275">
        <v>70000</v>
      </c>
      <c r="AU1275">
        <v>0</v>
      </c>
      <c r="AW1275" t="s">
        <v>11516</v>
      </c>
    </row>
    <row r="1276" spans="1:49">
      <c r="A1276" s="1">
        <f>HYPERLINK("https://cms.ls-nyc.org/matter/dynamic-profile/view/1842840","17-1842840")</f>
        <v>0</v>
      </c>
      <c r="B1276" t="s">
        <v>63</v>
      </c>
      <c r="C1276" t="s">
        <v>235</v>
      </c>
      <c r="D1276" t="s">
        <v>472</v>
      </c>
      <c r="F1276" t="s">
        <v>1506</v>
      </c>
      <c r="G1276" t="s">
        <v>2892</v>
      </c>
      <c r="H1276" t="s">
        <v>4057</v>
      </c>
      <c r="I1276" t="s">
        <v>5115</v>
      </c>
      <c r="J1276" t="s">
        <v>5322</v>
      </c>
      <c r="K1276">
        <v>10314</v>
      </c>
      <c r="L1276" t="s">
        <v>5355</v>
      </c>
      <c r="M1276" t="s">
        <v>5356</v>
      </c>
      <c r="N1276" t="s">
        <v>5572</v>
      </c>
      <c r="O1276" t="s">
        <v>6499</v>
      </c>
      <c r="P1276" t="s">
        <v>6528</v>
      </c>
      <c r="R1276" t="s">
        <v>6539</v>
      </c>
      <c r="S1276" t="s">
        <v>5355</v>
      </c>
      <c r="U1276" t="s">
        <v>6557</v>
      </c>
      <c r="W1276" t="s">
        <v>388</v>
      </c>
      <c r="X1276">
        <v>1500</v>
      </c>
      <c r="Y1276" t="s">
        <v>6607</v>
      </c>
      <c r="Z1276" t="s">
        <v>6622</v>
      </c>
      <c r="AB1276" t="s">
        <v>7764</v>
      </c>
      <c r="AD1276" t="s">
        <v>10115</v>
      </c>
      <c r="AE1276">
        <v>96</v>
      </c>
      <c r="AF1276" t="s">
        <v>11005</v>
      </c>
      <c r="AG1276" t="s">
        <v>5406</v>
      </c>
      <c r="AH1276">
        <v>4</v>
      </c>
      <c r="AI1276">
        <v>1</v>
      </c>
      <c r="AJ1276">
        <v>0</v>
      </c>
      <c r="AK1276">
        <v>338.31</v>
      </c>
      <c r="AL1276" t="s">
        <v>6588</v>
      </c>
      <c r="AN1276" t="s">
        <v>11050</v>
      </c>
      <c r="AO1276">
        <v>40800</v>
      </c>
      <c r="AU1276">
        <v>0.6</v>
      </c>
      <c r="AV1276" t="s">
        <v>807</v>
      </c>
      <c r="AW1276" t="s">
        <v>140</v>
      </c>
    </row>
    <row r="1277" spans="1:49">
      <c r="A1277" s="1">
        <f>HYPERLINK("https://cms.ls-nyc.org/matter/dynamic-profile/view/1838143","17-1838143")</f>
        <v>0</v>
      </c>
      <c r="B1277" t="s">
        <v>129</v>
      </c>
      <c r="C1277" t="s">
        <v>235</v>
      </c>
      <c r="D1277" t="s">
        <v>539</v>
      </c>
      <c r="F1277" t="s">
        <v>1440</v>
      </c>
      <c r="G1277" t="s">
        <v>2893</v>
      </c>
      <c r="H1277" t="s">
        <v>4077</v>
      </c>
      <c r="I1277" t="s">
        <v>5032</v>
      </c>
      <c r="J1277" t="s">
        <v>5321</v>
      </c>
      <c r="K1277">
        <v>10473</v>
      </c>
      <c r="L1277" t="s">
        <v>5355</v>
      </c>
      <c r="M1277" t="s">
        <v>5356</v>
      </c>
      <c r="N1277" t="s">
        <v>5593</v>
      </c>
      <c r="O1277" t="s">
        <v>6499</v>
      </c>
      <c r="P1277" t="s">
        <v>6528</v>
      </c>
      <c r="R1277" t="s">
        <v>6539</v>
      </c>
      <c r="S1277" t="s">
        <v>5355</v>
      </c>
      <c r="U1277" t="s">
        <v>6557</v>
      </c>
      <c r="W1277" t="s">
        <v>6572</v>
      </c>
      <c r="X1277">
        <v>1137</v>
      </c>
      <c r="Y1277" t="s">
        <v>6606</v>
      </c>
      <c r="Z1277" t="s">
        <v>6620</v>
      </c>
      <c r="AB1277" t="s">
        <v>7765</v>
      </c>
      <c r="AD1277" t="s">
        <v>10116</v>
      </c>
      <c r="AE1277">
        <v>976</v>
      </c>
      <c r="AF1277" t="s">
        <v>11005</v>
      </c>
      <c r="AG1277" t="s">
        <v>5406</v>
      </c>
      <c r="AH1277">
        <v>43</v>
      </c>
      <c r="AI1277">
        <v>3</v>
      </c>
      <c r="AJ1277">
        <v>0</v>
      </c>
      <c r="AK1277">
        <v>345.54</v>
      </c>
      <c r="AL1277" t="s">
        <v>578</v>
      </c>
      <c r="AN1277" t="s">
        <v>11050</v>
      </c>
      <c r="AO1277">
        <v>70560</v>
      </c>
      <c r="AU1277">
        <v>0</v>
      </c>
      <c r="AW1277" t="s">
        <v>11509</v>
      </c>
    </row>
    <row r="1278" spans="1:49">
      <c r="A1278" s="1">
        <f>HYPERLINK("https://cms.ls-nyc.org/matter/dynamic-profile/view/1864823","18-1864823")</f>
        <v>0</v>
      </c>
      <c r="B1278" t="s">
        <v>90</v>
      </c>
      <c r="C1278" t="s">
        <v>234</v>
      </c>
      <c r="D1278" t="s">
        <v>395</v>
      </c>
      <c r="E1278" t="s">
        <v>674</v>
      </c>
      <c r="F1278" t="s">
        <v>941</v>
      </c>
      <c r="G1278" t="s">
        <v>988</v>
      </c>
      <c r="H1278" t="s">
        <v>3549</v>
      </c>
      <c r="I1278" t="s">
        <v>4744</v>
      </c>
      <c r="J1278" t="s">
        <v>5321</v>
      </c>
      <c r="K1278">
        <v>10452</v>
      </c>
      <c r="L1278" t="s">
        <v>5355</v>
      </c>
      <c r="M1278" t="s">
        <v>5355</v>
      </c>
      <c r="O1278" t="s">
        <v>6499</v>
      </c>
      <c r="P1278" t="s">
        <v>6528</v>
      </c>
      <c r="Q1278" t="s">
        <v>6536</v>
      </c>
      <c r="R1278" t="s">
        <v>6539</v>
      </c>
      <c r="S1278" t="s">
        <v>5355</v>
      </c>
      <c r="U1278" t="s">
        <v>6557</v>
      </c>
      <c r="W1278" t="s">
        <v>326</v>
      </c>
      <c r="X1278">
        <v>762.75</v>
      </c>
      <c r="Y1278" t="s">
        <v>6606</v>
      </c>
      <c r="Z1278" t="s">
        <v>6612</v>
      </c>
      <c r="AA1278" t="s">
        <v>6634</v>
      </c>
      <c r="AB1278" t="s">
        <v>7766</v>
      </c>
      <c r="AD1278" t="s">
        <v>10117</v>
      </c>
      <c r="AE1278">
        <v>52</v>
      </c>
      <c r="AF1278" t="s">
        <v>11005</v>
      </c>
      <c r="AH1278">
        <v>20</v>
      </c>
      <c r="AI1278">
        <v>1</v>
      </c>
      <c r="AJ1278">
        <v>0</v>
      </c>
      <c r="AK1278">
        <v>345.96</v>
      </c>
      <c r="AN1278" t="s">
        <v>11050</v>
      </c>
      <c r="AO1278">
        <v>42000</v>
      </c>
      <c r="AU1278">
        <v>0.7</v>
      </c>
      <c r="AV1278" t="s">
        <v>674</v>
      </c>
      <c r="AW1278" t="s">
        <v>90</v>
      </c>
    </row>
    <row r="1279" spans="1:49">
      <c r="A1279" s="1">
        <f>HYPERLINK("https://cms.ls-nyc.org/matter/dynamic-profile/view/1870530","18-1870530")</f>
        <v>0</v>
      </c>
      <c r="B1279" t="s">
        <v>104</v>
      </c>
      <c r="C1279" t="s">
        <v>235</v>
      </c>
      <c r="D1279" t="s">
        <v>255</v>
      </c>
      <c r="F1279" t="s">
        <v>1272</v>
      </c>
      <c r="G1279" t="s">
        <v>2365</v>
      </c>
      <c r="H1279" t="s">
        <v>4095</v>
      </c>
      <c r="I1279" t="s">
        <v>5002</v>
      </c>
      <c r="J1279" t="s">
        <v>5321</v>
      </c>
      <c r="K1279">
        <v>10456</v>
      </c>
      <c r="L1279" t="s">
        <v>5355</v>
      </c>
      <c r="M1279" t="s">
        <v>5356</v>
      </c>
      <c r="N1279" t="s">
        <v>5624</v>
      </c>
      <c r="O1279" t="s">
        <v>6499</v>
      </c>
      <c r="P1279" t="s">
        <v>6528</v>
      </c>
      <c r="R1279" t="s">
        <v>6539</v>
      </c>
      <c r="S1279" t="s">
        <v>5355</v>
      </c>
      <c r="U1279" t="s">
        <v>6557</v>
      </c>
      <c r="W1279" t="s">
        <v>516</v>
      </c>
      <c r="X1279">
        <v>1035</v>
      </c>
      <c r="Y1279" t="s">
        <v>6606</v>
      </c>
      <c r="Z1279" t="s">
        <v>6612</v>
      </c>
      <c r="AB1279" t="s">
        <v>7767</v>
      </c>
      <c r="AD1279" t="s">
        <v>10118</v>
      </c>
      <c r="AE1279">
        <v>131</v>
      </c>
      <c r="AF1279" t="s">
        <v>11005</v>
      </c>
      <c r="AG1279" t="s">
        <v>5406</v>
      </c>
      <c r="AH1279">
        <v>20</v>
      </c>
      <c r="AI1279">
        <v>3</v>
      </c>
      <c r="AJ1279">
        <v>0</v>
      </c>
      <c r="AK1279">
        <v>346.49</v>
      </c>
      <c r="AN1279" t="s">
        <v>11050</v>
      </c>
      <c r="AO1279">
        <v>72000</v>
      </c>
      <c r="AU1279">
        <v>0</v>
      </c>
      <c r="AW1279" t="s">
        <v>11505</v>
      </c>
    </row>
    <row r="1280" spans="1:49">
      <c r="A1280" s="1">
        <f>HYPERLINK("https://cms.ls-nyc.org/matter/dynamic-profile/view/1865395","18-1865395")</f>
        <v>0</v>
      </c>
      <c r="B1280" t="s">
        <v>56</v>
      </c>
      <c r="C1280" t="s">
        <v>235</v>
      </c>
      <c r="D1280" t="s">
        <v>502</v>
      </c>
      <c r="F1280" t="s">
        <v>1603</v>
      </c>
      <c r="G1280" t="s">
        <v>2894</v>
      </c>
      <c r="H1280" t="s">
        <v>4020</v>
      </c>
      <c r="I1280" t="s">
        <v>4850</v>
      </c>
      <c r="J1280" t="s">
        <v>5321</v>
      </c>
      <c r="K1280">
        <v>10458</v>
      </c>
      <c r="L1280" t="s">
        <v>5355</v>
      </c>
      <c r="M1280" t="s">
        <v>5356</v>
      </c>
      <c r="N1280" t="s">
        <v>5625</v>
      </c>
      <c r="O1280" t="s">
        <v>6499</v>
      </c>
      <c r="P1280" t="s">
        <v>6528</v>
      </c>
      <c r="R1280" t="s">
        <v>6539</v>
      </c>
      <c r="S1280" t="s">
        <v>5355</v>
      </c>
      <c r="U1280" t="s">
        <v>6557</v>
      </c>
      <c r="W1280" t="s">
        <v>326</v>
      </c>
      <c r="X1280">
        <v>1248.06</v>
      </c>
      <c r="Y1280" t="s">
        <v>6606</v>
      </c>
      <c r="Z1280" t="s">
        <v>6612</v>
      </c>
      <c r="AB1280" t="s">
        <v>7768</v>
      </c>
      <c r="AD1280" t="s">
        <v>10119</v>
      </c>
      <c r="AE1280">
        <v>11</v>
      </c>
      <c r="AF1280" t="s">
        <v>11005</v>
      </c>
      <c r="AG1280" t="s">
        <v>5406</v>
      </c>
      <c r="AH1280">
        <v>16</v>
      </c>
      <c r="AI1280">
        <v>2</v>
      </c>
      <c r="AJ1280">
        <v>1</v>
      </c>
      <c r="AK1280">
        <v>349.37</v>
      </c>
      <c r="AL1280" t="s">
        <v>11029</v>
      </c>
      <c r="AN1280" t="s">
        <v>11050</v>
      </c>
      <c r="AO1280">
        <v>72600</v>
      </c>
      <c r="AU1280">
        <v>0</v>
      </c>
      <c r="AW1280" t="s">
        <v>11492</v>
      </c>
    </row>
    <row r="1281" spans="1:49">
      <c r="A1281" s="1">
        <f>HYPERLINK("https://cms.ls-nyc.org/matter/dynamic-profile/view/1835417","17-1835417")</f>
        <v>0</v>
      </c>
      <c r="B1281" t="s">
        <v>182</v>
      </c>
      <c r="C1281" t="s">
        <v>234</v>
      </c>
      <c r="D1281" t="s">
        <v>545</v>
      </c>
      <c r="E1281" t="s">
        <v>699</v>
      </c>
      <c r="F1281" t="s">
        <v>1604</v>
      </c>
      <c r="G1281" t="s">
        <v>2895</v>
      </c>
      <c r="H1281" t="s">
        <v>4109</v>
      </c>
      <c r="I1281" t="s">
        <v>5116</v>
      </c>
      <c r="J1281" t="s">
        <v>5322</v>
      </c>
      <c r="K1281">
        <v>10304</v>
      </c>
      <c r="L1281" t="s">
        <v>5355</v>
      </c>
      <c r="M1281" t="s">
        <v>5356</v>
      </c>
      <c r="O1281" t="s">
        <v>6499</v>
      </c>
      <c r="P1281" t="s">
        <v>6528</v>
      </c>
      <c r="Q1281" t="s">
        <v>6533</v>
      </c>
      <c r="R1281" t="s">
        <v>6539</v>
      </c>
      <c r="S1281" t="s">
        <v>5357</v>
      </c>
      <c r="U1281" t="s">
        <v>6557</v>
      </c>
      <c r="W1281" t="s">
        <v>6583</v>
      </c>
      <c r="X1281">
        <v>1085</v>
      </c>
      <c r="Y1281" t="s">
        <v>6607</v>
      </c>
      <c r="Z1281" t="s">
        <v>6620</v>
      </c>
      <c r="AA1281" t="s">
        <v>6642</v>
      </c>
      <c r="AB1281" t="s">
        <v>7554</v>
      </c>
      <c r="AD1281" t="s">
        <v>10120</v>
      </c>
      <c r="AE1281">
        <v>150</v>
      </c>
      <c r="AF1281" t="s">
        <v>11005</v>
      </c>
      <c r="AG1281" t="s">
        <v>5406</v>
      </c>
      <c r="AH1281">
        <v>13</v>
      </c>
      <c r="AI1281">
        <v>2</v>
      </c>
      <c r="AJ1281">
        <v>0</v>
      </c>
      <c r="AK1281">
        <v>350.99</v>
      </c>
      <c r="AL1281" t="s">
        <v>527</v>
      </c>
      <c r="AN1281" t="s">
        <v>11050</v>
      </c>
      <c r="AO1281">
        <v>57000</v>
      </c>
      <c r="AU1281">
        <v>16.8</v>
      </c>
      <c r="AV1281" t="s">
        <v>447</v>
      </c>
      <c r="AW1281" t="s">
        <v>11510</v>
      </c>
    </row>
    <row r="1282" spans="1:49">
      <c r="A1282" s="1">
        <f>HYPERLINK("https://cms.ls-nyc.org/matter/dynamic-profile/view/1865285","18-1865285")</f>
        <v>0</v>
      </c>
      <c r="B1282" t="s">
        <v>106</v>
      </c>
      <c r="C1282" t="s">
        <v>235</v>
      </c>
      <c r="D1282" t="s">
        <v>496</v>
      </c>
      <c r="F1282" t="s">
        <v>1405</v>
      </c>
      <c r="G1282" t="s">
        <v>2168</v>
      </c>
      <c r="H1282" t="s">
        <v>4089</v>
      </c>
      <c r="I1282" t="s">
        <v>5117</v>
      </c>
      <c r="J1282" t="s">
        <v>5321</v>
      </c>
      <c r="K1282">
        <v>10452</v>
      </c>
      <c r="L1282" t="s">
        <v>5355</v>
      </c>
      <c r="M1282" t="s">
        <v>5356</v>
      </c>
      <c r="N1282" t="s">
        <v>5576</v>
      </c>
      <c r="O1282" t="s">
        <v>6499</v>
      </c>
      <c r="P1282" t="s">
        <v>6528</v>
      </c>
      <c r="R1282" t="s">
        <v>6539</v>
      </c>
      <c r="S1282" t="s">
        <v>5355</v>
      </c>
      <c r="U1282" t="s">
        <v>6557</v>
      </c>
      <c r="W1282" t="s">
        <v>316</v>
      </c>
      <c r="X1282">
        <v>843.21</v>
      </c>
      <c r="Y1282" t="s">
        <v>6606</v>
      </c>
      <c r="Z1282" t="s">
        <v>6612</v>
      </c>
      <c r="AB1282" t="s">
        <v>7735</v>
      </c>
      <c r="AD1282" t="s">
        <v>10088</v>
      </c>
      <c r="AE1282">
        <v>70</v>
      </c>
      <c r="AF1282" t="s">
        <v>11005</v>
      </c>
      <c r="AH1282">
        <v>28</v>
      </c>
      <c r="AI1282">
        <v>3</v>
      </c>
      <c r="AJ1282">
        <v>0</v>
      </c>
      <c r="AK1282">
        <v>356.75</v>
      </c>
      <c r="AN1282" t="s">
        <v>11049</v>
      </c>
      <c r="AO1282">
        <v>74132.92</v>
      </c>
      <c r="AU1282">
        <v>0</v>
      </c>
      <c r="AW1282" t="s">
        <v>11492</v>
      </c>
    </row>
    <row r="1283" spans="1:49">
      <c r="A1283" s="1">
        <f>HYPERLINK("https://cms.ls-nyc.org/matter/dynamic-profile/view/1842832","17-1842832")</f>
        <v>0</v>
      </c>
      <c r="B1283" t="s">
        <v>63</v>
      </c>
      <c r="C1283" t="s">
        <v>235</v>
      </c>
      <c r="D1283" t="s">
        <v>472</v>
      </c>
      <c r="F1283" t="s">
        <v>1605</v>
      </c>
      <c r="G1283" t="s">
        <v>2896</v>
      </c>
      <c r="H1283" t="s">
        <v>4057</v>
      </c>
      <c r="J1283" t="s">
        <v>5322</v>
      </c>
      <c r="K1283">
        <v>10314</v>
      </c>
      <c r="L1283" t="s">
        <v>5355</v>
      </c>
      <c r="M1283" t="s">
        <v>5356</v>
      </c>
      <c r="N1283" t="s">
        <v>5572</v>
      </c>
      <c r="O1283" t="s">
        <v>6499</v>
      </c>
      <c r="P1283" t="s">
        <v>6528</v>
      </c>
      <c r="R1283" t="s">
        <v>6539</v>
      </c>
      <c r="S1283" t="s">
        <v>5355</v>
      </c>
      <c r="U1283" t="s">
        <v>6557</v>
      </c>
      <c r="W1283" t="s">
        <v>388</v>
      </c>
      <c r="X1283">
        <v>1852</v>
      </c>
      <c r="Y1283" t="s">
        <v>6607</v>
      </c>
      <c r="Z1283" t="s">
        <v>6614</v>
      </c>
      <c r="AB1283" t="s">
        <v>7769</v>
      </c>
      <c r="AD1283" t="s">
        <v>10121</v>
      </c>
      <c r="AE1283">
        <v>96</v>
      </c>
      <c r="AF1283" t="s">
        <v>11005</v>
      </c>
      <c r="AG1283" t="s">
        <v>5406</v>
      </c>
      <c r="AH1283">
        <v>7</v>
      </c>
      <c r="AI1283">
        <v>2</v>
      </c>
      <c r="AJ1283">
        <v>0</v>
      </c>
      <c r="AK1283">
        <v>365.02</v>
      </c>
      <c r="AL1283" t="s">
        <v>11034</v>
      </c>
      <c r="AN1283" t="s">
        <v>11050</v>
      </c>
      <c r="AO1283">
        <v>59280</v>
      </c>
      <c r="AU1283">
        <v>1.2</v>
      </c>
      <c r="AV1283" t="s">
        <v>690</v>
      </c>
      <c r="AW1283" t="s">
        <v>140</v>
      </c>
    </row>
    <row r="1284" spans="1:49">
      <c r="A1284" s="1">
        <f>HYPERLINK("https://cms.ls-nyc.org/matter/dynamic-profile/view/1838920","17-1838920")</f>
        <v>0</v>
      </c>
      <c r="B1284" t="s">
        <v>129</v>
      </c>
      <c r="C1284" t="s">
        <v>235</v>
      </c>
      <c r="D1284" t="s">
        <v>446</v>
      </c>
      <c r="F1284" t="s">
        <v>1208</v>
      </c>
      <c r="G1284" t="s">
        <v>2897</v>
      </c>
      <c r="H1284" t="s">
        <v>3786</v>
      </c>
      <c r="I1284" t="s">
        <v>4822</v>
      </c>
      <c r="J1284" t="s">
        <v>5321</v>
      </c>
      <c r="K1284">
        <v>10473</v>
      </c>
      <c r="L1284" t="s">
        <v>5355</v>
      </c>
      <c r="M1284" t="s">
        <v>5356</v>
      </c>
      <c r="N1284" t="s">
        <v>5592</v>
      </c>
      <c r="O1284" t="s">
        <v>6499</v>
      </c>
      <c r="P1284" t="s">
        <v>6528</v>
      </c>
      <c r="R1284" t="s">
        <v>6539</v>
      </c>
      <c r="S1284" t="s">
        <v>5355</v>
      </c>
      <c r="U1284" t="s">
        <v>6557</v>
      </c>
      <c r="W1284" t="s">
        <v>6572</v>
      </c>
      <c r="X1284">
        <v>1175</v>
      </c>
      <c r="Y1284" t="s">
        <v>6606</v>
      </c>
      <c r="Z1284" t="s">
        <v>6620</v>
      </c>
      <c r="AB1284" t="s">
        <v>7770</v>
      </c>
      <c r="AD1284" t="s">
        <v>10122</v>
      </c>
      <c r="AE1284">
        <v>976</v>
      </c>
      <c r="AF1284" t="s">
        <v>11005</v>
      </c>
      <c r="AG1284" t="s">
        <v>5406</v>
      </c>
      <c r="AH1284">
        <v>43</v>
      </c>
      <c r="AI1284">
        <v>2</v>
      </c>
      <c r="AJ1284">
        <v>0</v>
      </c>
      <c r="AK1284">
        <v>369.46</v>
      </c>
      <c r="AL1284" t="s">
        <v>578</v>
      </c>
      <c r="AN1284" t="s">
        <v>11050</v>
      </c>
      <c r="AO1284">
        <v>90000</v>
      </c>
      <c r="AU1284">
        <v>0</v>
      </c>
      <c r="AW1284" t="s">
        <v>11509</v>
      </c>
    </row>
    <row r="1285" spans="1:49">
      <c r="A1285" s="1">
        <f>HYPERLINK("https://cms.ls-nyc.org/matter/dynamic-profile/view/1857452","18-1857452")</f>
        <v>0</v>
      </c>
      <c r="B1285" t="s">
        <v>58</v>
      </c>
      <c r="C1285" t="s">
        <v>235</v>
      </c>
      <c r="D1285" t="s">
        <v>397</v>
      </c>
      <c r="F1285" t="s">
        <v>1004</v>
      </c>
      <c r="G1285" t="s">
        <v>2898</v>
      </c>
      <c r="H1285" t="s">
        <v>4007</v>
      </c>
      <c r="I1285" t="s">
        <v>5118</v>
      </c>
      <c r="J1285" t="s">
        <v>5321</v>
      </c>
      <c r="K1285">
        <v>10452</v>
      </c>
      <c r="L1285" t="s">
        <v>5355</v>
      </c>
      <c r="M1285" t="s">
        <v>5356</v>
      </c>
      <c r="N1285" t="s">
        <v>5571</v>
      </c>
      <c r="O1285" t="s">
        <v>6499</v>
      </c>
      <c r="P1285" t="s">
        <v>6528</v>
      </c>
      <c r="R1285" t="s">
        <v>6539</v>
      </c>
      <c r="S1285" t="s">
        <v>5355</v>
      </c>
      <c r="U1285" t="s">
        <v>6557</v>
      </c>
      <c r="W1285" t="s">
        <v>6592</v>
      </c>
      <c r="X1285">
        <v>749</v>
      </c>
      <c r="Y1285" t="s">
        <v>6606</v>
      </c>
      <c r="Z1285" t="s">
        <v>6612</v>
      </c>
      <c r="AB1285" t="s">
        <v>7771</v>
      </c>
      <c r="AD1285" t="s">
        <v>10123</v>
      </c>
      <c r="AE1285">
        <v>122</v>
      </c>
      <c r="AF1285" t="s">
        <v>11005</v>
      </c>
      <c r="AG1285" t="s">
        <v>5406</v>
      </c>
      <c r="AH1285">
        <v>23</v>
      </c>
      <c r="AI1285">
        <v>1</v>
      </c>
      <c r="AJ1285">
        <v>0</v>
      </c>
      <c r="AK1285">
        <v>381.43</v>
      </c>
      <c r="AN1285" t="s">
        <v>11050</v>
      </c>
      <c r="AO1285">
        <v>46000</v>
      </c>
      <c r="AU1285">
        <v>0.1</v>
      </c>
      <c r="AV1285" t="s">
        <v>732</v>
      </c>
      <c r="AW1285" t="s">
        <v>11492</v>
      </c>
    </row>
    <row r="1286" spans="1:49">
      <c r="A1286" s="1">
        <f>HYPERLINK("https://cms.ls-nyc.org/matter/dynamic-profile/view/1851790","17-1851790")</f>
        <v>0</v>
      </c>
      <c r="B1286" t="s">
        <v>129</v>
      </c>
      <c r="C1286" t="s">
        <v>234</v>
      </c>
      <c r="D1286" t="s">
        <v>381</v>
      </c>
      <c r="E1286" t="s">
        <v>600</v>
      </c>
      <c r="F1286" t="s">
        <v>1126</v>
      </c>
      <c r="G1286" t="s">
        <v>2168</v>
      </c>
      <c r="H1286" t="s">
        <v>4055</v>
      </c>
      <c r="I1286" t="s">
        <v>4868</v>
      </c>
      <c r="J1286" t="s">
        <v>5321</v>
      </c>
      <c r="K1286">
        <v>10468</v>
      </c>
      <c r="L1286" t="s">
        <v>5355</v>
      </c>
      <c r="M1286" t="s">
        <v>5356</v>
      </c>
      <c r="N1286" t="s">
        <v>5568</v>
      </c>
      <c r="O1286" t="s">
        <v>6499</v>
      </c>
      <c r="P1286" t="s">
        <v>6528</v>
      </c>
      <c r="Q1286" t="s">
        <v>6536</v>
      </c>
      <c r="R1286" t="s">
        <v>6539</v>
      </c>
      <c r="S1286" t="s">
        <v>5355</v>
      </c>
      <c r="U1286" t="s">
        <v>6557</v>
      </c>
      <c r="W1286" t="s">
        <v>381</v>
      </c>
      <c r="X1286">
        <v>1377.4</v>
      </c>
      <c r="Y1286" t="s">
        <v>6606</v>
      </c>
      <c r="Z1286" t="s">
        <v>6620</v>
      </c>
      <c r="AA1286" t="s">
        <v>6634</v>
      </c>
      <c r="AB1286" t="s">
        <v>7348</v>
      </c>
      <c r="AD1286" t="s">
        <v>10124</v>
      </c>
      <c r="AE1286">
        <v>47</v>
      </c>
      <c r="AF1286" t="s">
        <v>11005</v>
      </c>
      <c r="AG1286" t="s">
        <v>11020</v>
      </c>
      <c r="AH1286">
        <v>26</v>
      </c>
      <c r="AI1286">
        <v>2</v>
      </c>
      <c r="AJ1286">
        <v>0</v>
      </c>
      <c r="AK1286">
        <v>387.93</v>
      </c>
      <c r="AL1286" t="s">
        <v>11029</v>
      </c>
      <c r="AN1286" t="s">
        <v>11049</v>
      </c>
      <c r="AO1286">
        <v>63000</v>
      </c>
      <c r="AU1286">
        <v>0.5</v>
      </c>
      <c r="AV1286" t="s">
        <v>381</v>
      </c>
      <c r="AW1286" t="s">
        <v>11499</v>
      </c>
    </row>
    <row r="1287" spans="1:49">
      <c r="A1287" s="1">
        <f>HYPERLINK("https://cms.ls-nyc.org/matter/dynamic-profile/view/1854133","17-1854133")</f>
        <v>0</v>
      </c>
      <c r="B1287" t="s">
        <v>129</v>
      </c>
      <c r="C1287" t="s">
        <v>235</v>
      </c>
      <c r="D1287" t="s">
        <v>439</v>
      </c>
      <c r="F1287" t="s">
        <v>1422</v>
      </c>
      <c r="G1287" t="s">
        <v>2899</v>
      </c>
      <c r="H1287" t="s">
        <v>3808</v>
      </c>
      <c r="I1287" t="s">
        <v>4811</v>
      </c>
      <c r="J1287" t="s">
        <v>5321</v>
      </c>
      <c r="K1287">
        <v>10456</v>
      </c>
      <c r="L1287" t="s">
        <v>5355</v>
      </c>
      <c r="M1287" t="s">
        <v>5355</v>
      </c>
      <c r="N1287" t="s">
        <v>5585</v>
      </c>
      <c r="O1287" t="s">
        <v>6499</v>
      </c>
      <c r="P1287" t="s">
        <v>6528</v>
      </c>
      <c r="R1287" t="s">
        <v>6539</v>
      </c>
      <c r="S1287" t="s">
        <v>5355</v>
      </c>
      <c r="U1287" t="s">
        <v>6557</v>
      </c>
      <c r="W1287" t="s">
        <v>6572</v>
      </c>
      <c r="X1287">
        <v>1200</v>
      </c>
      <c r="Y1287" t="s">
        <v>6606</v>
      </c>
      <c r="Z1287" t="s">
        <v>6612</v>
      </c>
      <c r="AB1287" t="s">
        <v>7772</v>
      </c>
      <c r="AD1287" t="s">
        <v>10125</v>
      </c>
      <c r="AE1287">
        <v>61</v>
      </c>
      <c r="AF1287" t="s">
        <v>11005</v>
      </c>
      <c r="AG1287" t="s">
        <v>5406</v>
      </c>
      <c r="AH1287">
        <v>25</v>
      </c>
      <c r="AI1287">
        <v>2</v>
      </c>
      <c r="AJ1287">
        <v>0</v>
      </c>
      <c r="AK1287">
        <v>392.86</v>
      </c>
      <c r="AL1287" t="s">
        <v>366</v>
      </c>
      <c r="AN1287" t="s">
        <v>11050</v>
      </c>
      <c r="AO1287">
        <v>63800</v>
      </c>
      <c r="AU1287">
        <v>3</v>
      </c>
      <c r="AV1287" t="s">
        <v>290</v>
      </c>
      <c r="AW1287" t="s">
        <v>11509</v>
      </c>
    </row>
    <row r="1288" spans="1:49">
      <c r="A1288" s="1">
        <f>HYPERLINK("https://cms.ls-nyc.org/matter/dynamic-profile/view/1838120","17-1838120")</f>
        <v>0</v>
      </c>
      <c r="B1288" t="s">
        <v>129</v>
      </c>
      <c r="C1288" t="s">
        <v>235</v>
      </c>
      <c r="D1288" t="s">
        <v>539</v>
      </c>
      <c r="F1288" t="s">
        <v>1231</v>
      </c>
      <c r="G1288" t="s">
        <v>2122</v>
      </c>
      <c r="H1288" t="s">
        <v>4103</v>
      </c>
      <c r="I1288" t="s">
        <v>5119</v>
      </c>
      <c r="J1288" t="s">
        <v>5321</v>
      </c>
      <c r="K1288">
        <v>10473</v>
      </c>
      <c r="L1288" t="s">
        <v>5355</v>
      </c>
      <c r="M1288" t="s">
        <v>5356</v>
      </c>
      <c r="N1288" t="s">
        <v>5593</v>
      </c>
      <c r="O1288" t="s">
        <v>6499</v>
      </c>
      <c r="P1288" t="s">
        <v>6528</v>
      </c>
      <c r="R1288" t="s">
        <v>6539</v>
      </c>
      <c r="S1288" t="s">
        <v>5355</v>
      </c>
      <c r="U1288" t="s">
        <v>6557</v>
      </c>
      <c r="W1288" t="s">
        <v>341</v>
      </c>
      <c r="X1288">
        <v>1541.95</v>
      </c>
      <c r="Y1288" t="s">
        <v>6606</v>
      </c>
      <c r="AB1288" t="s">
        <v>7773</v>
      </c>
      <c r="AD1288" t="s">
        <v>10126</v>
      </c>
      <c r="AE1288">
        <v>225</v>
      </c>
      <c r="AF1288" t="s">
        <v>11005</v>
      </c>
      <c r="AH1288">
        <v>1</v>
      </c>
      <c r="AI1288">
        <v>1</v>
      </c>
      <c r="AJ1288">
        <v>0</v>
      </c>
      <c r="AK1288">
        <v>398.01</v>
      </c>
      <c r="AN1288" t="s">
        <v>11050</v>
      </c>
      <c r="AO1288">
        <v>48000</v>
      </c>
      <c r="AU1288">
        <v>0</v>
      </c>
      <c r="AW1288" t="s">
        <v>11509</v>
      </c>
    </row>
    <row r="1289" spans="1:49">
      <c r="A1289" s="1">
        <f>HYPERLINK("https://cms.ls-nyc.org/matter/dynamic-profile/view/1858051","18-1858051")</f>
        <v>0</v>
      </c>
      <c r="B1289" t="s">
        <v>129</v>
      </c>
      <c r="C1289" t="s">
        <v>234</v>
      </c>
      <c r="D1289" t="s">
        <v>272</v>
      </c>
      <c r="E1289" t="s">
        <v>600</v>
      </c>
      <c r="F1289" t="s">
        <v>1606</v>
      </c>
      <c r="G1289" t="s">
        <v>2237</v>
      </c>
      <c r="H1289" t="s">
        <v>4078</v>
      </c>
      <c r="I1289" t="s">
        <v>4752</v>
      </c>
      <c r="J1289" t="s">
        <v>5321</v>
      </c>
      <c r="K1289">
        <v>10463</v>
      </c>
      <c r="L1289" t="s">
        <v>5355</v>
      </c>
      <c r="M1289" t="s">
        <v>5356</v>
      </c>
      <c r="N1289" t="s">
        <v>5594</v>
      </c>
      <c r="O1289" t="s">
        <v>6499</v>
      </c>
      <c r="P1289" t="s">
        <v>6528</v>
      </c>
      <c r="Q1289" t="s">
        <v>6536</v>
      </c>
      <c r="R1289" t="s">
        <v>6539</v>
      </c>
      <c r="S1289" t="s">
        <v>5355</v>
      </c>
      <c r="U1289" t="s">
        <v>6557</v>
      </c>
      <c r="W1289" t="s">
        <v>247</v>
      </c>
      <c r="X1289">
        <v>1120</v>
      </c>
      <c r="Y1289" t="s">
        <v>6606</v>
      </c>
      <c r="Z1289" t="s">
        <v>6620</v>
      </c>
      <c r="AA1289" t="s">
        <v>6634</v>
      </c>
      <c r="AB1289" t="s">
        <v>7774</v>
      </c>
      <c r="AD1289" t="s">
        <v>10127</v>
      </c>
      <c r="AE1289">
        <v>57</v>
      </c>
      <c r="AF1289" t="s">
        <v>11005</v>
      </c>
      <c r="AG1289" t="s">
        <v>5406</v>
      </c>
      <c r="AH1289">
        <v>9</v>
      </c>
      <c r="AI1289">
        <v>1</v>
      </c>
      <c r="AJ1289">
        <v>0</v>
      </c>
      <c r="AK1289">
        <v>414.59</v>
      </c>
      <c r="AN1289" t="s">
        <v>11050</v>
      </c>
      <c r="AO1289">
        <v>50000</v>
      </c>
      <c r="AU1289">
        <v>0.5</v>
      </c>
      <c r="AV1289" t="s">
        <v>272</v>
      </c>
      <c r="AW1289" t="s">
        <v>11499</v>
      </c>
    </row>
    <row r="1290" spans="1:49">
      <c r="A1290" s="1">
        <f>HYPERLINK("https://cms.ls-nyc.org/matter/dynamic-profile/view/1840714","17-1840714")</f>
        <v>0</v>
      </c>
      <c r="B1290" t="s">
        <v>129</v>
      </c>
      <c r="C1290" t="s">
        <v>234</v>
      </c>
      <c r="D1290" t="s">
        <v>348</v>
      </c>
      <c r="E1290" t="s">
        <v>778</v>
      </c>
      <c r="F1290" t="s">
        <v>1048</v>
      </c>
      <c r="G1290" t="s">
        <v>2900</v>
      </c>
      <c r="H1290" t="s">
        <v>3721</v>
      </c>
      <c r="I1290" t="s">
        <v>5120</v>
      </c>
      <c r="J1290" t="s">
        <v>5321</v>
      </c>
      <c r="K1290">
        <v>10453</v>
      </c>
      <c r="L1290" t="s">
        <v>5355</v>
      </c>
      <c r="M1290" t="s">
        <v>5356</v>
      </c>
      <c r="O1290" t="s">
        <v>6499</v>
      </c>
      <c r="P1290" t="s">
        <v>6528</v>
      </c>
      <c r="Q1290" t="s">
        <v>6536</v>
      </c>
      <c r="R1290" t="s">
        <v>6539</v>
      </c>
      <c r="S1290" t="s">
        <v>5355</v>
      </c>
      <c r="U1290" t="s">
        <v>6557</v>
      </c>
      <c r="W1290" t="s">
        <v>404</v>
      </c>
      <c r="X1290">
        <v>875</v>
      </c>
      <c r="Y1290" t="s">
        <v>6606</v>
      </c>
      <c r="Z1290" t="s">
        <v>6612</v>
      </c>
      <c r="AA1290" t="s">
        <v>6636</v>
      </c>
      <c r="AB1290" t="s">
        <v>7775</v>
      </c>
      <c r="AD1290" t="s">
        <v>10128</v>
      </c>
      <c r="AE1290">
        <v>170</v>
      </c>
      <c r="AF1290" t="s">
        <v>11005</v>
      </c>
      <c r="AG1290" t="s">
        <v>5406</v>
      </c>
      <c r="AH1290">
        <v>25</v>
      </c>
      <c r="AI1290">
        <v>1</v>
      </c>
      <c r="AJ1290">
        <v>0</v>
      </c>
      <c r="AK1290">
        <v>414.59</v>
      </c>
      <c r="AN1290" t="s">
        <v>11050</v>
      </c>
      <c r="AO1290">
        <v>50000</v>
      </c>
      <c r="AU1290">
        <v>0.1</v>
      </c>
      <c r="AV1290" t="s">
        <v>778</v>
      </c>
      <c r="AW1290" t="s">
        <v>11509</v>
      </c>
    </row>
    <row r="1291" spans="1:49">
      <c r="A1291" s="1">
        <f>HYPERLINK("https://cms.ls-nyc.org/matter/dynamic-profile/view/1887822","19-1887822")</f>
        <v>0</v>
      </c>
      <c r="B1291" t="s">
        <v>135</v>
      </c>
      <c r="C1291" t="s">
        <v>235</v>
      </c>
      <c r="D1291" t="s">
        <v>513</v>
      </c>
      <c r="F1291" t="s">
        <v>1607</v>
      </c>
      <c r="G1291" t="s">
        <v>2567</v>
      </c>
      <c r="H1291" t="s">
        <v>3735</v>
      </c>
      <c r="I1291" t="s">
        <v>5012</v>
      </c>
      <c r="J1291" t="s">
        <v>5320</v>
      </c>
      <c r="K1291">
        <v>11225</v>
      </c>
      <c r="L1291" t="s">
        <v>5355</v>
      </c>
      <c r="M1291" t="s">
        <v>5356</v>
      </c>
      <c r="O1291" t="s">
        <v>6507</v>
      </c>
      <c r="P1291" t="s">
        <v>6528</v>
      </c>
      <c r="R1291" t="s">
        <v>6539</v>
      </c>
      <c r="S1291" t="s">
        <v>5355</v>
      </c>
      <c r="U1291" t="s">
        <v>6557</v>
      </c>
      <c r="W1291" t="s">
        <v>523</v>
      </c>
      <c r="X1291">
        <v>1416</v>
      </c>
      <c r="Y1291" t="s">
        <v>6605</v>
      </c>
      <c r="Z1291" t="s">
        <v>6622</v>
      </c>
      <c r="AB1291" t="s">
        <v>7257</v>
      </c>
      <c r="AD1291" t="s">
        <v>10129</v>
      </c>
      <c r="AE1291">
        <v>89</v>
      </c>
      <c r="AF1291" t="s">
        <v>11005</v>
      </c>
      <c r="AG1291" t="s">
        <v>5406</v>
      </c>
      <c r="AH1291">
        <v>1</v>
      </c>
      <c r="AI1291">
        <v>6</v>
      </c>
      <c r="AJ1291">
        <v>1</v>
      </c>
      <c r="AK1291">
        <v>420.39</v>
      </c>
      <c r="AN1291" t="s">
        <v>11050</v>
      </c>
      <c r="AO1291">
        <v>160000</v>
      </c>
      <c r="AU1291">
        <v>0</v>
      </c>
      <c r="AW1291" t="s">
        <v>11516</v>
      </c>
    </row>
    <row r="1292" spans="1:49">
      <c r="A1292" s="1">
        <f>HYPERLINK("https://cms.ls-nyc.org/matter/dynamic-profile/view/1838190","17-1838190")</f>
        <v>0</v>
      </c>
      <c r="B1292" t="s">
        <v>129</v>
      </c>
      <c r="C1292" t="s">
        <v>235</v>
      </c>
      <c r="D1292" t="s">
        <v>544</v>
      </c>
      <c r="F1292" t="s">
        <v>1608</v>
      </c>
      <c r="G1292" t="s">
        <v>2901</v>
      </c>
      <c r="H1292" t="s">
        <v>4077</v>
      </c>
      <c r="I1292" t="s">
        <v>5121</v>
      </c>
      <c r="J1292" t="s">
        <v>5321</v>
      </c>
      <c r="K1292">
        <v>10473</v>
      </c>
      <c r="L1292" t="s">
        <v>5355</v>
      </c>
      <c r="M1292" t="s">
        <v>5356</v>
      </c>
      <c r="N1292" t="s">
        <v>5593</v>
      </c>
      <c r="O1292" t="s">
        <v>6499</v>
      </c>
      <c r="P1292" t="s">
        <v>6528</v>
      </c>
      <c r="R1292" t="s">
        <v>6539</v>
      </c>
      <c r="S1292" t="s">
        <v>5355</v>
      </c>
      <c r="U1292" t="s">
        <v>6557</v>
      </c>
      <c r="W1292" t="s">
        <v>6572</v>
      </c>
      <c r="X1292">
        <v>1230</v>
      </c>
      <c r="Y1292" t="s">
        <v>6606</v>
      </c>
      <c r="Z1292" t="s">
        <v>6620</v>
      </c>
      <c r="AB1292" t="s">
        <v>7776</v>
      </c>
      <c r="AD1292" t="s">
        <v>10130</v>
      </c>
      <c r="AE1292">
        <v>976</v>
      </c>
      <c r="AF1292" t="s">
        <v>11005</v>
      </c>
      <c r="AG1292" t="s">
        <v>5406</v>
      </c>
      <c r="AH1292">
        <v>12</v>
      </c>
      <c r="AI1292">
        <v>2</v>
      </c>
      <c r="AJ1292">
        <v>1</v>
      </c>
      <c r="AK1292">
        <v>440.74</v>
      </c>
      <c r="AL1292" t="s">
        <v>578</v>
      </c>
      <c r="AN1292" t="s">
        <v>11050</v>
      </c>
      <c r="AO1292">
        <v>90000</v>
      </c>
      <c r="AU1292">
        <v>0</v>
      </c>
      <c r="AW1292" t="s">
        <v>11509</v>
      </c>
    </row>
    <row r="1293" spans="1:49">
      <c r="A1293" s="1">
        <f>HYPERLINK("https://cms.ls-nyc.org/matter/dynamic-profile/view/1836023","17-1836023")</f>
        <v>0</v>
      </c>
      <c r="B1293" t="s">
        <v>92</v>
      </c>
      <c r="C1293" t="s">
        <v>235</v>
      </c>
      <c r="D1293" t="s">
        <v>546</v>
      </c>
      <c r="F1293" t="s">
        <v>1121</v>
      </c>
      <c r="G1293" t="s">
        <v>2369</v>
      </c>
      <c r="H1293" t="s">
        <v>3534</v>
      </c>
      <c r="I1293" t="s">
        <v>4756</v>
      </c>
      <c r="J1293" t="s">
        <v>5323</v>
      </c>
      <c r="K1293">
        <v>10040</v>
      </c>
      <c r="L1293" t="s">
        <v>5355</v>
      </c>
      <c r="M1293" t="s">
        <v>5355</v>
      </c>
      <c r="N1293" t="s">
        <v>5556</v>
      </c>
      <c r="O1293" t="s">
        <v>6499</v>
      </c>
      <c r="P1293" t="s">
        <v>6528</v>
      </c>
      <c r="R1293" t="s">
        <v>6539</v>
      </c>
      <c r="S1293" t="s">
        <v>5355</v>
      </c>
      <c r="U1293" t="s">
        <v>6557</v>
      </c>
      <c r="W1293" t="s">
        <v>460</v>
      </c>
      <c r="X1293">
        <v>1575</v>
      </c>
      <c r="Y1293" t="s">
        <v>6608</v>
      </c>
      <c r="Z1293" t="s">
        <v>6622</v>
      </c>
      <c r="AB1293" t="s">
        <v>6985</v>
      </c>
      <c r="AD1293" t="s">
        <v>9394</v>
      </c>
      <c r="AE1293">
        <v>43</v>
      </c>
      <c r="AF1293" t="s">
        <v>11005</v>
      </c>
      <c r="AG1293" t="s">
        <v>5406</v>
      </c>
      <c r="AH1293">
        <v>10</v>
      </c>
      <c r="AI1293">
        <v>2</v>
      </c>
      <c r="AJ1293">
        <v>1</v>
      </c>
      <c r="AK1293">
        <v>440.74</v>
      </c>
      <c r="AL1293" t="s">
        <v>531</v>
      </c>
      <c r="AN1293" t="s">
        <v>11049</v>
      </c>
      <c r="AO1293">
        <v>90000</v>
      </c>
      <c r="AU1293">
        <v>0.75</v>
      </c>
      <c r="AV1293" t="s">
        <v>404</v>
      </c>
      <c r="AW1293" t="s">
        <v>11497</v>
      </c>
    </row>
    <row r="1294" spans="1:49">
      <c r="A1294" s="1">
        <f>HYPERLINK("https://cms.ls-nyc.org/matter/dynamic-profile/view/1854704","17-1854704")</f>
        <v>0</v>
      </c>
      <c r="B1294" t="s">
        <v>90</v>
      </c>
      <c r="C1294" t="s">
        <v>235</v>
      </c>
      <c r="D1294" t="s">
        <v>302</v>
      </c>
      <c r="F1294" t="s">
        <v>1609</v>
      </c>
      <c r="G1294" t="s">
        <v>2902</v>
      </c>
      <c r="H1294" t="s">
        <v>4059</v>
      </c>
      <c r="I1294" t="s">
        <v>4811</v>
      </c>
      <c r="J1294" t="s">
        <v>5321</v>
      </c>
      <c r="K1294">
        <v>10452</v>
      </c>
      <c r="L1294" t="s">
        <v>5355</v>
      </c>
      <c r="M1294" t="s">
        <v>5356</v>
      </c>
      <c r="N1294" t="s">
        <v>5574</v>
      </c>
      <c r="O1294" t="s">
        <v>6499</v>
      </c>
      <c r="P1294" t="s">
        <v>6528</v>
      </c>
      <c r="R1294" t="s">
        <v>6539</v>
      </c>
      <c r="S1294" t="s">
        <v>5355</v>
      </c>
      <c r="U1294" t="s">
        <v>6557</v>
      </c>
      <c r="W1294" t="s">
        <v>247</v>
      </c>
      <c r="X1294">
        <v>745.05</v>
      </c>
      <c r="Y1294" t="s">
        <v>6606</v>
      </c>
      <c r="Z1294" t="s">
        <v>6612</v>
      </c>
      <c r="AB1294" t="s">
        <v>7777</v>
      </c>
      <c r="AD1294" t="s">
        <v>10131</v>
      </c>
      <c r="AE1294">
        <v>62</v>
      </c>
      <c r="AF1294" t="s">
        <v>11005</v>
      </c>
      <c r="AG1294" t="s">
        <v>5406</v>
      </c>
      <c r="AH1294">
        <v>39</v>
      </c>
      <c r="AI1294">
        <v>3</v>
      </c>
      <c r="AJ1294">
        <v>1</v>
      </c>
      <c r="AK1294">
        <v>479.67</v>
      </c>
      <c r="AN1294" t="s">
        <v>11049</v>
      </c>
      <c r="AO1294">
        <v>193000</v>
      </c>
      <c r="AU1294">
        <v>0.6</v>
      </c>
      <c r="AV1294" t="s">
        <v>302</v>
      </c>
      <c r="AW1294" t="s">
        <v>59</v>
      </c>
    </row>
    <row r="1295" spans="1:49">
      <c r="A1295" s="1">
        <f>HYPERLINK("https://cms.ls-nyc.org/matter/dynamic-profile/view/1866845","18-1866845")</f>
        <v>0</v>
      </c>
      <c r="B1295" t="s">
        <v>135</v>
      </c>
      <c r="C1295" t="s">
        <v>235</v>
      </c>
      <c r="D1295" t="s">
        <v>355</v>
      </c>
      <c r="F1295" t="s">
        <v>1280</v>
      </c>
      <c r="G1295" t="s">
        <v>2529</v>
      </c>
      <c r="H1295" t="s">
        <v>3739</v>
      </c>
      <c r="I1295" t="s">
        <v>4749</v>
      </c>
      <c r="J1295" t="s">
        <v>5320</v>
      </c>
      <c r="K1295">
        <v>11212</v>
      </c>
      <c r="L1295" t="s">
        <v>5355</v>
      </c>
      <c r="M1295" t="s">
        <v>5356</v>
      </c>
      <c r="O1295" t="s">
        <v>5393</v>
      </c>
      <c r="P1295" t="s">
        <v>6528</v>
      </c>
      <c r="R1295" t="s">
        <v>6539</v>
      </c>
      <c r="S1295" t="s">
        <v>5355</v>
      </c>
      <c r="U1295" t="s">
        <v>6557</v>
      </c>
      <c r="W1295" t="s">
        <v>522</v>
      </c>
      <c r="X1295">
        <v>1120</v>
      </c>
      <c r="Y1295" t="s">
        <v>6605</v>
      </c>
      <c r="AB1295" t="s">
        <v>7215</v>
      </c>
      <c r="AD1295" t="s">
        <v>9602</v>
      </c>
      <c r="AE1295">
        <v>31</v>
      </c>
      <c r="AF1295" t="s">
        <v>11005</v>
      </c>
      <c r="AH1295">
        <v>13</v>
      </c>
      <c r="AI1295">
        <v>2</v>
      </c>
      <c r="AJ1295">
        <v>0</v>
      </c>
      <c r="AK1295">
        <v>482.65</v>
      </c>
      <c r="AN1295" t="s">
        <v>11050</v>
      </c>
      <c r="AO1295">
        <v>78382</v>
      </c>
      <c r="AU1295">
        <v>0.25</v>
      </c>
      <c r="AV1295" t="s">
        <v>355</v>
      </c>
      <c r="AW1295" t="s">
        <v>135</v>
      </c>
    </row>
    <row r="1296" spans="1:49">
      <c r="A1296" s="1">
        <f>HYPERLINK("https://cms.ls-nyc.org/matter/dynamic-profile/view/1840721","17-1840721")</f>
        <v>0</v>
      </c>
      <c r="B1296" t="s">
        <v>129</v>
      </c>
      <c r="C1296" t="s">
        <v>234</v>
      </c>
      <c r="D1296" t="s">
        <v>348</v>
      </c>
      <c r="E1296" t="s">
        <v>778</v>
      </c>
      <c r="F1296" t="s">
        <v>988</v>
      </c>
      <c r="G1296" t="s">
        <v>2903</v>
      </c>
      <c r="H1296" t="s">
        <v>3721</v>
      </c>
      <c r="I1296" t="s">
        <v>5122</v>
      </c>
      <c r="J1296" t="s">
        <v>5321</v>
      </c>
      <c r="K1296">
        <v>10453</v>
      </c>
      <c r="L1296" t="s">
        <v>5355</v>
      </c>
      <c r="M1296" t="s">
        <v>5356</v>
      </c>
      <c r="O1296" t="s">
        <v>6499</v>
      </c>
      <c r="P1296" t="s">
        <v>6528</v>
      </c>
      <c r="Q1296" t="s">
        <v>6536</v>
      </c>
      <c r="R1296" t="s">
        <v>6539</v>
      </c>
      <c r="S1296" t="s">
        <v>5355</v>
      </c>
      <c r="U1296" t="s">
        <v>6557</v>
      </c>
      <c r="W1296" t="s">
        <v>404</v>
      </c>
      <c r="X1296">
        <v>1058.89</v>
      </c>
      <c r="Y1296" t="s">
        <v>6606</v>
      </c>
      <c r="Z1296" t="s">
        <v>6612</v>
      </c>
      <c r="AA1296" t="s">
        <v>6636</v>
      </c>
      <c r="AB1296" t="s">
        <v>7778</v>
      </c>
      <c r="AD1296" t="s">
        <v>10132</v>
      </c>
      <c r="AE1296">
        <v>170</v>
      </c>
      <c r="AF1296" t="s">
        <v>11005</v>
      </c>
      <c r="AG1296" t="s">
        <v>5406</v>
      </c>
      <c r="AH1296">
        <v>10</v>
      </c>
      <c r="AI1296">
        <v>1</v>
      </c>
      <c r="AJ1296">
        <v>0</v>
      </c>
      <c r="AK1296">
        <v>497.51</v>
      </c>
      <c r="AN1296" t="s">
        <v>11050</v>
      </c>
      <c r="AO1296">
        <v>60000</v>
      </c>
      <c r="AU1296">
        <v>0.1</v>
      </c>
      <c r="AV1296" t="s">
        <v>778</v>
      </c>
      <c r="AW1296" t="s">
        <v>11509</v>
      </c>
    </row>
    <row r="1297" spans="1:49">
      <c r="A1297" s="1">
        <f>HYPERLINK("https://cms.ls-nyc.org/matter/dynamic-profile/view/1842842","17-1842842")</f>
        <v>0</v>
      </c>
      <c r="B1297" t="s">
        <v>63</v>
      </c>
      <c r="C1297" t="s">
        <v>235</v>
      </c>
      <c r="D1297" t="s">
        <v>472</v>
      </c>
      <c r="F1297" t="s">
        <v>1610</v>
      </c>
      <c r="G1297" t="s">
        <v>2904</v>
      </c>
      <c r="H1297" t="s">
        <v>4105</v>
      </c>
      <c r="J1297" t="s">
        <v>5322</v>
      </c>
      <c r="K1297">
        <v>10314</v>
      </c>
      <c r="L1297" t="s">
        <v>5355</v>
      </c>
      <c r="M1297" t="s">
        <v>5356</v>
      </c>
      <c r="N1297" t="s">
        <v>5572</v>
      </c>
      <c r="O1297" t="s">
        <v>6499</v>
      </c>
      <c r="P1297" t="s">
        <v>6528</v>
      </c>
      <c r="R1297" t="s">
        <v>6539</v>
      </c>
      <c r="S1297" t="s">
        <v>5355</v>
      </c>
      <c r="U1297" t="s">
        <v>6557</v>
      </c>
      <c r="W1297" t="s">
        <v>388</v>
      </c>
      <c r="X1297">
        <v>1511</v>
      </c>
      <c r="Y1297" t="s">
        <v>6607</v>
      </c>
      <c r="Z1297" t="s">
        <v>6622</v>
      </c>
      <c r="AB1297" t="s">
        <v>7779</v>
      </c>
      <c r="AD1297" t="s">
        <v>10133</v>
      </c>
      <c r="AE1297">
        <v>96</v>
      </c>
      <c r="AF1297" t="s">
        <v>11005</v>
      </c>
      <c r="AG1297" t="s">
        <v>5406</v>
      </c>
      <c r="AH1297">
        <v>1</v>
      </c>
      <c r="AI1297">
        <v>1</v>
      </c>
      <c r="AJ1297">
        <v>0</v>
      </c>
      <c r="AK1297">
        <v>497.51</v>
      </c>
      <c r="AL1297" t="s">
        <v>11034</v>
      </c>
      <c r="AN1297" t="s">
        <v>11050</v>
      </c>
      <c r="AO1297">
        <v>60000</v>
      </c>
      <c r="AU1297">
        <v>0.6</v>
      </c>
      <c r="AV1297" t="s">
        <v>807</v>
      </c>
      <c r="AW1297" t="s">
        <v>140</v>
      </c>
    </row>
    <row r="1298" spans="1:49">
      <c r="A1298" s="1">
        <f>HYPERLINK("https://cms.ls-nyc.org/matter/dynamic-profile/view/1887820","19-1887820")</f>
        <v>0</v>
      </c>
      <c r="B1298" t="s">
        <v>135</v>
      </c>
      <c r="C1298" t="s">
        <v>235</v>
      </c>
      <c r="D1298" t="s">
        <v>513</v>
      </c>
      <c r="F1298" t="s">
        <v>1000</v>
      </c>
      <c r="G1298" t="s">
        <v>2905</v>
      </c>
      <c r="H1298" t="s">
        <v>3735</v>
      </c>
      <c r="I1298" t="s">
        <v>5123</v>
      </c>
      <c r="J1298" t="s">
        <v>5320</v>
      </c>
      <c r="K1298">
        <v>11225</v>
      </c>
      <c r="L1298" t="s">
        <v>5355</v>
      </c>
      <c r="M1298" t="s">
        <v>5356</v>
      </c>
      <c r="O1298" t="s">
        <v>6507</v>
      </c>
      <c r="P1298" t="s">
        <v>6528</v>
      </c>
      <c r="R1298" t="s">
        <v>6539</v>
      </c>
      <c r="S1298" t="s">
        <v>5355</v>
      </c>
      <c r="U1298" t="s">
        <v>6557</v>
      </c>
      <c r="W1298" t="s">
        <v>523</v>
      </c>
      <c r="X1298">
        <v>1552.37</v>
      </c>
      <c r="Y1298" t="s">
        <v>6605</v>
      </c>
      <c r="Z1298" t="s">
        <v>6622</v>
      </c>
      <c r="AB1298" t="s">
        <v>7780</v>
      </c>
      <c r="AD1298" t="s">
        <v>10134</v>
      </c>
      <c r="AE1298">
        <v>89</v>
      </c>
      <c r="AF1298" t="s">
        <v>11005</v>
      </c>
      <c r="AG1298" t="s">
        <v>5406</v>
      </c>
      <c r="AH1298">
        <v>3</v>
      </c>
      <c r="AI1298">
        <v>1</v>
      </c>
      <c r="AJ1298">
        <v>0</v>
      </c>
      <c r="AK1298">
        <v>502.47</v>
      </c>
      <c r="AN1298" t="s">
        <v>11050</v>
      </c>
      <c r="AO1298">
        <v>61000</v>
      </c>
      <c r="AU1298">
        <v>0</v>
      </c>
      <c r="AW1298" t="s">
        <v>11516</v>
      </c>
    </row>
    <row r="1299" spans="1:49">
      <c r="A1299" s="1">
        <f>HYPERLINK("https://cms.ls-nyc.org/matter/dynamic-profile/view/1887827","19-1887827")</f>
        <v>0</v>
      </c>
      <c r="B1299" t="s">
        <v>135</v>
      </c>
      <c r="C1299" t="s">
        <v>235</v>
      </c>
      <c r="D1299" t="s">
        <v>513</v>
      </c>
      <c r="F1299" t="s">
        <v>893</v>
      </c>
      <c r="G1299" t="s">
        <v>2355</v>
      </c>
      <c r="H1299" t="s">
        <v>3735</v>
      </c>
      <c r="I1299" t="s">
        <v>5124</v>
      </c>
      <c r="J1299" t="s">
        <v>5320</v>
      </c>
      <c r="K1299">
        <v>11225</v>
      </c>
      <c r="L1299" t="s">
        <v>5355</v>
      </c>
      <c r="M1299" t="s">
        <v>5356</v>
      </c>
      <c r="O1299" t="s">
        <v>6507</v>
      </c>
      <c r="P1299" t="s">
        <v>6528</v>
      </c>
      <c r="R1299" t="s">
        <v>6539</v>
      </c>
      <c r="S1299" t="s">
        <v>5355</v>
      </c>
      <c r="U1299" t="s">
        <v>6557</v>
      </c>
      <c r="W1299" t="s">
        <v>523</v>
      </c>
      <c r="X1299">
        <v>1166.85</v>
      </c>
      <c r="Y1299" t="s">
        <v>6605</v>
      </c>
      <c r="AB1299" t="s">
        <v>7781</v>
      </c>
      <c r="AD1299" t="s">
        <v>10135</v>
      </c>
      <c r="AE1299">
        <v>89</v>
      </c>
      <c r="AF1299" t="s">
        <v>11005</v>
      </c>
      <c r="AG1299" t="s">
        <v>5406</v>
      </c>
      <c r="AH1299">
        <v>30</v>
      </c>
      <c r="AI1299">
        <v>3</v>
      </c>
      <c r="AJ1299">
        <v>0</v>
      </c>
      <c r="AK1299">
        <v>529.36</v>
      </c>
      <c r="AN1299" t="s">
        <v>11050</v>
      </c>
      <c r="AO1299">
        <v>110000</v>
      </c>
      <c r="AU1299">
        <v>0</v>
      </c>
      <c r="AW1299" t="s">
        <v>11516</v>
      </c>
    </row>
    <row r="1300" spans="1:49">
      <c r="A1300" s="1">
        <f>HYPERLINK("https://cms.ls-nyc.org/matter/dynamic-profile/view/1838174","17-1838174")</f>
        <v>0</v>
      </c>
      <c r="B1300" t="s">
        <v>129</v>
      </c>
      <c r="C1300" t="s">
        <v>235</v>
      </c>
      <c r="D1300" t="s">
        <v>539</v>
      </c>
      <c r="F1300" t="s">
        <v>1006</v>
      </c>
      <c r="G1300" t="s">
        <v>2906</v>
      </c>
      <c r="H1300" t="s">
        <v>4077</v>
      </c>
      <c r="I1300" t="s">
        <v>5125</v>
      </c>
      <c r="J1300" t="s">
        <v>5321</v>
      </c>
      <c r="K1300">
        <v>10473</v>
      </c>
      <c r="L1300" t="s">
        <v>5355</v>
      </c>
      <c r="M1300" t="s">
        <v>5356</v>
      </c>
      <c r="N1300" t="s">
        <v>5593</v>
      </c>
      <c r="O1300" t="s">
        <v>6499</v>
      </c>
      <c r="P1300" t="s">
        <v>6528</v>
      </c>
      <c r="R1300" t="s">
        <v>6539</v>
      </c>
      <c r="S1300" t="s">
        <v>5355</v>
      </c>
      <c r="U1300" t="s">
        <v>6557</v>
      </c>
      <c r="W1300" t="s">
        <v>6572</v>
      </c>
      <c r="X1300">
        <v>1107.16</v>
      </c>
      <c r="Y1300" t="s">
        <v>6606</v>
      </c>
      <c r="Z1300" t="s">
        <v>6620</v>
      </c>
      <c r="AB1300" t="s">
        <v>7782</v>
      </c>
      <c r="AD1300" t="s">
        <v>10136</v>
      </c>
      <c r="AE1300">
        <v>976</v>
      </c>
      <c r="AF1300" t="s">
        <v>11005</v>
      </c>
      <c r="AG1300" t="s">
        <v>5406</v>
      </c>
      <c r="AH1300">
        <v>16</v>
      </c>
      <c r="AI1300">
        <v>1</v>
      </c>
      <c r="AJ1300">
        <v>0</v>
      </c>
      <c r="AK1300">
        <v>538.97</v>
      </c>
      <c r="AL1300" t="s">
        <v>578</v>
      </c>
      <c r="AN1300" t="s">
        <v>11050</v>
      </c>
      <c r="AO1300">
        <v>65000</v>
      </c>
      <c r="AU1300">
        <v>0</v>
      </c>
      <c r="AW1300" t="s">
        <v>11509</v>
      </c>
    </row>
    <row r="1301" spans="1:49">
      <c r="A1301" s="1">
        <f>HYPERLINK("https://cms.ls-nyc.org/matter/dynamic-profile/view/1841966","17-1841966")</f>
        <v>0</v>
      </c>
      <c r="B1301" t="s">
        <v>129</v>
      </c>
      <c r="C1301" t="s">
        <v>234</v>
      </c>
      <c r="D1301" t="s">
        <v>305</v>
      </c>
      <c r="E1301" t="s">
        <v>778</v>
      </c>
      <c r="F1301" t="s">
        <v>1006</v>
      </c>
      <c r="G1301" t="s">
        <v>2907</v>
      </c>
      <c r="H1301" t="s">
        <v>3721</v>
      </c>
      <c r="I1301" t="s">
        <v>4775</v>
      </c>
      <c r="J1301" t="s">
        <v>5321</v>
      </c>
      <c r="K1301">
        <v>10453</v>
      </c>
      <c r="L1301" t="s">
        <v>5355</v>
      </c>
      <c r="M1301" t="s">
        <v>5356</v>
      </c>
      <c r="N1301" t="s">
        <v>5595</v>
      </c>
      <c r="O1301" t="s">
        <v>6499</v>
      </c>
      <c r="P1301" t="s">
        <v>6528</v>
      </c>
      <c r="Q1301" t="s">
        <v>6536</v>
      </c>
      <c r="R1301" t="s">
        <v>6539</v>
      </c>
      <c r="S1301" t="s">
        <v>5355</v>
      </c>
      <c r="U1301" t="s">
        <v>6557</v>
      </c>
      <c r="W1301" t="s">
        <v>404</v>
      </c>
      <c r="X1301">
        <v>1098.89</v>
      </c>
      <c r="Y1301" t="s">
        <v>6606</v>
      </c>
      <c r="Z1301" t="s">
        <v>6612</v>
      </c>
      <c r="AA1301" t="s">
        <v>6636</v>
      </c>
      <c r="AB1301" t="s">
        <v>7084</v>
      </c>
      <c r="AD1301" t="s">
        <v>10137</v>
      </c>
      <c r="AE1301">
        <v>170</v>
      </c>
      <c r="AF1301" t="s">
        <v>11005</v>
      </c>
      <c r="AG1301" t="s">
        <v>5406</v>
      </c>
      <c r="AH1301">
        <v>24</v>
      </c>
      <c r="AI1301">
        <v>1</v>
      </c>
      <c r="AJ1301">
        <v>0</v>
      </c>
      <c r="AK1301">
        <v>547.26</v>
      </c>
      <c r="AN1301" t="s">
        <v>11050</v>
      </c>
      <c r="AO1301">
        <v>66000</v>
      </c>
      <c r="AU1301">
        <v>0.1</v>
      </c>
      <c r="AV1301" t="s">
        <v>778</v>
      </c>
      <c r="AW1301" t="s">
        <v>11509</v>
      </c>
    </row>
    <row r="1302" spans="1:49">
      <c r="A1302" s="1">
        <f>HYPERLINK("https://cms.ls-nyc.org/matter/dynamic-profile/view/1838994","17-1838994")</f>
        <v>0</v>
      </c>
      <c r="B1302" t="s">
        <v>129</v>
      </c>
      <c r="C1302" t="s">
        <v>235</v>
      </c>
      <c r="D1302" t="s">
        <v>538</v>
      </c>
      <c r="F1302" t="s">
        <v>1000</v>
      </c>
      <c r="G1302" t="s">
        <v>2908</v>
      </c>
      <c r="H1302" t="s">
        <v>3786</v>
      </c>
      <c r="I1302" t="s">
        <v>5126</v>
      </c>
      <c r="J1302" t="s">
        <v>5321</v>
      </c>
      <c r="K1302">
        <v>10473</v>
      </c>
      <c r="L1302" t="s">
        <v>5355</v>
      </c>
      <c r="M1302" t="s">
        <v>5356</v>
      </c>
      <c r="N1302" t="s">
        <v>5592</v>
      </c>
      <c r="O1302" t="s">
        <v>6499</v>
      </c>
      <c r="P1302" t="s">
        <v>6528</v>
      </c>
      <c r="R1302" t="s">
        <v>6539</v>
      </c>
      <c r="S1302" t="s">
        <v>5355</v>
      </c>
      <c r="U1302" t="s">
        <v>6557</v>
      </c>
      <c r="W1302" t="s">
        <v>6572</v>
      </c>
      <c r="X1302">
        <v>921.92</v>
      </c>
      <c r="Y1302" t="s">
        <v>6606</v>
      </c>
      <c r="Z1302" t="s">
        <v>6620</v>
      </c>
      <c r="AB1302" t="s">
        <v>7783</v>
      </c>
      <c r="AD1302" t="s">
        <v>10138</v>
      </c>
      <c r="AE1302">
        <v>976</v>
      </c>
      <c r="AF1302" t="s">
        <v>11005</v>
      </c>
      <c r="AG1302" t="s">
        <v>5406</v>
      </c>
      <c r="AH1302">
        <v>18</v>
      </c>
      <c r="AI1302">
        <v>1</v>
      </c>
      <c r="AJ1302">
        <v>0</v>
      </c>
      <c r="AK1302">
        <v>559.7</v>
      </c>
      <c r="AL1302" t="s">
        <v>578</v>
      </c>
      <c r="AN1302" t="s">
        <v>11050</v>
      </c>
      <c r="AO1302">
        <v>67500</v>
      </c>
      <c r="AU1302">
        <v>0</v>
      </c>
      <c r="AW1302" t="s">
        <v>11509</v>
      </c>
    </row>
    <row r="1303" spans="1:49">
      <c r="A1303" s="1">
        <f>HYPERLINK("https://cms.ls-nyc.org/matter/dynamic-profile/view/1838835","17-1838835")</f>
        <v>0</v>
      </c>
      <c r="B1303" t="s">
        <v>129</v>
      </c>
      <c r="C1303" t="s">
        <v>235</v>
      </c>
      <c r="D1303" t="s">
        <v>446</v>
      </c>
      <c r="F1303" t="s">
        <v>1611</v>
      </c>
      <c r="G1303" t="s">
        <v>2219</v>
      </c>
      <c r="H1303" t="s">
        <v>3846</v>
      </c>
      <c r="I1303" t="s">
        <v>4818</v>
      </c>
      <c r="J1303" t="s">
        <v>5321</v>
      </c>
      <c r="K1303">
        <v>10473</v>
      </c>
      <c r="L1303" t="s">
        <v>5355</v>
      </c>
      <c r="M1303" t="s">
        <v>5356</v>
      </c>
      <c r="N1303" t="s">
        <v>5604</v>
      </c>
      <c r="O1303" t="s">
        <v>6499</v>
      </c>
      <c r="P1303" t="s">
        <v>6528</v>
      </c>
      <c r="R1303" t="s">
        <v>6539</v>
      </c>
      <c r="S1303" t="s">
        <v>5355</v>
      </c>
      <c r="U1303" t="s">
        <v>6557</v>
      </c>
      <c r="W1303" t="s">
        <v>6572</v>
      </c>
      <c r="X1303">
        <v>930.9</v>
      </c>
      <c r="Y1303" t="s">
        <v>6606</v>
      </c>
      <c r="Z1303" t="s">
        <v>6620</v>
      </c>
      <c r="AB1303" t="s">
        <v>7784</v>
      </c>
      <c r="AD1303" t="s">
        <v>10139</v>
      </c>
      <c r="AE1303">
        <v>976</v>
      </c>
      <c r="AF1303" t="s">
        <v>11005</v>
      </c>
      <c r="AG1303" t="s">
        <v>5406</v>
      </c>
      <c r="AH1303">
        <v>32</v>
      </c>
      <c r="AI1303">
        <v>1</v>
      </c>
      <c r="AJ1303">
        <v>0</v>
      </c>
      <c r="AK1303">
        <v>572.14</v>
      </c>
      <c r="AL1303" t="s">
        <v>578</v>
      </c>
      <c r="AN1303" t="s">
        <v>11050</v>
      </c>
      <c r="AO1303">
        <v>69000</v>
      </c>
      <c r="AU1303">
        <v>0</v>
      </c>
      <c r="AW1303" t="s">
        <v>11509</v>
      </c>
    </row>
    <row r="1304" spans="1:49">
      <c r="A1304" s="1">
        <f>HYPERLINK("https://cms.ls-nyc.org/matter/dynamic-profile/view/1855940","18-1855940")</f>
        <v>0</v>
      </c>
      <c r="B1304" t="s">
        <v>129</v>
      </c>
      <c r="C1304" t="s">
        <v>235</v>
      </c>
      <c r="D1304" t="s">
        <v>469</v>
      </c>
      <c r="F1304" t="s">
        <v>1612</v>
      </c>
      <c r="G1304" t="s">
        <v>2909</v>
      </c>
      <c r="H1304" t="s">
        <v>4096</v>
      </c>
      <c r="I1304" t="s">
        <v>5127</v>
      </c>
      <c r="J1304" t="s">
        <v>5321</v>
      </c>
      <c r="K1304">
        <v>10473</v>
      </c>
      <c r="L1304" t="s">
        <v>5355</v>
      </c>
      <c r="M1304" t="s">
        <v>5356</v>
      </c>
      <c r="N1304" t="s">
        <v>5609</v>
      </c>
      <c r="O1304" t="s">
        <v>6499</v>
      </c>
      <c r="P1304" t="s">
        <v>6528</v>
      </c>
      <c r="R1304" t="s">
        <v>6539</v>
      </c>
      <c r="S1304" t="s">
        <v>5355</v>
      </c>
      <c r="U1304" t="s">
        <v>6557</v>
      </c>
      <c r="W1304" t="s">
        <v>6572</v>
      </c>
      <c r="X1304">
        <v>1304</v>
      </c>
      <c r="Y1304" t="s">
        <v>6606</v>
      </c>
      <c r="Z1304" t="s">
        <v>6493</v>
      </c>
      <c r="AA1304" t="s">
        <v>6631</v>
      </c>
      <c r="AB1304" t="s">
        <v>7785</v>
      </c>
      <c r="AD1304" t="s">
        <v>10140</v>
      </c>
      <c r="AE1304">
        <v>976</v>
      </c>
      <c r="AF1304" t="s">
        <v>11010</v>
      </c>
      <c r="AG1304" t="s">
        <v>5406</v>
      </c>
      <c r="AH1304">
        <v>8</v>
      </c>
      <c r="AI1304">
        <v>1</v>
      </c>
      <c r="AJ1304">
        <v>0</v>
      </c>
      <c r="AK1304">
        <v>605.3099999999999</v>
      </c>
      <c r="AL1304" t="s">
        <v>578</v>
      </c>
      <c r="AN1304" t="s">
        <v>11050</v>
      </c>
      <c r="AO1304">
        <v>73000</v>
      </c>
      <c r="AU1304">
        <v>3</v>
      </c>
      <c r="AV1304" t="s">
        <v>523</v>
      </c>
      <c r="AW1304" t="s">
        <v>57</v>
      </c>
    </row>
    <row r="1305" spans="1:49">
      <c r="A1305" s="1">
        <f>HYPERLINK("https://cms.ls-nyc.org/matter/dynamic-profile/view/1862268","18-1862268")</f>
        <v>0</v>
      </c>
      <c r="B1305" t="s">
        <v>129</v>
      </c>
      <c r="C1305" t="s">
        <v>235</v>
      </c>
      <c r="D1305" t="s">
        <v>336</v>
      </c>
      <c r="F1305" t="s">
        <v>1613</v>
      </c>
      <c r="G1305" t="s">
        <v>1179</v>
      </c>
      <c r="H1305" t="s">
        <v>4056</v>
      </c>
      <c r="I1305" t="s">
        <v>5128</v>
      </c>
      <c r="J1305" t="s">
        <v>5321</v>
      </c>
      <c r="K1305">
        <v>10457</v>
      </c>
      <c r="L1305" t="s">
        <v>5355</v>
      </c>
      <c r="M1305" t="s">
        <v>5356</v>
      </c>
      <c r="N1305" t="s">
        <v>5578</v>
      </c>
      <c r="O1305" t="s">
        <v>6499</v>
      </c>
      <c r="P1305" t="s">
        <v>6528</v>
      </c>
      <c r="R1305" t="s">
        <v>6539</v>
      </c>
      <c r="U1305" t="s">
        <v>6557</v>
      </c>
      <c r="W1305" t="s">
        <v>516</v>
      </c>
      <c r="X1305">
        <v>0</v>
      </c>
      <c r="Y1305" t="s">
        <v>6606</v>
      </c>
      <c r="Z1305" t="s">
        <v>6614</v>
      </c>
      <c r="AB1305" t="s">
        <v>7786</v>
      </c>
      <c r="AD1305" t="s">
        <v>10141</v>
      </c>
      <c r="AE1305">
        <v>0</v>
      </c>
      <c r="AF1305" t="s">
        <v>11005</v>
      </c>
      <c r="AH1305">
        <v>0</v>
      </c>
      <c r="AI1305">
        <v>1</v>
      </c>
      <c r="AJ1305">
        <v>0</v>
      </c>
      <c r="AK1305">
        <v>617.79</v>
      </c>
      <c r="AN1305" t="s">
        <v>11050</v>
      </c>
      <c r="AO1305">
        <v>75000</v>
      </c>
      <c r="AU1305">
        <v>1.4</v>
      </c>
      <c r="AV1305" t="s">
        <v>293</v>
      </c>
      <c r="AW1305" t="s">
        <v>11499</v>
      </c>
    </row>
    <row r="1306" spans="1:49">
      <c r="A1306" s="1">
        <f>HYPERLINK("https://cms.ls-nyc.org/matter/dynamic-profile/view/1858934","18-1858934")</f>
        <v>0</v>
      </c>
      <c r="B1306" t="s">
        <v>129</v>
      </c>
      <c r="C1306" t="s">
        <v>234</v>
      </c>
      <c r="D1306" t="s">
        <v>240</v>
      </c>
      <c r="E1306" t="s">
        <v>600</v>
      </c>
      <c r="F1306" t="s">
        <v>1614</v>
      </c>
      <c r="G1306" t="s">
        <v>2105</v>
      </c>
      <c r="H1306" t="s">
        <v>4078</v>
      </c>
      <c r="I1306" t="s">
        <v>4787</v>
      </c>
      <c r="J1306" t="s">
        <v>5321</v>
      </c>
      <c r="K1306">
        <v>10463</v>
      </c>
      <c r="L1306" t="s">
        <v>5355</v>
      </c>
      <c r="M1306" t="s">
        <v>5356</v>
      </c>
      <c r="N1306" t="s">
        <v>5626</v>
      </c>
      <c r="O1306" t="s">
        <v>6499</v>
      </c>
      <c r="P1306" t="s">
        <v>6528</v>
      </c>
      <c r="Q1306" t="s">
        <v>6536</v>
      </c>
      <c r="R1306" t="s">
        <v>6539</v>
      </c>
      <c r="S1306" t="s">
        <v>5355</v>
      </c>
      <c r="U1306" t="s">
        <v>6557</v>
      </c>
      <c r="W1306" t="s">
        <v>428</v>
      </c>
      <c r="X1306">
        <v>1750</v>
      </c>
      <c r="Y1306" t="s">
        <v>6606</v>
      </c>
      <c r="Z1306" t="s">
        <v>6620</v>
      </c>
      <c r="AA1306" t="s">
        <v>6634</v>
      </c>
      <c r="AB1306" t="s">
        <v>7787</v>
      </c>
      <c r="AD1306" t="s">
        <v>10142</v>
      </c>
      <c r="AE1306">
        <v>57</v>
      </c>
      <c r="AF1306" t="s">
        <v>11005</v>
      </c>
      <c r="AG1306" t="s">
        <v>5406</v>
      </c>
      <c r="AH1306">
        <v>2</v>
      </c>
      <c r="AI1306">
        <v>2</v>
      </c>
      <c r="AJ1306">
        <v>2</v>
      </c>
      <c r="AK1306">
        <v>623.58</v>
      </c>
      <c r="AN1306" t="s">
        <v>11050</v>
      </c>
      <c r="AO1306">
        <v>153400</v>
      </c>
      <c r="AU1306">
        <v>0.1</v>
      </c>
      <c r="AV1306" t="s">
        <v>600</v>
      </c>
      <c r="AW1306" t="s">
        <v>11492</v>
      </c>
    </row>
    <row r="1307" spans="1:49">
      <c r="A1307" s="1">
        <f>HYPERLINK("https://cms.ls-nyc.org/matter/dynamic-profile/view/1869099","18-1869099")</f>
        <v>0</v>
      </c>
      <c r="B1307" t="s">
        <v>172</v>
      </c>
      <c r="C1307" t="s">
        <v>235</v>
      </c>
      <c r="D1307" t="s">
        <v>375</v>
      </c>
      <c r="F1307" t="s">
        <v>1133</v>
      </c>
      <c r="G1307" t="s">
        <v>2910</v>
      </c>
      <c r="H1307" t="s">
        <v>4099</v>
      </c>
      <c r="I1307" t="s">
        <v>4768</v>
      </c>
      <c r="J1307" t="s">
        <v>5323</v>
      </c>
      <c r="K1307">
        <v>10034</v>
      </c>
      <c r="L1307" t="s">
        <v>5355</v>
      </c>
      <c r="M1307" t="s">
        <v>5356</v>
      </c>
      <c r="N1307" t="s">
        <v>5611</v>
      </c>
      <c r="O1307" t="s">
        <v>6499</v>
      </c>
      <c r="P1307" t="s">
        <v>6528</v>
      </c>
      <c r="R1307" t="s">
        <v>6539</v>
      </c>
      <c r="S1307" t="s">
        <v>5355</v>
      </c>
      <c r="U1307" t="s">
        <v>6557</v>
      </c>
      <c r="W1307" t="s">
        <v>375</v>
      </c>
      <c r="X1307">
        <v>1750.51</v>
      </c>
      <c r="Y1307" t="s">
        <v>6608</v>
      </c>
      <c r="Z1307" t="s">
        <v>6620</v>
      </c>
      <c r="AB1307" t="s">
        <v>7772</v>
      </c>
      <c r="AD1307" t="s">
        <v>10143</v>
      </c>
      <c r="AE1307">
        <v>72</v>
      </c>
      <c r="AF1307" t="s">
        <v>11005</v>
      </c>
      <c r="AG1307" t="s">
        <v>5406</v>
      </c>
      <c r="AH1307">
        <v>11</v>
      </c>
      <c r="AI1307">
        <v>2</v>
      </c>
      <c r="AJ1307">
        <v>0</v>
      </c>
      <c r="AK1307">
        <v>631.83</v>
      </c>
      <c r="AN1307" t="s">
        <v>11050</v>
      </c>
      <c r="AO1307">
        <v>104000</v>
      </c>
      <c r="AU1307">
        <v>1</v>
      </c>
      <c r="AV1307" t="s">
        <v>691</v>
      </c>
      <c r="AW1307" t="s">
        <v>11495</v>
      </c>
    </row>
    <row r="1308" spans="1:49">
      <c r="A1308" s="1">
        <f>HYPERLINK("https://cms.ls-nyc.org/matter/dynamic-profile/view/1869102","18-1869102")</f>
        <v>0</v>
      </c>
      <c r="B1308" t="s">
        <v>172</v>
      </c>
      <c r="C1308" t="s">
        <v>235</v>
      </c>
      <c r="D1308" t="s">
        <v>375</v>
      </c>
      <c r="F1308" t="s">
        <v>1133</v>
      </c>
      <c r="G1308" t="s">
        <v>2910</v>
      </c>
      <c r="H1308" t="s">
        <v>4099</v>
      </c>
      <c r="I1308" t="s">
        <v>4768</v>
      </c>
      <c r="J1308" t="s">
        <v>5323</v>
      </c>
      <c r="K1308">
        <v>10034</v>
      </c>
      <c r="L1308" t="s">
        <v>5355</v>
      </c>
      <c r="M1308" t="s">
        <v>5356</v>
      </c>
      <c r="N1308" t="s">
        <v>5612</v>
      </c>
      <c r="O1308" t="s">
        <v>6499</v>
      </c>
      <c r="P1308" t="s">
        <v>6528</v>
      </c>
      <c r="R1308" t="s">
        <v>6539</v>
      </c>
      <c r="S1308" t="s">
        <v>5355</v>
      </c>
      <c r="U1308" t="s">
        <v>6557</v>
      </c>
      <c r="W1308" t="s">
        <v>375</v>
      </c>
      <c r="X1308">
        <v>1750.51</v>
      </c>
      <c r="Y1308" t="s">
        <v>6608</v>
      </c>
      <c r="Z1308" t="s">
        <v>6620</v>
      </c>
      <c r="AB1308" t="s">
        <v>7772</v>
      </c>
      <c r="AD1308" t="s">
        <v>10143</v>
      </c>
      <c r="AE1308">
        <v>72</v>
      </c>
      <c r="AF1308" t="s">
        <v>11005</v>
      </c>
      <c r="AG1308" t="s">
        <v>5406</v>
      </c>
      <c r="AH1308">
        <v>11</v>
      </c>
      <c r="AI1308">
        <v>2</v>
      </c>
      <c r="AJ1308">
        <v>0</v>
      </c>
      <c r="AK1308">
        <v>631.83</v>
      </c>
      <c r="AN1308" t="s">
        <v>11050</v>
      </c>
      <c r="AO1308">
        <v>104000</v>
      </c>
      <c r="AU1308">
        <v>0</v>
      </c>
      <c r="AW1308" t="s">
        <v>11495</v>
      </c>
    </row>
    <row r="1309" spans="1:49">
      <c r="A1309" s="1">
        <f>HYPERLINK("https://cms.ls-nyc.org/matter/dynamic-profile/view/1869088","18-1869088")</f>
        <v>0</v>
      </c>
      <c r="B1309" t="s">
        <v>172</v>
      </c>
      <c r="C1309" t="s">
        <v>235</v>
      </c>
      <c r="D1309" t="s">
        <v>375</v>
      </c>
      <c r="F1309" t="s">
        <v>1028</v>
      </c>
      <c r="G1309" t="s">
        <v>2911</v>
      </c>
      <c r="H1309" t="s">
        <v>4099</v>
      </c>
      <c r="I1309" t="s">
        <v>4765</v>
      </c>
      <c r="J1309" t="s">
        <v>5323</v>
      </c>
      <c r="K1309">
        <v>10034</v>
      </c>
      <c r="L1309" t="s">
        <v>5355</v>
      </c>
      <c r="M1309" t="s">
        <v>5356</v>
      </c>
      <c r="N1309" t="s">
        <v>5611</v>
      </c>
      <c r="O1309" t="s">
        <v>6499</v>
      </c>
      <c r="P1309" t="s">
        <v>6528</v>
      </c>
      <c r="R1309" t="s">
        <v>6539</v>
      </c>
      <c r="S1309" t="s">
        <v>5355</v>
      </c>
      <c r="U1309" t="s">
        <v>6557</v>
      </c>
      <c r="W1309" t="s">
        <v>375</v>
      </c>
      <c r="X1309">
        <v>1753</v>
      </c>
      <c r="Y1309" t="s">
        <v>6608</v>
      </c>
      <c r="Z1309" t="s">
        <v>6620</v>
      </c>
      <c r="AB1309" t="s">
        <v>7788</v>
      </c>
      <c r="AD1309" t="s">
        <v>10144</v>
      </c>
      <c r="AE1309">
        <v>72</v>
      </c>
      <c r="AF1309" t="s">
        <v>11005</v>
      </c>
      <c r="AG1309" t="s">
        <v>5406</v>
      </c>
      <c r="AH1309">
        <v>22</v>
      </c>
      <c r="AI1309">
        <v>2</v>
      </c>
      <c r="AJ1309">
        <v>0</v>
      </c>
      <c r="AK1309">
        <v>642.58</v>
      </c>
      <c r="AN1309" t="s">
        <v>11050</v>
      </c>
      <c r="AO1309">
        <v>105768</v>
      </c>
      <c r="AU1309">
        <v>3.9</v>
      </c>
      <c r="AV1309" t="s">
        <v>691</v>
      </c>
      <c r="AW1309" t="s">
        <v>11495</v>
      </c>
    </row>
    <row r="1310" spans="1:49">
      <c r="A1310" s="1">
        <f>HYPERLINK("https://cms.ls-nyc.org/matter/dynamic-profile/view/1869096","18-1869096")</f>
        <v>0</v>
      </c>
      <c r="B1310" t="s">
        <v>172</v>
      </c>
      <c r="C1310" t="s">
        <v>235</v>
      </c>
      <c r="D1310" t="s">
        <v>375</v>
      </c>
      <c r="F1310" t="s">
        <v>1028</v>
      </c>
      <c r="G1310" t="s">
        <v>2911</v>
      </c>
      <c r="H1310" t="s">
        <v>4099</v>
      </c>
      <c r="I1310" t="s">
        <v>4765</v>
      </c>
      <c r="J1310" t="s">
        <v>5323</v>
      </c>
      <c r="K1310">
        <v>10034</v>
      </c>
      <c r="L1310" t="s">
        <v>5355</v>
      </c>
      <c r="M1310" t="s">
        <v>5356</v>
      </c>
      <c r="N1310" t="s">
        <v>5612</v>
      </c>
      <c r="O1310" t="s">
        <v>6499</v>
      </c>
      <c r="P1310" t="s">
        <v>6528</v>
      </c>
      <c r="R1310" t="s">
        <v>6539</v>
      </c>
      <c r="S1310" t="s">
        <v>5355</v>
      </c>
      <c r="U1310" t="s">
        <v>6557</v>
      </c>
      <c r="W1310" t="s">
        <v>375</v>
      </c>
      <c r="X1310">
        <v>1753</v>
      </c>
      <c r="Y1310" t="s">
        <v>6608</v>
      </c>
      <c r="Z1310" t="s">
        <v>6620</v>
      </c>
      <c r="AB1310" t="s">
        <v>7788</v>
      </c>
      <c r="AD1310" t="s">
        <v>10144</v>
      </c>
      <c r="AE1310">
        <v>72</v>
      </c>
      <c r="AF1310" t="s">
        <v>11005</v>
      </c>
      <c r="AG1310" t="s">
        <v>5406</v>
      </c>
      <c r="AH1310">
        <v>22</v>
      </c>
      <c r="AI1310">
        <v>2</v>
      </c>
      <c r="AJ1310">
        <v>0</v>
      </c>
      <c r="AK1310">
        <v>642.58</v>
      </c>
      <c r="AN1310" t="s">
        <v>11050</v>
      </c>
      <c r="AO1310">
        <v>105768</v>
      </c>
      <c r="AU1310">
        <v>32.65</v>
      </c>
      <c r="AV1310" t="s">
        <v>804</v>
      </c>
      <c r="AW1310" t="s">
        <v>11495</v>
      </c>
    </row>
    <row r="1311" spans="1:49">
      <c r="A1311" s="1">
        <f>HYPERLINK("https://cms.ls-nyc.org/matter/dynamic-profile/view/1858953","18-1858953")</f>
        <v>0</v>
      </c>
      <c r="B1311" t="s">
        <v>129</v>
      </c>
      <c r="C1311" t="s">
        <v>234</v>
      </c>
      <c r="D1311" t="s">
        <v>240</v>
      </c>
      <c r="E1311" t="s">
        <v>600</v>
      </c>
      <c r="F1311" t="s">
        <v>1179</v>
      </c>
      <c r="G1311" t="s">
        <v>2262</v>
      </c>
      <c r="H1311" t="s">
        <v>4078</v>
      </c>
      <c r="I1311" t="s">
        <v>4852</v>
      </c>
      <c r="J1311" t="s">
        <v>5321</v>
      </c>
      <c r="K1311">
        <v>10463</v>
      </c>
      <c r="L1311" t="s">
        <v>5355</v>
      </c>
      <c r="M1311" t="s">
        <v>5356</v>
      </c>
      <c r="N1311" t="s">
        <v>5626</v>
      </c>
      <c r="O1311" t="s">
        <v>6499</v>
      </c>
      <c r="P1311" t="s">
        <v>6528</v>
      </c>
      <c r="Q1311" t="s">
        <v>6536</v>
      </c>
      <c r="R1311" t="s">
        <v>6539</v>
      </c>
      <c r="S1311" t="s">
        <v>5355</v>
      </c>
      <c r="U1311" t="s">
        <v>6557</v>
      </c>
      <c r="W1311" t="s">
        <v>428</v>
      </c>
      <c r="X1311">
        <v>1625</v>
      </c>
      <c r="Y1311" t="s">
        <v>6606</v>
      </c>
      <c r="Z1311" t="s">
        <v>6620</v>
      </c>
      <c r="AA1311" t="s">
        <v>6634</v>
      </c>
      <c r="AB1311" t="s">
        <v>7789</v>
      </c>
      <c r="AE1311">
        <v>57</v>
      </c>
      <c r="AF1311" t="s">
        <v>11005</v>
      </c>
      <c r="AH1311">
        <v>1</v>
      </c>
      <c r="AI1311">
        <v>1</v>
      </c>
      <c r="AJ1311">
        <v>0</v>
      </c>
      <c r="AK1311">
        <v>663.35</v>
      </c>
      <c r="AN1311" t="s">
        <v>11050</v>
      </c>
      <c r="AO1311">
        <v>80000</v>
      </c>
      <c r="AU1311">
        <v>1.25</v>
      </c>
      <c r="AV1311" t="s">
        <v>267</v>
      </c>
      <c r="AW1311" t="s">
        <v>11492</v>
      </c>
    </row>
    <row r="1312" spans="1:49">
      <c r="A1312" s="1">
        <f>HYPERLINK("https://cms.ls-nyc.org/matter/dynamic-profile/view/1840456","17-1840456")</f>
        <v>0</v>
      </c>
      <c r="B1312" t="s">
        <v>129</v>
      </c>
      <c r="C1312" t="s">
        <v>234</v>
      </c>
      <c r="D1312" t="s">
        <v>387</v>
      </c>
      <c r="E1312" t="s">
        <v>583</v>
      </c>
      <c r="F1312" t="s">
        <v>1124</v>
      </c>
      <c r="G1312" t="s">
        <v>2372</v>
      </c>
      <c r="H1312" t="s">
        <v>3721</v>
      </c>
      <c r="I1312" t="s">
        <v>4800</v>
      </c>
      <c r="J1312" t="s">
        <v>5321</v>
      </c>
      <c r="K1312">
        <v>10453</v>
      </c>
      <c r="L1312" t="s">
        <v>5355</v>
      </c>
      <c r="M1312" t="s">
        <v>5356</v>
      </c>
      <c r="O1312" t="s">
        <v>6499</v>
      </c>
      <c r="P1312" t="s">
        <v>6528</v>
      </c>
      <c r="Q1312" t="s">
        <v>6536</v>
      </c>
      <c r="R1312" t="s">
        <v>6539</v>
      </c>
      <c r="S1312" t="s">
        <v>5355</v>
      </c>
      <c r="U1312" t="s">
        <v>6557</v>
      </c>
      <c r="W1312" t="s">
        <v>404</v>
      </c>
      <c r="X1312">
        <v>855</v>
      </c>
      <c r="Y1312" t="s">
        <v>6606</v>
      </c>
      <c r="Z1312" t="s">
        <v>6612</v>
      </c>
      <c r="AA1312" t="s">
        <v>6636</v>
      </c>
      <c r="AB1312" t="s">
        <v>6988</v>
      </c>
      <c r="AD1312" t="s">
        <v>9396</v>
      </c>
      <c r="AE1312">
        <v>170</v>
      </c>
      <c r="AF1312" t="s">
        <v>11005</v>
      </c>
      <c r="AG1312" t="s">
        <v>5406</v>
      </c>
      <c r="AH1312">
        <v>32</v>
      </c>
      <c r="AI1312">
        <v>1</v>
      </c>
      <c r="AJ1312">
        <v>0</v>
      </c>
      <c r="AK1312">
        <v>663.35</v>
      </c>
      <c r="AN1312" t="s">
        <v>11050</v>
      </c>
      <c r="AO1312">
        <v>80000</v>
      </c>
      <c r="AP1312" t="s">
        <v>11149</v>
      </c>
      <c r="AU1312">
        <v>0.1</v>
      </c>
      <c r="AV1312" t="s">
        <v>583</v>
      </c>
      <c r="AW1312" t="s">
        <v>11509</v>
      </c>
    </row>
    <row r="1313" spans="1:49">
      <c r="A1313" s="1">
        <f>HYPERLINK("https://cms.ls-nyc.org/matter/dynamic-profile/view/1853338","17-1853338")</f>
        <v>0</v>
      </c>
      <c r="B1313" t="s">
        <v>71</v>
      </c>
      <c r="C1313" t="s">
        <v>235</v>
      </c>
      <c r="D1313" t="s">
        <v>289</v>
      </c>
      <c r="F1313" t="s">
        <v>972</v>
      </c>
      <c r="G1313" t="s">
        <v>2406</v>
      </c>
      <c r="H1313" t="s">
        <v>3606</v>
      </c>
      <c r="I1313" t="s">
        <v>4992</v>
      </c>
      <c r="J1313" t="s">
        <v>5321</v>
      </c>
      <c r="K1313">
        <v>10453</v>
      </c>
      <c r="L1313" t="s">
        <v>5355</v>
      </c>
      <c r="M1313" t="s">
        <v>5356</v>
      </c>
      <c r="N1313" t="s">
        <v>5569</v>
      </c>
      <c r="O1313" t="s">
        <v>6499</v>
      </c>
      <c r="P1313" t="s">
        <v>6528</v>
      </c>
      <c r="R1313" t="s">
        <v>6539</v>
      </c>
      <c r="S1313" t="s">
        <v>5355</v>
      </c>
      <c r="U1313" t="s">
        <v>6557</v>
      </c>
      <c r="W1313" t="s">
        <v>6572</v>
      </c>
      <c r="X1313">
        <v>855.4400000000001</v>
      </c>
      <c r="Y1313" t="s">
        <v>6606</v>
      </c>
      <c r="Z1313" t="s">
        <v>6612</v>
      </c>
      <c r="AB1313" t="s">
        <v>7790</v>
      </c>
      <c r="AD1313" t="s">
        <v>10145</v>
      </c>
      <c r="AE1313">
        <v>21</v>
      </c>
      <c r="AF1313" t="s">
        <v>11005</v>
      </c>
      <c r="AH1313">
        <v>0</v>
      </c>
      <c r="AI1313">
        <v>4</v>
      </c>
      <c r="AJ1313">
        <v>0</v>
      </c>
      <c r="AK1313">
        <v>666.67</v>
      </c>
      <c r="AN1313" t="s">
        <v>11049</v>
      </c>
      <c r="AO1313">
        <v>164000</v>
      </c>
      <c r="AU1313">
        <v>0.25</v>
      </c>
      <c r="AV1313" t="s">
        <v>799</v>
      </c>
      <c r="AW1313" t="s">
        <v>11523</v>
      </c>
    </row>
    <row r="1314" spans="1:49">
      <c r="A1314" s="1">
        <f>HYPERLINK("https://cms.ls-nyc.org/matter/dynamic-profile/view/1869504","18-1869504")</f>
        <v>0</v>
      </c>
      <c r="B1314" t="s">
        <v>54</v>
      </c>
      <c r="C1314" t="s">
        <v>234</v>
      </c>
      <c r="D1314" t="s">
        <v>379</v>
      </c>
      <c r="E1314" t="s">
        <v>665</v>
      </c>
      <c r="F1314" t="s">
        <v>1615</v>
      </c>
      <c r="G1314" t="s">
        <v>1407</v>
      </c>
      <c r="H1314" t="s">
        <v>3899</v>
      </c>
      <c r="J1314" t="s">
        <v>5320</v>
      </c>
      <c r="K1314">
        <v>11233</v>
      </c>
      <c r="L1314" t="s">
        <v>5355</v>
      </c>
      <c r="M1314" t="s">
        <v>5355</v>
      </c>
      <c r="N1314" t="s">
        <v>5627</v>
      </c>
      <c r="O1314" t="s">
        <v>6507</v>
      </c>
      <c r="P1314" t="s">
        <v>6528</v>
      </c>
      <c r="Q1314" t="s">
        <v>6533</v>
      </c>
      <c r="R1314" t="s">
        <v>6539</v>
      </c>
      <c r="S1314" t="s">
        <v>5355</v>
      </c>
      <c r="T1314" t="s">
        <v>6548</v>
      </c>
      <c r="U1314" t="s">
        <v>6557</v>
      </c>
      <c r="W1314" t="s">
        <v>346</v>
      </c>
      <c r="X1314">
        <v>2400</v>
      </c>
      <c r="Y1314" t="s">
        <v>6605</v>
      </c>
      <c r="Z1314" t="s">
        <v>6609</v>
      </c>
      <c r="AA1314" t="s">
        <v>6636</v>
      </c>
      <c r="AB1314" t="s">
        <v>7791</v>
      </c>
      <c r="AD1314" t="s">
        <v>9166</v>
      </c>
      <c r="AE1314">
        <v>6</v>
      </c>
      <c r="AF1314" t="s">
        <v>11005</v>
      </c>
      <c r="AH1314">
        <v>1</v>
      </c>
      <c r="AI1314">
        <v>1</v>
      </c>
      <c r="AJ1314">
        <v>0</v>
      </c>
      <c r="AK1314">
        <v>700.16</v>
      </c>
      <c r="AL1314" t="s">
        <v>631</v>
      </c>
      <c r="AM1314" t="s">
        <v>11045</v>
      </c>
      <c r="AN1314" t="s">
        <v>11050</v>
      </c>
      <c r="AO1314">
        <v>85000</v>
      </c>
      <c r="AR1314" t="s">
        <v>6493</v>
      </c>
      <c r="AT1314" t="s">
        <v>11268</v>
      </c>
      <c r="AU1314">
        <v>2</v>
      </c>
      <c r="AV1314" t="s">
        <v>673</v>
      </c>
      <c r="AW1314" t="s">
        <v>54</v>
      </c>
    </row>
    <row r="1315" spans="1:49">
      <c r="A1315" s="1">
        <f>HYPERLINK("https://cms.ls-nyc.org/matter/dynamic-profile/view/1870331","18-1870331")</f>
        <v>0</v>
      </c>
      <c r="B1315" t="s">
        <v>172</v>
      </c>
      <c r="C1315" t="s">
        <v>235</v>
      </c>
      <c r="D1315" t="s">
        <v>322</v>
      </c>
      <c r="F1315" t="s">
        <v>855</v>
      </c>
      <c r="G1315" t="s">
        <v>2912</v>
      </c>
      <c r="H1315" t="s">
        <v>4099</v>
      </c>
      <c r="I1315" t="s">
        <v>5129</v>
      </c>
      <c r="J1315" t="s">
        <v>5323</v>
      </c>
      <c r="K1315">
        <v>10034</v>
      </c>
      <c r="L1315" t="s">
        <v>5355</v>
      </c>
      <c r="M1315" t="s">
        <v>5356</v>
      </c>
      <c r="N1315" t="s">
        <v>5611</v>
      </c>
      <c r="O1315" t="s">
        <v>6499</v>
      </c>
      <c r="P1315" t="s">
        <v>6528</v>
      </c>
      <c r="R1315" t="s">
        <v>6539</v>
      </c>
      <c r="S1315" t="s">
        <v>5355</v>
      </c>
      <c r="U1315" t="s">
        <v>6557</v>
      </c>
      <c r="W1315" t="s">
        <v>337</v>
      </c>
      <c r="X1315">
        <v>1618.37</v>
      </c>
      <c r="Y1315" t="s">
        <v>6608</v>
      </c>
      <c r="Z1315" t="s">
        <v>6620</v>
      </c>
      <c r="AB1315" t="s">
        <v>7792</v>
      </c>
      <c r="AD1315" t="s">
        <v>10146</v>
      </c>
      <c r="AE1315">
        <v>72</v>
      </c>
      <c r="AF1315" t="s">
        <v>11005</v>
      </c>
      <c r="AG1315" t="s">
        <v>5406</v>
      </c>
      <c r="AH1315">
        <v>29</v>
      </c>
      <c r="AI1315">
        <v>1</v>
      </c>
      <c r="AJ1315">
        <v>0</v>
      </c>
      <c r="AK1315">
        <v>702.96</v>
      </c>
      <c r="AN1315" t="s">
        <v>11050</v>
      </c>
      <c r="AO1315">
        <v>85339.92</v>
      </c>
      <c r="AU1315">
        <v>0</v>
      </c>
      <c r="AW1315" t="s">
        <v>11495</v>
      </c>
    </row>
    <row r="1316" spans="1:49">
      <c r="A1316" s="1">
        <f>HYPERLINK("https://cms.ls-nyc.org/matter/dynamic-profile/view/1870334","18-1870334")</f>
        <v>0</v>
      </c>
      <c r="B1316" t="s">
        <v>172</v>
      </c>
      <c r="C1316" t="s">
        <v>235</v>
      </c>
      <c r="D1316" t="s">
        <v>322</v>
      </c>
      <c r="F1316" t="s">
        <v>855</v>
      </c>
      <c r="G1316" t="s">
        <v>2912</v>
      </c>
      <c r="H1316" t="s">
        <v>4099</v>
      </c>
      <c r="I1316" t="s">
        <v>5129</v>
      </c>
      <c r="J1316" t="s">
        <v>5323</v>
      </c>
      <c r="K1316">
        <v>10034</v>
      </c>
      <c r="L1316" t="s">
        <v>5355</v>
      </c>
      <c r="M1316" t="s">
        <v>5356</v>
      </c>
      <c r="N1316" t="s">
        <v>5612</v>
      </c>
      <c r="O1316" t="s">
        <v>6499</v>
      </c>
      <c r="P1316" t="s">
        <v>6528</v>
      </c>
      <c r="R1316" t="s">
        <v>6539</v>
      </c>
      <c r="S1316" t="s">
        <v>5355</v>
      </c>
      <c r="U1316" t="s">
        <v>6557</v>
      </c>
      <c r="W1316" t="s">
        <v>337</v>
      </c>
      <c r="X1316">
        <v>1618.37</v>
      </c>
      <c r="Y1316" t="s">
        <v>6608</v>
      </c>
      <c r="Z1316" t="s">
        <v>6620</v>
      </c>
      <c r="AB1316" t="s">
        <v>7792</v>
      </c>
      <c r="AD1316" t="s">
        <v>10146</v>
      </c>
      <c r="AE1316">
        <v>72</v>
      </c>
      <c r="AF1316" t="s">
        <v>11005</v>
      </c>
      <c r="AG1316" t="s">
        <v>5406</v>
      </c>
      <c r="AH1316">
        <v>29</v>
      </c>
      <c r="AI1316">
        <v>1</v>
      </c>
      <c r="AJ1316">
        <v>0</v>
      </c>
      <c r="AK1316">
        <v>702.96</v>
      </c>
      <c r="AN1316" t="s">
        <v>11050</v>
      </c>
      <c r="AO1316">
        <v>85339.92</v>
      </c>
      <c r="AU1316">
        <v>0</v>
      </c>
      <c r="AW1316" t="s">
        <v>11495</v>
      </c>
    </row>
    <row r="1317" spans="1:49">
      <c r="A1317" s="1">
        <f>HYPERLINK("https://cms.ls-nyc.org/matter/dynamic-profile/view/1841970","17-1841970")</f>
        <v>0</v>
      </c>
      <c r="B1317" t="s">
        <v>129</v>
      </c>
      <c r="C1317" t="s">
        <v>234</v>
      </c>
      <c r="D1317" t="s">
        <v>305</v>
      </c>
      <c r="E1317" t="s">
        <v>778</v>
      </c>
      <c r="F1317" t="s">
        <v>1616</v>
      </c>
      <c r="G1317" t="s">
        <v>2913</v>
      </c>
      <c r="H1317" t="s">
        <v>3721</v>
      </c>
      <c r="I1317" t="s">
        <v>4772</v>
      </c>
      <c r="J1317" t="s">
        <v>5321</v>
      </c>
      <c r="K1317">
        <v>10453</v>
      </c>
      <c r="L1317" t="s">
        <v>5355</v>
      </c>
      <c r="M1317" t="s">
        <v>5356</v>
      </c>
      <c r="O1317" t="s">
        <v>6499</v>
      </c>
      <c r="P1317" t="s">
        <v>6528</v>
      </c>
      <c r="Q1317" t="s">
        <v>6536</v>
      </c>
      <c r="R1317" t="s">
        <v>6539</v>
      </c>
      <c r="S1317" t="s">
        <v>5355</v>
      </c>
      <c r="U1317" t="s">
        <v>6557</v>
      </c>
      <c r="W1317" t="s">
        <v>404</v>
      </c>
      <c r="X1317">
        <v>736.1900000000001</v>
      </c>
      <c r="Y1317" t="s">
        <v>6606</v>
      </c>
      <c r="Z1317" t="s">
        <v>6612</v>
      </c>
      <c r="AA1317" t="s">
        <v>6636</v>
      </c>
      <c r="AB1317" t="s">
        <v>7793</v>
      </c>
      <c r="AD1317" t="s">
        <v>10147</v>
      </c>
      <c r="AE1317">
        <v>170</v>
      </c>
      <c r="AF1317" t="s">
        <v>11005</v>
      </c>
      <c r="AG1317" t="s">
        <v>5406</v>
      </c>
      <c r="AH1317">
        <v>28</v>
      </c>
      <c r="AI1317">
        <v>2</v>
      </c>
      <c r="AJ1317">
        <v>0</v>
      </c>
      <c r="AK1317">
        <v>715.52</v>
      </c>
      <c r="AN1317" t="s">
        <v>11050</v>
      </c>
      <c r="AO1317">
        <v>147400</v>
      </c>
      <c r="AU1317">
        <v>0.1</v>
      </c>
      <c r="AV1317" t="s">
        <v>778</v>
      </c>
      <c r="AW1317" t="s">
        <v>11509</v>
      </c>
    </row>
    <row r="1318" spans="1:49">
      <c r="A1318" s="1">
        <f>HYPERLINK("https://cms.ls-nyc.org/matter/dynamic-profile/view/1851811","17-1851811")</f>
        <v>0</v>
      </c>
      <c r="B1318" t="s">
        <v>129</v>
      </c>
      <c r="C1318" t="s">
        <v>234</v>
      </c>
      <c r="D1318" t="s">
        <v>300</v>
      </c>
      <c r="E1318" t="s">
        <v>600</v>
      </c>
      <c r="F1318" t="s">
        <v>883</v>
      </c>
      <c r="G1318" t="s">
        <v>2914</v>
      </c>
      <c r="H1318" t="s">
        <v>4055</v>
      </c>
      <c r="I1318" t="s">
        <v>4853</v>
      </c>
      <c r="J1318" t="s">
        <v>5321</v>
      </c>
      <c r="K1318">
        <v>10468</v>
      </c>
      <c r="L1318" t="s">
        <v>5355</v>
      </c>
      <c r="M1318" t="s">
        <v>5356</v>
      </c>
      <c r="N1318" t="s">
        <v>5568</v>
      </c>
      <c r="O1318" t="s">
        <v>6499</v>
      </c>
      <c r="P1318" t="s">
        <v>6528</v>
      </c>
      <c r="Q1318" t="s">
        <v>6536</v>
      </c>
      <c r="R1318" t="s">
        <v>6539</v>
      </c>
      <c r="S1318" t="s">
        <v>5355</v>
      </c>
      <c r="U1318" t="s">
        <v>6557</v>
      </c>
      <c r="W1318" t="s">
        <v>300</v>
      </c>
      <c r="X1318">
        <v>1183</v>
      </c>
      <c r="Y1318" t="s">
        <v>6606</v>
      </c>
      <c r="Z1318" t="s">
        <v>6620</v>
      </c>
      <c r="AA1318" t="s">
        <v>6634</v>
      </c>
      <c r="AB1318" t="s">
        <v>7794</v>
      </c>
      <c r="AD1318" t="s">
        <v>10148</v>
      </c>
      <c r="AE1318">
        <v>47</v>
      </c>
      <c r="AF1318" t="s">
        <v>11005</v>
      </c>
      <c r="AG1318" t="s">
        <v>5406</v>
      </c>
      <c r="AH1318">
        <v>4</v>
      </c>
      <c r="AI1318">
        <v>2</v>
      </c>
      <c r="AJ1318">
        <v>1</v>
      </c>
      <c r="AK1318">
        <v>734.5700000000001</v>
      </c>
      <c r="AL1318" t="s">
        <v>463</v>
      </c>
      <c r="AN1318" t="s">
        <v>11050</v>
      </c>
      <c r="AO1318">
        <v>150000</v>
      </c>
      <c r="AU1318">
        <v>0.5</v>
      </c>
      <c r="AV1318" t="s">
        <v>300</v>
      </c>
      <c r="AW1318" t="s">
        <v>11499</v>
      </c>
    </row>
    <row r="1319" spans="1:49">
      <c r="A1319" s="1">
        <f>HYPERLINK("https://cms.ls-nyc.org/matter/dynamic-profile/view/1869108","18-1869108")</f>
        <v>0</v>
      </c>
      <c r="B1319" t="s">
        <v>172</v>
      </c>
      <c r="C1319" t="s">
        <v>235</v>
      </c>
      <c r="D1319" t="s">
        <v>375</v>
      </c>
      <c r="F1319" t="s">
        <v>1241</v>
      </c>
      <c r="G1319" t="s">
        <v>2106</v>
      </c>
      <c r="H1319" t="s">
        <v>4099</v>
      </c>
      <c r="I1319" t="s">
        <v>5130</v>
      </c>
      <c r="J1319" t="s">
        <v>5323</v>
      </c>
      <c r="K1319">
        <v>10034</v>
      </c>
      <c r="L1319" t="s">
        <v>5355</v>
      </c>
      <c r="M1319" t="s">
        <v>5356</v>
      </c>
      <c r="N1319" t="s">
        <v>5611</v>
      </c>
      <c r="O1319" t="s">
        <v>6499</v>
      </c>
      <c r="P1319" t="s">
        <v>6528</v>
      </c>
      <c r="R1319" t="s">
        <v>6539</v>
      </c>
      <c r="S1319" t="s">
        <v>5355</v>
      </c>
      <c r="U1319" t="s">
        <v>6557</v>
      </c>
      <c r="W1319" t="s">
        <v>375</v>
      </c>
      <c r="X1319">
        <v>1835</v>
      </c>
      <c r="Y1319" t="s">
        <v>6608</v>
      </c>
      <c r="Z1319" t="s">
        <v>6620</v>
      </c>
      <c r="AB1319" t="s">
        <v>7795</v>
      </c>
      <c r="AD1319" t="s">
        <v>10149</v>
      </c>
      <c r="AE1319">
        <v>72</v>
      </c>
      <c r="AF1319" t="s">
        <v>11005</v>
      </c>
      <c r="AG1319" t="s">
        <v>5406</v>
      </c>
      <c r="AH1319">
        <v>4</v>
      </c>
      <c r="AI1319">
        <v>1</v>
      </c>
      <c r="AJ1319">
        <v>0</v>
      </c>
      <c r="AK1319">
        <v>741.35</v>
      </c>
      <c r="AN1319" t="s">
        <v>11050</v>
      </c>
      <c r="AO1319">
        <v>90000</v>
      </c>
      <c r="AU1319">
        <v>0</v>
      </c>
      <c r="AW1319" t="s">
        <v>11495</v>
      </c>
    </row>
    <row r="1320" spans="1:49">
      <c r="A1320" s="1">
        <f>HYPERLINK("https://cms.ls-nyc.org/matter/dynamic-profile/view/1869110","18-1869110")</f>
        <v>0</v>
      </c>
      <c r="B1320" t="s">
        <v>172</v>
      </c>
      <c r="C1320" t="s">
        <v>235</v>
      </c>
      <c r="D1320" t="s">
        <v>375</v>
      </c>
      <c r="F1320" t="s">
        <v>1241</v>
      </c>
      <c r="G1320" t="s">
        <v>2106</v>
      </c>
      <c r="H1320" t="s">
        <v>4099</v>
      </c>
      <c r="I1320" t="s">
        <v>5130</v>
      </c>
      <c r="J1320" t="s">
        <v>5323</v>
      </c>
      <c r="K1320">
        <v>10034</v>
      </c>
      <c r="L1320" t="s">
        <v>5355</v>
      </c>
      <c r="M1320" t="s">
        <v>5356</v>
      </c>
      <c r="N1320" t="s">
        <v>5612</v>
      </c>
      <c r="O1320" t="s">
        <v>6499</v>
      </c>
      <c r="P1320" t="s">
        <v>6528</v>
      </c>
      <c r="R1320" t="s">
        <v>6539</v>
      </c>
      <c r="S1320" t="s">
        <v>5355</v>
      </c>
      <c r="U1320" t="s">
        <v>6557</v>
      </c>
      <c r="W1320" t="s">
        <v>375</v>
      </c>
      <c r="X1320">
        <v>1835</v>
      </c>
      <c r="Y1320" t="s">
        <v>6608</v>
      </c>
      <c r="Z1320" t="s">
        <v>6620</v>
      </c>
      <c r="AB1320" t="s">
        <v>7795</v>
      </c>
      <c r="AD1320" t="s">
        <v>10149</v>
      </c>
      <c r="AE1320">
        <v>72</v>
      </c>
      <c r="AF1320" t="s">
        <v>11005</v>
      </c>
      <c r="AG1320" t="s">
        <v>5406</v>
      </c>
      <c r="AH1320">
        <v>4</v>
      </c>
      <c r="AI1320">
        <v>1</v>
      </c>
      <c r="AJ1320">
        <v>0</v>
      </c>
      <c r="AK1320">
        <v>741.35</v>
      </c>
      <c r="AN1320" t="s">
        <v>11050</v>
      </c>
      <c r="AO1320">
        <v>90000</v>
      </c>
      <c r="AU1320">
        <v>0.8</v>
      </c>
      <c r="AV1320" t="s">
        <v>691</v>
      </c>
      <c r="AW1320" t="s">
        <v>11495</v>
      </c>
    </row>
    <row r="1321" spans="1:49">
      <c r="A1321" s="1">
        <f>HYPERLINK("https://cms.ls-nyc.org/matter/dynamic-profile/view/1847981","17-1847981")</f>
        <v>0</v>
      </c>
      <c r="B1321" t="s">
        <v>156</v>
      </c>
      <c r="C1321" t="s">
        <v>234</v>
      </c>
      <c r="D1321" t="s">
        <v>340</v>
      </c>
      <c r="E1321" t="s">
        <v>768</v>
      </c>
      <c r="F1321" t="s">
        <v>859</v>
      </c>
      <c r="G1321" t="s">
        <v>2440</v>
      </c>
      <c r="H1321" t="s">
        <v>3923</v>
      </c>
      <c r="I1321">
        <v>2016</v>
      </c>
      <c r="J1321" t="s">
        <v>5322</v>
      </c>
      <c r="K1321">
        <v>10304</v>
      </c>
      <c r="L1321" t="s">
        <v>5355</v>
      </c>
      <c r="M1321" t="s">
        <v>5356</v>
      </c>
      <c r="N1321" t="s">
        <v>5366</v>
      </c>
      <c r="O1321" t="s">
        <v>6508</v>
      </c>
      <c r="P1321" t="s">
        <v>6529</v>
      </c>
      <c r="Q1321" t="s">
        <v>6534</v>
      </c>
      <c r="R1321" t="s">
        <v>6539</v>
      </c>
      <c r="S1321" t="s">
        <v>5355</v>
      </c>
      <c r="U1321" t="s">
        <v>6557</v>
      </c>
      <c r="W1321" t="s">
        <v>340</v>
      </c>
      <c r="X1321">
        <v>867</v>
      </c>
      <c r="Y1321" t="s">
        <v>6607</v>
      </c>
      <c r="Z1321" t="s">
        <v>6614</v>
      </c>
      <c r="AA1321" t="s">
        <v>6632</v>
      </c>
      <c r="AB1321" t="s">
        <v>7796</v>
      </c>
      <c r="AC1321" t="s">
        <v>8845</v>
      </c>
      <c r="AE1321">
        <v>468</v>
      </c>
      <c r="AF1321" t="s">
        <v>11005</v>
      </c>
      <c r="AG1321" t="s">
        <v>11026</v>
      </c>
      <c r="AH1321">
        <v>1</v>
      </c>
      <c r="AI1321">
        <v>1</v>
      </c>
      <c r="AJ1321">
        <v>0</v>
      </c>
      <c r="AK1321">
        <v>38.61</v>
      </c>
      <c r="AN1321" t="s">
        <v>11050</v>
      </c>
      <c r="AO1321">
        <v>4656</v>
      </c>
      <c r="AU1321">
        <v>89.75</v>
      </c>
      <c r="AV1321" t="s">
        <v>768</v>
      </c>
      <c r="AW1321" t="s">
        <v>11510</v>
      </c>
    </row>
    <row r="1322" spans="1:49">
      <c r="A1322" s="1">
        <f>HYPERLINK("https://cms.ls-nyc.org/matter/dynamic-profile/view/1849049","17-1849049")</f>
        <v>0</v>
      </c>
      <c r="B1322" t="s">
        <v>156</v>
      </c>
      <c r="C1322" t="s">
        <v>234</v>
      </c>
      <c r="D1322" t="s">
        <v>547</v>
      </c>
      <c r="E1322" t="s">
        <v>686</v>
      </c>
      <c r="F1322" t="s">
        <v>1040</v>
      </c>
      <c r="G1322" t="s">
        <v>2915</v>
      </c>
      <c r="H1322" t="s">
        <v>3923</v>
      </c>
      <c r="I1322">
        <v>4006</v>
      </c>
      <c r="J1322" t="s">
        <v>5322</v>
      </c>
      <c r="K1322">
        <v>10304</v>
      </c>
      <c r="L1322" t="s">
        <v>5355</v>
      </c>
      <c r="M1322" t="s">
        <v>5356</v>
      </c>
      <c r="N1322" t="s">
        <v>5366</v>
      </c>
      <c r="O1322" t="s">
        <v>6508</v>
      </c>
      <c r="P1322" t="s">
        <v>6529</v>
      </c>
      <c r="Q1322" t="s">
        <v>6533</v>
      </c>
      <c r="R1322" t="s">
        <v>6539</v>
      </c>
      <c r="S1322" t="s">
        <v>5355</v>
      </c>
      <c r="U1322" t="s">
        <v>6557</v>
      </c>
      <c r="W1322" t="s">
        <v>547</v>
      </c>
      <c r="X1322">
        <v>867</v>
      </c>
      <c r="Y1322" t="s">
        <v>6607</v>
      </c>
      <c r="Z1322" t="s">
        <v>6612</v>
      </c>
      <c r="AA1322" t="s">
        <v>6640</v>
      </c>
      <c r="AB1322" t="s">
        <v>7797</v>
      </c>
      <c r="AC1322" t="s">
        <v>8846</v>
      </c>
      <c r="AD1322" t="s">
        <v>10150</v>
      </c>
      <c r="AE1322">
        <v>468</v>
      </c>
      <c r="AF1322" t="s">
        <v>11005</v>
      </c>
      <c r="AG1322" t="s">
        <v>11026</v>
      </c>
      <c r="AH1322">
        <v>1</v>
      </c>
      <c r="AI1322">
        <v>1</v>
      </c>
      <c r="AJ1322">
        <v>0</v>
      </c>
      <c r="AK1322">
        <v>38.81</v>
      </c>
      <c r="AN1322" t="s">
        <v>11050</v>
      </c>
      <c r="AO1322">
        <v>4680</v>
      </c>
      <c r="AU1322">
        <v>3.8</v>
      </c>
      <c r="AV1322" t="s">
        <v>686</v>
      </c>
      <c r="AW1322" t="s">
        <v>11536</v>
      </c>
    </row>
    <row r="1323" spans="1:49">
      <c r="A1323" s="1">
        <f>HYPERLINK("https://cms.ls-nyc.org/matter/dynamic-profile/view/0832845","17-0832845")</f>
        <v>0</v>
      </c>
      <c r="B1323" t="s">
        <v>92</v>
      </c>
      <c r="C1323" t="s">
        <v>235</v>
      </c>
      <c r="D1323" t="s">
        <v>509</v>
      </c>
      <c r="F1323" t="s">
        <v>1404</v>
      </c>
      <c r="G1323" t="s">
        <v>2916</v>
      </c>
      <c r="H1323" t="s">
        <v>4110</v>
      </c>
      <c r="I1323" t="s">
        <v>5131</v>
      </c>
      <c r="J1323" t="s">
        <v>5323</v>
      </c>
      <c r="K1323">
        <v>10065</v>
      </c>
      <c r="L1323" t="s">
        <v>5355</v>
      </c>
      <c r="M1323" t="s">
        <v>5356</v>
      </c>
      <c r="O1323" t="s">
        <v>6496</v>
      </c>
      <c r="P1323" t="s">
        <v>6529</v>
      </c>
      <c r="R1323" t="s">
        <v>6539</v>
      </c>
      <c r="S1323" t="s">
        <v>5357</v>
      </c>
      <c r="U1323" t="s">
        <v>6557</v>
      </c>
      <c r="W1323" t="s">
        <v>509</v>
      </c>
      <c r="X1323">
        <v>1071.34</v>
      </c>
      <c r="Y1323" t="s">
        <v>6608</v>
      </c>
      <c r="Z1323" t="s">
        <v>6614</v>
      </c>
      <c r="AB1323" t="s">
        <v>7798</v>
      </c>
      <c r="AD1323" t="s">
        <v>10151</v>
      </c>
      <c r="AE1323">
        <v>45</v>
      </c>
      <c r="AF1323" t="s">
        <v>11005</v>
      </c>
      <c r="AG1323" t="s">
        <v>5406</v>
      </c>
      <c r="AH1323">
        <v>2</v>
      </c>
      <c r="AI1323">
        <v>1</v>
      </c>
      <c r="AJ1323">
        <v>0</v>
      </c>
      <c r="AK1323">
        <v>71.64</v>
      </c>
      <c r="AN1323" t="s">
        <v>11050</v>
      </c>
      <c r="AO1323">
        <v>8640</v>
      </c>
      <c r="AU1323">
        <v>235.88</v>
      </c>
      <c r="AV1323" t="s">
        <v>756</v>
      </c>
      <c r="AW1323" t="s">
        <v>11498</v>
      </c>
    </row>
    <row r="1324" spans="1:49">
      <c r="A1324" s="1">
        <f>HYPERLINK("https://cms.ls-nyc.org/matter/dynamic-profile/view/1866415","18-1866415")</f>
        <v>0</v>
      </c>
      <c r="B1324" t="s">
        <v>156</v>
      </c>
      <c r="C1324" t="s">
        <v>235</v>
      </c>
      <c r="D1324" t="s">
        <v>414</v>
      </c>
      <c r="F1324" t="s">
        <v>1617</v>
      </c>
      <c r="G1324" t="s">
        <v>2917</v>
      </c>
      <c r="H1324" t="s">
        <v>4111</v>
      </c>
      <c r="I1324" t="s">
        <v>5132</v>
      </c>
      <c r="J1324" t="s">
        <v>5321</v>
      </c>
      <c r="K1324">
        <v>10458</v>
      </c>
      <c r="L1324" t="s">
        <v>5355</v>
      </c>
      <c r="M1324" t="s">
        <v>5355</v>
      </c>
      <c r="N1324" t="s">
        <v>5628</v>
      </c>
      <c r="O1324" t="s">
        <v>6508</v>
      </c>
      <c r="P1324" t="s">
        <v>6529</v>
      </c>
      <c r="R1324" t="s">
        <v>6539</v>
      </c>
      <c r="S1324" t="s">
        <v>5355</v>
      </c>
      <c r="T1324" t="s">
        <v>6549</v>
      </c>
      <c r="U1324" t="s">
        <v>6557</v>
      </c>
      <c r="W1324" t="s">
        <v>268</v>
      </c>
      <c r="X1324">
        <v>867</v>
      </c>
      <c r="Y1324" t="s">
        <v>6607</v>
      </c>
      <c r="Z1324" t="s">
        <v>6609</v>
      </c>
      <c r="AB1324" t="s">
        <v>7604</v>
      </c>
      <c r="AD1324" t="s">
        <v>10152</v>
      </c>
      <c r="AE1324">
        <v>467</v>
      </c>
      <c r="AF1324" t="s">
        <v>11005</v>
      </c>
      <c r="AG1324" t="s">
        <v>11026</v>
      </c>
      <c r="AH1324">
        <v>1</v>
      </c>
      <c r="AI1324">
        <v>1</v>
      </c>
      <c r="AJ1324">
        <v>0</v>
      </c>
      <c r="AK1324">
        <v>76.11</v>
      </c>
      <c r="AN1324" t="s">
        <v>11050</v>
      </c>
      <c r="AO1324">
        <v>9240</v>
      </c>
      <c r="AR1324" t="s">
        <v>6493</v>
      </c>
      <c r="AU1324">
        <v>73.95999999999999</v>
      </c>
      <c r="AV1324" t="s">
        <v>834</v>
      </c>
      <c r="AW1324" t="s">
        <v>156</v>
      </c>
    </row>
    <row r="1325" spans="1:49">
      <c r="A1325" s="1">
        <f>HYPERLINK("https://cms.ls-nyc.org/matter/dynamic-profile/view/1863008","18-1863008")</f>
        <v>0</v>
      </c>
      <c r="B1325" t="s">
        <v>90</v>
      </c>
      <c r="C1325" t="s">
        <v>235</v>
      </c>
      <c r="D1325" t="s">
        <v>369</v>
      </c>
      <c r="F1325" t="s">
        <v>1618</v>
      </c>
      <c r="G1325" t="s">
        <v>2918</v>
      </c>
      <c r="H1325" t="s">
        <v>3544</v>
      </c>
      <c r="J1325" t="s">
        <v>5321</v>
      </c>
      <c r="K1325">
        <v>10452</v>
      </c>
      <c r="L1325" t="s">
        <v>5355</v>
      </c>
      <c r="M1325" t="s">
        <v>5356</v>
      </c>
      <c r="N1325" t="s">
        <v>5629</v>
      </c>
      <c r="O1325" t="s">
        <v>6496</v>
      </c>
      <c r="P1325" t="s">
        <v>6529</v>
      </c>
      <c r="R1325" t="s">
        <v>6539</v>
      </c>
      <c r="S1325" t="s">
        <v>5355</v>
      </c>
      <c r="U1325" t="s">
        <v>6561</v>
      </c>
      <c r="W1325" t="s">
        <v>480</v>
      </c>
      <c r="X1325">
        <v>230</v>
      </c>
      <c r="Y1325" t="s">
        <v>6606</v>
      </c>
      <c r="Z1325" t="s">
        <v>6612</v>
      </c>
      <c r="AB1325" t="s">
        <v>7799</v>
      </c>
      <c r="AD1325" t="s">
        <v>10153</v>
      </c>
      <c r="AE1325">
        <v>149</v>
      </c>
      <c r="AF1325" t="s">
        <v>8722</v>
      </c>
      <c r="AG1325" t="s">
        <v>11026</v>
      </c>
      <c r="AH1325">
        <v>27</v>
      </c>
      <c r="AI1325">
        <v>1</v>
      </c>
      <c r="AJ1325">
        <v>1</v>
      </c>
      <c r="AK1325">
        <v>82.23999999999999</v>
      </c>
      <c r="AN1325" t="s">
        <v>11049</v>
      </c>
      <c r="AO1325">
        <v>13536</v>
      </c>
      <c r="AU1325">
        <v>272.06</v>
      </c>
      <c r="AV1325" t="s">
        <v>702</v>
      </c>
      <c r="AW1325" t="s">
        <v>69</v>
      </c>
    </row>
    <row r="1326" spans="1:49">
      <c r="A1326" s="1">
        <f>HYPERLINK("https://cms.ls-nyc.org/matter/dynamic-profile/view/1842182","17-1842182")</f>
        <v>0</v>
      </c>
      <c r="B1326" t="s">
        <v>129</v>
      </c>
      <c r="C1326" t="s">
        <v>234</v>
      </c>
      <c r="D1326" t="s">
        <v>519</v>
      </c>
      <c r="E1326" t="s">
        <v>686</v>
      </c>
      <c r="F1326" t="s">
        <v>1506</v>
      </c>
      <c r="G1326" t="s">
        <v>2789</v>
      </c>
      <c r="H1326" t="s">
        <v>4080</v>
      </c>
      <c r="I1326">
        <v>45</v>
      </c>
      <c r="J1326" t="s">
        <v>5321</v>
      </c>
      <c r="K1326">
        <v>10453</v>
      </c>
      <c r="L1326" t="s">
        <v>5355</v>
      </c>
      <c r="M1326" t="s">
        <v>5355</v>
      </c>
      <c r="N1326" t="s">
        <v>5630</v>
      </c>
      <c r="O1326" t="s">
        <v>6508</v>
      </c>
      <c r="P1326" t="s">
        <v>6529</v>
      </c>
      <c r="Q1326" t="s">
        <v>6534</v>
      </c>
      <c r="R1326" t="s">
        <v>6539</v>
      </c>
      <c r="S1326" t="s">
        <v>5357</v>
      </c>
      <c r="U1326" t="s">
        <v>6565</v>
      </c>
      <c r="W1326" t="s">
        <v>404</v>
      </c>
      <c r="X1326">
        <v>841</v>
      </c>
      <c r="Y1326" t="s">
        <v>6606</v>
      </c>
      <c r="Z1326" t="s">
        <v>6625</v>
      </c>
      <c r="AA1326" t="s">
        <v>6653</v>
      </c>
      <c r="AB1326" t="s">
        <v>7600</v>
      </c>
      <c r="AD1326" t="s">
        <v>9962</v>
      </c>
      <c r="AE1326">
        <v>46</v>
      </c>
      <c r="AF1326" t="s">
        <v>11005</v>
      </c>
      <c r="AG1326" t="s">
        <v>11024</v>
      </c>
      <c r="AH1326">
        <v>37</v>
      </c>
      <c r="AI1326">
        <v>1</v>
      </c>
      <c r="AJ1326">
        <v>0</v>
      </c>
      <c r="AK1326">
        <v>83.58</v>
      </c>
      <c r="AN1326" t="s">
        <v>11050</v>
      </c>
      <c r="AO1326">
        <v>10080</v>
      </c>
      <c r="AR1326" t="s">
        <v>11209</v>
      </c>
      <c r="AS1326" t="s">
        <v>11253</v>
      </c>
      <c r="AT1326" t="s">
        <v>11269</v>
      </c>
      <c r="AU1326">
        <v>162.6</v>
      </c>
      <c r="AV1326" t="s">
        <v>254</v>
      </c>
      <c r="AW1326" t="s">
        <v>11492</v>
      </c>
    </row>
    <row r="1327" spans="1:49">
      <c r="A1327" s="1">
        <f>HYPERLINK("https://cms.ls-nyc.org/matter/dynamic-profile/view/1855754","18-1855754")</f>
        <v>0</v>
      </c>
      <c r="B1327" t="s">
        <v>58</v>
      </c>
      <c r="C1327" t="s">
        <v>235</v>
      </c>
      <c r="D1327" t="s">
        <v>329</v>
      </c>
      <c r="F1327" t="s">
        <v>925</v>
      </c>
      <c r="G1327" t="s">
        <v>2667</v>
      </c>
      <c r="H1327" t="s">
        <v>4008</v>
      </c>
      <c r="I1327" t="s">
        <v>4992</v>
      </c>
      <c r="J1327" t="s">
        <v>5321</v>
      </c>
      <c r="K1327">
        <v>10472</v>
      </c>
      <c r="L1327" t="s">
        <v>5355</v>
      </c>
      <c r="M1327" t="s">
        <v>5356</v>
      </c>
      <c r="N1327" t="s">
        <v>5631</v>
      </c>
      <c r="O1327" t="s">
        <v>6508</v>
      </c>
      <c r="P1327" t="s">
        <v>6529</v>
      </c>
      <c r="R1327" t="s">
        <v>6539</v>
      </c>
      <c r="S1327" t="s">
        <v>5357</v>
      </c>
      <c r="U1327" t="s">
        <v>6561</v>
      </c>
      <c r="W1327" t="s">
        <v>397</v>
      </c>
      <c r="X1327">
        <v>990</v>
      </c>
      <c r="Y1327" t="s">
        <v>6606</v>
      </c>
      <c r="Z1327" t="s">
        <v>6615</v>
      </c>
      <c r="AB1327" t="s">
        <v>7414</v>
      </c>
      <c r="AD1327" t="s">
        <v>9786</v>
      </c>
      <c r="AE1327">
        <v>78</v>
      </c>
      <c r="AF1327" t="s">
        <v>11005</v>
      </c>
      <c r="AG1327" t="s">
        <v>11021</v>
      </c>
      <c r="AH1327">
        <v>6</v>
      </c>
      <c r="AI1327">
        <v>1</v>
      </c>
      <c r="AJ1327">
        <v>0</v>
      </c>
      <c r="AK1327">
        <v>98.51000000000001</v>
      </c>
      <c r="AN1327" t="s">
        <v>11050</v>
      </c>
      <c r="AO1327">
        <v>11880</v>
      </c>
      <c r="AU1327">
        <v>158.15</v>
      </c>
      <c r="AV1327" t="s">
        <v>11453</v>
      </c>
      <c r="AW1327" t="s">
        <v>11534</v>
      </c>
    </row>
    <row r="1328" spans="1:49">
      <c r="A1328" s="1">
        <f>HYPERLINK("https://cms.ls-nyc.org/matter/dynamic-profile/view/1860723","18-1860723")</f>
        <v>0</v>
      </c>
      <c r="B1328" t="s">
        <v>61</v>
      </c>
      <c r="C1328" t="s">
        <v>234</v>
      </c>
      <c r="D1328" t="s">
        <v>293</v>
      </c>
      <c r="E1328" t="s">
        <v>712</v>
      </c>
      <c r="F1328" t="s">
        <v>1619</v>
      </c>
      <c r="G1328" t="s">
        <v>2884</v>
      </c>
      <c r="H1328" t="s">
        <v>4112</v>
      </c>
      <c r="I1328" t="s">
        <v>4759</v>
      </c>
      <c r="J1328" t="s">
        <v>5321</v>
      </c>
      <c r="K1328">
        <v>10452</v>
      </c>
      <c r="L1328" t="s">
        <v>5355</v>
      </c>
      <c r="M1328" t="s">
        <v>5356</v>
      </c>
      <c r="O1328" t="s">
        <v>6497</v>
      </c>
      <c r="P1328" t="s">
        <v>6529</v>
      </c>
      <c r="Q1328" t="s">
        <v>6534</v>
      </c>
      <c r="R1328" t="s">
        <v>6539</v>
      </c>
      <c r="U1328" t="s">
        <v>6558</v>
      </c>
      <c r="W1328" t="s">
        <v>312</v>
      </c>
      <c r="X1328">
        <v>958.76</v>
      </c>
      <c r="Y1328" t="s">
        <v>6606</v>
      </c>
      <c r="AA1328" t="s">
        <v>6635</v>
      </c>
      <c r="AB1328" t="s">
        <v>7800</v>
      </c>
      <c r="AC1328" t="s">
        <v>8847</v>
      </c>
      <c r="AD1328" t="s">
        <v>10154</v>
      </c>
      <c r="AE1328">
        <v>0</v>
      </c>
      <c r="AH1328">
        <v>0</v>
      </c>
      <c r="AI1328">
        <v>1</v>
      </c>
      <c r="AJ1328">
        <v>1</v>
      </c>
      <c r="AK1328">
        <v>104.44</v>
      </c>
      <c r="AN1328" t="s">
        <v>11050</v>
      </c>
      <c r="AO1328">
        <v>25099.2</v>
      </c>
      <c r="AU1328">
        <v>12.5</v>
      </c>
      <c r="AV1328" t="s">
        <v>385</v>
      </c>
      <c r="AW1328" t="s">
        <v>103</v>
      </c>
    </row>
    <row r="1329" spans="1:49">
      <c r="A1329" s="1">
        <f>HYPERLINK("https://cms.ls-nyc.org/matter/dynamic-profile/view/1864159","18-1864159")</f>
        <v>0</v>
      </c>
      <c r="B1329" t="s">
        <v>92</v>
      </c>
      <c r="C1329" t="s">
        <v>235</v>
      </c>
      <c r="D1329" t="s">
        <v>357</v>
      </c>
      <c r="F1329" t="s">
        <v>1620</v>
      </c>
      <c r="G1329" t="s">
        <v>2740</v>
      </c>
      <c r="H1329" t="s">
        <v>3579</v>
      </c>
      <c r="I1329">
        <v>505</v>
      </c>
      <c r="J1329" t="s">
        <v>5323</v>
      </c>
      <c r="K1329">
        <v>10029</v>
      </c>
      <c r="L1329" t="s">
        <v>5355</v>
      </c>
      <c r="M1329" t="s">
        <v>5355</v>
      </c>
      <c r="N1329" t="s">
        <v>5632</v>
      </c>
      <c r="O1329" t="s">
        <v>6494</v>
      </c>
      <c r="P1329" t="s">
        <v>6529</v>
      </c>
      <c r="R1329" t="s">
        <v>6539</v>
      </c>
      <c r="S1329" t="s">
        <v>5355</v>
      </c>
      <c r="U1329" t="s">
        <v>6557</v>
      </c>
      <c r="V1329" t="s">
        <v>6566</v>
      </c>
      <c r="W1329" t="s">
        <v>357</v>
      </c>
      <c r="X1329">
        <v>0</v>
      </c>
      <c r="Y1329" t="s">
        <v>6608</v>
      </c>
      <c r="Z1329" t="s">
        <v>6622</v>
      </c>
      <c r="AB1329" t="s">
        <v>7801</v>
      </c>
      <c r="AD1329" t="s">
        <v>10155</v>
      </c>
      <c r="AE1329">
        <v>108</v>
      </c>
      <c r="AF1329" t="s">
        <v>11008</v>
      </c>
      <c r="AG1329" t="s">
        <v>11020</v>
      </c>
      <c r="AH1329">
        <v>9</v>
      </c>
      <c r="AI1329">
        <v>2</v>
      </c>
      <c r="AJ1329">
        <v>2</v>
      </c>
      <c r="AK1329">
        <v>127.49</v>
      </c>
      <c r="AN1329" t="s">
        <v>11050</v>
      </c>
      <c r="AO1329">
        <v>32000</v>
      </c>
      <c r="AU1329">
        <v>0.35</v>
      </c>
      <c r="AV1329" t="s">
        <v>11453</v>
      </c>
      <c r="AW1329" t="s">
        <v>11497</v>
      </c>
    </row>
    <row r="1330" spans="1:49">
      <c r="A1330" s="1">
        <f>HYPERLINK("https://cms.ls-nyc.org/matter/dynamic-profile/view/1863853","18-1863853")</f>
        <v>0</v>
      </c>
      <c r="B1330" t="s">
        <v>92</v>
      </c>
      <c r="C1330" t="s">
        <v>235</v>
      </c>
      <c r="D1330" t="s">
        <v>288</v>
      </c>
      <c r="F1330" t="s">
        <v>1004</v>
      </c>
      <c r="G1330" t="s">
        <v>2355</v>
      </c>
      <c r="H1330" t="s">
        <v>3579</v>
      </c>
      <c r="I1330">
        <v>815</v>
      </c>
      <c r="J1330" t="s">
        <v>5323</v>
      </c>
      <c r="K1330">
        <v>10029</v>
      </c>
      <c r="L1330" t="s">
        <v>5355</v>
      </c>
      <c r="M1330" t="s">
        <v>5355</v>
      </c>
      <c r="N1330" t="s">
        <v>5632</v>
      </c>
      <c r="O1330" t="s">
        <v>6494</v>
      </c>
      <c r="P1330" t="s">
        <v>6529</v>
      </c>
      <c r="R1330" t="s">
        <v>6539</v>
      </c>
      <c r="S1330" t="s">
        <v>5355</v>
      </c>
      <c r="U1330" t="s">
        <v>6557</v>
      </c>
      <c r="V1330" t="s">
        <v>6566</v>
      </c>
      <c r="W1330" t="s">
        <v>263</v>
      </c>
      <c r="X1330">
        <v>0</v>
      </c>
      <c r="Y1330" t="s">
        <v>6608</v>
      </c>
      <c r="Z1330" t="s">
        <v>6622</v>
      </c>
      <c r="AB1330" t="s">
        <v>7762</v>
      </c>
      <c r="AD1330" t="s">
        <v>10156</v>
      </c>
      <c r="AE1330">
        <v>108</v>
      </c>
      <c r="AF1330" t="s">
        <v>11008</v>
      </c>
      <c r="AG1330" t="s">
        <v>11020</v>
      </c>
      <c r="AH1330">
        <v>29</v>
      </c>
      <c r="AI1330">
        <v>1</v>
      </c>
      <c r="AJ1330">
        <v>0</v>
      </c>
      <c r="AK1330">
        <v>131.93</v>
      </c>
      <c r="AN1330" t="s">
        <v>11050</v>
      </c>
      <c r="AO1330">
        <v>16016</v>
      </c>
      <c r="AU1330">
        <v>0.5</v>
      </c>
      <c r="AV1330" t="s">
        <v>11453</v>
      </c>
      <c r="AW1330" t="s">
        <v>11497</v>
      </c>
    </row>
    <row r="1331" spans="1:49">
      <c r="A1331" s="1">
        <f>HYPERLINK("https://cms.ls-nyc.org/matter/dynamic-profile/view/1849048","17-1849048")</f>
        <v>0</v>
      </c>
      <c r="B1331" t="s">
        <v>156</v>
      </c>
      <c r="C1331" t="s">
        <v>235</v>
      </c>
      <c r="D1331" t="s">
        <v>547</v>
      </c>
      <c r="F1331" t="s">
        <v>1621</v>
      </c>
      <c r="G1331" t="s">
        <v>2919</v>
      </c>
      <c r="H1331" t="s">
        <v>3923</v>
      </c>
      <c r="I1331">
        <v>2027</v>
      </c>
      <c r="J1331" t="s">
        <v>5322</v>
      </c>
      <c r="K1331">
        <v>10304</v>
      </c>
      <c r="L1331" t="s">
        <v>5355</v>
      </c>
      <c r="M1331" t="s">
        <v>5356</v>
      </c>
      <c r="N1331" t="s">
        <v>5366</v>
      </c>
      <c r="O1331" t="s">
        <v>6508</v>
      </c>
      <c r="P1331" t="s">
        <v>6529</v>
      </c>
      <c r="R1331" t="s">
        <v>6539</v>
      </c>
      <c r="S1331" t="s">
        <v>5355</v>
      </c>
      <c r="U1331" t="s">
        <v>6557</v>
      </c>
      <c r="W1331" t="s">
        <v>547</v>
      </c>
      <c r="X1331">
        <v>867</v>
      </c>
      <c r="Y1331" t="s">
        <v>6607</v>
      </c>
      <c r="Z1331" t="s">
        <v>6615</v>
      </c>
      <c r="AB1331" t="s">
        <v>7802</v>
      </c>
      <c r="AC1331" t="s">
        <v>8848</v>
      </c>
      <c r="AD1331" t="s">
        <v>10157</v>
      </c>
      <c r="AE1331">
        <v>468</v>
      </c>
      <c r="AF1331" t="s">
        <v>11005</v>
      </c>
      <c r="AG1331" t="s">
        <v>11019</v>
      </c>
      <c r="AH1331">
        <v>1</v>
      </c>
      <c r="AI1331">
        <v>1</v>
      </c>
      <c r="AJ1331">
        <v>0</v>
      </c>
      <c r="AK1331">
        <v>137.98</v>
      </c>
      <c r="AN1331" t="s">
        <v>11050</v>
      </c>
      <c r="AO1331">
        <v>16640</v>
      </c>
      <c r="AU1331">
        <v>212.15</v>
      </c>
      <c r="AV1331" t="s">
        <v>803</v>
      </c>
      <c r="AW1331" t="s">
        <v>11536</v>
      </c>
    </row>
    <row r="1332" spans="1:49">
      <c r="A1332" s="1">
        <f>HYPERLINK("https://cms.ls-nyc.org/matter/dynamic-profile/view/1860067","18-1860067")</f>
        <v>0</v>
      </c>
      <c r="B1332" t="s">
        <v>71</v>
      </c>
      <c r="C1332" t="s">
        <v>235</v>
      </c>
      <c r="D1332" t="s">
        <v>260</v>
      </c>
      <c r="F1332" t="s">
        <v>1622</v>
      </c>
      <c r="G1332" t="s">
        <v>2920</v>
      </c>
      <c r="H1332" t="s">
        <v>3526</v>
      </c>
      <c r="I1332">
        <v>211</v>
      </c>
      <c r="J1332" t="s">
        <v>5321</v>
      </c>
      <c r="K1332">
        <v>10453</v>
      </c>
      <c r="L1332" t="s">
        <v>5355</v>
      </c>
      <c r="M1332" t="s">
        <v>5356</v>
      </c>
      <c r="N1332" t="s">
        <v>5633</v>
      </c>
      <c r="O1332" t="s">
        <v>6492</v>
      </c>
      <c r="P1332" t="s">
        <v>6529</v>
      </c>
      <c r="R1332" t="s">
        <v>6539</v>
      </c>
      <c r="U1332" t="s">
        <v>6557</v>
      </c>
      <c r="W1332" t="s">
        <v>326</v>
      </c>
      <c r="X1332">
        <v>1021.63</v>
      </c>
      <c r="Y1332" t="s">
        <v>6606</v>
      </c>
      <c r="AA1332" t="s">
        <v>6643</v>
      </c>
      <c r="AB1332" t="s">
        <v>7803</v>
      </c>
      <c r="AD1332" t="s">
        <v>10158</v>
      </c>
      <c r="AE1332">
        <v>0</v>
      </c>
      <c r="AF1332" t="s">
        <v>11005</v>
      </c>
      <c r="AH1332">
        <v>40</v>
      </c>
      <c r="AI1332">
        <v>1</v>
      </c>
      <c r="AJ1332">
        <v>1</v>
      </c>
      <c r="AK1332">
        <v>140.89</v>
      </c>
      <c r="AN1332" t="s">
        <v>11050</v>
      </c>
      <c r="AO1332">
        <v>22880</v>
      </c>
      <c r="AP1332" t="s">
        <v>11075</v>
      </c>
      <c r="AQ1332" t="s">
        <v>11192</v>
      </c>
      <c r="AR1332" t="s">
        <v>11210</v>
      </c>
      <c r="AS1332" t="s">
        <v>11253</v>
      </c>
      <c r="AT1332" t="s">
        <v>11270</v>
      </c>
      <c r="AU1332">
        <v>7.6</v>
      </c>
      <c r="AV1332" t="s">
        <v>338</v>
      </c>
      <c r="AW1332" t="s">
        <v>11520</v>
      </c>
    </row>
    <row r="1333" spans="1:49">
      <c r="A1333" s="1">
        <f>HYPERLINK("https://cms.ls-nyc.org/matter/dynamic-profile/view/1860923","18-1860923")</f>
        <v>0</v>
      </c>
      <c r="B1333" t="s">
        <v>52</v>
      </c>
      <c r="C1333" t="s">
        <v>234</v>
      </c>
      <c r="D1333" t="s">
        <v>296</v>
      </c>
      <c r="E1333" t="s">
        <v>752</v>
      </c>
      <c r="F1333" t="s">
        <v>1623</v>
      </c>
      <c r="G1333" t="s">
        <v>2921</v>
      </c>
      <c r="H1333" t="s">
        <v>4113</v>
      </c>
      <c r="I1333">
        <v>302</v>
      </c>
      <c r="J1333" t="s">
        <v>5340</v>
      </c>
      <c r="K1333">
        <v>11692</v>
      </c>
      <c r="L1333" t="s">
        <v>5355</v>
      </c>
      <c r="M1333" t="s">
        <v>5355</v>
      </c>
      <c r="N1333" t="s">
        <v>5634</v>
      </c>
      <c r="O1333" t="s">
        <v>6492</v>
      </c>
      <c r="P1333" t="s">
        <v>6530</v>
      </c>
      <c r="Q1333" t="s">
        <v>6534</v>
      </c>
      <c r="R1333" t="s">
        <v>6539</v>
      </c>
      <c r="S1333" t="s">
        <v>5357</v>
      </c>
      <c r="U1333" t="s">
        <v>6557</v>
      </c>
      <c r="V1333" t="s">
        <v>6567</v>
      </c>
      <c r="W1333" t="s">
        <v>296</v>
      </c>
      <c r="X1333">
        <v>1825</v>
      </c>
      <c r="Y1333" t="s">
        <v>6604</v>
      </c>
      <c r="Z1333" t="s">
        <v>6615</v>
      </c>
      <c r="AA1333" t="s">
        <v>6637</v>
      </c>
      <c r="AB1333" t="s">
        <v>7804</v>
      </c>
      <c r="AD1333" t="s">
        <v>10159</v>
      </c>
      <c r="AE1333">
        <v>39</v>
      </c>
      <c r="AF1333" t="s">
        <v>11010</v>
      </c>
      <c r="AG1333" t="s">
        <v>11020</v>
      </c>
      <c r="AH1333">
        <v>21</v>
      </c>
      <c r="AI1333">
        <v>1</v>
      </c>
      <c r="AJ1333">
        <v>1</v>
      </c>
      <c r="AK1333">
        <v>0</v>
      </c>
      <c r="AN1333" t="s">
        <v>11050</v>
      </c>
      <c r="AO1333">
        <v>0</v>
      </c>
      <c r="AQ1333" t="s">
        <v>11193</v>
      </c>
      <c r="AR1333" t="s">
        <v>11211</v>
      </c>
      <c r="AS1333" t="s">
        <v>11253</v>
      </c>
      <c r="AT1333" t="s">
        <v>11271</v>
      </c>
      <c r="AU1333">
        <v>15.23</v>
      </c>
      <c r="AV1333" t="s">
        <v>713</v>
      </c>
      <c r="AW1333" t="s">
        <v>127</v>
      </c>
    </row>
    <row r="1334" spans="1:49">
      <c r="A1334" s="1">
        <f>HYPERLINK("https://cms.ls-nyc.org/matter/dynamic-profile/view/1868156","18-1868156")</f>
        <v>0</v>
      </c>
      <c r="B1334" t="s">
        <v>50</v>
      </c>
      <c r="C1334" t="s">
        <v>234</v>
      </c>
      <c r="D1334" t="s">
        <v>280</v>
      </c>
      <c r="E1334" t="s">
        <v>686</v>
      </c>
      <c r="F1334" t="s">
        <v>1624</v>
      </c>
      <c r="G1334" t="s">
        <v>2538</v>
      </c>
      <c r="H1334" t="s">
        <v>4114</v>
      </c>
      <c r="I1334">
        <v>901</v>
      </c>
      <c r="J1334" t="s">
        <v>5340</v>
      </c>
      <c r="K1334">
        <v>11692</v>
      </c>
      <c r="L1334" t="s">
        <v>5355</v>
      </c>
      <c r="M1334" t="s">
        <v>5355</v>
      </c>
      <c r="N1334" t="s">
        <v>5635</v>
      </c>
      <c r="O1334" t="s">
        <v>6492</v>
      </c>
      <c r="P1334" t="s">
        <v>6530</v>
      </c>
      <c r="Q1334" t="s">
        <v>6534</v>
      </c>
      <c r="R1334" t="s">
        <v>6539</v>
      </c>
      <c r="S1334" t="s">
        <v>5357</v>
      </c>
      <c r="U1334" t="s">
        <v>6557</v>
      </c>
      <c r="V1334" t="s">
        <v>6568</v>
      </c>
      <c r="W1334" t="s">
        <v>270</v>
      </c>
      <c r="X1334">
        <v>1800</v>
      </c>
      <c r="Y1334" t="s">
        <v>6604</v>
      </c>
      <c r="Z1334" t="s">
        <v>6615</v>
      </c>
      <c r="AA1334" t="s">
        <v>6651</v>
      </c>
      <c r="AB1334" t="s">
        <v>7805</v>
      </c>
      <c r="AC1334" t="s">
        <v>8849</v>
      </c>
      <c r="AD1334" t="s">
        <v>10160</v>
      </c>
      <c r="AE1334">
        <v>209</v>
      </c>
      <c r="AF1334" t="s">
        <v>8722</v>
      </c>
      <c r="AG1334" t="s">
        <v>11020</v>
      </c>
      <c r="AH1334">
        <v>12</v>
      </c>
      <c r="AI1334">
        <v>2</v>
      </c>
      <c r="AJ1334">
        <v>1</v>
      </c>
      <c r="AK1334">
        <v>0</v>
      </c>
      <c r="AN1334" t="s">
        <v>11050</v>
      </c>
      <c r="AO1334">
        <v>0</v>
      </c>
      <c r="AQ1334" t="s">
        <v>11190</v>
      </c>
      <c r="AR1334" t="s">
        <v>11212</v>
      </c>
      <c r="AS1334" t="s">
        <v>11253</v>
      </c>
      <c r="AT1334" t="s">
        <v>11272</v>
      </c>
      <c r="AU1334">
        <v>5.15</v>
      </c>
      <c r="AV1334" t="s">
        <v>328</v>
      </c>
      <c r="AW1334" t="s">
        <v>11506</v>
      </c>
    </row>
    <row r="1335" spans="1:49">
      <c r="A1335" s="1">
        <f>HYPERLINK("https://cms.ls-nyc.org/matter/dynamic-profile/view/1855129","18-1855129")</f>
        <v>0</v>
      </c>
      <c r="B1335" t="s">
        <v>96</v>
      </c>
      <c r="C1335" t="s">
        <v>235</v>
      </c>
      <c r="D1335" t="s">
        <v>269</v>
      </c>
      <c r="F1335" t="s">
        <v>878</v>
      </c>
      <c r="G1335" t="s">
        <v>2606</v>
      </c>
      <c r="H1335" t="s">
        <v>4115</v>
      </c>
      <c r="I1335" t="s">
        <v>5133</v>
      </c>
      <c r="J1335" t="s">
        <v>5326</v>
      </c>
      <c r="K1335">
        <v>11691</v>
      </c>
      <c r="L1335" t="s">
        <v>5355</v>
      </c>
      <c r="M1335" t="s">
        <v>5356</v>
      </c>
      <c r="N1335" t="s">
        <v>5636</v>
      </c>
      <c r="O1335" t="s">
        <v>6492</v>
      </c>
      <c r="P1335" t="s">
        <v>6530</v>
      </c>
      <c r="R1335" t="s">
        <v>6539</v>
      </c>
      <c r="S1335" t="s">
        <v>5357</v>
      </c>
      <c r="U1335" t="s">
        <v>6557</v>
      </c>
      <c r="W1335" t="s">
        <v>269</v>
      </c>
      <c r="X1335">
        <v>204</v>
      </c>
      <c r="Y1335" t="s">
        <v>6604</v>
      </c>
      <c r="Z1335" t="s">
        <v>6616</v>
      </c>
      <c r="AB1335" t="s">
        <v>7806</v>
      </c>
      <c r="AD1335" t="s">
        <v>10161</v>
      </c>
      <c r="AE1335">
        <v>149</v>
      </c>
      <c r="AF1335" t="s">
        <v>11008</v>
      </c>
      <c r="AG1335" t="s">
        <v>11020</v>
      </c>
      <c r="AH1335">
        <v>21</v>
      </c>
      <c r="AI1335">
        <v>2</v>
      </c>
      <c r="AJ1335">
        <v>0</v>
      </c>
      <c r="AK1335">
        <v>0</v>
      </c>
      <c r="AN1335" t="s">
        <v>11050</v>
      </c>
      <c r="AO1335">
        <v>0</v>
      </c>
      <c r="AU1335">
        <v>34.73</v>
      </c>
      <c r="AV1335" t="s">
        <v>750</v>
      </c>
      <c r="AW1335" t="s">
        <v>11506</v>
      </c>
    </row>
    <row r="1336" spans="1:49">
      <c r="A1336" s="1">
        <f>HYPERLINK("https://cms.ls-nyc.org/matter/dynamic-profile/view/1867207","18-1867207")</f>
        <v>0</v>
      </c>
      <c r="B1336" t="s">
        <v>134</v>
      </c>
      <c r="C1336" t="s">
        <v>235</v>
      </c>
      <c r="D1336" t="s">
        <v>391</v>
      </c>
      <c r="F1336" t="s">
        <v>1625</v>
      </c>
      <c r="G1336" t="s">
        <v>2922</v>
      </c>
      <c r="H1336" t="s">
        <v>4116</v>
      </c>
      <c r="J1336" t="s">
        <v>5317</v>
      </c>
      <c r="K1336">
        <v>11435</v>
      </c>
      <c r="L1336" t="s">
        <v>5355</v>
      </c>
      <c r="M1336" t="s">
        <v>5356</v>
      </c>
      <c r="N1336" t="s">
        <v>5637</v>
      </c>
      <c r="O1336" t="s">
        <v>6494</v>
      </c>
      <c r="P1336" t="s">
        <v>6530</v>
      </c>
      <c r="R1336" t="s">
        <v>6539</v>
      </c>
      <c r="S1336" t="s">
        <v>5357</v>
      </c>
      <c r="U1336" t="s">
        <v>6557</v>
      </c>
      <c r="W1336" t="s">
        <v>391</v>
      </c>
      <c r="X1336">
        <v>750</v>
      </c>
      <c r="Y1336" t="s">
        <v>6604</v>
      </c>
      <c r="Z1336" t="s">
        <v>6615</v>
      </c>
      <c r="AB1336" t="s">
        <v>7807</v>
      </c>
      <c r="AC1336" t="s">
        <v>5392</v>
      </c>
      <c r="AD1336" t="s">
        <v>10162</v>
      </c>
      <c r="AE1336">
        <v>2</v>
      </c>
      <c r="AF1336" t="s">
        <v>11004</v>
      </c>
      <c r="AG1336" t="s">
        <v>5406</v>
      </c>
      <c r="AH1336">
        <v>2</v>
      </c>
      <c r="AI1336">
        <v>1</v>
      </c>
      <c r="AJ1336">
        <v>0</v>
      </c>
      <c r="AK1336">
        <v>0</v>
      </c>
      <c r="AN1336" t="s">
        <v>11050</v>
      </c>
      <c r="AO1336">
        <v>0</v>
      </c>
      <c r="AU1336">
        <v>10.4</v>
      </c>
      <c r="AV1336" t="s">
        <v>265</v>
      </c>
      <c r="AW1336" t="s">
        <v>11506</v>
      </c>
    </row>
    <row r="1337" spans="1:49">
      <c r="A1337" s="1">
        <f>HYPERLINK("https://cms.ls-nyc.org/matter/dynamic-profile/view/1868973","18-1868973")</f>
        <v>0</v>
      </c>
      <c r="B1337" t="s">
        <v>133</v>
      </c>
      <c r="C1337" t="s">
        <v>235</v>
      </c>
      <c r="D1337" t="s">
        <v>345</v>
      </c>
      <c r="F1337" t="s">
        <v>1111</v>
      </c>
      <c r="G1337" t="s">
        <v>2923</v>
      </c>
      <c r="H1337" t="s">
        <v>4117</v>
      </c>
      <c r="J1337" t="s">
        <v>5341</v>
      </c>
      <c r="K1337">
        <v>11420</v>
      </c>
      <c r="L1337" t="s">
        <v>5355</v>
      </c>
      <c r="M1337" t="s">
        <v>5355</v>
      </c>
      <c r="N1337" t="s">
        <v>5638</v>
      </c>
      <c r="O1337" t="s">
        <v>6491</v>
      </c>
      <c r="P1337" t="s">
        <v>6530</v>
      </c>
      <c r="R1337" t="s">
        <v>6540</v>
      </c>
      <c r="S1337" t="s">
        <v>5357</v>
      </c>
      <c r="U1337" t="s">
        <v>6557</v>
      </c>
      <c r="V1337" t="s">
        <v>6566</v>
      </c>
      <c r="W1337" t="s">
        <v>252</v>
      </c>
      <c r="X1337">
        <v>0</v>
      </c>
      <c r="Y1337" t="s">
        <v>6604</v>
      </c>
      <c r="Z1337" t="s">
        <v>6610</v>
      </c>
      <c r="AB1337" t="s">
        <v>7808</v>
      </c>
      <c r="AD1337" t="s">
        <v>9166</v>
      </c>
      <c r="AE1337">
        <v>1</v>
      </c>
      <c r="AF1337" t="s">
        <v>11004</v>
      </c>
      <c r="AG1337" t="s">
        <v>5406</v>
      </c>
      <c r="AH1337">
        <v>5</v>
      </c>
      <c r="AI1337">
        <v>1</v>
      </c>
      <c r="AJ1337">
        <v>0</v>
      </c>
      <c r="AK1337">
        <v>0</v>
      </c>
      <c r="AL1337" t="s">
        <v>11028</v>
      </c>
      <c r="AN1337" t="s">
        <v>11050</v>
      </c>
      <c r="AO1337">
        <v>0</v>
      </c>
      <c r="AU1337">
        <v>91.59999999999999</v>
      </c>
      <c r="AV1337" t="s">
        <v>11463</v>
      </c>
      <c r="AW1337" t="s">
        <v>93</v>
      </c>
    </row>
    <row r="1338" spans="1:49">
      <c r="A1338" s="1">
        <f>HYPERLINK("https://cms.ls-nyc.org/matter/dynamic-profile/view/1860884","18-1860884")</f>
        <v>0</v>
      </c>
      <c r="B1338" t="s">
        <v>133</v>
      </c>
      <c r="C1338" t="s">
        <v>234</v>
      </c>
      <c r="D1338" t="s">
        <v>246</v>
      </c>
      <c r="E1338" t="s">
        <v>394</v>
      </c>
      <c r="F1338" t="s">
        <v>1106</v>
      </c>
      <c r="G1338" t="s">
        <v>2924</v>
      </c>
      <c r="H1338" t="s">
        <v>4118</v>
      </c>
      <c r="I1338" t="s">
        <v>5134</v>
      </c>
      <c r="J1338" t="s">
        <v>5336</v>
      </c>
      <c r="K1338">
        <v>11417</v>
      </c>
      <c r="L1338" t="s">
        <v>5355</v>
      </c>
      <c r="M1338" t="s">
        <v>5356</v>
      </c>
      <c r="N1338" t="s">
        <v>5639</v>
      </c>
      <c r="O1338" t="s">
        <v>6492</v>
      </c>
      <c r="P1338" t="s">
        <v>6530</v>
      </c>
      <c r="Q1338" t="s">
        <v>6534</v>
      </c>
      <c r="R1338" t="s">
        <v>6539</v>
      </c>
      <c r="S1338" t="s">
        <v>5357</v>
      </c>
      <c r="U1338" t="s">
        <v>6557</v>
      </c>
      <c r="W1338" t="s">
        <v>246</v>
      </c>
      <c r="X1338">
        <v>2300</v>
      </c>
      <c r="Y1338" t="s">
        <v>6604</v>
      </c>
      <c r="Z1338" t="s">
        <v>6615</v>
      </c>
      <c r="AA1338" t="s">
        <v>6633</v>
      </c>
      <c r="AB1338" t="s">
        <v>7809</v>
      </c>
      <c r="AC1338" t="s">
        <v>8850</v>
      </c>
      <c r="AD1338" t="s">
        <v>10163</v>
      </c>
      <c r="AE1338">
        <v>39</v>
      </c>
      <c r="AF1338" t="s">
        <v>11004</v>
      </c>
      <c r="AG1338" t="s">
        <v>5406</v>
      </c>
      <c r="AH1338">
        <v>2</v>
      </c>
      <c r="AI1338">
        <v>2</v>
      </c>
      <c r="AJ1338">
        <v>2</v>
      </c>
      <c r="AK1338">
        <v>0</v>
      </c>
      <c r="AN1338" t="s">
        <v>11050</v>
      </c>
      <c r="AO1338">
        <v>0</v>
      </c>
      <c r="AU1338">
        <v>22.9</v>
      </c>
      <c r="AV1338" t="s">
        <v>402</v>
      </c>
      <c r="AW1338" t="s">
        <v>133</v>
      </c>
    </row>
    <row r="1339" spans="1:49">
      <c r="A1339" s="1">
        <f>HYPERLINK("https://cms.ls-nyc.org/matter/dynamic-profile/view/1867762","18-1867762")</f>
        <v>0</v>
      </c>
      <c r="B1339" t="s">
        <v>50</v>
      </c>
      <c r="C1339" t="s">
        <v>234</v>
      </c>
      <c r="D1339" t="s">
        <v>382</v>
      </c>
      <c r="E1339" t="s">
        <v>665</v>
      </c>
      <c r="F1339" t="s">
        <v>1626</v>
      </c>
      <c r="G1339" t="s">
        <v>2925</v>
      </c>
      <c r="H1339" t="s">
        <v>4119</v>
      </c>
      <c r="J1339" t="s">
        <v>5342</v>
      </c>
      <c r="K1339">
        <v>11414</v>
      </c>
      <c r="L1339" t="s">
        <v>5355</v>
      </c>
      <c r="M1339" t="s">
        <v>5355</v>
      </c>
      <c r="N1339" t="s">
        <v>5640</v>
      </c>
      <c r="O1339" t="s">
        <v>6492</v>
      </c>
      <c r="P1339" t="s">
        <v>6530</v>
      </c>
      <c r="Q1339" t="s">
        <v>6534</v>
      </c>
      <c r="R1339" t="s">
        <v>6539</v>
      </c>
      <c r="S1339" t="s">
        <v>5357</v>
      </c>
      <c r="U1339" t="s">
        <v>6557</v>
      </c>
      <c r="V1339" t="s">
        <v>6566</v>
      </c>
      <c r="W1339" t="s">
        <v>382</v>
      </c>
      <c r="X1339">
        <v>1140</v>
      </c>
      <c r="Y1339" t="s">
        <v>6604</v>
      </c>
      <c r="Z1339" t="s">
        <v>6615</v>
      </c>
      <c r="AA1339" t="s">
        <v>6633</v>
      </c>
      <c r="AB1339" t="s">
        <v>7810</v>
      </c>
      <c r="AD1339" t="s">
        <v>10164</v>
      </c>
      <c r="AE1339">
        <v>3</v>
      </c>
      <c r="AF1339" t="s">
        <v>11004</v>
      </c>
      <c r="AG1339" t="s">
        <v>5406</v>
      </c>
      <c r="AH1339">
        <v>4</v>
      </c>
      <c r="AI1339">
        <v>1</v>
      </c>
      <c r="AJ1339">
        <v>0</v>
      </c>
      <c r="AK1339">
        <v>0</v>
      </c>
      <c r="AN1339" t="s">
        <v>11050</v>
      </c>
      <c r="AO1339">
        <v>0</v>
      </c>
      <c r="AU1339">
        <v>20.7</v>
      </c>
      <c r="AV1339" t="s">
        <v>720</v>
      </c>
      <c r="AW1339" t="s">
        <v>11506</v>
      </c>
    </row>
    <row r="1340" spans="1:49">
      <c r="A1340" s="1">
        <f>HYPERLINK("https://cms.ls-nyc.org/matter/dynamic-profile/view/1856165","18-1856165")</f>
        <v>0</v>
      </c>
      <c r="B1340" t="s">
        <v>133</v>
      </c>
      <c r="C1340" t="s">
        <v>234</v>
      </c>
      <c r="D1340" t="s">
        <v>290</v>
      </c>
      <c r="E1340" t="s">
        <v>738</v>
      </c>
      <c r="F1340" t="s">
        <v>914</v>
      </c>
      <c r="G1340" t="s">
        <v>2616</v>
      </c>
      <c r="H1340" t="s">
        <v>3959</v>
      </c>
      <c r="I1340" t="s">
        <v>4975</v>
      </c>
      <c r="J1340" t="s">
        <v>5334</v>
      </c>
      <c r="K1340">
        <v>11368</v>
      </c>
      <c r="L1340" t="s">
        <v>5355</v>
      </c>
      <c r="M1340" t="s">
        <v>5355</v>
      </c>
      <c r="N1340" t="s">
        <v>5641</v>
      </c>
      <c r="O1340" t="s">
        <v>6492</v>
      </c>
      <c r="P1340" t="s">
        <v>6530</v>
      </c>
      <c r="Q1340" t="s">
        <v>6534</v>
      </c>
      <c r="R1340" t="s">
        <v>6540</v>
      </c>
      <c r="S1340" t="s">
        <v>5357</v>
      </c>
      <c r="U1340" t="s">
        <v>6557</v>
      </c>
      <c r="V1340" t="s">
        <v>6566</v>
      </c>
      <c r="W1340" t="s">
        <v>290</v>
      </c>
      <c r="X1340">
        <v>1495</v>
      </c>
      <c r="Y1340" t="s">
        <v>6604</v>
      </c>
      <c r="Z1340" t="s">
        <v>6610</v>
      </c>
      <c r="AA1340" t="s">
        <v>6637</v>
      </c>
      <c r="AB1340" t="s">
        <v>7342</v>
      </c>
      <c r="AC1340" t="s">
        <v>8851</v>
      </c>
      <c r="AD1340" t="s">
        <v>9715</v>
      </c>
      <c r="AE1340">
        <v>45</v>
      </c>
      <c r="AF1340" t="s">
        <v>11005</v>
      </c>
      <c r="AG1340" t="s">
        <v>11023</v>
      </c>
      <c r="AH1340">
        <v>14</v>
      </c>
      <c r="AI1340">
        <v>1</v>
      </c>
      <c r="AJ1340">
        <v>3</v>
      </c>
      <c r="AK1340">
        <v>0</v>
      </c>
      <c r="AL1340" t="s">
        <v>11028</v>
      </c>
      <c r="AN1340" t="s">
        <v>11049</v>
      </c>
      <c r="AO1340">
        <v>0</v>
      </c>
      <c r="AQ1340" t="s">
        <v>11190</v>
      </c>
      <c r="AR1340" t="s">
        <v>11213</v>
      </c>
      <c r="AS1340" t="s">
        <v>11253</v>
      </c>
      <c r="AT1340" t="s">
        <v>11273</v>
      </c>
      <c r="AU1340">
        <v>34</v>
      </c>
      <c r="AV1340" t="s">
        <v>724</v>
      </c>
      <c r="AW1340" t="s">
        <v>11506</v>
      </c>
    </row>
    <row r="1341" spans="1:49">
      <c r="A1341" s="1">
        <f>HYPERLINK("https://cms.ls-nyc.org/matter/dynamic-profile/view/1859653","18-1859653")</f>
        <v>0</v>
      </c>
      <c r="B1341" t="s">
        <v>52</v>
      </c>
      <c r="C1341" t="s">
        <v>234</v>
      </c>
      <c r="D1341" t="s">
        <v>523</v>
      </c>
      <c r="E1341" t="s">
        <v>677</v>
      </c>
      <c r="F1341" t="s">
        <v>957</v>
      </c>
      <c r="G1341" t="s">
        <v>2926</v>
      </c>
      <c r="H1341" t="s">
        <v>4120</v>
      </c>
      <c r="I1341" t="s">
        <v>4765</v>
      </c>
      <c r="J1341" t="s">
        <v>5324</v>
      </c>
      <c r="K1341">
        <v>11358</v>
      </c>
      <c r="L1341" t="s">
        <v>5355</v>
      </c>
      <c r="M1341" t="s">
        <v>5355</v>
      </c>
      <c r="N1341" t="s">
        <v>5642</v>
      </c>
      <c r="O1341" t="s">
        <v>6492</v>
      </c>
      <c r="P1341" t="s">
        <v>6530</v>
      </c>
      <c r="Q1341" t="s">
        <v>6534</v>
      </c>
      <c r="R1341" t="s">
        <v>6539</v>
      </c>
      <c r="S1341" t="s">
        <v>5357</v>
      </c>
      <c r="U1341" t="s">
        <v>6557</v>
      </c>
      <c r="V1341" t="s">
        <v>6566</v>
      </c>
      <c r="W1341" t="s">
        <v>523</v>
      </c>
      <c r="X1341">
        <v>1215</v>
      </c>
      <c r="Y1341" t="s">
        <v>6604</v>
      </c>
      <c r="Z1341" t="s">
        <v>6614</v>
      </c>
      <c r="AA1341" t="s">
        <v>6633</v>
      </c>
      <c r="AB1341" t="s">
        <v>7811</v>
      </c>
      <c r="AD1341" t="s">
        <v>10165</v>
      </c>
      <c r="AE1341">
        <v>16</v>
      </c>
      <c r="AF1341" t="s">
        <v>11005</v>
      </c>
      <c r="AG1341" t="s">
        <v>5406</v>
      </c>
      <c r="AH1341">
        <v>3</v>
      </c>
      <c r="AI1341">
        <v>1</v>
      </c>
      <c r="AJ1341">
        <v>0</v>
      </c>
      <c r="AK1341">
        <v>0</v>
      </c>
      <c r="AN1341" t="s">
        <v>11050</v>
      </c>
      <c r="AO1341">
        <v>0</v>
      </c>
      <c r="AQ1341" t="s">
        <v>11194</v>
      </c>
      <c r="AR1341" t="s">
        <v>11214</v>
      </c>
      <c r="AS1341" t="s">
        <v>11254</v>
      </c>
      <c r="AT1341" t="s">
        <v>11274</v>
      </c>
      <c r="AU1341">
        <v>34.56</v>
      </c>
      <c r="AV1341" t="s">
        <v>757</v>
      </c>
      <c r="AW1341" t="s">
        <v>93</v>
      </c>
    </row>
    <row r="1342" spans="1:49">
      <c r="A1342" s="1">
        <f>HYPERLINK("https://cms.ls-nyc.org/matter/dynamic-profile/view/1866295","18-1866295")</f>
        <v>0</v>
      </c>
      <c r="B1342" t="s">
        <v>181</v>
      </c>
      <c r="C1342" t="s">
        <v>234</v>
      </c>
      <c r="D1342" t="s">
        <v>274</v>
      </c>
      <c r="E1342" t="s">
        <v>752</v>
      </c>
      <c r="F1342" t="s">
        <v>1627</v>
      </c>
      <c r="G1342" t="s">
        <v>2927</v>
      </c>
      <c r="H1342" t="s">
        <v>4121</v>
      </c>
      <c r="I1342" t="s">
        <v>4868</v>
      </c>
      <c r="J1342" t="s">
        <v>5324</v>
      </c>
      <c r="K1342">
        <v>11355</v>
      </c>
      <c r="L1342" t="s">
        <v>5355</v>
      </c>
      <c r="M1342" t="s">
        <v>5355</v>
      </c>
      <c r="N1342" t="s">
        <v>5643</v>
      </c>
      <c r="O1342" t="s">
        <v>6491</v>
      </c>
      <c r="P1342" t="s">
        <v>6530</v>
      </c>
      <c r="Q1342" t="s">
        <v>6534</v>
      </c>
      <c r="R1342" t="s">
        <v>6539</v>
      </c>
      <c r="S1342" t="s">
        <v>5357</v>
      </c>
      <c r="U1342" t="s">
        <v>6557</v>
      </c>
      <c r="W1342" t="s">
        <v>274</v>
      </c>
      <c r="X1342">
        <v>1600</v>
      </c>
      <c r="Y1342" t="s">
        <v>6604</v>
      </c>
      <c r="Z1342" t="s">
        <v>6615</v>
      </c>
      <c r="AA1342" t="s">
        <v>6633</v>
      </c>
      <c r="AB1342" t="s">
        <v>7812</v>
      </c>
      <c r="AD1342" t="s">
        <v>10166</v>
      </c>
      <c r="AE1342">
        <v>28</v>
      </c>
      <c r="AF1342" t="s">
        <v>11009</v>
      </c>
      <c r="AG1342" t="s">
        <v>5406</v>
      </c>
      <c r="AH1342">
        <v>6</v>
      </c>
      <c r="AI1342">
        <v>1</v>
      </c>
      <c r="AJ1342">
        <v>0</v>
      </c>
      <c r="AK1342">
        <v>0</v>
      </c>
      <c r="AM1342" t="s">
        <v>11043</v>
      </c>
      <c r="AN1342" t="s">
        <v>11051</v>
      </c>
      <c r="AO1342">
        <v>0</v>
      </c>
      <c r="AQ1342" t="s">
        <v>11192</v>
      </c>
      <c r="AS1342" t="s">
        <v>11252</v>
      </c>
      <c r="AT1342" t="s">
        <v>11275</v>
      </c>
      <c r="AU1342">
        <v>6.7</v>
      </c>
      <c r="AV1342" t="s">
        <v>440</v>
      </c>
      <c r="AW1342" t="s">
        <v>11506</v>
      </c>
    </row>
    <row r="1343" spans="1:49">
      <c r="A1343" s="1">
        <f>HYPERLINK("https://cms.ls-nyc.org/matter/dynamic-profile/view/1844611","17-1844611")</f>
        <v>0</v>
      </c>
      <c r="B1343" t="s">
        <v>149</v>
      </c>
      <c r="C1343" t="s">
        <v>234</v>
      </c>
      <c r="D1343" t="s">
        <v>435</v>
      </c>
      <c r="E1343" t="s">
        <v>398</v>
      </c>
      <c r="F1343" t="s">
        <v>1628</v>
      </c>
      <c r="G1343" t="s">
        <v>2473</v>
      </c>
      <c r="H1343" t="s">
        <v>4122</v>
      </c>
      <c r="I1343" t="s">
        <v>4753</v>
      </c>
      <c r="J1343" t="s">
        <v>5343</v>
      </c>
      <c r="K1343">
        <v>11354</v>
      </c>
      <c r="L1343" t="s">
        <v>5355</v>
      </c>
      <c r="M1343" t="s">
        <v>5356</v>
      </c>
      <c r="N1343" t="s">
        <v>5644</v>
      </c>
      <c r="O1343" t="s">
        <v>6492</v>
      </c>
      <c r="P1343" t="s">
        <v>6530</v>
      </c>
      <c r="Q1343" t="s">
        <v>6537</v>
      </c>
      <c r="R1343" t="s">
        <v>6539</v>
      </c>
      <c r="S1343" t="s">
        <v>5357</v>
      </c>
      <c r="U1343" t="s">
        <v>6557</v>
      </c>
      <c r="W1343" t="s">
        <v>371</v>
      </c>
      <c r="X1343">
        <v>1500</v>
      </c>
      <c r="Y1343" t="s">
        <v>6604</v>
      </c>
      <c r="Z1343" t="s">
        <v>6614</v>
      </c>
      <c r="AA1343" t="s">
        <v>6637</v>
      </c>
      <c r="AB1343" t="s">
        <v>7813</v>
      </c>
      <c r="AC1343" t="s">
        <v>5392</v>
      </c>
      <c r="AD1343" t="s">
        <v>10167</v>
      </c>
      <c r="AE1343">
        <v>30</v>
      </c>
      <c r="AF1343" t="s">
        <v>11005</v>
      </c>
      <c r="AG1343" t="s">
        <v>5406</v>
      </c>
      <c r="AH1343">
        <v>1</v>
      </c>
      <c r="AI1343">
        <v>1</v>
      </c>
      <c r="AJ1343">
        <v>2</v>
      </c>
      <c r="AK1343">
        <v>0</v>
      </c>
      <c r="AN1343" t="s">
        <v>11050</v>
      </c>
      <c r="AO1343">
        <v>0</v>
      </c>
      <c r="AU1343">
        <v>29.5</v>
      </c>
      <c r="AV1343" t="s">
        <v>398</v>
      </c>
      <c r="AW1343" t="s">
        <v>93</v>
      </c>
    </row>
    <row r="1344" spans="1:49">
      <c r="A1344" s="1">
        <f>HYPERLINK("https://cms.ls-nyc.org/matter/dynamic-profile/view/1860378","18-1860378")</f>
        <v>0</v>
      </c>
      <c r="B1344" t="s">
        <v>133</v>
      </c>
      <c r="C1344" t="s">
        <v>234</v>
      </c>
      <c r="D1344" t="s">
        <v>236</v>
      </c>
      <c r="E1344" t="s">
        <v>652</v>
      </c>
      <c r="F1344" t="s">
        <v>1629</v>
      </c>
      <c r="G1344" t="s">
        <v>2928</v>
      </c>
      <c r="H1344" t="s">
        <v>4123</v>
      </c>
      <c r="I1344" t="s">
        <v>4886</v>
      </c>
      <c r="J1344" t="s">
        <v>5324</v>
      </c>
      <c r="K1344">
        <v>11354</v>
      </c>
      <c r="L1344" t="s">
        <v>5355</v>
      </c>
      <c r="M1344" t="s">
        <v>5356</v>
      </c>
      <c r="N1344" t="s">
        <v>5645</v>
      </c>
      <c r="O1344" t="s">
        <v>6492</v>
      </c>
      <c r="P1344" t="s">
        <v>6530</v>
      </c>
      <c r="Q1344" t="s">
        <v>6534</v>
      </c>
      <c r="R1344" t="s">
        <v>6539</v>
      </c>
      <c r="S1344" t="s">
        <v>5357</v>
      </c>
      <c r="U1344" t="s">
        <v>6557</v>
      </c>
      <c r="W1344" t="s">
        <v>236</v>
      </c>
      <c r="X1344">
        <v>1575</v>
      </c>
      <c r="Y1344" t="s">
        <v>6604</v>
      </c>
      <c r="Z1344" t="s">
        <v>6609</v>
      </c>
      <c r="AA1344" t="s">
        <v>6637</v>
      </c>
      <c r="AB1344" t="s">
        <v>7814</v>
      </c>
      <c r="AC1344" t="s">
        <v>5406</v>
      </c>
      <c r="AD1344" t="s">
        <v>10168</v>
      </c>
      <c r="AE1344">
        <v>146</v>
      </c>
      <c r="AF1344" t="s">
        <v>11005</v>
      </c>
      <c r="AG1344" t="s">
        <v>5406</v>
      </c>
      <c r="AH1344">
        <v>20</v>
      </c>
      <c r="AI1344">
        <v>1</v>
      </c>
      <c r="AJ1344">
        <v>0</v>
      </c>
      <c r="AK1344">
        <v>0</v>
      </c>
      <c r="AN1344" t="s">
        <v>11053</v>
      </c>
      <c r="AO1344">
        <v>0</v>
      </c>
      <c r="AU1344">
        <v>26.6</v>
      </c>
      <c r="AV1344" t="s">
        <v>364</v>
      </c>
      <c r="AW1344" t="s">
        <v>116</v>
      </c>
    </row>
    <row r="1345" spans="1:49">
      <c r="A1345" s="1">
        <f>HYPERLINK("https://cms.ls-nyc.org/matter/dynamic-profile/view/1866245","18-1866245")</f>
        <v>0</v>
      </c>
      <c r="B1345" t="s">
        <v>50</v>
      </c>
      <c r="C1345" t="s">
        <v>234</v>
      </c>
      <c r="D1345" t="s">
        <v>274</v>
      </c>
      <c r="E1345" t="s">
        <v>665</v>
      </c>
      <c r="F1345" t="s">
        <v>1630</v>
      </c>
      <c r="G1345" t="s">
        <v>2929</v>
      </c>
      <c r="H1345" t="s">
        <v>4124</v>
      </c>
      <c r="I1345" t="s">
        <v>4944</v>
      </c>
      <c r="J1345" t="s">
        <v>5324</v>
      </c>
      <c r="K1345">
        <v>11354</v>
      </c>
      <c r="L1345" t="s">
        <v>5355</v>
      </c>
      <c r="M1345" t="s">
        <v>5355</v>
      </c>
      <c r="N1345" t="s">
        <v>5646</v>
      </c>
      <c r="O1345" t="s">
        <v>6492</v>
      </c>
      <c r="P1345" t="s">
        <v>6530</v>
      </c>
      <c r="Q1345" t="s">
        <v>6534</v>
      </c>
      <c r="R1345" t="s">
        <v>6539</v>
      </c>
      <c r="S1345" t="s">
        <v>5357</v>
      </c>
      <c r="U1345" t="s">
        <v>6557</v>
      </c>
      <c r="V1345" t="s">
        <v>6566</v>
      </c>
      <c r="W1345" t="s">
        <v>274</v>
      </c>
      <c r="X1345">
        <v>2300</v>
      </c>
      <c r="Y1345" t="s">
        <v>6604</v>
      </c>
      <c r="Z1345" t="s">
        <v>6615</v>
      </c>
      <c r="AA1345" t="s">
        <v>6633</v>
      </c>
      <c r="AB1345" t="s">
        <v>7815</v>
      </c>
      <c r="AC1345" t="s">
        <v>8852</v>
      </c>
      <c r="AD1345" t="s">
        <v>10169</v>
      </c>
      <c r="AE1345">
        <v>71</v>
      </c>
      <c r="AF1345" t="s">
        <v>11005</v>
      </c>
      <c r="AG1345" t="s">
        <v>5406</v>
      </c>
      <c r="AH1345">
        <v>1</v>
      </c>
      <c r="AI1345">
        <v>3</v>
      </c>
      <c r="AJ1345">
        <v>1</v>
      </c>
      <c r="AK1345">
        <v>0</v>
      </c>
      <c r="AN1345" t="s">
        <v>11055</v>
      </c>
      <c r="AO1345">
        <v>0</v>
      </c>
      <c r="AQ1345" t="s">
        <v>11190</v>
      </c>
      <c r="AR1345" t="s">
        <v>6493</v>
      </c>
      <c r="AS1345" t="s">
        <v>11252</v>
      </c>
      <c r="AT1345" t="s">
        <v>11276</v>
      </c>
      <c r="AU1345">
        <v>22.7</v>
      </c>
      <c r="AV1345" t="s">
        <v>401</v>
      </c>
      <c r="AW1345" t="s">
        <v>112</v>
      </c>
    </row>
    <row r="1346" spans="1:49">
      <c r="A1346" s="1">
        <f>HYPERLINK("https://cms.ls-nyc.org/matter/dynamic-profile/view/1859181","18-1859181")</f>
        <v>0</v>
      </c>
      <c r="B1346" t="s">
        <v>101</v>
      </c>
      <c r="C1346" t="s">
        <v>234</v>
      </c>
      <c r="D1346" t="s">
        <v>467</v>
      </c>
      <c r="E1346" t="s">
        <v>703</v>
      </c>
      <c r="F1346" t="s">
        <v>1631</v>
      </c>
      <c r="G1346" t="s">
        <v>2930</v>
      </c>
      <c r="H1346" t="s">
        <v>4125</v>
      </c>
      <c r="I1346" t="s">
        <v>5135</v>
      </c>
      <c r="J1346" t="s">
        <v>5320</v>
      </c>
      <c r="K1346">
        <v>11233</v>
      </c>
      <c r="L1346" t="s">
        <v>5355</v>
      </c>
      <c r="M1346" t="s">
        <v>5356</v>
      </c>
      <c r="N1346" t="s">
        <v>5647</v>
      </c>
      <c r="O1346" t="s">
        <v>6491</v>
      </c>
      <c r="P1346" t="s">
        <v>6530</v>
      </c>
      <c r="Q1346" t="s">
        <v>6534</v>
      </c>
      <c r="R1346" t="s">
        <v>6539</v>
      </c>
      <c r="U1346" t="s">
        <v>6557</v>
      </c>
      <c r="W1346" t="s">
        <v>236</v>
      </c>
      <c r="X1346">
        <v>0</v>
      </c>
      <c r="Y1346" t="s">
        <v>6605</v>
      </c>
      <c r="Z1346" t="s">
        <v>6611</v>
      </c>
      <c r="AA1346" t="s">
        <v>6633</v>
      </c>
      <c r="AB1346" t="s">
        <v>7816</v>
      </c>
      <c r="AC1346">
        <v>36952913</v>
      </c>
      <c r="AD1346" t="s">
        <v>10170</v>
      </c>
      <c r="AE1346">
        <v>2</v>
      </c>
      <c r="AG1346" t="s">
        <v>5406</v>
      </c>
      <c r="AH1346">
        <v>-1</v>
      </c>
      <c r="AI1346">
        <v>1</v>
      </c>
      <c r="AJ1346">
        <v>0</v>
      </c>
      <c r="AK1346">
        <v>0</v>
      </c>
      <c r="AN1346" t="s">
        <v>11050</v>
      </c>
      <c r="AO1346">
        <v>0</v>
      </c>
      <c r="AU1346">
        <v>38.45</v>
      </c>
      <c r="AV1346" t="s">
        <v>672</v>
      </c>
      <c r="AW1346" t="s">
        <v>11487</v>
      </c>
    </row>
    <row r="1347" spans="1:49">
      <c r="A1347" s="1">
        <f>HYPERLINK("https://cms.ls-nyc.org/matter/dynamic-profile/view/1865133","18-1865133")</f>
        <v>0</v>
      </c>
      <c r="B1347" t="s">
        <v>84</v>
      </c>
      <c r="C1347" t="s">
        <v>235</v>
      </c>
      <c r="D1347" t="s">
        <v>251</v>
      </c>
      <c r="F1347" t="s">
        <v>1632</v>
      </c>
      <c r="G1347" t="s">
        <v>2106</v>
      </c>
      <c r="H1347" t="s">
        <v>4126</v>
      </c>
      <c r="I1347" t="s">
        <v>4781</v>
      </c>
      <c r="J1347" t="s">
        <v>5320</v>
      </c>
      <c r="K1347">
        <v>11233</v>
      </c>
      <c r="L1347" t="s">
        <v>5355</v>
      </c>
      <c r="M1347" t="s">
        <v>5356</v>
      </c>
      <c r="N1347" t="s">
        <v>5648</v>
      </c>
      <c r="O1347" t="s">
        <v>6491</v>
      </c>
      <c r="P1347" t="s">
        <v>6530</v>
      </c>
      <c r="R1347" t="s">
        <v>6539</v>
      </c>
      <c r="U1347" t="s">
        <v>6557</v>
      </c>
      <c r="W1347" t="s">
        <v>298</v>
      </c>
      <c r="X1347">
        <v>173.52</v>
      </c>
      <c r="Y1347" t="s">
        <v>6605</v>
      </c>
      <c r="Z1347" t="s">
        <v>6611</v>
      </c>
      <c r="AB1347" t="s">
        <v>7817</v>
      </c>
      <c r="AD1347" t="s">
        <v>10171</v>
      </c>
      <c r="AE1347">
        <v>6</v>
      </c>
      <c r="AG1347" t="s">
        <v>5406</v>
      </c>
      <c r="AH1347">
        <v>42</v>
      </c>
      <c r="AI1347">
        <v>1</v>
      </c>
      <c r="AJ1347">
        <v>0</v>
      </c>
      <c r="AK1347">
        <v>0</v>
      </c>
      <c r="AN1347" t="s">
        <v>11050</v>
      </c>
      <c r="AO1347">
        <v>0</v>
      </c>
      <c r="AU1347">
        <v>65.2</v>
      </c>
      <c r="AV1347" t="s">
        <v>803</v>
      </c>
      <c r="AW1347" t="s">
        <v>11503</v>
      </c>
    </row>
    <row r="1348" spans="1:49">
      <c r="A1348" s="1">
        <f>HYPERLINK("https://cms.ls-nyc.org/matter/dynamic-profile/view/1867688","18-1867688")</f>
        <v>0</v>
      </c>
      <c r="B1348" t="s">
        <v>72</v>
      </c>
      <c r="C1348" t="s">
        <v>234</v>
      </c>
      <c r="D1348" t="s">
        <v>299</v>
      </c>
      <c r="E1348" t="s">
        <v>652</v>
      </c>
      <c r="F1348" t="s">
        <v>1299</v>
      </c>
      <c r="G1348" t="s">
        <v>2559</v>
      </c>
      <c r="H1348" t="s">
        <v>3897</v>
      </c>
      <c r="I1348" t="s">
        <v>4753</v>
      </c>
      <c r="J1348" t="s">
        <v>5320</v>
      </c>
      <c r="K1348">
        <v>11233</v>
      </c>
      <c r="L1348" t="s">
        <v>5355</v>
      </c>
      <c r="M1348" t="s">
        <v>5355</v>
      </c>
      <c r="N1348" t="s">
        <v>5649</v>
      </c>
      <c r="O1348" t="s">
        <v>6492</v>
      </c>
      <c r="P1348" t="s">
        <v>6530</v>
      </c>
      <c r="Q1348" t="s">
        <v>6534</v>
      </c>
      <c r="R1348" t="s">
        <v>6539</v>
      </c>
      <c r="S1348" t="s">
        <v>5355</v>
      </c>
      <c r="U1348" t="s">
        <v>6557</v>
      </c>
      <c r="W1348" t="s">
        <v>299</v>
      </c>
      <c r="X1348">
        <v>1800</v>
      </c>
      <c r="Y1348" t="s">
        <v>6605</v>
      </c>
      <c r="Z1348" t="s">
        <v>6622</v>
      </c>
      <c r="AA1348" t="s">
        <v>6637</v>
      </c>
      <c r="AB1348" t="s">
        <v>7252</v>
      </c>
      <c r="AC1348" t="s">
        <v>8853</v>
      </c>
      <c r="AD1348" t="s">
        <v>9637</v>
      </c>
      <c r="AE1348">
        <v>43</v>
      </c>
      <c r="AF1348" t="s">
        <v>11005</v>
      </c>
      <c r="AG1348" t="s">
        <v>5406</v>
      </c>
      <c r="AH1348">
        <v>1</v>
      </c>
      <c r="AI1348">
        <v>1</v>
      </c>
      <c r="AJ1348">
        <v>3</v>
      </c>
      <c r="AK1348">
        <v>0</v>
      </c>
      <c r="AM1348" t="s">
        <v>11045</v>
      </c>
      <c r="AN1348" t="s">
        <v>11050</v>
      </c>
      <c r="AO1348">
        <v>0</v>
      </c>
      <c r="AR1348" t="s">
        <v>11210</v>
      </c>
      <c r="AS1348" t="s">
        <v>11253</v>
      </c>
      <c r="AT1348" t="s">
        <v>11277</v>
      </c>
      <c r="AU1348">
        <v>9.65</v>
      </c>
      <c r="AV1348" t="s">
        <v>318</v>
      </c>
      <c r="AW1348" t="s">
        <v>77</v>
      </c>
    </row>
    <row r="1349" spans="1:49">
      <c r="A1349" s="1">
        <f>HYPERLINK("https://cms.ls-nyc.org/matter/dynamic-profile/view/1851961","17-1851961")</f>
        <v>0</v>
      </c>
      <c r="B1349" t="s">
        <v>183</v>
      </c>
      <c r="C1349" t="s">
        <v>235</v>
      </c>
      <c r="D1349" t="s">
        <v>344</v>
      </c>
      <c r="F1349" t="s">
        <v>1097</v>
      </c>
      <c r="G1349" t="s">
        <v>2931</v>
      </c>
      <c r="H1349" t="s">
        <v>3641</v>
      </c>
      <c r="I1349" t="s">
        <v>5136</v>
      </c>
      <c r="J1349" t="s">
        <v>5320</v>
      </c>
      <c r="K1349">
        <v>11233</v>
      </c>
      <c r="L1349" t="s">
        <v>5355</v>
      </c>
      <c r="M1349" t="s">
        <v>5355</v>
      </c>
      <c r="P1349" t="s">
        <v>6530</v>
      </c>
      <c r="R1349" t="s">
        <v>6539</v>
      </c>
      <c r="S1349" t="s">
        <v>5355</v>
      </c>
      <c r="U1349" t="s">
        <v>6557</v>
      </c>
      <c r="W1349" t="s">
        <v>236</v>
      </c>
      <c r="X1349">
        <v>776</v>
      </c>
      <c r="Y1349" t="s">
        <v>6605</v>
      </c>
      <c r="Z1349" t="s">
        <v>6621</v>
      </c>
      <c r="AB1349" t="s">
        <v>7818</v>
      </c>
      <c r="AC1349" t="s">
        <v>5406</v>
      </c>
      <c r="AD1349" t="s">
        <v>10172</v>
      </c>
      <c r="AE1349">
        <v>764</v>
      </c>
      <c r="AF1349" t="s">
        <v>11005</v>
      </c>
      <c r="AG1349" t="s">
        <v>5406</v>
      </c>
      <c r="AH1349">
        <v>29</v>
      </c>
      <c r="AI1349">
        <v>1</v>
      </c>
      <c r="AJ1349">
        <v>0</v>
      </c>
      <c r="AK1349">
        <v>0</v>
      </c>
      <c r="AN1349" t="s">
        <v>11050</v>
      </c>
      <c r="AO1349">
        <v>0</v>
      </c>
      <c r="AU1349">
        <v>22.2</v>
      </c>
      <c r="AV1349" t="s">
        <v>828</v>
      </c>
      <c r="AW1349" t="s">
        <v>11512</v>
      </c>
    </row>
    <row r="1350" spans="1:49">
      <c r="A1350" s="1">
        <f>HYPERLINK("https://cms.ls-nyc.org/matter/dynamic-profile/view/0798543","16-0798543")</f>
        <v>0</v>
      </c>
      <c r="B1350" t="s">
        <v>184</v>
      </c>
      <c r="C1350" t="s">
        <v>235</v>
      </c>
      <c r="D1350" t="s">
        <v>514</v>
      </c>
      <c r="F1350" t="s">
        <v>1007</v>
      </c>
      <c r="G1350" t="s">
        <v>2932</v>
      </c>
      <c r="H1350" t="s">
        <v>4127</v>
      </c>
      <c r="I1350" t="s">
        <v>5137</v>
      </c>
      <c r="J1350" t="s">
        <v>5320</v>
      </c>
      <c r="K1350">
        <v>11225</v>
      </c>
      <c r="L1350" t="s">
        <v>5355</v>
      </c>
      <c r="M1350" t="s">
        <v>5356</v>
      </c>
      <c r="N1350" t="s">
        <v>5650</v>
      </c>
      <c r="O1350" t="s">
        <v>6491</v>
      </c>
      <c r="P1350" t="s">
        <v>6530</v>
      </c>
      <c r="R1350" t="s">
        <v>6539</v>
      </c>
      <c r="T1350" t="s">
        <v>6544</v>
      </c>
      <c r="U1350" t="s">
        <v>6557</v>
      </c>
      <c r="W1350" t="s">
        <v>262</v>
      </c>
      <c r="X1350">
        <v>1500</v>
      </c>
      <c r="Y1350" t="s">
        <v>6605</v>
      </c>
      <c r="Z1350" t="s">
        <v>6612</v>
      </c>
      <c r="AB1350" t="s">
        <v>7819</v>
      </c>
      <c r="AD1350" t="s">
        <v>10173</v>
      </c>
      <c r="AE1350">
        <v>90</v>
      </c>
      <c r="AH1350">
        <v>5</v>
      </c>
      <c r="AI1350">
        <v>2</v>
      </c>
      <c r="AJ1350">
        <v>1</v>
      </c>
      <c r="AK1350">
        <v>0</v>
      </c>
      <c r="AN1350" t="s">
        <v>11050</v>
      </c>
      <c r="AO1350">
        <v>0</v>
      </c>
      <c r="AU1350">
        <v>430.45</v>
      </c>
      <c r="AV1350" t="s">
        <v>727</v>
      </c>
      <c r="AW1350" t="s">
        <v>11490</v>
      </c>
    </row>
    <row r="1351" spans="1:49">
      <c r="A1351" s="1">
        <f>HYPERLINK("https://cms.ls-nyc.org/matter/dynamic-profile/view/1843785","17-1843785")</f>
        <v>0</v>
      </c>
      <c r="B1351" t="s">
        <v>177</v>
      </c>
      <c r="C1351" t="s">
        <v>235</v>
      </c>
      <c r="D1351" t="s">
        <v>374</v>
      </c>
      <c r="F1351" t="s">
        <v>1633</v>
      </c>
      <c r="G1351" t="s">
        <v>2933</v>
      </c>
      <c r="H1351" t="s">
        <v>4128</v>
      </c>
      <c r="I1351" t="s">
        <v>4780</v>
      </c>
      <c r="J1351" t="s">
        <v>5320</v>
      </c>
      <c r="K1351">
        <v>11220</v>
      </c>
      <c r="L1351" t="s">
        <v>5355</v>
      </c>
      <c r="M1351" t="s">
        <v>5356</v>
      </c>
      <c r="N1351" t="s">
        <v>5651</v>
      </c>
      <c r="O1351" t="s">
        <v>6491</v>
      </c>
      <c r="P1351" t="s">
        <v>6530</v>
      </c>
      <c r="R1351" t="s">
        <v>6540</v>
      </c>
      <c r="S1351" t="s">
        <v>5357</v>
      </c>
      <c r="U1351" t="s">
        <v>6557</v>
      </c>
      <c r="W1351" t="s">
        <v>374</v>
      </c>
      <c r="X1351">
        <v>1200</v>
      </c>
      <c r="Y1351" t="s">
        <v>6605</v>
      </c>
      <c r="Z1351" t="s">
        <v>6610</v>
      </c>
      <c r="AB1351" t="s">
        <v>7820</v>
      </c>
      <c r="AD1351" t="s">
        <v>10174</v>
      </c>
      <c r="AE1351">
        <v>2</v>
      </c>
      <c r="AF1351" t="s">
        <v>8722</v>
      </c>
      <c r="AH1351">
        <v>1</v>
      </c>
      <c r="AI1351">
        <v>1</v>
      </c>
      <c r="AJ1351">
        <v>0</v>
      </c>
      <c r="AK1351">
        <v>0</v>
      </c>
      <c r="AL1351" t="s">
        <v>11028</v>
      </c>
      <c r="AN1351" t="s">
        <v>11051</v>
      </c>
      <c r="AO1351">
        <v>0</v>
      </c>
      <c r="AU1351">
        <v>14.4</v>
      </c>
      <c r="AV1351" t="s">
        <v>579</v>
      </c>
      <c r="AW1351" t="s">
        <v>11488</v>
      </c>
    </row>
    <row r="1352" spans="1:49">
      <c r="A1352" s="1">
        <f>HYPERLINK("https://cms.ls-nyc.org/matter/dynamic-profile/view/0808322","16-0808322")</f>
        <v>0</v>
      </c>
      <c r="B1352" t="s">
        <v>185</v>
      </c>
      <c r="C1352" t="s">
        <v>235</v>
      </c>
      <c r="D1352" t="s">
        <v>548</v>
      </c>
      <c r="F1352" t="s">
        <v>1634</v>
      </c>
      <c r="G1352" t="s">
        <v>2106</v>
      </c>
      <c r="H1352" t="s">
        <v>4129</v>
      </c>
      <c r="I1352">
        <v>5</v>
      </c>
      <c r="J1352" t="s">
        <v>5320</v>
      </c>
      <c r="K1352">
        <v>11216</v>
      </c>
      <c r="L1352" t="s">
        <v>5355</v>
      </c>
      <c r="M1352" t="s">
        <v>5356</v>
      </c>
      <c r="N1352" t="s">
        <v>5652</v>
      </c>
      <c r="O1352" t="s">
        <v>6491</v>
      </c>
      <c r="P1352" t="s">
        <v>6530</v>
      </c>
      <c r="R1352" t="s">
        <v>6539</v>
      </c>
      <c r="T1352" t="s">
        <v>6544</v>
      </c>
      <c r="U1352" t="s">
        <v>6557</v>
      </c>
      <c r="W1352" t="s">
        <v>262</v>
      </c>
      <c r="X1352">
        <v>877.6799999999999</v>
      </c>
      <c r="Y1352" t="s">
        <v>6605</v>
      </c>
      <c r="Z1352" t="s">
        <v>6612</v>
      </c>
      <c r="AB1352" t="s">
        <v>7821</v>
      </c>
      <c r="AD1352" t="s">
        <v>10175</v>
      </c>
      <c r="AE1352">
        <v>16</v>
      </c>
      <c r="AF1352" t="s">
        <v>11005</v>
      </c>
      <c r="AG1352" t="s">
        <v>5406</v>
      </c>
      <c r="AH1352">
        <v>14</v>
      </c>
      <c r="AI1352">
        <v>1</v>
      </c>
      <c r="AJ1352">
        <v>0</v>
      </c>
      <c r="AK1352">
        <v>0</v>
      </c>
      <c r="AN1352" t="s">
        <v>11050</v>
      </c>
      <c r="AO1352">
        <v>0</v>
      </c>
      <c r="AU1352">
        <v>109.65</v>
      </c>
      <c r="AV1352" t="s">
        <v>833</v>
      </c>
      <c r="AW1352" t="s">
        <v>11490</v>
      </c>
    </row>
    <row r="1353" spans="1:49">
      <c r="A1353" s="1">
        <f>HYPERLINK("https://cms.ls-nyc.org/matter/dynamic-profile/view/1861632","18-1861632")</f>
        <v>0</v>
      </c>
      <c r="B1353" t="s">
        <v>55</v>
      </c>
      <c r="C1353" t="s">
        <v>234</v>
      </c>
      <c r="D1353" t="s">
        <v>362</v>
      </c>
      <c r="E1353" t="s">
        <v>736</v>
      </c>
      <c r="F1353" t="s">
        <v>962</v>
      </c>
      <c r="G1353" t="s">
        <v>2934</v>
      </c>
      <c r="H1353" t="s">
        <v>4130</v>
      </c>
      <c r="I1353">
        <v>10</v>
      </c>
      <c r="J1353" t="s">
        <v>5320</v>
      </c>
      <c r="K1353">
        <v>11215</v>
      </c>
      <c r="L1353" t="s">
        <v>5355</v>
      </c>
      <c r="M1353" t="s">
        <v>5355</v>
      </c>
      <c r="N1353" t="s">
        <v>5653</v>
      </c>
      <c r="O1353" t="s">
        <v>6492</v>
      </c>
      <c r="P1353" t="s">
        <v>6530</v>
      </c>
      <c r="Q1353" t="s">
        <v>6534</v>
      </c>
      <c r="R1353" t="s">
        <v>6539</v>
      </c>
      <c r="S1353" t="s">
        <v>5357</v>
      </c>
      <c r="U1353" t="s">
        <v>6557</v>
      </c>
      <c r="W1353" t="s">
        <v>516</v>
      </c>
      <c r="X1353">
        <v>1268</v>
      </c>
      <c r="Y1353" t="s">
        <v>6605</v>
      </c>
      <c r="Z1353" t="s">
        <v>6615</v>
      </c>
      <c r="AA1353" t="s">
        <v>6644</v>
      </c>
      <c r="AB1353" t="s">
        <v>7822</v>
      </c>
      <c r="AC1353">
        <v>34336802</v>
      </c>
      <c r="AD1353" t="s">
        <v>10176</v>
      </c>
      <c r="AE1353">
        <v>16</v>
      </c>
      <c r="AF1353" t="s">
        <v>8722</v>
      </c>
      <c r="AH1353">
        <v>-1</v>
      </c>
      <c r="AI1353">
        <v>2</v>
      </c>
      <c r="AJ1353">
        <v>0</v>
      </c>
      <c r="AK1353">
        <v>0</v>
      </c>
      <c r="AL1353" t="s">
        <v>330</v>
      </c>
      <c r="AN1353" t="s">
        <v>11050</v>
      </c>
      <c r="AO1353">
        <v>0</v>
      </c>
      <c r="AR1353" t="s">
        <v>11210</v>
      </c>
      <c r="AS1353" t="s">
        <v>11253</v>
      </c>
      <c r="AT1353" t="s">
        <v>11278</v>
      </c>
      <c r="AU1353">
        <v>33.35</v>
      </c>
      <c r="AV1353" t="s">
        <v>401</v>
      </c>
      <c r="AW1353" t="s">
        <v>11490</v>
      </c>
    </row>
    <row r="1354" spans="1:49">
      <c r="A1354" s="1">
        <f>HYPERLINK("https://cms.ls-nyc.org/matter/dynamic-profile/view/1869188","18-1869188")</f>
        <v>0</v>
      </c>
      <c r="B1354" t="s">
        <v>186</v>
      </c>
      <c r="C1354" t="s">
        <v>234</v>
      </c>
      <c r="D1354" t="s">
        <v>375</v>
      </c>
      <c r="E1354" t="s">
        <v>665</v>
      </c>
      <c r="F1354" t="s">
        <v>1635</v>
      </c>
      <c r="G1354" t="s">
        <v>2935</v>
      </c>
      <c r="H1354" t="s">
        <v>4131</v>
      </c>
      <c r="I1354" t="s">
        <v>4817</v>
      </c>
      <c r="J1354" t="s">
        <v>5320</v>
      </c>
      <c r="K1354">
        <v>11208</v>
      </c>
      <c r="L1354" t="s">
        <v>5355</v>
      </c>
      <c r="M1354" t="s">
        <v>5355</v>
      </c>
      <c r="O1354" t="s">
        <v>6516</v>
      </c>
      <c r="P1354" t="s">
        <v>6530</v>
      </c>
      <c r="Q1354" t="s">
        <v>6533</v>
      </c>
      <c r="R1354" t="s">
        <v>6539</v>
      </c>
      <c r="S1354" t="s">
        <v>5357</v>
      </c>
      <c r="U1354" t="s">
        <v>6557</v>
      </c>
      <c r="W1354" t="s">
        <v>364</v>
      </c>
      <c r="X1354">
        <v>1254</v>
      </c>
      <c r="Y1354" t="s">
        <v>6605</v>
      </c>
      <c r="Z1354" t="s">
        <v>6614</v>
      </c>
      <c r="AA1354" t="s">
        <v>6631</v>
      </c>
      <c r="AB1354" t="s">
        <v>7823</v>
      </c>
      <c r="AC1354" t="s">
        <v>8854</v>
      </c>
      <c r="AD1354" t="s">
        <v>10177</v>
      </c>
      <c r="AE1354">
        <v>3</v>
      </c>
      <c r="AF1354" t="s">
        <v>11004</v>
      </c>
      <c r="AG1354" t="s">
        <v>11020</v>
      </c>
      <c r="AH1354">
        <v>10</v>
      </c>
      <c r="AI1354">
        <v>2</v>
      </c>
      <c r="AJ1354">
        <v>1</v>
      </c>
      <c r="AK1354">
        <v>0</v>
      </c>
      <c r="AN1354" t="s">
        <v>11050</v>
      </c>
      <c r="AO1354">
        <v>0</v>
      </c>
      <c r="AP1354" t="s">
        <v>11150</v>
      </c>
      <c r="AU1354">
        <v>14.45</v>
      </c>
      <c r="AV1354" t="s">
        <v>11456</v>
      </c>
      <c r="AW1354" t="s">
        <v>11512</v>
      </c>
    </row>
    <row r="1355" spans="1:49">
      <c r="A1355" s="1">
        <f>HYPERLINK("https://cms.ls-nyc.org/matter/dynamic-profile/view/1849905","17-1849905")</f>
        <v>0</v>
      </c>
      <c r="B1355" t="s">
        <v>100</v>
      </c>
      <c r="C1355" t="s">
        <v>235</v>
      </c>
      <c r="D1355" t="s">
        <v>500</v>
      </c>
      <c r="F1355" t="s">
        <v>1636</v>
      </c>
      <c r="G1355" t="s">
        <v>2936</v>
      </c>
      <c r="H1355" t="s">
        <v>4132</v>
      </c>
      <c r="I1355" t="s">
        <v>4781</v>
      </c>
      <c r="J1355" t="s">
        <v>5320</v>
      </c>
      <c r="K1355">
        <v>11208</v>
      </c>
      <c r="L1355" t="s">
        <v>5355</v>
      </c>
      <c r="M1355" t="s">
        <v>5356</v>
      </c>
      <c r="O1355" t="s">
        <v>6491</v>
      </c>
      <c r="P1355" t="s">
        <v>6530</v>
      </c>
      <c r="R1355" t="s">
        <v>6539</v>
      </c>
      <c r="S1355" t="s">
        <v>5355</v>
      </c>
      <c r="U1355" t="s">
        <v>6557</v>
      </c>
      <c r="W1355" t="s">
        <v>500</v>
      </c>
      <c r="X1355">
        <v>0</v>
      </c>
      <c r="Y1355" t="s">
        <v>6605</v>
      </c>
      <c r="Z1355" t="s">
        <v>6613</v>
      </c>
      <c r="AB1355" t="s">
        <v>7824</v>
      </c>
      <c r="AE1355">
        <v>5</v>
      </c>
      <c r="AF1355" t="s">
        <v>11004</v>
      </c>
      <c r="AG1355" t="s">
        <v>5406</v>
      </c>
      <c r="AH1355">
        <v>5</v>
      </c>
      <c r="AI1355">
        <v>1</v>
      </c>
      <c r="AJ1355">
        <v>0</v>
      </c>
      <c r="AK1355">
        <v>0</v>
      </c>
      <c r="AN1355" t="s">
        <v>11050</v>
      </c>
      <c r="AO1355">
        <v>0</v>
      </c>
      <c r="AU1355">
        <v>23.7</v>
      </c>
      <c r="AV1355" t="s">
        <v>766</v>
      </c>
      <c r="AW1355" t="s">
        <v>228</v>
      </c>
    </row>
    <row r="1356" spans="1:49">
      <c r="A1356" s="1">
        <f>HYPERLINK("https://cms.ls-nyc.org/matter/dynamic-profile/view/1856449","18-1856449")</f>
        <v>0</v>
      </c>
      <c r="B1356" t="s">
        <v>54</v>
      </c>
      <c r="C1356" t="s">
        <v>234</v>
      </c>
      <c r="D1356" t="s">
        <v>458</v>
      </c>
      <c r="E1356" t="s">
        <v>673</v>
      </c>
      <c r="F1356" t="s">
        <v>1637</v>
      </c>
      <c r="G1356" t="s">
        <v>1643</v>
      </c>
      <c r="H1356" t="s">
        <v>4133</v>
      </c>
      <c r="I1356">
        <v>7</v>
      </c>
      <c r="J1356" t="s">
        <v>5320</v>
      </c>
      <c r="K1356">
        <v>11208</v>
      </c>
      <c r="L1356" t="s">
        <v>5355</v>
      </c>
      <c r="M1356" t="s">
        <v>5355</v>
      </c>
      <c r="N1356" t="s">
        <v>5654</v>
      </c>
      <c r="O1356" t="s">
        <v>6491</v>
      </c>
      <c r="P1356" t="s">
        <v>6530</v>
      </c>
      <c r="Q1356" t="s">
        <v>6538</v>
      </c>
      <c r="R1356" t="s">
        <v>6539</v>
      </c>
      <c r="S1356" t="s">
        <v>5355</v>
      </c>
      <c r="U1356" t="s">
        <v>6557</v>
      </c>
      <c r="W1356" t="s">
        <v>6580</v>
      </c>
      <c r="X1356">
        <v>600</v>
      </c>
      <c r="Y1356" t="s">
        <v>6605</v>
      </c>
      <c r="Z1356" t="s">
        <v>6622</v>
      </c>
      <c r="AA1356" t="s">
        <v>6637</v>
      </c>
      <c r="AB1356" t="s">
        <v>7825</v>
      </c>
      <c r="AD1356" t="s">
        <v>10178</v>
      </c>
      <c r="AE1356">
        <v>7</v>
      </c>
      <c r="AF1356" t="s">
        <v>11004</v>
      </c>
      <c r="AG1356" t="s">
        <v>5406</v>
      </c>
      <c r="AH1356">
        <v>2</v>
      </c>
      <c r="AI1356">
        <v>1</v>
      </c>
      <c r="AJ1356">
        <v>0</v>
      </c>
      <c r="AK1356">
        <v>0</v>
      </c>
      <c r="AN1356" t="s">
        <v>11050</v>
      </c>
      <c r="AO1356">
        <v>0</v>
      </c>
      <c r="AQ1356" t="s">
        <v>11192</v>
      </c>
      <c r="AR1356" t="s">
        <v>11210</v>
      </c>
      <c r="AS1356" t="s">
        <v>11253</v>
      </c>
      <c r="AT1356" t="s">
        <v>11279</v>
      </c>
      <c r="AU1356">
        <v>0.3</v>
      </c>
      <c r="AV1356" t="s">
        <v>316</v>
      </c>
      <c r="AW1356" t="s">
        <v>11512</v>
      </c>
    </row>
    <row r="1357" spans="1:49">
      <c r="A1357" s="1">
        <f>HYPERLINK("https://cms.ls-nyc.org/matter/dynamic-profile/view/1858044","18-1858044")</f>
        <v>0</v>
      </c>
      <c r="B1357" t="s">
        <v>187</v>
      </c>
      <c r="C1357" t="s">
        <v>234</v>
      </c>
      <c r="D1357" t="s">
        <v>272</v>
      </c>
      <c r="E1357" t="s">
        <v>684</v>
      </c>
      <c r="F1357" t="s">
        <v>1638</v>
      </c>
      <c r="G1357" t="s">
        <v>2105</v>
      </c>
      <c r="H1357" t="s">
        <v>4134</v>
      </c>
      <c r="I1357" t="s">
        <v>4743</v>
      </c>
      <c r="J1357" t="s">
        <v>5320</v>
      </c>
      <c r="K1357">
        <v>11208</v>
      </c>
      <c r="L1357" t="s">
        <v>5355</v>
      </c>
      <c r="M1357" t="s">
        <v>5355</v>
      </c>
      <c r="N1357" t="s">
        <v>5655</v>
      </c>
      <c r="O1357" t="s">
        <v>6491</v>
      </c>
      <c r="P1357" t="s">
        <v>6530</v>
      </c>
      <c r="Q1357" t="s">
        <v>6535</v>
      </c>
      <c r="R1357" t="s">
        <v>6539</v>
      </c>
      <c r="S1357" t="s">
        <v>5357</v>
      </c>
      <c r="U1357" t="s">
        <v>6557</v>
      </c>
      <c r="W1357" t="s">
        <v>467</v>
      </c>
      <c r="X1357">
        <v>1300</v>
      </c>
      <c r="Y1357" t="s">
        <v>6605</v>
      </c>
      <c r="Z1357" t="s">
        <v>6611</v>
      </c>
      <c r="AA1357" t="s">
        <v>6633</v>
      </c>
      <c r="AB1357" t="s">
        <v>7826</v>
      </c>
      <c r="AD1357" t="s">
        <v>10179</v>
      </c>
      <c r="AE1357">
        <v>4</v>
      </c>
      <c r="AG1357" t="s">
        <v>11020</v>
      </c>
      <c r="AH1357">
        <v>13</v>
      </c>
      <c r="AI1357">
        <v>1</v>
      </c>
      <c r="AJ1357">
        <v>0</v>
      </c>
      <c r="AK1357">
        <v>0</v>
      </c>
      <c r="AN1357" t="s">
        <v>11050</v>
      </c>
      <c r="AO1357">
        <v>0</v>
      </c>
      <c r="AU1357">
        <v>21.85</v>
      </c>
      <c r="AV1357" t="s">
        <v>707</v>
      </c>
      <c r="AW1357" t="s">
        <v>11487</v>
      </c>
    </row>
    <row r="1358" spans="1:49">
      <c r="A1358" s="1">
        <f>HYPERLINK("https://cms.ls-nyc.org/matter/dynamic-profile/view/1845274","17-1845274")</f>
        <v>0</v>
      </c>
      <c r="B1358" t="s">
        <v>75</v>
      </c>
      <c r="C1358" t="s">
        <v>235</v>
      </c>
      <c r="D1358" t="s">
        <v>417</v>
      </c>
      <c r="F1358" t="s">
        <v>1360</v>
      </c>
      <c r="G1358" t="s">
        <v>2440</v>
      </c>
      <c r="H1358" t="s">
        <v>4135</v>
      </c>
      <c r="I1358" t="s">
        <v>4930</v>
      </c>
      <c r="J1358" t="s">
        <v>5320</v>
      </c>
      <c r="K1358">
        <v>11208</v>
      </c>
      <c r="L1358" t="s">
        <v>5355</v>
      </c>
      <c r="M1358" t="s">
        <v>5356</v>
      </c>
      <c r="O1358" t="s">
        <v>6494</v>
      </c>
      <c r="P1358" t="s">
        <v>6530</v>
      </c>
      <c r="R1358" t="s">
        <v>6539</v>
      </c>
      <c r="S1358" t="s">
        <v>5355</v>
      </c>
      <c r="U1358" t="s">
        <v>6557</v>
      </c>
      <c r="W1358" t="s">
        <v>6578</v>
      </c>
      <c r="X1358">
        <v>0</v>
      </c>
      <c r="Y1358" t="s">
        <v>6605</v>
      </c>
      <c r="Z1358" t="s">
        <v>6623</v>
      </c>
      <c r="AB1358" t="s">
        <v>7277</v>
      </c>
      <c r="AE1358">
        <v>16</v>
      </c>
      <c r="AF1358" t="s">
        <v>11005</v>
      </c>
      <c r="AH1358">
        <v>0</v>
      </c>
      <c r="AI1358">
        <v>1</v>
      </c>
      <c r="AJ1358">
        <v>0</v>
      </c>
      <c r="AK1358">
        <v>0</v>
      </c>
      <c r="AN1358" t="s">
        <v>11050</v>
      </c>
      <c r="AO1358">
        <v>0</v>
      </c>
      <c r="AU1358">
        <v>1.63</v>
      </c>
      <c r="AV1358" t="s">
        <v>327</v>
      </c>
      <c r="AW1358" t="s">
        <v>11512</v>
      </c>
    </row>
    <row r="1359" spans="1:49">
      <c r="A1359" s="1">
        <f>HYPERLINK("https://cms.ls-nyc.org/matter/dynamic-profile/view/1856466","18-1856466")</f>
        <v>0</v>
      </c>
      <c r="B1359" t="s">
        <v>54</v>
      </c>
      <c r="C1359" t="s">
        <v>234</v>
      </c>
      <c r="D1359" t="s">
        <v>458</v>
      </c>
      <c r="E1359" t="s">
        <v>784</v>
      </c>
      <c r="F1359" t="s">
        <v>1637</v>
      </c>
      <c r="G1359" t="s">
        <v>1643</v>
      </c>
      <c r="H1359" t="s">
        <v>4133</v>
      </c>
      <c r="I1359">
        <v>7</v>
      </c>
      <c r="J1359" t="s">
        <v>5320</v>
      </c>
      <c r="K1359">
        <v>11208</v>
      </c>
      <c r="L1359" t="s">
        <v>5355</v>
      </c>
      <c r="M1359" t="s">
        <v>5355</v>
      </c>
      <c r="N1359" t="s">
        <v>5656</v>
      </c>
      <c r="O1359" t="s">
        <v>6494</v>
      </c>
      <c r="P1359" t="s">
        <v>6530</v>
      </c>
      <c r="Q1359" t="s">
        <v>6534</v>
      </c>
      <c r="R1359" t="s">
        <v>6539</v>
      </c>
      <c r="S1359" t="s">
        <v>5355</v>
      </c>
      <c r="U1359" t="s">
        <v>6557</v>
      </c>
      <c r="W1359" t="s">
        <v>458</v>
      </c>
      <c r="X1359">
        <v>600</v>
      </c>
      <c r="Y1359" t="s">
        <v>6605</v>
      </c>
      <c r="Z1359" t="s">
        <v>6622</v>
      </c>
      <c r="AA1359" t="s">
        <v>6631</v>
      </c>
      <c r="AB1359" t="s">
        <v>7825</v>
      </c>
      <c r="AD1359" t="s">
        <v>10178</v>
      </c>
      <c r="AE1359">
        <v>7</v>
      </c>
      <c r="AF1359" t="s">
        <v>11004</v>
      </c>
      <c r="AG1359" t="s">
        <v>5406</v>
      </c>
      <c r="AH1359">
        <v>2</v>
      </c>
      <c r="AI1359">
        <v>1</v>
      </c>
      <c r="AJ1359">
        <v>0</v>
      </c>
      <c r="AK1359">
        <v>0</v>
      </c>
      <c r="AN1359" t="s">
        <v>11050</v>
      </c>
      <c r="AO1359">
        <v>0</v>
      </c>
      <c r="AR1359" t="s">
        <v>11215</v>
      </c>
      <c r="AU1359">
        <v>0.2</v>
      </c>
      <c r="AV1359" t="s">
        <v>707</v>
      </c>
      <c r="AW1359" t="s">
        <v>11512</v>
      </c>
    </row>
    <row r="1360" spans="1:49">
      <c r="A1360" s="1">
        <f>HYPERLINK("https://cms.ls-nyc.org/matter/dynamic-profile/view/1843182","17-1843182")</f>
        <v>0</v>
      </c>
      <c r="B1360" t="s">
        <v>128</v>
      </c>
      <c r="C1360" t="s">
        <v>234</v>
      </c>
      <c r="D1360" t="s">
        <v>429</v>
      </c>
      <c r="E1360" t="s">
        <v>740</v>
      </c>
      <c r="F1360" t="s">
        <v>1639</v>
      </c>
      <c r="G1360" t="s">
        <v>2599</v>
      </c>
      <c r="H1360" t="s">
        <v>4136</v>
      </c>
      <c r="I1360" t="s">
        <v>4791</v>
      </c>
      <c r="J1360" t="s">
        <v>5320</v>
      </c>
      <c r="K1360">
        <v>11208</v>
      </c>
      <c r="L1360" t="s">
        <v>5355</v>
      </c>
      <c r="M1360" t="s">
        <v>5355</v>
      </c>
      <c r="N1360" t="s">
        <v>5657</v>
      </c>
      <c r="O1360" t="s">
        <v>6492</v>
      </c>
      <c r="P1360" t="s">
        <v>6530</v>
      </c>
      <c r="Q1360" t="s">
        <v>6535</v>
      </c>
      <c r="R1360" t="s">
        <v>6539</v>
      </c>
      <c r="S1360" t="s">
        <v>5357</v>
      </c>
      <c r="U1360" t="s">
        <v>6557</v>
      </c>
      <c r="W1360" t="s">
        <v>419</v>
      </c>
      <c r="X1360">
        <v>1350</v>
      </c>
      <c r="Y1360" t="s">
        <v>6605</v>
      </c>
      <c r="Z1360" t="s">
        <v>6611</v>
      </c>
      <c r="AA1360" t="s">
        <v>6637</v>
      </c>
      <c r="AB1360" t="s">
        <v>7827</v>
      </c>
      <c r="AC1360" t="s">
        <v>8855</v>
      </c>
      <c r="AD1360" t="s">
        <v>10180</v>
      </c>
      <c r="AE1360">
        <v>30</v>
      </c>
      <c r="AG1360" t="s">
        <v>5406</v>
      </c>
      <c r="AH1360">
        <v>0</v>
      </c>
      <c r="AI1360">
        <v>1</v>
      </c>
      <c r="AJ1360">
        <v>2</v>
      </c>
      <c r="AK1360">
        <v>0</v>
      </c>
      <c r="AN1360" t="s">
        <v>11050</v>
      </c>
      <c r="AO1360">
        <v>0</v>
      </c>
      <c r="AR1360" t="s">
        <v>11210</v>
      </c>
      <c r="AS1360" t="s">
        <v>11253</v>
      </c>
      <c r="AT1360" t="s">
        <v>11280</v>
      </c>
      <c r="AU1360">
        <v>50.05</v>
      </c>
      <c r="AV1360" t="s">
        <v>394</v>
      </c>
      <c r="AW1360" t="s">
        <v>11487</v>
      </c>
    </row>
    <row r="1361" spans="1:49">
      <c r="A1361" s="1">
        <f>HYPERLINK("https://cms.ls-nyc.org/matter/dynamic-profile/view/1852535","17-1852535")</f>
        <v>0</v>
      </c>
      <c r="B1361" t="s">
        <v>101</v>
      </c>
      <c r="C1361" t="s">
        <v>235</v>
      </c>
      <c r="D1361" t="s">
        <v>549</v>
      </c>
      <c r="F1361" t="s">
        <v>1640</v>
      </c>
      <c r="G1361" t="s">
        <v>2937</v>
      </c>
      <c r="H1361" t="s">
        <v>4137</v>
      </c>
      <c r="J1361" t="s">
        <v>5320</v>
      </c>
      <c r="K1361">
        <v>11208</v>
      </c>
      <c r="L1361" t="s">
        <v>5355</v>
      </c>
      <c r="M1361" t="s">
        <v>5355</v>
      </c>
      <c r="N1361" t="s">
        <v>5658</v>
      </c>
      <c r="O1361" t="s">
        <v>6492</v>
      </c>
      <c r="P1361" t="s">
        <v>6530</v>
      </c>
      <c r="R1361" t="s">
        <v>6539</v>
      </c>
      <c r="S1361" t="s">
        <v>5355</v>
      </c>
      <c r="U1361" t="s">
        <v>6557</v>
      </c>
      <c r="W1361" t="s">
        <v>262</v>
      </c>
      <c r="X1361">
        <v>1272</v>
      </c>
      <c r="Y1361" t="s">
        <v>6605</v>
      </c>
      <c r="Z1361" t="s">
        <v>6614</v>
      </c>
      <c r="AB1361" t="s">
        <v>7828</v>
      </c>
      <c r="AD1361" t="s">
        <v>10181</v>
      </c>
      <c r="AE1361">
        <v>19</v>
      </c>
      <c r="AF1361" t="s">
        <v>11005</v>
      </c>
      <c r="AH1361">
        <v>3</v>
      </c>
      <c r="AI1361">
        <v>1</v>
      </c>
      <c r="AJ1361">
        <v>0</v>
      </c>
      <c r="AK1361">
        <v>0</v>
      </c>
      <c r="AN1361" t="s">
        <v>11050</v>
      </c>
      <c r="AO1361">
        <v>0</v>
      </c>
      <c r="AU1361">
        <v>34.25</v>
      </c>
      <c r="AV1361" t="s">
        <v>401</v>
      </c>
      <c r="AW1361" t="s">
        <v>11489</v>
      </c>
    </row>
    <row r="1362" spans="1:49">
      <c r="A1362" s="1">
        <f>HYPERLINK("https://cms.ls-nyc.org/matter/dynamic-profile/view/1856591","18-1856591")</f>
        <v>0</v>
      </c>
      <c r="B1362" t="s">
        <v>109</v>
      </c>
      <c r="C1362" t="s">
        <v>234</v>
      </c>
      <c r="D1362" t="s">
        <v>389</v>
      </c>
      <c r="E1362" t="s">
        <v>785</v>
      </c>
      <c r="F1362" t="s">
        <v>1247</v>
      </c>
      <c r="G1362" t="s">
        <v>2938</v>
      </c>
      <c r="H1362" t="s">
        <v>4138</v>
      </c>
      <c r="I1362" t="s">
        <v>4788</v>
      </c>
      <c r="J1362" t="s">
        <v>5320</v>
      </c>
      <c r="K1362">
        <v>11208</v>
      </c>
      <c r="L1362" t="s">
        <v>5355</v>
      </c>
      <c r="M1362" t="s">
        <v>5356</v>
      </c>
      <c r="N1362" t="s">
        <v>5659</v>
      </c>
      <c r="O1362" t="s">
        <v>6492</v>
      </c>
      <c r="P1362" t="s">
        <v>6530</v>
      </c>
      <c r="Q1362" t="s">
        <v>6535</v>
      </c>
      <c r="R1362" t="s">
        <v>6539</v>
      </c>
      <c r="S1362" t="s">
        <v>5357</v>
      </c>
      <c r="U1362" t="s">
        <v>6557</v>
      </c>
      <c r="W1362" t="s">
        <v>297</v>
      </c>
      <c r="X1362">
        <v>701.15</v>
      </c>
      <c r="Y1362" t="s">
        <v>6605</v>
      </c>
      <c r="Z1362" t="s">
        <v>6611</v>
      </c>
      <c r="AA1362" t="s">
        <v>6637</v>
      </c>
      <c r="AB1362" t="s">
        <v>7829</v>
      </c>
      <c r="AD1362" t="s">
        <v>10182</v>
      </c>
      <c r="AE1362">
        <v>64</v>
      </c>
      <c r="AF1362" t="s">
        <v>11005</v>
      </c>
      <c r="AH1362">
        <v>0</v>
      </c>
      <c r="AI1362">
        <v>1</v>
      </c>
      <c r="AJ1362">
        <v>0</v>
      </c>
      <c r="AK1362">
        <v>0</v>
      </c>
      <c r="AN1362" t="s">
        <v>11050</v>
      </c>
      <c r="AO1362">
        <v>0</v>
      </c>
      <c r="AU1362">
        <v>45.25</v>
      </c>
      <c r="AV1362" t="s">
        <v>386</v>
      </c>
      <c r="AW1362" t="s">
        <v>11487</v>
      </c>
    </row>
    <row r="1363" spans="1:49">
      <c r="A1363" s="1">
        <f>HYPERLINK("https://cms.ls-nyc.org/matter/dynamic-profile/view/1838614","17-1838614")</f>
        <v>0</v>
      </c>
      <c r="B1363" t="s">
        <v>128</v>
      </c>
      <c r="C1363" t="s">
        <v>235</v>
      </c>
      <c r="D1363" t="s">
        <v>501</v>
      </c>
      <c r="F1363" t="s">
        <v>1641</v>
      </c>
      <c r="G1363" t="s">
        <v>2939</v>
      </c>
      <c r="H1363" t="s">
        <v>4139</v>
      </c>
      <c r="J1363" t="s">
        <v>5320</v>
      </c>
      <c r="K1363">
        <v>11207</v>
      </c>
      <c r="L1363" t="s">
        <v>5355</v>
      </c>
      <c r="M1363" t="s">
        <v>5355</v>
      </c>
      <c r="N1363" t="s">
        <v>5660</v>
      </c>
      <c r="O1363" t="s">
        <v>6491</v>
      </c>
      <c r="P1363" t="s">
        <v>6530</v>
      </c>
      <c r="R1363" t="s">
        <v>6539</v>
      </c>
      <c r="S1363" t="s">
        <v>5355</v>
      </c>
      <c r="U1363" t="s">
        <v>6557</v>
      </c>
      <c r="W1363" t="s">
        <v>519</v>
      </c>
      <c r="X1363">
        <v>600</v>
      </c>
      <c r="Y1363" t="s">
        <v>6605</v>
      </c>
      <c r="AB1363" t="s">
        <v>7830</v>
      </c>
      <c r="AD1363" t="s">
        <v>10183</v>
      </c>
      <c r="AE1363">
        <v>7</v>
      </c>
      <c r="AF1363" t="s">
        <v>11004</v>
      </c>
      <c r="AH1363">
        <v>0</v>
      </c>
      <c r="AI1363">
        <v>1</v>
      </c>
      <c r="AJ1363">
        <v>0</v>
      </c>
      <c r="AK1363">
        <v>0</v>
      </c>
      <c r="AN1363" t="s">
        <v>11050</v>
      </c>
      <c r="AO1363">
        <v>0</v>
      </c>
      <c r="AP1363" t="s">
        <v>11151</v>
      </c>
      <c r="AU1363">
        <v>40.4</v>
      </c>
      <c r="AV1363" t="s">
        <v>749</v>
      </c>
      <c r="AW1363" t="s">
        <v>128</v>
      </c>
    </row>
    <row r="1364" spans="1:49">
      <c r="A1364" s="1">
        <f>HYPERLINK("https://cms.ls-nyc.org/matter/dynamic-profile/view/1857929","18-1857929")</f>
        <v>0</v>
      </c>
      <c r="B1364" t="s">
        <v>136</v>
      </c>
      <c r="C1364" t="s">
        <v>235</v>
      </c>
      <c r="D1364" t="s">
        <v>262</v>
      </c>
      <c r="F1364" t="s">
        <v>1642</v>
      </c>
      <c r="G1364" t="s">
        <v>2940</v>
      </c>
      <c r="H1364" t="s">
        <v>4140</v>
      </c>
      <c r="I1364">
        <v>2</v>
      </c>
      <c r="J1364" t="s">
        <v>5320</v>
      </c>
      <c r="K1364">
        <v>11207</v>
      </c>
      <c r="L1364" t="s">
        <v>5355</v>
      </c>
      <c r="M1364" t="s">
        <v>5356</v>
      </c>
      <c r="N1364" t="s">
        <v>5661</v>
      </c>
      <c r="O1364" t="s">
        <v>6491</v>
      </c>
      <c r="P1364" t="s">
        <v>6530</v>
      </c>
      <c r="R1364" t="s">
        <v>6539</v>
      </c>
      <c r="S1364" t="s">
        <v>5355</v>
      </c>
      <c r="U1364" t="s">
        <v>6557</v>
      </c>
      <c r="W1364" t="s">
        <v>262</v>
      </c>
      <c r="X1364">
        <v>1250</v>
      </c>
      <c r="Y1364" t="s">
        <v>6605</v>
      </c>
      <c r="Z1364" t="s">
        <v>6613</v>
      </c>
      <c r="AB1364" t="s">
        <v>7831</v>
      </c>
      <c r="AC1364" t="s">
        <v>8762</v>
      </c>
      <c r="AD1364" t="s">
        <v>10184</v>
      </c>
      <c r="AE1364">
        <v>4</v>
      </c>
      <c r="AF1364" t="s">
        <v>8722</v>
      </c>
      <c r="AG1364" t="s">
        <v>5406</v>
      </c>
      <c r="AH1364">
        <v>10</v>
      </c>
      <c r="AI1364">
        <v>1</v>
      </c>
      <c r="AJ1364">
        <v>0</v>
      </c>
      <c r="AK1364">
        <v>0</v>
      </c>
      <c r="AN1364" t="s">
        <v>11050</v>
      </c>
      <c r="AO1364">
        <v>0</v>
      </c>
      <c r="AU1364">
        <v>15.17</v>
      </c>
      <c r="AV1364" t="s">
        <v>306</v>
      </c>
      <c r="AW1364" t="s">
        <v>11512</v>
      </c>
    </row>
    <row r="1365" spans="1:49">
      <c r="A1365" s="1">
        <f>HYPERLINK("https://cms.ls-nyc.org/matter/dynamic-profile/view/1857353","18-1857353")</f>
        <v>0</v>
      </c>
      <c r="B1365" t="s">
        <v>99</v>
      </c>
      <c r="C1365" t="s">
        <v>234</v>
      </c>
      <c r="D1365" t="s">
        <v>343</v>
      </c>
      <c r="E1365" t="s">
        <v>774</v>
      </c>
      <c r="F1365" t="s">
        <v>1338</v>
      </c>
      <c r="G1365" t="s">
        <v>2893</v>
      </c>
      <c r="H1365" t="s">
        <v>4141</v>
      </c>
      <c r="I1365" t="s">
        <v>4750</v>
      </c>
      <c r="J1365" t="s">
        <v>5320</v>
      </c>
      <c r="K1365">
        <v>11207</v>
      </c>
      <c r="L1365" t="s">
        <v>5355</v>
      </c>
      <c r="M1365" t="s">
        <v>5356</v>
      </c>
      <c r="N1365" t="s">
        <v>5662</v>
      </c>
      <c r="O1365" t="s">
        <v>6492</v>
      </c>
      <c r="P1365" t="s">
        <v>6530</v>
      </c>
      <c r="Q1365" t="s">
        <v>6534</v>
      </c>
      <c r="R1365" t="s">
        <v>6539</v>
      </c>
      <c r="S1365" t="s">
        <v>5357</v>
      </c>
      <c r="U1365" t="s">
        <v>6557</v>
      </c>
      <c r="W1365" t="s">
        <v>397</v>
      </c>
      <c r="X1365">
        <v>0</v>
      </c>
      <c r="Y1365" t="s">
        <v>6605</v>
      </c>
      <c r="Z1365" t="s">
        <v>6611</v>
      </c>
      <c r="AA1365" t="s">
        <v>6651</v>
      </c>
      <c r="AB1365" t="s">
        <v>7832</v>
      </c>
      <c r="AC1365" t="s">
        <v>8856</v>
      </c>
      <c r="AD1365" t="s">
        <v>10185</v>
      </c>
      <c r="AE1365">
        <v>54</v>
      </c>
      <c r="AG1365" t="s">
        <v>11020</v>
      </c>
      <c r="AH1365">
        <v>9</v>
      </c>
      <c r="AI1365">
        <v>1</v>
      </c>
      <c r="AJ1365">
        <v>0</v>
      </c>
      <c r="AK1365">
        <v>0</v>
      </c>
      <c r="AN1365" t="s">
        <v>11050</v>
      </c>
      <c r="AO1365">
        <v>0</v>
      </c>
      <c r="AU1365">
        <v>20.1</v>
      </c>
      <c r="AV1365" t="s">
        <v>774</v>
      </c>
      <c r="AW1365" t="s">
        <v>11487</v>
      </c>
    </row>
    <row r="1366" spans="1:49">
      <c r="A1366" s="1">
        <f>HYPERLINK("https://cms.ls-nyc.org/matter/dynamic-profile/view/1845790","17-1845790")</f>
        <v>0</v>
      </c>
      <c r="B1366" t="s">
        <v>109</v>
      </c>
      <c r="C1366" t="s">
        <v>234</v>
      </c>
      <c r="D1366" t="s">
        <v>550</v>
      </c>
      <c r="E1366" t="s">
        <v>709</v>
      </c>
      <c r="F1366" t="s">
        <v>1040</v>
      </c>
      <c r="G1366" t="s">
        <v>2941</v>
      </c>
      <c r="H1366" t="s">
        <v>4142</v>
      </c>
      <c r="I1366" t="s">
        <v>4758</v>
      </c>
      <c r="J1366" t="s">
        <v>5320</v>
      </c>
      <c r="K1366">
        <v>11207</v>
      </c>
      <c r="L1366" t="s">
        <v>5355</v>
      </c>
      <c r="M1366" t="s">
        <v>5355</v>
      </c>
      <c r="P1366" t="s">
        <v>6530</v>
      </c>
      <c r="Q1366" t="s">
        <v>6534</v>
      </c>
      <c r="R1366" t="s">
        <v>6539</v>
      </c>
      <c r="S1366" t="s">
        <v>5357</v>
      </c>
      <c r="U1366" t="s">
        <v>6557</v>
      </c>
      <c r="W1366" t="s">
        <v>419</v>
      </c>
      <c r="X1366">
        <v>2020</v>
      </c>
      <c r="Y1366" t="s">
        <v>6605</v>
      </c>
      <c r="AA1366" t="s">
        <v>6637</v>
      </c>
      <c r="AB1366" t="s">
        <v>7833</v>
      </c>
      <c r="AC1366" t="s">
        <v>5392</v>
      </c>
      <c r="AD1366" t="s">
        <v>10186</v>
      </c>
      <c r="AE1366">
        <v>8</v>
      </c>
      <c r="AF1366" t="s">
        <v>11005</v>
      </c>
      <c r="AG1366" t="s">
        <v>5406</v>
      </c>
      <c r="AH1366">
        <v>4</v>
      </c>
      <c r="AI1366">
        <v>1</v>
      </c>
      <c r="AJ1366">
        <v>0</v>
      </c>
      <c r="AK1366">
        <v>0</v>
      </c>
      <c r="AN1366" t="s">
        <v>11050</v>
      </c>
      <c r="AO1366">
        <v>0</v>
      </c>
      <c r="AR1366" t="s">
        <v>11210</v>
      </c>
      <c r="AS1366" t="s">
        <v>11253</v>
      </c>
      <c r="AT1366" t="s">
        <v>11266</v>
      </c>
      <c r="AU1366">
        <v>64.09999999999999</v>
      </c>
      <c r="AV1366" t="s">
        <v>718</v>
      </c>
      <c r="AW1366" t="s">
        <v>11511</v>
      </c>
    </row>
    <row r="1367" spans="1:49">
      <c r="A1367" s="1">
        <f>HYPERLINK("https://cms.ls-nyc.org/matter/dynamic-profile/view/1858162","18-1858162")</f>
        <v>0</v>
      </c>
      <c r="B1367" t="s">
        <v>55</v>
      </c>
      <c r="C1367" t="s">
        <v>234</v>
      </c>
      <c r="D1367" t="s">
        <v>433</v>
      </c>
      <c r="E1367" t="s">
        <v>736</v>
      </c>
      <c r="F1367" t="s">
        <v>1201</v>
      </c>
      <c r="G1367" t="s">
        <v>2942</v>
      </c>
      <c r="H1367" t="s">
        <v>4143</v>
      </c>
      <c r="I1367" t="s">
        <v>5138</v>
      </c>
      <c r="J1367" t="s">
        <v>5320</v>
      </c>
      <c r="K1367">
        <v>11206</v>
      </c>
      <c r="L1367" t="s">
        <v>5355</v>
      </c>
      <c r="M1367" t="s">
        <v>5355</v>
      </c>
      <c r="N1367" t="s">
        <v>5663</v>
      </c>
      <c r="O1367" t="s">
        <v>6492</v>
      </c>
      <c r="P1367" t="s">
        <v>6530</v>
      </c>
      <c r="Q1367" t="s">
        <v>6534</v>
      </c>
      <c r="R1367" t="s">
        <v>6539</v>
      </c>
      <c r="S1367" t="s">
        <v>5357</v>
      </c>
      <c r="U1367" t="s">
        <v>6557</v>
      </c>
      <c r="W1367" t="s">
        <v>433</v>
      </c>
      <c r="X1367">
        <v>1515</v>
      </c>
      <c r="Y1367" t="s">
        <v>6605</v>
      </c>
      <c r="Z1367" t="s">
        <v>6615</v>
      </c>
      <c r="AA1367" t="s">
        <v>6637</v>
      </c>
      <c r="AB1367" t="s">
        <v>7834</v>
      </c>
      <c r="AC1367" t="s">
        <v>8857</v>
      </c>
      <c r="AD1367" t="s">
        <v>10187</v>
      </c>
      <c r="AE1367">
        <v>20</v>
      </c>
      <c r="AG1367" t="s">
        <v>11019</v>
      </c>
      <c r="AH1367">
        <v>2</v>
      </c>
      <c r="AI1367">
        <v>1</v>
      </c>
      <c r="AJ1367">
        <v>2</v>
      </c>
      <c r="AK1367">
        <v>0</v>
      </c>
      <c r="AL1367" t="s">
        <v>433</v>
      </c>
      <c r="AN1367" t="s">
        <v>11050</v>
      </c>
      <c r="AO1367">
        <v>0</v>
      </c>
      <c r="AR1367" t="s">
        <v>11210</v>
      </c>
      <c r="AS1367" t="s">
        <v>11253</v>
      </c>
      <c r="AT1367" t="s">
        <v>11278</v>
      </c>
      <c r="AU1367">
        <v>32.65</v>
      </c>
      <c r="AV1367" t="s">
        <v>298</v>
      </c>
      <c r="AW1367" t="s">
        <v>11490</v>
      </c>
    </row>
    <row r="1368" spans="1:49">
      <c r="A1368" s="1">
        <f>HYPERLINK("https://cms.ls-nyc.org/matter/dynamic-profile/view/1859694","18-1859694")</f>
        <v>0</v>
      </c>
      <c r="B1368" t="s">
        <v>188</v>
      </c>
      <c r="C1368" t="s">
        <v>235</v>
      </c>
      <c r="D1368" t="s">
        <v>523</v>
      </c>
      <c r="F1368" t="s">
        <v>1643</v>
      </c>
      <c r="G1368" t="s">
        <v>2943</v>
      </c>
      <c r="H1368" t="s">
        <v>4144</v>
      </c>
      <c r="I1368" t="s">
        <v>4860</v>
      </c>
      <c r="J1368" t="s">
        <v>5320</v>
      </c>
      <c r="K1368">
        <v>11206</v>
      </c>
      <c r="L1368" t="s">
        <v>5355</v>
      </c>
      <c r="M1368" t="s">
        <v>5356</v>
      </c>
      <c r="N1368" t="s">
        <v>5664</v>
      </c>
      <c r="O1368" t="s">
        <v>6492</v>
      </c>
      <c r="P1368" t="s">
        <v>6530</v>
      </c>
      <c r="R1368" t="s">
        <v>6539</v>
      </c>
      <c r="S1368" t="s">
        <v>5357</v>
      </c>
      <c r="U1368" t="s">
        <v>6557</v>
      </c>
      <c r="W1368" t="s">
        <v>428</v>
      </c>
      <c r="X1368">
        <v>572</v>
      </c>
      <c r="Y1368" t="s">
        <v>6605</v>
      </c>
      <c r="Z1368" t="s">
        <v>6611</v>
      </c>
      <c r="AB1368" t="s">
        <v>7835</v>
      </c>
      <c r="AD1368" t="s">
        <v>10188</v>
      </c>
      <c r="AE1368">
        <v>267</v>
      </c>
      <c r="AH1368">
        <v>15</v>
      </c>
      <c r="AI1368">
        <v>1</v>
      </c>
      <c r="AJ1368">
        <v>0</v>
      </c>
      <c r="AK1368">
        <v>0</v>
      </c>
      <c r="AN1368" t="s">
        <v>11050</v>
      </c>
      <c r="AO1368">
        <v>0</v>
      </c>
      <c r="AU1368">
        <v>7.4</v>
      </c>
      <c r="AV1368" t="s">
        <v>349</v>
      </c>
      <c r="AW1368" t="s">
        <v>11487</v>
      </c>
    </row>
    <row r="1369" spans="1:49">
      <c r="A1369" s="1">
        <f>HYPERLINK("https://cms.ls-nyc.org/matter/dynamic-profile/view/1855358","18-1855358")</f>
        <v>0</v>
      </c>
      <c r="B1369" t="s">
        <v>55</v>
      </c>
      <c r="C1369" t="s">
        <v>234</v>
      </c>
      <c r="D1369" t="s">
        <v>551</v>
      </c>
      <c r="E1369" t="s">
        <v>738</v>
      </c>
      <c r="F1369" t="s">
        <v>1269</v>
      </c>
      <c r="G1369" t="s">
        <v>2944</v>
      </c>
      <c r="H1369" t="s">
        <v>3895</v>
      </c>
      <c r="I1369" t="s">
        <v>4757</v>
      </c>
      <c r="J1369" t="s">
        <v>5320</v>
      </c>
      <c r="K1369">
        <v>11203</v>
      </c>
      <c r="L1369" t="s">
        <v>5355</v>
      </c>
      <c r="M1369" t="s">
        <v>5355</v>
      </c>
      <c r="N1369" t="s">
        <v>5665</v>
      </c>
      <c r="O1369" t="s">
        <v>6491</v>
      </c>
      <c r="P1369" t="s">
        <v>6530</v>
      </c>
      <c r="Q1369" t="s">
        <v>6534</v>
      </c>
      <c r="R1369" t="s">
        <v>6539</v>
      </c>
      <c r="S1369" t="s">
        <v>5357</v>
      </c>
      <c r="T1369" t="s">
        <v>6545</v>
      </c>
      <c r="U1369" t="s">
        <v>6557</v>
      </c>
      <c r="W1369" t="s">
        <v>262</v>
      </c>
      <c r="X1369">
        <v>1708.5</v>
      </c>
      <c r="Y1369" t="s">
        <v>6605</v>
      </c>
      <c r="Z1369" t="s">
        <v>6612</v>
      </c>
      <c r="AA1369" t="s">
        <v>6637</v>
      </c>
      <c r="AB1369" t="s">
        <v>7836</v>
      </c>
      <c r="AD1369" t="s">
        <v>10189</v>
      </c>
      <c r="AE1369">
        <v>50</v>
      </c>
      <c r="AF1369" t="s">
        <v>11005</v>
      </c>
      <c r="AG1369" t="s">
        <v>5406</v>
      </c>
      <c r="AH1369">
        <v>3</v>
      </c>
      <c r="AI1369">
        <v>1</v>
      </c>
      <c r="AJ1369">
        <v>0</v>
      </c>
      <c r="AK1369">
        <v>0</v>
      </c>
      <c r="AN1369" t="s">
        <v>11050</v>
      </c>
      <c r="AO1369">
        <v>0</v>
      </c>
      <c r="AQ1369" t="s">
        <v>11192</v>
      </c>
      <c r="AR1369" t="s">
        <v>11210</v>
      </c>
      <c r="AS1369" t="s">
        <v>11253</v>
      </c>
      <c r="AT1369" t="s">
        <v>11281</v>
      </c>
      <c r="AU1369">
        <v>13</v>
      </c>
      <c r="AV1369" t="s">
        <v>11029</v>
      </c>
      <c r="AW1369" t="s">
        <v>11517</v>
      </c>
    </row>
    <row r="1370" spans="1:49">
      <c r="A1370" s="1">
        <f>HYPERLINK("https://cms.ls-nyc.org/matter/dynamic-profile/view/1859597","18-1859597")</f>
        <v>0</v>
      </c>
      <c r="B1370" t="s">
        <v>55</v>
      </c>
      <c r="C1370" t="s">
        <v>234</v>
      </c>
      <c r="D1370" t="s">
        <v>316</v>
      </c>
      <c r="E1370" t="s">
        <v>738</v>
      </c>
      <c r="F1370" t="s">
        <v>1269</v>
      </c>
      <c r="G1370" t="s">
        <v>2944</v>
      </c>
      <c r="H1370" t="s">
        <v>3895</v>
      </c>
      <c r="I1370" t="s">
        <v>4757</v>
      </c>
      <c r="J1370" t="s">
        <v>5320</v>
      </c>
      <c r="K1370">
        <v>11203</v>
      </c>
      <c r="L1370" t="s">
        <v>5355</v>
      </c>
      <c r="M1370" t="s">
        <v>5356</v>
      </c>
      <c r="N1370" t="s">
        <v>5666</v>
      </c>
      <c r="O1370" t="s">
        <v>6494</v>
      </c>
      <c r="P1370" t="s">
        <v>6530</v>
      </c>
      <c r="Q1370" t="s">
        <v>6534</v>
      </c>
      <c r="R1370" t="s">
        <v>6539</v>
      </c>
      <c r="T1370" t="s">
        <v>6545</v>
      </c>
      <c r="U1370" t="s">
        <v>6557</v>
      </c>
      <c r="W1370" t="s">
        <v>6575</v>
      </c>
      <c r="X1370">
        <v>1708.5</v>
      </c>
      <c r="Y1370" t="s">
        <v>6605</v>
      </c>
      <c r="Z1370" t="s">
        <v>6612</v>
      </c>
      <c r="AA1370" t="s">
        <v>6634</v>
      </c>
      <c r="AB1370" t="s">
        <v>7836</v>
      </c>
      <c r="AD1370" t="s">
        <v>10189</v>
      </c>
      <c r="AE1370">
        <v>50</v>
      </c>
      <c r="AF1370" t="s">
        <v>11005</v>
      </c>
      <c r="AG1370" t="s">
        <v>5406</v>
      </c>
      <c r="AH1370">
        <v>3</v>
      </c>
      <c r="AI1370">
        <v>1</v>
      </c>
      <c r="AJ1370">
        <v>0</v>
      </c>
      <c r="AK1370">
        <v>0</v>
      </c>
      <c r="AN1370" t="s">
        <v>11050</v>
      </c>
      <c r="AO1370">
        <v>0</v>
      </c>
      <c r="AU1370">
        <v>105.85</v>
      </c>
      <c r="AV1370" t="s">
        <v>818</v>
      </c>
      <c r="AW1370" t="s">
        <v>11490</v>
      </c>
    </row>
    <row r="1371" spans="1:49">
      <c r="A1371" s="1">
        <f>HYPERLINK("https://cms.ls-nyc.org/matter/dynamic-profile/view/1859663","18-1859663")</f>
        <v>0</v>
      </c>
      <c r="B1371" t="s">
        <v>55</v>
      </c>
      <c r="C1371" t="s">
        <v>234</v>
      </c>
      <c r="D1371" t="s">
        <v>523</v>
      </c>
      <c r="E1371" t="s">
        <v>786</v>
      </c>
      <c r="F1371" t="s">
        <v>1644</v>
      </c>
      <c r="G1371" t="s">
        <v>2895</v>
      </c>
      <c r="H1371" t="s">
        <v>3895</v>
      </c>
      <c r="I1371" t="s">
        <v>5089</v>
      </c>
      <c r="J1371" t="s">
        <v>5320</v>
      </c>
      <c r="K1371">
        <v>11203</v>
      </c>
      <c r="L1371" t="s">
        <v>5355</v>
      </c>
      <c r="M1371" t="s">
        <v>5356</v>
      </c>
      <c r="N1371" t="s">
        <v>5666</v>
      </c>
      <c r="O1371" t="s">
        <v>6494</v>
      </c>
      <c r="P1371" t="s">
        <v>6530</v>
      </c>
      <c r="Q1371" t="s">
        <v>6534</v>
      </c>
      <c r="R1371" t="s">
        <v>6539</v>
      </c>
      <c r="S1371" t="s">
        <v>5355</v>
      </c>
      <c r="T1371" t="s">
        <v>6545</v>
      </c>
      <c r="U1371" t="s">
        <v>6557</v>
      </c>
      <c r="W1371" t="s">
        <v>6598</v>
      </c>
      <c r="X1371">
        <v>775.64</v>
      </c>
      <c r="Y1371" t="s">
        <v>6605</v>
      </c>
      <c r="Z1371" t="s">
        <v>6612</v>
      </c>
      <c r="AA1371" t="s">
        <v>6634</v>
      </c>
      <c r="AB1371" t="s">
        <v>7837</v>
      </c>
      <c r="AD1371" t="s">
        <v>10190</v>
      </c>
      <c r="AE1371">
        <v>50</v>
      </c>
      <c r="AF1371" t="s">
        <v>11005</v>
      </c>
      <c r="AG1371" t="s">
        <v>5406</v>
      </c>
      <c r="AH1371">
        <v>32</v>
      </c>
      <c r="AI1371">
        <v>2</v>
      </c>
      <c r="AJ1371">
        <v>0</v>
      </c>
      <c r="AK1371">
        <v>0</v>
      </c>
      <c r="AN1371" t="s">
        <v>11050</v>
      </c>
      <c r="AO1371">
        <v>0</v>
      </c>
      <c r="AU1371">
        <v>6.21</v>
      </c>
      <c r="AV1371" t="s">
        <v>357</v>
      </c>
      <c r="AW1371" t="s">
        <v>11490</v>
      </c>
    </row>
    <row r="1372" spans="1:49">
      <c r="A1372" s="1">
        <f>HYPERLINK("https://cms.ls-nyc.org/matter/dynamic-profile/view/1864858","18-1864858")</f>
        <v>0</v>
      </c>
      <c r="B1372" t="s">
        <v>134</v>
      </c>
      <c r="C1372" t="s">
        <v>235</v>
      </c>
      <c r="D1372" t="s">
        <v>251</v>
      </c>
      <c r="F1372" t="s">
        <v>1645</v>
      </c>
      <c r="G1372" t="s">
        <v>2945</v>
      </c>
      <c r="J1372" t="s">
        <v>5330</v>
      </c>
      <c r="K1372">
        <v>11103</v>
      </c>
      <c r="L1372" t="s">
        <v>5355</v>
      </c>
      <c r="M1372" t="s">
        <v>5356</v>
      </c>
      <c r="O1372" t="s">
        <v>6490</v>
      </c>
      <c r="P1372" t="s">
        <v>6530</v>
      </c>
      <c r="R1372" t="s">
        <v>6539</v>
      </c>
      <c r="S1372" t="s">
        <v>5357</v>
      </c>
      <c r="U1372" t="s">
        <v>6556</v>
      </c>
      <c r="W1372" t="s">
        <v>251</v>
      </c>
      <c r="X1372">
        <v>0</v>
      </c>
      <c r="Y1372" t="s">
        <v>6604</v>
      </c>
      <c r="Z1372" t="s">
        <v>6493</v>
      </c>
      <c r="AB1372" t="s">
        <v>7838</v>
      </c>
      <c r="AC1372" t="s">
        <v>5392</v>
      </c>
      <c r="AD1372" t="s">
        <v>10191</v>
      </c>
      <c r="AE1372">
        <v>0</v>
      </c>
      <c r="AF1372" t="s">
        <v>11004</v>
      </c>
      <c r="AG1372" t="s">
        <v>5406</v>
      </c>
      <c r="AH1372">
        <v>0</v>
      </c>
      <c r="AI1372">
        <v>2</v>
      </c>
      <c r="AJ1372">
        <v>3</v>
      </c>
      <c r="AK1372">
        <v>0</v>
      </c>
      <c r="AN1372" t="s">
        <v>11050</v>
      </c>
      <c r="AO1372">
        <v>0</v>
      </c>
      <c r="AP1372" t="s">
        <v>11071</v>
      </c>
      <c r="AU1372">
        <v>36.1</v>
      </c>
      <c r="AV1372" t="s">
        <v>11451</v>
      </c>
      <c r="AW1372" t="s">
        <v>133</v>
      </c>
    </row>
    <row r="1373" spans="1:49">
      <c r="A1373" s="1">
        <f>HYPERLINK("https://cms.ls-nyc.org/matter/dynamic-profile/view/0826016","17-0826016")</f>
        <v>0</v>
      </c>
      <c r="B1373" t="s">
        <v>118</v>
      </c>
      <c r="C1373" t="s">
        <v>235</v>
      </c>
      <c r="D1373" t="s">
        <v>477</v>
      </c>
      <c r="F1373" t="s">
        <v>1646</v>
      </c>
      <c r="G1373" t="s">
        <v>2189</v>
      </c>
      <c r="H1373" t="s">
        <v>4145</v>
      </c>
      <c r="I1373" t="s">
        <v>4765</v>
      </c>
      <c r="J1373" t="s">
        <v>5321</v>
      </c>
      <c r="K1373">
        <v>10467</v>
      </c>
      <c r="L1373" t="s">
        <v>5355</v>
      </c>
      <c r="M1373" t="s">
        <v>5356</v>
      </c>
      <c r="N1373" t="s">
        <v>5667</v>
      </c>
      <c r="O1373" t="s">
        <v>6517</v>
      </c>
      <c r="P1373" t="s">
        <v>6530</v>
      </c>
      <c r="R1373" t="s">
        <v>6539</v>
      </c>
      <c r="S1373" t="s">
        <v>5355</v>
      </c>
      <c r="U1373" t="s">
        <v>6557</v>
      </c>
      <c r="W1373" t="s">
        <v>294</v>
      </c>
      <c r="X1373">
        <v>0</v>
      </c>
      <c r="Y1373" t="s">
        <v>6606</v>
      </c>
      <c r="Z1373" t="s">
        <v>6616</v>
      </c>
      <c r="AB1373" t="s">
        <v>7839</v>
      </c>
      <c r="AC1373">
        <v>5575353</v>
      </c>
      <c r="AD1373" t="s">
        <v>10192</v>
      </c>
      <c r="AE1373">
        <v>30</v>
      </c>
      <c r="AF1373" t="s">
        <v>11005</v>
      </c>
      <c r="AG1373" t="s">
        <v>11020</v>
      </c>
      <c r="AH1373">
        <v>3</v>
      </c>
      <c r="AI1373">
        <v>1</v>
      </c>
      <c r="AJ1373">
        <v>0</v>
      </c>
      <c r="AK1373">
        <v>0</v>
      </c>
      <c r="AL1373" t="s">
        <v>11037</v>
      </c>
      <c r="AN1373" t="s">
        <v>11050</v>
      </c>
      <c r="AO1373">
        <v>0</v>
      </c>
      <c r="AP1373" t="s">
        <v>11149</v>
      </c>
      <c r="AU1373">
        <v>0.5</v>
      </c>
      <c r="AV1373" t="s">
        <v>551</v>
      </c>
      <c r="AW1373" t="s">
        <v>11509</v>
      </c>
    </row>
    <row r="1374" spans="1:49">
      <c r="A1374" s="1">
        <f>HYPERLINK("https://cms.ls-nyc.org/matter/dynamic-profile/view/1871146","18-1871146")</f>
        <v>0</v>
      </c>
      <c r="B1374" t="s">
        <v>104</v>
      </c>
      <c r="C1374" t="s">
        <v>234</v>
      </c>
      <c r="D1374" t="s">
        <v>287</v>
      </c>
      <c r="E1374" t="s">
        <v>706</v>
      </c>
      <c r="F1374" t="s">
        <v>1647</v>
      </c>
      <c r="G1374" t="s">
        <v>2657</v>
      </c>
      <c r="H1374" t="s">
        <v>4146</v>
      </c>
      <c r="I1374" t="s">
        <v>4829</v>
      </c>
      <c r="J1374" t="s">
        <v>5321</v>
      </c>
      <c r="K1374">
        <v>10460</v>
      </c>
      <c r="L1374" t="s">
        <v>5355</v>
      </c>
      <c r="M1374" t="s">
        <v>5356</v>
      </c>
      <c r="N1374" t="s">
        <v>5668</v>
      </c>
      <c r="O1374" t="s">
        <v>6492</v>
      </c>
      <c r="P1374" t="s">
        <v>6530</v>
      </c>
      <c r="Q1374" t="s">
        <v>6533</v>
      </c>
      <c r="R1374" t="s">
        <v>6539</v>
      </c>
      <c r="S1374" t="s">
        <v>5357</v>
      </c>
      <c r="U1374" t="s">
        <v>6557</v>
      </c>
      <c r="W1374" t="s">
        <v>287</v>
      </c>
      <c r="X1374">
        <v>975</v>
      </c>
      <c r="Y1374" t="s">
        <v>6606</v>
      </c>
      <c r="Z1374" t="s">
        <v>6613</v>
      </c>
      <c r="AA1374" t="s">
        <v>6640</v>
      </c>
      <c r="AB1374" t="s">
        <v>7840</v>
      </c>
      <c r="AD1374" t="s">
        <v>10193</v>
      </c>
      <c r="AE1374">
        <v>28</v>
      </c>
      <c r="AF1374" t="s">
        <v>11005</v>
      </c>
      <c r="AG1374" t="s">
        <v>11026</v>
      </c>
      <c r="AH1374">
        <v>1</v>
      </c>
      <c r="AI1374">
        <v>1</v>
      </c>
      <c r="AJ1374">
        <v>0</v>
      </c>
      <c r="AK1374">
        <v>0</v>
      </c>
      <c r="AN1374" t="s">
        <v>11050</v>
      </c>
      <c r="AO1374">
        <v>0</v>
      </c>
      <c r="AQ1374" t="s">
        <v>11195</v>
      </c>
      <c r="AS1374" t="s">
        <v>11255</v>
      </c>
      <c r="AT1374" t="s">
        <v>11282</v>
      </c>
      <c r="AU1374">
        <v>26.5</v>
      </c>
      <c r="AV1374" t="s">
        <v>748</v>
      </c>
      <c r="AW1374" t="s">
        <v>11491</v>
      </c>
    </row>
    <row r="1375" spans="1:49">
      <c r="A1375" s="1">
        <f>HYPERLINK("https://cms.ls-nyc.org/matter/dynamic-profile/view/0811047","16-0811047")</f>
        <v>0</v>
      </c>
      <c r="B1375" t="s">
        <v>129</v>
      </c>
      <c r="C1375" t="s">
        <v>235</v>
      </c>
      <c r="D1375" t="s">
        <v>552</v>
      </c>
      <c r="F1375" t="s">
        <v>914</v>
      </c>
      <c r="G1375" t="s">
        <v>2736</v>
      </c>
      <c r="H1375" t="s">
        <v>4056</v>
      </c>
      <c r="I1375" t="s">
        <v>4750</v>
      </c>
      <c r="J1375" t="s">
        <v>5321</v>
      </c>
      <c r="K1375">
        <v>10457</v>
      </c>
      <c r="L1375" t="s">
        <v>5355</v>
      </c>
      <c r="M1375" t="s">
        <v>5356</v>
      </c>
      <c r="N1375" t="s">
        <v>5669</v>
      </c>
      <c r="O1375" t="s">
        <v>6502</v>
      </c>
      <c r="P1375" t="s">
        <v>6530</v>
      </c>
      <c r="R1375" t="s">
        <v>6539</v>
      </c>
      <c r="S1375" t="s">
        <v>5355</v>
      </c>
      <c r="U1375" t="s">
        <v>6557</v>
      </c>
      <c r="W1375" t="s">
        <v>516</v>
      </c>
      <c r="X1375">
        <v>0</v>
      </c>
      <c r="Y1375" t="s">
        <v>6606</v>
      </c>
      <c r="Z1375" t="s">
        <v>6621</v>
      </c>
      <c r="AB1375" t="s">
        <v>7031</v>
      </c>
      <c r="AE1375">
        <v>100</v>
      </c>
      <c r="AF1375" t="s">
        <v>11005</v>
      </c>
      <c r="AH1375">
        <v>0</v>
      </c>
      <c r="AI1375">
        <v>1</v>
      </c>
      <c r="AJ1375">
        <v>0</v>
      </c>
      <c r="AK1375">
        <v>0</v>
      </c>
      <c r="AN1375" t="s">
        <v>11049</v>
      </c>
      <c r="AO1375">
        <v>0</v>
      </c>
      <c r="AU1375">
        <v>0</v>
      </c>
      <c r="AW1375" t="s">
        <v>11523</v>
      </c>
    </row>
    <row r="1376" spans="1:49">
      <c r="A1376" s="1">
        <f>HYPERLINK("https://cms.ls-nyc.org/matter/dynamic-profile/view/1860904","18-1860904")</f>
        <v>0</v>
      </c>
      <c r="B1376" t="s">
        <v>90</v>
      </c>
      <c r="C1376" t="s">
        <v>235</v>
      </c>
      <c r="D1376" t="s">
        <v>296</v>
      </c>
      <c r="F1376" t="s">
        <v>1512</v>
      </c>
      <c r="G1376" t="s">
        <v>2946</v>
      </c>
      <c r="H1376" t="s">
        <v>4147</v>
      </c>
      <c r="I1376" t="s">
        <v>5089</v>
      </c>
      <c r="J1376" t="s">
        <v>5321</v>
      </c>
      <c r="K1376">
        <v>10453</v>
      </c>
      <c r="L1376" t="s">
        <v>5355</v>
      </c>
      <c r="M1376" t="s">
        <v>5356</v>
      </c>
      <c r="N1376" t="s">
        <v>5670</v>
      </c>
      <c r="O1376" t="s">
        <v>6494</v>
      </c>
      <c r="P1376" t="s">
        <v>6530</v>
      </c>
      <c r="R1376" t="s">
        <v>6539</v>
      </c>
      <c r="S1376" t="s">
        <v>5355</v>
      </c>
      <c r="U1376" t="s">
        <v>6557</v>
      </c>
      <c r="W1376" t="s">
        <v>480</v>
      </c>
      <c r="X1376">
        <v>1293</v>
      </c>
      <c r="Y1376" t="s">
        <v>6606</v>
      </c>
      <c r="Z1376" t="s">
        <v>6616</v>
      </c>
      <c r="AB1376" t="s">
        <v>7841</v>
      </c>
      <c r="AD1376" t="s">
        <v>10194</v>
      </c>
      <c r="AE1376">
        <v>46</v>
      </c>
      <c r="AF1376" t="s">
        <v>11005</v>
      </c>
      <c r="AG1376" t="s">
        <v>5406</v>
      </c>
      <c r="AH1376">
        <v>6</v>
      </c>
      <c r="AI1376">
        <v>2</v>
      </c>
      <c r="AJ1376">
        <v>3</v>
      </c>
      <c r="AK1376">
        <v>0</v>
      </c>
      <c r="AN1376" t="s">
        <v>11049</v>
      </c>
      <c r="AO1376">
        <v>26000</v>
      </c>
      <c r="AU1376">
        <v>0.8</v>
      </c>
      <c r="AV1376" t="s">
        <v>721</v>
      </c>
      <c r="AW1376" t="s">
        <v>59</v>
      </c>
    </row>
    <row r="1377" spans="1:49">
      <c r="A1377" s="1">
        <f>HYPERLINK("https://cms.ls-nyc.org/matter/dynamic-profile/view/1861954","18-1861954")</f>
        <v>0</v>
      </c>
      <c r="B1377" t="s">
        <v>90</v>
      </c>
      <c r="C1377" t="s">
        <v>235</v>
      </c>
      <c r="D1377" t="s">
        <v>358</v>
      </c>
      <c r="F1377" t="s">
        <v>1648</v>
      </c>
      <c r="G1377" t="s">
        <v>2193</v>
      </c>
      <c r="H1377" t="s">
        <v>4147</v>
      </c>
      <c r="I1377" t="s">
        <v>5091</v>
      </c>
      <c r="J1377" t="s">
        <v>5321</v>
      </c>
      <c r="K1377">
        <v>10453</v>
      </c>
      <c r="L1377" t="s">
        <v>5355</v>
      </c>
      <c r="M1377" t="s">
        <v>5356</v>
      </c>
      <c r="N1377" t="s">
        <v>5670</v>
      </c>
      <c r="O1377" t="s">
        <v>6494</v>
      </c>
      <c r="P1377" t="s">
        <v>6530</v>
      </c>
      <c r="R1377" t="s">
        <v>6539</v>
      </c>
      <c r="S1377" t="s">
        <v>5355</v>
      </c>
      <c r="U1377" t="s">
        <v>6557</v>
      </c>
      <c r="W1377" t="s">
        <v>480</v>
      </c>
      <c r="X1377">
        <v>1612.04</v>
      </c>
      <c r="Y1377" t="s">
        <v>6606</v>
      </c>
      <c r="Z1377" t="s">
        <v>6616</v>
      </c>
      <c r="AB1377" t="s">
        <v>7842</v>
      </c>
      <c r="AC1377" t="s">
        <v>8858</v>
      </c>
      <c r="AD1377" t="s">
        <v>10195</v>
      </c>
      <c r="AE1377">
        <v>46</v>
      </c>
      <c r="AF1377" t="s">
        <v>11005</v>
      </c>
      <c r="AG1377" t="s">
        <v>11022</v>
      </c>
      <c r="AH1377">
        <v>11</v>
      </c>
      <c r="AI1377">
        <v>1</v>
      </c>
      <c r="AJ1377">
        <v>4</v>
      </c>
      <c r="AK1377">
        <v>0</v>
      </c>
      <c r="AN1377" t="s">
        <v>11049</v>
      </c>
      <c r="AO1377">
        <v>0</v>
      </c>
      <c r="AU1377">
        <v>1.2</v>
      </c>
      <c r="AV1377" t="s">
        <v>743</v>
      </c>
      <c r="AW1377" t="s">
        <v>59</v>
      </c>
    </row>
    <row r="1378" spans="1:49">
      <c r="A1378" s="1">
        <f>HYPERLINK("https://cms.ls-nyc.org/matter/dynamic-profile/view/1866510","18-1866510")</f>
        <v>0</v>
      </c>
      <c r="B1378" t="s">
        <v>129</v>
      </c>
      <c r="C1378" t="s">
        <v>234</v>
      </c>
      <c r="D1378" t="s">
        <v>268</v>
      </c>
      <c r="E1378" t="s">
        <v>749</v>
      </c>
      <c r="F1378" t="s">
        <v>1469</v>
      </c>
      <c r="G1378" t="s">
        <v>2168</v>
      </c>
      <c r="H1378" t="s">
        <v>3706</v>
      </c>
      <c r="I1378">
        <v>41</v>
      </c>
      <c r="J1378" t="s">
        <v>5321</v>
      </c>
      <c r="K1378">
        <v>10453</v>
      </c>
      <c r="L1378" t="s">
        <v>5355</v>
      </c>
      <c r="M1378" t="s">
        <v>5356</v>
      </c>
      <c r="N1378" t="s">
        <v>5671</v>
      </c>
      <c r="O1378" t="s">
        <v>6494</v>
      </c>
      <c r="P1378" t="s">
        <v>6530</v>
      </c>
      <c r="Q1378" t="s">
        <v>6538</v>
      </c>
      <c r="R1378" t="s">
        <v>6539</v>
      </c>
      <c r="S1378" t="s">
        <v>5355</v>
      </c>
      <c r="U1378" t="s">
        <v>6557</v>
      </c>
      <c r="W1378" t="s">
        <v>275</v>
      </c>
      <c r="X1378">
        <v>1175.29</v>
      </c>
      <c r="Y1378" t="s">
        <v>6606</v>
      </c>
      <c r="Z1378" t="s">
        <v>6622</v>
      </c>
      <c r="AA1378" t="s">
        <v>6634</v>
      </c>
      <c r="AB1378" t="s">
        <v>7525</v>
      </c>
      <c r="AD1378" t="s">
        <v>9891</v>
      </c>
      <c r="AE1378">
        <v>43</v>
      </c>
      <c r="AF1378" t="s">
        <v>11005</v>
      </c>
      <c r="AG1378" t="s">
        <v>11021</v>
      </c>
      <c r="AH1378">
        <v>8</v>
      </c>
      <c r="AI1378">
        <v>1</v>
      </c>
      <c r="AJ1378">
        <v>0</v>
      </c>
      <c r="AK1378">
        <v>0</v>
      </c>
      <c r="AN1378" t="s">
        <v>11050</v>
      </c>
      <c r="AO1378">
        <v>0</v>
      </c>
      <c r="AU1378">
        <v>0.4</v>
      </c>
      <c r="AV1378" t="s">
        <v>749</v>
      </c>
      <c r="AW1378" t="s">
        <v>11499</v>
      </c>
    </row>
    <row r="1379" spans="1:49">
      <c r="A1379" s="1">
        <f>HYPERLINK("https://cms.ls-nyc.org/matter/dynamic-profile/view/1848589","17-1848589")</f>
        <v>0</v>
      </c>
      <c r="B1379" t="s">
        <v>153</v>
      </c>
      <c r="C1379" t="s">
        <v>234</v>
      </c>
      <c r="D1379" t="s">
        <v>553</v>
      </c>
      <c r="E1379" t="s">
        <v>741</v>
      </c>
      <c r="F1379" t="s">
        <v>1033</v>
      </c>
      <c r="G1379" t="s">
        <v>2947</v>
      </c>
      <c r="H1379" t="s">
        <v>3937</v>
      </c>
      <c r="I1379" t="s">
        <v>5032</v>
      </c>
      <c r="J1379" t="s">
        <v>5321</v>
      </c>
      <c r="K1379">
        <v>10453</v>
      </c>
      <c r="L1379" t="s">
        <v>5355</v>
      </c>
      <c r="M1379" t="s">
        <v>5356</v>
      </c>
      <c r="N1379" t="s">
        <v>5672</v>
      </c>
      <c r="O1379" t="s">
        <v>6492</v>
      </c>
      <c r="P1379" t="s">
        <v>6530</v>
      </c>
      <c r="Q1379" t="s">
        <v>6534</v>
      </c>
      <c r="R1379" t="s">
        <v>6539</v>
      </c>
      <c r="S1379" t="s">
        <v>5357</v>
      </c>
      <c r="U1379" t="s">
        <v>6557</v>
      </c>
      <c r="W1379" t="s">
        <v>372</v>
      </c>
      <c r="X1379">
        <v>1272</v>
      </c>
      <c r="Y1379" t="s">
        <v>6606</v>
      </c>
      <c r="Z1379" t="s">
        <v>6609</v>
      </c>
      <c r="AA1379" t="s">
        <v>6644</v>
      </c>
      <c r="AB1379" t="s">
        <v>7843</v>
      </c>
      <c r="AD1379" t="s">
        <v>10196</v>
      </c>
      <c r="AE1379">
        <v>382</v>
      </c>
      <c r="AF1379" t="s">
        <v>11008</v>
      </c>
      <c r="AG1379" t="s">
        <v>11020</v>
      </c>
      <c r="AH1379">
        <v>33</v>
      </c>
      <c r="AI1379">
        <v>1</v>
      </c>
      <c r="AJ1379">
        <v>0</v>
      </c>
      <c r="AK1379">
        <v>0</v>
      </c>
      <c r="AN1379" t="s">
        <v>11050</v>
      </c>
      <c r="AO1379">
        <v>0</v>
      </c>
      <c r="AU1379">
        <v>21.22</v>
      </c>
      <c r="AV1379" t="s">
        <v>683</v>
      </c>
      <c r="AW1379" t="s">
        <v>11499</v>
      </c>
    </row>
    <row r="1380" spans="1:49">
      <c r="A1380" s="1">
        <f>HYPERLINK("https://cms.ls-nyc.org/matter/dynamic-profile/view/1855692","18-1855692")</f>
        <v>0</v>
      </c>
      <c r="B1380" t="s">
        <v>153</v>
      </c>
      <c r="C1380" t="s">
        <v>234</v>
      </c>
      <c r="D1380" t="s">
        <v>329</v>
      </c>
      <c r="E1380" t="s">
        <v>712</v>
      </c>
      <c r="F1380" t="s">
        <v>1282</v>
      </c>
      <c r="G1380" t="s">
        <v>2259</v>
      </c>
      <c r="H1380" t="s">
        <v>4148</v>
      </c>
      <c r="I1380" t="s">
        <v>4885</v>
      </c>
      <c r="J1380" t="s">
        <v>5321</v>
      </c>
      <c r="K1380">
        <v>10452</v>
      </c>
      <c r="L1380" t="s">
        <v>5355</v>
      </c>
      <c r="M1380" t="s">
        <v>5356</v>
      </c>
      <c r="N1380" t="s">
        <v>5673</v>
      </c>
      <c r="O1380" t="s">
        <v>6491</v>
      </c>
      <c r="P1380" t="s">
        <v>6530</v>
      </c>
      <c r="Q1380" t="s">
        <v>6538</v>
      </c>
      <c r="R1380" t="s">
        <v>6539</v>
      </c>
      <c r="S1380" t="s">
        <v>5357</v>
      </c>
      <c r="U1380" t="s">
        <v>6557</v>
      </c>
      <c r="W1380" t="s">
        <v>247</v>
      </c>
      <c r="X1380">
        <v>1200</v>
      </c>
      <c r="Y1380" t="s">
        <v>6606</v>
      </c>
      <c r="Z1380" t="s">
        <v>6613</v>
      </c>
      <c r="AA1380" t="s">
        <v>6633</v>
      </c>
      <c r="AB1380" t="s">
        <v>7844</v>
      </c>
      <c r="AC1380" t="s">
        <v>8859</v>
      </c>
      <c r="AD1380" t="s">
        <v>10197</v>
      </c>
      <c r="AE1380">
        <v>68</v>
      </c>
      <c r="AF1380" t="s">
        <v>11005</v>
      </c>
      <c r="AG1380" t="s">
        <v>5406</v>
      </c>
      <c r="AH1380">
        <v>2</v>
      </c>
      <c r="AI1380">
        <v>1</v>
      </c>
      <c r="AJ1380">
        <v>0</v>
      </c>
      <c r="AK1380">
        <v>0</v>
      </c>
      <c r="AN1380" t="s">
        <v>11050</v>
      </c>
      <c r="AO1380">
        <v>0</v>
      </c>
      <c r="AU1380">
        <v>57.15</v>
      </c>
      <c r="AV1380" t="s">
        <v>685</v>
      </c>
      <c r="AW1380" t="s">
        <v>11524</v>
      </c>
    </row>
    <row r="1381" spans="1:49">
      <c r="A1381" s="1">
        <f>HYPERLINK("https://cms.ls-nyc.org/matter/dynamic-profile/view/1869273","18-1869273")</f>
        <v>0</v>
      </c>
      <c r="B1381" t="s">
        <v>104</v>
      </c>
      <c r="C1381" t="s">
        <v>235</v>
      </c>
      <c r="D1381" t="s">
        <v>252</v>
      </c>
      <c r="F1381" t="s">
        <v>855</v>
      </c>
      <c r="G1381" t="s">
        <v>2948</v>
      </c>
      <c r="H1381" t="s">
        <v>4149</v>
      </c>
      <c r="I1381">
        <v>10</v>
      </c>
      <c r="J1381" t="s">
        <v>5321</v>
      </c>
      <c r="K1381">
        <v>10452</v>
      </c>
      <c r="L1381" t="s">
        <v>5355</v>
      </c>
      <c r="M1381" t="s">
        <v>5355</v>
      </c>
      <c r="N1381" t="s">
        <v>5674</v>
      </c>
      <c r="O1381" t="s">
        <v>6491</v>
      </c>
      <c r="P1381" t="s">
        <v>6530</v>
      </c>
      <c r="R1381" t="s">
        <v>6539</v>
      </c>
      <c r="S1381" t="s">
        <v>5357</v>
      </c>
      <c r="U1381" t="s">
        <v>6557</v>
      </c>
      <c r="V1381" t="s">
        <v>6569</v>
      </c>
      <c r="W1381" t="s">
        <v>516</v>
      </c>
      <c r="X1381">
        <v>2500</v>
      </c>
      <c r="Y1381" t="s">
        <v>6606</v>
      </c>
      <c r="Z1381" t="s">
        <v>6619</v>
      </c>
      <c r="AB1381" t="s">
        <v>7845</v>
      </c>
      <c r="AD1381" t="s">
        <v>10198</v>
      </c>
      <c r="AE1381">
        <v>150</v>
      </c>
      <c r="AF1381" t="s">
        <v>11005</v>
      </c>
      <c r="AG1381" t="s">
        <v>5406</v>
      </c>
      <c r="AH1381">
        <v>1</v>
      </c>
      <c r="AI1381">
        <v>1</v>
      </c>
      <c r="AJ1381">
        <v>0</v>
      </c>
      <c r="AK1381">
        <v>0</v>
      </c>
      <c r="AN1381" t="s">
        <v>11050</v>
      </c>
      <c r="AO1381">
        <v>0</v>
      </c>
      <c r="AU1381">
        <v>29.15</v>
      </c>
      <c r="AV1381" t="s">
        <v>698</v>
      </c>
      <c r="AW1381" t="s">
        <v>11515</v>
      </c>
    </row>
    <row r="1382" spans="1:49">
      <c r="A1382" s="1">
        <f>HYPERLINK("https://cms.ls-nyc.org/matter/dynamic-profile/view/1857896","18-1857896")</f>
        <v>0</v>
      </c>
      <c r="B1382" t="s">
        <v>147</v>
      </c>
      <c r="C1382" t="s">
        <v>234</v>
      </c>
      <c r="D1382" t="s">
        <v>262</v>
      </c>
      <c r="E1382" t="s">
        <v>750</v>
      </c>
      <c r="F1382" t="s">
        <v>1649</v>
      </c>
      <c r="G1382" t="s">
        <v>2644</v>
      </c>
      <c r="H1382" t="s">
        <v>4150</v>
      </c>
      <c r="J1382" t="s">
        <v>5321</v>
      </c>
      <c r="K1382">
        <v>10452</v>
      </c>
      <c r="L1382" t="s">
        <v>5355</v>
      </c>
      <c r="M1382" t="s">
        <v>5356</v>
      </c>
      <c r="N1382" t="s">
        <v>5675</v>
      </c>
      <c r="O1382" t="s">
        <v>6495</v>
      </c>
      <c r="P1382" t="s">
        <v>6530</v>
      </c>
      <c r="Q1382" t="s">
        <v>6531</v>
      </c>
      <c r="R1382" t="s">
        <v>6539</v>
      </c>
      <c r="S1382" t="s">
        <v>5357</v>
      </c>
      <c r="U1382" t="s">
        <v>6557</v>
      </c>
      <c r="W1382" t="s">
        <v>319</v>
      </c>
      <c r="X1382">
        <v>300</v>
      </c>
      <c r="Y1382" t="s">
        <v>6606</v>
      </c>
      <c r="Z1382" t="s">
        <v>6613</v>
      </c>
      <c r="AA1382" t="s">
        <v>6631</v>
      </c>
      <c r="AB1382" t="s">
        <v>7846</v>
      </c>
      <c r="AC1382" t="s">
        <v>8860</v>
      </c>
      <c r="AD1382" t="s">
        <v>10199</v>
      </c>
      <c r="AE1382">
        <v>3</v>
      </c>
      <c r="AF1382" t="s">
        <v>8722</v>
      </c>
      <c r="AG1382" t="s">
        <v>5406</v>
      </c>
      <c r="AH1382">
        <v>6</v>
      </c>
      <c r="AI1382">
        <v>1</v>
      </c>
      <c r="AJ1382">
        <v>0</v>
      </c>
      <c r="AK1382">
        <v>0</v>
      </c>
      <c r="AN1382" t="s">
        <v>11050</v>
      </c>
      <c r="AO1382">
        <v>0</v>
      </c>
      <c r="AU1382">
        <v>1</v>
      </c>
      <c r="AV1382" t="s">
        <v>262</v>
      </c>
      <c r="AW1382" t="s">
        <v>11492</v>
      </c>
    </row>
    <row r="1383" spans="1:49">
      <c r="A1383" s="1">
        <f>HYPERLINK("https://cms.ls-nyc.org/matter/dynamic-profile/view/1858790","18-1858790")</f>
        <v>0</v>
      </c>
      <c r="B1383" t="s">
        <v>74</v>
      </c>
      <c r="C1383" t="s">
        <v>234</v>
      </c>
      <c r="D1383" t="s">
        <v>523</v>
      </c>
      <c r="E1383" t="s">
        <v>748</v>
      </c>
      <c r="F1383" t="s">
        <v>1650</v>
      </c>
      <c r="G1383" t="s">
        <v>2105</v>
      </c>
      <c r="H1383" t="s">
        <v>4151</v>
      </c>
      <c r="I1383" t="s">
        <v>4861</v>
      </c>
      <c r="J1383" t="s">
        <v>5322</v>
      </c>
      <c r="K1383">
        <v>10304</v>
      </c>
      <c r="L1383" t="s">
        <v>5355</v>
      </c>
      <c r="M1383" t="s">
        <v>5356</v>
      </c>
      <c r="N1383" t="s">
        <v>5676</v>
      </c>
      <c r="O1383" t="s">
        <v>6491</v>
      </c>
      <c r="P1383" t="s">
        <v>6530</v>
      </c>
      <c r="Q1383" t="s">
        <v>6534</v>
      </c>
      <c r="R1383" t="s">
        <v>6539</v>
      </c>
      <c r="U1383" t="s">
        <v>6557</v>
      </c>
      <c r="W1383" t="s">
        <v>523</v>
      </c>
      <c r="X1383">
        <v>1357</v>
      </c>
      <c r="Y1383" t="s">
        <v>6607</v>
      </c>
      <c r="Z1383" t="s">
        <v>6613</v>
      </c>
      <c r="AA1383" t="s">
        <v>6637</v>
      </c>
      <c r="AB1383" t="s">
        <v>7847</v>
      </c>
      <c r="AD1383" t="s">
        <v>10200</v>
      </c>
      <c r="AE1383">
        <v>134</v>
      </c>
      <c r="AF1383" t="s">
        <v>11008</v>
      </c>
      <c r="AG1383" t="s">
        <v>11020</v>
      </c>
      <c r="AH1383">
        <v>3</v>
      </c>
      <c r="AI1383">
        <v>1</v>
      </c>
      <c r="AJ1383">
        <v>1</v>
      </c>
      <c r="AK1383">
        <v>0</v>
      </c>
      <c r="AN1383" t="s">
        <v>11050</v>
      </c>
      <c r="AO1383">
        <v>0</v>
      </c>
      <c r="AU1383">
        <v>11.95</v>
      </c>
      <c r="AV1383" t="s">
        <v>679</v>
      </c>
      <c r="AW1383" t="s">
        <v>11536</v>
      </c>
    </row>
    <row r="1384" spans="1:49">
      <c r="A1384" s="1">
        <f>HYPERLINK("https://cms.ls-nyc.org/matter/dynamic-profile/view/1860584","18-1860584")</f>
        <v>0</v>
      </c>
      <c r="B1384" t="s">
        <v>156</v>
      </c>
      <c r="C1384" t="s">
        <v>235</v>
      </c>
      <c r="D1384" t="s">
        <v>246</v>
      </c>
      <c r="F1384" t="s">
        <v>1651</v>
      </c>
      <c r="G1384" t="s">
        <v>2949</v>
      </c>
      <c r="H1384" t="s">
        <v>4152</v>
      </c>
      <c r="I1384" t="s">
        <v>4752</v>
      </c>
      <c r="J1384" t="s">
        <v>5322</v>
      </c>
      <c r="K1384">
        <v>10304</v>
      </c>
      <c r="L1384" t="s">
        <v>5355</v>
      </c>
      <c r="M1384" t="s">
        <v>5356</v>
      </c>
      <c r="N1384" t="s">
        <v>5677</v>
      </c>
      <c r="O1384" t="s">
        <v>6491</v>
      </c>
      <c r="P1384" t="s">
        <v>6530</v>
      </c>
      <c r="R1384" t="s">
        <v>6539</v>
      </c>
      <c r="S1384" t="s">
        <v>5357</v>
      </c>
      <c r="U1384" t="s">
        <v>6557</v>
      </c>
      <c r="W1384" t="s">
        <v>246</v>
      </c>
      <c r="X1384">
        <v>1547</v>
      </c>
      <c r="Y1384" t="s">
        <v>6607</v>
      </c>
      <c r="Z1384" t="s">
        <v>6614</v>
      </c>
      <c r="AB1384" t="s">
        <v>7848</v>
      </c>
      <c r="AC1384" t="s">
        <v>8861</v>
      </c>
      <c r="AD1384" t="s">
        <v>10201</v>
      </c>
      <c r="AE1384">
        <v>118</v>
      </c>
      <c r="AF1384" t="s">
        <v>11008</v>
      </c>
      <c r="AG1384" t="s">
        <v>11020</v>
      </c>
      <c r="AH1384">
        <v>26</v>
      </c>
      <c r="AI1384">
        <v>3</v>
      </c>
      <c r="AJ1384">
        <v>1</v>
      </c>
      <c r="AK1384">
        <v>0</v>
      </c>
      <c r="AN1384" t="s">
        <v>11050</v>
      </c>
      <c r="AO1384">
        <v>0</v>
      </c>
      <c r="AU1384">
        <v>9.800000000000001</v>
      </c>
      <c r="AV1384" t="s">
        <v>794</v>
      </c>
      <c r="AW1384" t="s">
        <v>11510</v>
      </c>
    </row>
    <row r="1385" spans="1:49">
      <c r="A1385" s="1">
        <f>HYPERLINK("https://cms.ls-nyc.org/matter/dynamic-profile/view/1849982","17-1849982")</f>
        <v>0</v>
      </c>
      <c r="B1385" t="s">
        <v>156</v>
      </c>
      <c r="C1385" t="s">
        <v>234</v>
      </c>
      <c r="D1385" t="s">
        <v>324</v>
      </c>
      <c r="E1385" t="s">
        <v>684</v>
      </c>
      <c r="F1385" t="s">
        <v>1339</v>
      </c>
      <c r="G1385" t="s">
        <v>2375</v>
      </c>
      <c r="H1385" t="s">
        <v>3933</v>
      </c>
      <c r="I1385" t="s">
        <v>4968</v>
      </c>
      <c r="J1385" t="s">
        <v>5322</v>
      </c>
      <c r="K1385">
        <v>10304</v>
      </c>
      <c r="L1385" t="s">
        <v>5355</v>
      </c>
      <c r="M1385" t="s">
        <v>5355</v>
      </c>
      <c r="N1385" t="s">
        <v>5678</v>
      </c>
      <c r="O1385" t="s">
        <v>6492</v>
      </c>
      <c r="P1385" t="s">
        <v>6530</v>
      </c>
      <c r="Q1385" t="s">
        <v>6534</v>
      </c>
      <c r="R1385" t="s">
        <v>6539</v>
      </c>
      <c r="S1385" t="s">
        <v>5357</v>
      </c>
      <c r="U1385" t="s">
        <v>6557</v>
      </c>
      <c r="V1385" t="s">
        <v>6566</v>
      </c>
      <c r="W1385" t="s">
        <v>324</v>
      </c>
      <c r="X1385">
        <v>918</v>
      </c>
      <c r="Y1385" t="s">
        <v>6607</v>
      </c>
      <c r="Z1385" t="s">
        <v>6614</v>
      </c>
      <c r="AA1385" t="s">
        <v>6637</v>
      </c>
      <c r="AB1385" t="s">
        <v>7314</v>
      </c>
      <c r="AC1385" t="s">
        <v>8777</v>
      </c>
      <c r="AD1385" t="s">
        <v>9689</v>
      </c>
      <c r="AE1385">
        <v>16</v>
      </c>
      <c r="AF1385" t="s">
        <v>11005</v>
      </c>
      <c r="AG1385" t="s">
        <v>5406</v>
      </c>
      <c r="AH1385">
        <v>8</v>
      </c>
      <c r="AI1385">
        <v>2</v>
      </c>
      <c r="AJ1385">
        <v>0</v>
      </c>
      <c r="AK1385">
        <v>0</v>
      </c>
      <c r="AN1385" t="s">
        <v>11050</v>
      </c>
      <c r="AO1385">
        <v>0</v>
      </c>
      <c r="AQ1385" t="s">
        <v>11190</v>
      </c>
      <c r="AR1385" t="s">
        <v>11213</v>
      </c>
      <c r="AS1385" t="s">
        <v>11253</v>
      </c>
      <c r="AT1385" t="s">
        <v>11283</v>
      </c>
      <c r="AU1385">
        <v>87.05</v>
      </c>
      <c r="AV1385" t="s">
        <v>11449</v>
      </c>
      <c r="AW1385" t="s">
        <v>11510</v>
      </c>
    </row>
    <row r="1386" spans="1:49">
      <c r="A1386" s="1">
        <f>HYPERLINK("https://cms.ls-nyc.org/matter/dynamic-profile/view/1841399","17-1841399")</f>
        <v>0</v>
      </c>
      <c r="B1386" t="s">
        <v>148</v>
      </c>
      <c r="C1386" t="s">
        <v>234</v>
      </c>
      <c r="D1386" t="s">
        <v>305</v>
      </c>
      <c r="E1386" t="s">
        <v>265</v>
      </c>
      <c r="F1386" t="s">
        <v>1185</v>
      </c>
      <c r="G1386" t="s">
        <v>2950</v>
      </c>
      <c r="H1386" t="s">
        <v>4153</v>
      </c>
      <c r="I1386" t="s">
        <v>4748</v>
      </c>
      <c r="J1386" t="s">
        <v>5322</v>
      </c>
      <c r="K1386">
        <v>10301</v>
      </c>
      <c r="L1386" t="s">
        <v>5355</v>
      </c>
      <c r="M1386" t="s">
        <v>5356</v>
      </c>
      <c r="N1386" t="s">
        <v>5679</v>
      </c>
      <c r="O1386" t="s">
        <v>6491</v>
      </c>
      <c r="P1386" t="s">
        <v>6530</v>
      </c>
      <c r="Q1386" t="s">
        <v>6534</v>
      </c>
      <c r="R1386" t="s">
        <v>6539</v>
      </c>
      <c r="S1386" t="s">
        <v>5357</v>
      </c>
      <c r="U1386" t="s">
        <v>6557</v>
      </c>
      <c r="W1386" t="s">
        <v>575</v>
      </c>
      <c r="X1386">
        <v>1956</v>
      </c>
      <c r="Y1386" t="s">
        <v>6607</v>
      </c>
      <c r="Z1386" t="s">
        <v>6614</v>
      </c>
      <c r="AA1386" t="s">
        <v>6633</v>
      </c>
      <c r="AB1386" t="s">
        <v>7849</v>
      </c>
      <c r="AC1386" t="s">
        <v>8862</v>
      </c>
      <c r="AD1386" t="s">
        <v>10202</v>
      </c>
      <c r="AE1386">
        <v>2</v>
      </c>
      <c r="AF1386" t="s">
        <v>11004</v>
      </c>
      <c r="AG1386" t="s">
        <v>11022</v>
      </c>
      <c r="AH1386">
        <v>1</v>
      </c>
      <c r="AI1386">
        <v>2</v>
      </c>
      <c r="AJ1386">
        <v>4</v>
      </c>
      <c r="AK1386">
        <v>0</v>
      </c>
      <c r="AN1386" t="s">
        <v>11050</v>
      </c>
      <c r="AO1386">
        <v>0</v>
      </c>
      <c r="AU1386">
        <v>23.45</v>
      </c>
      <c r="AV1386" t="s">
        <v>409</v>
      </c>
      <c r="AW1386" t="s">
        <v>148</v>
      </c>
    </row>
    <row r="1387" spans="1:49">
      <c r="A1387" s="1">
        <f>HYPERLINK("https://cms.ls-nyc.org/matter/dynamic-profile/view/1857482","18-1857482")</f>
        <v>0</v>
      </c>
      <c r="B1387" t="s">
        <v>189</v>
      </c>
      <c r="C1387" t="s">
        <v>234</v>
      </c>
      <c r="D1387" t="s">
        <v>436</v>
      </c>
      <c r="E1387" t="s">
        <v>787</v>
      </c>
      <c r="F1387" t="s">
        <v>1652</v>
      </c>
      <c r="G1387" t="s">
        <v>1247</v>
      </c>
      <c r="H1387" t="s">
        <v>4154</v>
      </c>
      <c r="I1387" t="s">
        <v>4798</v>
      </c>
      <c r="J1387" t="s">
        <v>5322</v>
      </c>
      <c r="K1387">
        <v>10301</v>
      </c>
      <c r="L1387" t="s">
        <v>5355</v>
      </c>
      <c r="M1387" t="s">
        <v>5357</v>
      </c>
      <c r="N1387" t="s">
        <v>5680</v>
      </c>
      <c r="O1387" t="s">
        <v>6491</v>
      </c>
      <c r="P1387" t="s">
        <v>6530</v>
      </c>
      <c r="Q1387" t="s">
        <v>6535</v>
      </c>
      <c r="R1387" t="s">
        <v>6539</v>
      </c>
      <c r="S1387" t="s">
        <v>5357</v>
      </c>
      <c r="U1387" t="s">
        <v>6557</v>
      </c>
      <c r="V1387" t="s">
        <v>6566</v>
      </c>
      <c r="W1387" t="s">
        <v>436</v>
      </c>
      <c r="X1387">
        <v>1305</v>
      </c>
      <c r="Y1387" t="s">
        <v>6607</v>
      </c>
      <c r="Z1387" t="s">
        <v>6613</v>
      </c>
      <c r="AA1387" t="s">
        <v>6637</v>
      </c>
      <c r="AB1387" t="s">
        <v>7850</v>
      </c>
      <c r="AD1387" t="s">
        <v>10203</v>
      </c>
      <c r="AE1387">
        <v>4</v>
      </c>
      <c r="AF1387" t="s">
        <v>11004</v>
      </c>
      <c r="AG1387" t="s">
        <v>11020</v>
      </c>
      <c r="AH1387">
        <v>7</v>
      </c>
      <c r="AI1387">
        <v>1</v>
      </c>
      <c r="AJ1387">
        <v>0</v>
      </c>
      <c r="AK1387">
        <v>0</v>
      </c>
      <c r="AN1387" t="s">
        <v>11050</v>
      </c>
      <c r="AO1387">
        <v>0</v>
      </c>
      <c r="AQ1387" t="s">
        <v>11192</v>
      </c>
      <c r="AR1387" t="s">
        <v>11210</v>
      </c>
      <c r="AS1387" t="s">
        <v>11253</v>
      </c>
      <c r="AT1387" t="s">
        <v>11284</v>
      </c>
      <c r="AU1387">
        <v>2.75</v>
      </c>
      <c r="AV1387" t="s">
        <v>787</v>
      </c>
      <c r="AW1387" t="s">
        <v>11510</v>
      </c>
    </row>
    <row r="1388" spans="1:49">
      <c r="A1388" s="1">
        <f>HYPERLINK("https://cms.ls-nyc.org/matter/dynamic-profile/view/1867720","18-1867720")</f>
        <v>0</v>
      </c>
      <c r="B1388" t="s">
        <v>63</v>
      </c>
      <c r="C1388" t="s">
        <v>234</v>
      </c>
      <c r="D1388" t="s">
        <v>270</v>
      </c>
      <c r="E1388" t="s">
        <v>697</v>
      </c>
      <c r="F1388" t="s">
        <v>858</v>
      </c>
      <c r="G1388" t="s">
        <v>2117</v>
      </c>
      <c r="H1388" t="s">
        <v>3446</v>
      </c>
      <c r="I1388" t="s">
        <v>4748</v>
      </c>
      <c r="J1388" t="s">
        <v>5322</v>
      </c>
      <c r="K1388">
        <v>10301</v>
      </c>
      <c r="L1388" t="s">
        <v>5355</v>
      </c>
      <c r="M1388" t="s">
        <v>5355</v>
      </c>
      <c r="N1388" t="s">
        <v>5681</v>
      </c>
      <c r="O1388" t="s">
        <v>6491</v>
      </c>
      <c r="P1388" t="s">
        <v>6530</v>
      </c>
      <c r="Q1388" t="s">
        <v>6534</v>
      </c>
      <c r="R1388" t="s">
        <v>6539</v>
      </c>
      <c r="S1388" t="s">
        <v>5357</v>
      </c>
      <c r="U1388" t="s">
        <v>6557</v>
      </c>
      <c r="V1388" t="s">
        <v>6566</v>
      </c>
      <c r="W1388" t="s">
        <v>270</v>
      </c>
      <c r="X1388">
        <v>300</v>
      </c>
      <c r="Y1388" t="s">
        <v>6607</v>
      </c>
      <c r="Z1388" t="s">
        <v>6613</v>
      </c>
      <c r="AA1388" t="s">
        <v>6637</v>
      </c>
      <c r="AB1388" t="s">
        <v>6678</v>
      </c>
      <c r="AC1388" t="s">
        <v>5392</v>
      </c>
      <c r="AE1388">
        <v>7</v>
      </c>
      <c r="AF1388" t="s">
        <v>11004</v>
      </c>
      <c r="AG1388" t="s">
        <v>5406</v>
      </c>
      <c r="AH1388">
        <v>1</v>
      </c>
      <c r="AI1388">
        <v>2</v>
      </c>
      <c r="AJ1388">
        <v>0</v>
      </c>
      <c r="AK1388">
        <v>0</v>
      </c>
      <c r="AN1388" t="s">
        <v>11051</v>
      </c>
      <c r="AO1388">
        <v>0</v>
      </c>
      <c r="AQ1388" t="s">
        <v>11190</v>
      </c>
      <c r="AR1388" t="s">
        <v>11213</v>
      </c>
      <c r="AS1388" t="s">
        <v>11253</v>
      </c>
      <c r="AT1388" t="s">
        <v>11285</v>
      </c>
      <c r="AU1388">
        <v>21</v>
      </c>
      <c r="AV1388" t="s">
        <v>697</v>
      </c>
      <c r="AW1388" t="s">
        <v>11510</v>
      </c>
    </row>
    <row r="1389" spans="1:49">
      <c r="A1389" s="1">
        <f>HYPERLINK("https://cms.ls-nyc.org/matter/dynamic-profile/view/1867612","18-1867612")</f>
        <v>0</v>
      </c>
      <c r="B1389" t="s">
        <v>63</v>
      </c>
      <c r="C1389" t="s">
        <v>234</v>
      </c>
      <c r="D1389" t="s">
        <v>382</v>
      </c>
      <c r="E1389" t="s">
        <v>680</v>
      </c>
      <c r="F1389" t="s">
        <v>1653</v>
      </c>
      <c r="G1389" t="s">
        <v>2563</v>
      </c>
      <c r="H1389" t="s">
        <v>4155</v>
      </c>
      <c r="I1389">
        <v>30</v>
      </c>
      <c r="J1389" t="s">
        <v>5322</v>
      </c>
      <c r="K1389">
        <v>10301</v>
      </c>
      <c r="L1389" t="s">
        <v>5355</v>
      </c>
      <c r="M1389" t="s">
        <v>5355</v>
      </c>
      <c r="N1389" t="s">
        <v>5682</v>
      </c>
      <c r="O1389" t="s">
        <v>6492</v>
      </c>
      <c r="P1389" t="s">
        <v>6530</v>
      </c>
      <c r="Q1389" t="s">
        <v>6534</v>
      </c>
      <c r="R1389" t="s">
        <v>6539</v>
      </c>
      <c r="S1389" t="s">
        <v>5357</v>
      </c>
      <c r="U1389" t="s">
        <v>6557</v>
      </c>
      <c r="V1389" t="s">
        <v>6566</v>
      </c>
      <c r="W1389" t="s">
        <v>382</v>
      </c>
      <c r="X1389">
        <v>1269.86</v>
      </c>
      <c r="Y1389" t="s">
        <v>6607</v>
      </c>
      <c r="Z1389" t="s">
        <v>6613</v>
      </c>
      <c r="AA1389" t="s">
        <v>6637</v>
      </c>
      <c r="AB1389" t="s">
        <v>7851</v>
      </c>
      <c r="AD1389" t="s">
        <v>10204</v>
      </c>
      <c r="AE1389">
        <v>109</v>
      </c>
      <c r="AF1389" t="s">
        <v>11005</v>
      </c>
      <c r="AG1389" t="s">
        <v>5406</v>
      </c>
      <c r="AH1389">
        <v>16</v>
      </c>
      <c r="AI1389">
        <v>1</v>
      </c>
      <c r="AJ1389">
        <v>0</v>
      </c>
      <c r="AK1389">
        <v>0</v>
      </c>
      <c r="AN1389" t="s">
        <v>11050</v>
      </c>
      <c r="AO1389">
        <v>0</v>
      </c>
      <c r="AQ1389" t="s">
        <v>11192</v>
      </c>
      <c r="AR1389" t="s">
        <v>11210</v>
      </c>
      <c r="AS1389" t="s">
        <v>11253</v>
      </c>
      <c r="AT1389" t="s">
        <v>11286</v>
      </c>
      <c r="AU1389">
        <v>14</v>
      </c>
      <c r="AV1389" t="s">
        <v>680</v>
      </c>
      <c r="AW1389" t="s">
        <v>11545</v>
      </c>
    </row>
    <row r="1390" spans="1:49">
      <c r="A1390" s="1">
        <f>HYPERLINK("https://cms.ls-nyc.org/matter/dynamic-profile/view/1866137","18-1866137")</f>
        <v>0</v>
      </c>
      <c r="B1390" t="s">
        <v>63</v>
      </c>
      <c r="C1390" t="s">
        <v>234</v>
      </c>
      <c r="D1390" t="s">
        <v>298</v>
      </c>
      <c r="E1390" t="s">
        <v>402</v>
      </c>
      <c r="F1390" t="s">
        <v>1654</v>
      </c>
      <c r="G1390" t="s">
        <v>2951</v>
      </c>
      <c r="H1390" t="s">
        <v>4156</v>
      </c>
      <c r="I1390">
        <v>328</v>
      </c>
      <c r="J1390" t="s">
        <v>5322</v>
      </c>
      <c r="K1390">
        <v>10301</v>
      </c>
      <c r="L1390" t="s">
        <v>5355</v>
      </c>
      <c r="M1390" t="s">
        <v>5356</v>
      </c>
      <c r="N1390" t="s">
        <v>5683</v>
      </c>
      <c r="O1390" t="s">
        <v>6493</v>
      </c>
      <c r="P1390" t="s">
        <v>6530</v>
      </c>
      <c r="Q1390" t="s">
        <v>6534</v>
      </c>
      <c r="R1390" t="s">
        <v>6539</v>
      </c>
      <c r="S1390" t="s">
        <v>5357</v>
      </c>
      <c r="U1390" t="s">
        <v>6557</v>
      </c>
      <c r="W1390" t="s">
        <v>298</v>
      </c>
      <c r="X1390">
        <v>1246</v>
      </c>
      <c r="Y1390" t="s">
        <v>6607</v>
      </c>
      <c r="Z1390" t="s">
        <v>6613</v>
      </c>
      <c r="AA1390" t="s">
        <v>6633</v>
      </c>
      <c r="AB1390" t="s">
        <v>6762</v>
      </c>
      <c r="AD1390" t="s">
        <v>10205</v>
      </c>
      <c r="AE1390">
        <v>100</v>
      </c>
      <c r="AF1390" t="s">
        <v>11014</v>
      </c>
      <c r="AG1390" t="s">
        <v>5406</v>
      </c>
      <c r="AH1390">
        <v>2</v>
      </c>
      <c r="AI1390">
        <v>1</v>
      </c>
      <c r="AJ1390">
        <v>0</v>
      </c>
      <c r="AK1390">
        <v>0</v>
      </c>
      <c r="AN1390" t="s">
        <v>11050</v>
      </c>
      <c r="AO1390">
        <v>0</v>
      </c>
      <c r="AU1390">
        <v>22.5</v>
      </c>
      <c r="AV1390" t="s">
        <v>402</v>
      </c>
      <c r="AW1390" t="s">
        <v>11510</v>
      </c>
    </row>
    <row r="1391" spans="1:49">
      <c r="A1391" s="1">
        <f>HYPERLINK("https://cms.ls-nyc.org/matter/dynamic-profile/view/1861174","18-1861174")</f>
        <v>0</v>
      </c>
      <c r="B1391" t="s">
        <v>76</v>
      </c>
      <c r="C1391" t="s">
        <v>234</v>
      </c>
      <c r="D1391" t="s">
        <v>259</v>
      </c>
      <c r="E1391" t="s">
        <v>726</v>
      </c>
      <c r="F1391" t="s">
        <v>1655</v>
      </c>
      <c r="G1391" t="s">
        <v>2952</v>
      </c>
      <c r="H1391" t="s">
        <v>4157</v>
      </c>
      <c r="J1391" t="s">
        <v>5323</v>
      </c>
      <c r="K1391">
        <v>10035</v>
      </c>
      <c r="L1391" t="s">
        <v>5355</v>
      </c>
      <c r="M1391" t="s">
        <v>5355</v>
      </c>
      <c r="N1391" t="s">
        <v>5684</v>
      </c>
      <c r="O1391" t="s">
        <v>6491</v>
      </c>
      <c r="P1391" t="s">
        <v>6530</v>
      </c>
      <c r="Q1391" t="s">
        <v>6535</v>
      </c>
      <c r="R1391" t="s">
        <v>6540</v>
      </c>
      <c r="S1391" t="s">
        <v>5357</v>
      </c>
      <c r="U1391" t="s">
        <v>6559</v>
      </c>
      <c r="V1391" t="s">
        <v>6566</v>
      </c>
      <c r="W1391" t="s">
        <v>259</v>
      </c>
      <c r="X1391">
        <v>3750</v>
      </c>
      <c r="Y1391" t="s">
        <v>6608</v>
      </c>
      <c r="Z1391" t="s">
        <v>6610</v>
      </c>
      <c r="AA1391" t="s">
        <v>6637</v>
      </c>
      <c r="AB1391" t="s">
        <v>7852</v>
      </c>
      <c r="AD1391" t="s">
        <v>10206</v>
      </c>
      <c r="AE1391">
        <v>0</v>
      </c>
      <c r="AF1391" t="s">
        <v>11004</v>
      </c>
      <c r="AH1391">
        <v>2</v>
      </c>
      <c r="AI1391">
        <v>1</v>
      </c>
      <c r="AJ1391">
        <v>1</v>
      </c>
      <c r="AK1391">
        <v>0</v>
      </c>
      <c r="AL1391" t="s">
        <v>11028</v>
      </c>
      <c r="AO1391">
        <v>0</v>
      </c>
      <c r="AU1391">
        <v>26.3</v>
      </c>
      <c r="AV1391" t="s">
        <v>670</v>
      </c>
      <c r="AW1391" t="s">
        <v>11498</v>
      </c>
    </row>
    <row r="1392" spans="1:49">
      <c r="A1392" s="1">
        <f>HYPERLINK("https://cms.ls-nyc.org/matter/dynamic-profile/view/1868797","18-1868797")</f>
        <v>0</v>
      </c>
      <c r="B1392" t="s">
        <v>111</v>
      </c>
      <c r="C1392" t="s">
        <v>234</v>
      </c>
      <c r="D1392" t="s">
        <v>315</v>
      </c>
      <c r="E1392" t="s">
        <v>724</v>
      </c>
      <c r="F1392" t="s">
        <v>855</v>
      </c>
      <c r="G1392" t="s">
        <v>2953</v>
      </c>
      <c r="H1392" t="s">
        <v>4158</v>
      </c>
      <c r="I1392" t="s">
        <v>5009</v>
      </c>
      <c r="J1392" t="s">
        <v>5323</v>
      </c>
      <c r="K1392">
        <v>10035</v>
      </c>
      <c r="L1392" t="s">
        <v>5355</v>
      </c>
      <c r="M1392" t="s">
        <v>5356</v>
      </c>
      <c r="O1392" t="s">
        <v>6492</v>
      </c>
      <c r="P1392" t="s">
        <v>6530</v>
      </c>
      <c r="Q1392" t="s">
        <v>6534</v>
      </c>
      <c r="R1392" t="s">
        <v>6539</v>
      </c>
      <c r="S1392" t="s">
        <v>5357</v>
      </c>
      <c r="U1392" t="s">
        <v>6557</v>
      </c>
      <c r="W1392" t="s">
        <v>315</v>
      </c>
      <c r="X1392">
        <v>1900</v>
      </c>
      <c r="Y1392" t="s">
        <v>6608</v>
      </c>
      <c r="Z1392" t="s">
        <v>6610</v>
      </c>
      <c r="AA1392" t="s">
        <v>6633</v>
      </c>
      <c r="AB1392" t="s">
        <v>7853</v>
      </c>
      <c r="AD1392" t="s">
        <v>10207</v>
      </c>
      <c r="AE1392">
        <v>9</v>
      </c>
      <c r="AF1392" t="s">
        <v>11005</v>
      </c>
      <c r="AG1392" t="s">
        <v>5406</v>
      </c>
      <c r="AH1392">
        <v>0</v>
      </c>
      <c r="AI1392">
        <v>1</v>
      </c>
      <c r="AJ1392">
        <v>1</v>
      </c>
      <c r="AK1392">
        <v>0</v>
      </c>
      <c r="AN1392" t="s">
        <v>11050</v>
      </c>
      <c r="AO1392">
        <v>0</v>
      </c>
      <c r="AU1392">
        <v>12.55</v>
      </c>
      <c r="AV1392" t="s">
        <v>11464</v>
      </c>
      <c r="AW1392" t="s">
        <v>11498</v>
      </c>
    </row>
    <row r="1393" spans="1:49">
      <c r="A1393" s="1">
        <f>HYPERLINK("https://cms.ls-nyc.org/matter/dynamic-profile/view/1841172","17-1841172")</f>
        <v>0</v>
      </c>
      <c r="B1393" t="s">
        <v>92</v>
      </c>
      <c r="C1393" t="s">
        <v>234</v>
      </c>
      <c r="D1393" t="s">
        <v>276</v>
      </c>
      <c r="E1393" t="s">
        <v>718</v>
      </c>
      <c r="F1393" t="s">
        <v>1656</v>
      </c>
      <c r="G1393" t="s">
        <v>2954</v>
      </c>
      <c r="H1393" t="s">
        <v>4159</v>
      </c>
      <c r="I1393" t="s">
        <v>4825</v>
      </c>
      <c r="J1393" t="s">
        <v>5323</v>
      </c>
      <c r="K1393">
        <v>10034</v>
      </c>
      <c r="L1393" t="s">
        <v>5355</v>
      </c>
      <c r="M1393" t="s">
        <v>5356</v>
      </c>
      <c r="N1393" t="s">
        <v>5685</v>
      </c>
      <c r="O1393" t="s">
        <v>6495</v>
      </c>
      <c r="P1393" t="s">
        <v>6530</v>
      </c>
      <c r="Q1393" t="s">
        <v>6537</v>
      </c>
      <c r="R1393" t="s">
        <v>6539</v>
      </c>
      <c r="S1393" t="s">
        <v>5357</v>
      </c>
      <c r="T1393" t="s">
        <v>6539</v>
      </c>
      <c r="U1393" t="s">
        <v>6557</v>
      </c>
      <c r="V1393" t="s">
        <v>6570</v>
      </c>
      <c r="W1393" t="s">
        <v>276</v>
      </c>
      <c r="X1393">
        <v>1108</v>
      </c>
      <c r="Y1393" t="s">
        <v>6608</v>
      </c>
      <c r="Z1393" t="s">
        <v>6615</v>
      </c>
      <c r="AA1393" t="s">
        <v>6637</v>
      </c>
      <c r="AB1393" t="s">
        <v>6887</v>
      </c>
      <c r="AC1393" t="s">
        <v>8863</v>
      </c>
      <c r="AD1393" t="s">
        <v>10208</v>
      </c>
      <c r="AE1393">
        <v>16</v>
      </c>
      <c r="AF1393" t="s">
        <v>11005</v>
      </c>
      <c r="AG1393" t="s">
        <v>5406</v>
      </c>
      <c r="AH1393">
        <v>9</v>
      </c>
      <c r="AI1393">
        <v>2</v>
      </c>
      <c r="AJ1393">
        <v>1</v>
      </c>
      <c r="AK1393">
        <v>0</v>
      </c>
      <c r="AN1393" t="s">
        <v>11049</v>
      </c>
      <c r="AO1393">
        <v>0</v>
      </c>
      <c r="AP1393" t="s">
        <v>11152</v>
      </c>
      <c r="AU1393">
        <v>62.58</v>
      </c>
      <c r="AV1393" t="s">
        <v>298</v>
      </c>
      <c r="AW1393" t="s">
        <v>11546</v>
      </c>
    </row>
    <row r="1394" spans="1:49">
      <c r="A1394" s="1">
        <f>HYPERLINK("https://cms.ls-nyc.org/matter/dynamic-profile/view/1837705","17-1837705")</f>
        <v>0</v>
      </c>
      <c r="B1394" t="s">
        <v>92</v>
      </c>
      <c r="C1394" t="s">
        <v>234</v>
      </c>
      <c r="D1394" t="s">
        <v>554</v>
      </c>
      <c r="E1394" t="s">
        <v>680</v>
      </c>
      <c r="F1394" t="s">
        <v>928</v>
      </c>
      <c r="G1394" t="s">
        <v>2785</v>
      </c>
      <c r="H1394" t="s">
        <v>4160</v>
      </c>
      <c r="I1394">
        <v>8</v>
      </c>
      <c r="J1394" t="s">
        <v>5323</v>
      </c>
      <c r="K1394">
        <v>10034</v>
      </c>
      <c r="L1394" t="s">
        <v>5355</v>
      </c>
      <c r="M1394" t="s">
        <v>5357</v>
      </c>
      <c r="N1394" t="s">
        <v>5686</v>
      </c>
      <c r="O1394" t="s">
        <v>6492</v>
      </c>
      <c r="P1394" t="s">
        <v>6530</v>
      </c>
      <c r="Q1394" t="s">
        <v>6534</v>
      </c>
      <c r="R1394" t="s">
        <v>6539</v>
      </c>
      <c r="S1394" t="s">
        <v>5357</v>
      </c>
      <c r="U1394" t="s">
        <v>6557</v>
      </c>
      <c r="W1394" t="s">
        <v>6583</v>
      </c>
      <c r="X1394">
        <v>1668</v>
      </c>
      <c r="Y1394" t="s">
        <v>6608</v>
      </c>
      <c r="Z1394" t="s">
        <v>6622</v>
      </c>
      <c r="AA1394" t="s">
        <v>6637</v>
      </c>
      <c r="AB1394" t="s">
        <v>7854</v>
      </c>
      <c r="AC1394" t="s">
        <v>8864</v>
      </c>
      <c r="AD1394" t="s">
        <v>10209</v>
      </c>
      <c r="AE1394">
        <v>23</v>
      </c>
      <c r="AF1394" t="s">
        <v>11005</v>
      </c>
      <c r="AG1394" t="s">
        <v>5406</v>
      </c>
      <c r="AH1394">
        <v>20</v>
      </c>
      <c r="AI1394">
        <v>2</v>
      </c>
      <c r="AJ1394">
        <v>0</v>
      </c>
      <c r="AK1394">
        <v>0</v>
      </c>
      <c r="AN1394" t="s">
        <v>11049</v>
      </c>
      <c r="AO1394">
        <v>0</v>
      </c>
      <c r="AP1394" t="s">
        <v>11153</v>
      </c>
      <c r="AQ1394" t="s">
        <v>11192</v>
      </c>
      <c r="AR1394" t="s">
        <v>11213</v>
      </c>
      <c r="AS1394" t="s">
        <v>11253</v>
      </c>
      <c r="AT1394" t="s">
        <v>11287</v>
      </c>
      <c r="AU1394">
        <v>38.53</v>
      </c>
      <c r="AV1394" t="s">
        <v>352</v>
      </c>
      <c r="AW1394" t="s">
        <v>92</v>
      </c>
    </row>
    <row r="1395" spans="1:49">
      <c r="A1395" s="1">
        <f>HYPERLINK("https://cms.ls-nyc.org/matter/dynamic-profile/view/1848326","17-1848326")</f>
        <v>0</v>
      </c>
      <c r="B1395" t="s">
        <v>111</v>
      </c>
      <c r="C1395" t="s">
        <v>235</v>
      </c>
      <c r="D1395" t="s">
        <v>465</v>
      </c>
      <c r="F1395" t="s">
        <v>1657</v>
      </c>
      <c r="G1395" t="s">
        <v>2955</v>
      </c>
      <c r="H1395" t="s">
        <v>4032</v>
      </c>
      <c r="I1395">
        <v>201</v>
      </c>
      <c r="J1395" t="s">
        <v>5323</v>
      </c>
      <c r="K1395">
        <v>10034</v>
      </c>
      <c r="L1395" t="s">
        <v>5355</v>
      </c>
      <c r="M1395" t="s">
        <v>5356</v>
      </c>
      <c r="N1395" t="s">
        <v>5687</v>
      </c>
      <c r="O1395" t="s">
        <v>6492</v>
      </c>
      <c r="P1395" t="s">
        <v>6530</v>
      </c>
      <c r="R1395" t="s">
        <v>6539</v>
      </c>
      <c r="S1395" t="s">
        <v>5357</v>
      </c>
      <c r="U1395" t="s">
        <v>6557</v>
      </c>
      <c r="W1395" t="s">
        <v>426</v>
      </c>
      <c r="X1395">
        <v>1374</v>
      </c>
      <c r="Y1395" t="s">
        <v>6608</v>
      </c>
      <c r="Z1395" t="s">
        <v>6616</v>
      </c>
      <c r="AB1395" t="s">
        <v>7855</v>
      </c>
      <c r="AD1395" t="s">
        <v>10210</v>
      </c>
      <c r="AE1395">
        <v>72</v>
      </c>
      <c r="AF1395" t="s">
        <v>11005</v>
      </c>
      <c r="AG1395" t="s">
        <v>5406</v>
      </c>
      <c r="AH1395">
        <v>9</v>
      </c>
      <c r="AI1395">
        <v>1</v>
      </c>
      <c r="AJ1395">
        <v>1</v>
      </c>
      <c r="AK1395">
        <v>0</v>
      </c>
      <c r="AN1395" t="s">
        <v>11049</v>
      </c>
      <c r="AO1395">
        <v>0</v>
      </c>
      <c r="AU1395">
        <v>80.8</v>
      </c>
      <c r="AV1395" t="s">
        <v>678</v>
      </c>
      <c r="AW1395" t="s">
        <v>11495</v>
      </c>
    </row>
    <row r="1396" spans="1:49">
      <c r="A1396" s="1">
        <f>HYPERLINK("https://cms.ls-nyc.org/matter/dynamic-profile/view/1851526","17-1851526")</f>
        <v>0</v>
      </c>
      <c r="B1396" t="s">
        <v>92</v>
      </c>
      <c r="C1396" t="s">
        <v>234</v>
      </c>
      <c r="D1396" t="s">
        <v>277</v>
      </c>
      <c r="E1396" t="s">
        <v>704</v>
      </c>
      <c r="F1396" t="s">
        <v>925</v>
      </c>
      <c r="G1396" t="s">
        <v>2633</v>
      </c>
      <c r="H1396" t="s">
        <v>4161</v>
      </c>
      <c r="I1396">
        <v>64</v>
      </c>
      <c r="J1396" t="s">
        <v>5323</v>
      </c>
      <c r="K1396">
        <v>10034</v>
      </c>
      <c r="L1396" t="s">
        <v>5355</v>
      </c>
      <c r="M1396" t="s">
        <v>5355</v>
      </c>
      <c r="N1396" t="s">
        <v>5688</v>
      </c>
      <c r="O1396" t="s">
        <v>6492</v>
      </c>
      <c r="P1396" t="s">
        <v>6530</v>
      </c>
      <c r="Q1396" t="s">
        <v>6534</v>
      </c>
      <c r="R1396" t="s">
        <v>6539</v>
      </c>
      <c r="S1396" t="s">
        <v>5357</v>
      </c>
      <c r="T1396" t="s">
        <v>6539</v>
      </c>
      <c r="U1396" t="s">
        <v>6557</v>
      </c>
      <c r="V1396" t="s">
        <v>6567</v>
      </c>
      <c r="W1396" t="s">
        <v>304</v>
      </c>
      <c r="X1396">
        <v>1085</v>
      </c>
      <c r="Y1396" t="s">
        <v>6608</v>
      </c>
      <c r="Z1396" t="s">
        <v>6616</v>
      </c>
      <c r="AA1396" t="s">
        <v>6637</v>
      </c>
      <c r="AB1396" t="s">
        <v>7856</v>
      </c>
      <c r="AD1396" t="s">
        <v>10211</v>
      </c>
      <c r="AE1396">
        <v>38</v>
      </c>
      <c r="AF1396" t="s">
        <v>11005</v>
      </c>
      <c r="AG1396" t="s">
        <v>5406</v>
      </c>
      <c r="AH1396">
        <v>19</v>
      </c>
      <c r="AI1396">
        <v>1</v>
      </c>
      <c r="AJ1396">
        <v>0</v>
      </c>
      <c r="AK1396">
        <v>0</v>
      </c>
      <c r="AN1396" t="s">
        <v>11050</v>
      </c>
      <c r="AO1396">
        <v>0</v>
      </c>
      <c r="AQ1396" t="s">
        <v>11190</v>
      </c>
      <c r="AR1396" t="s">
        <v>11216</v>
      </c>
      <c r="AS1396" t="s">
        <v>11253</v>
      </c>
      <c r="AT1396" t="s">
        <v>11288</v>
      </c>
      <c r="AU1396">
        <v>56.7</v>
      </c>
      <c r="AV1396" t="s">
        <v>568</v>
      </c>
      <c r="AW1396" t="s">
        <v>11515</v>
      </c>
    </row>
    <row r="1397" spans="1:49">
      <c r="A1397" s="1">
        <f>HYPERLINK("https://cms.ls-nyc.org/matter/dynamic-profile/view/1860127","18-1860127")</f>
        <v>0</v>
      </c>
      <c r="B1397" t="s">
        <v>65</v>
      </c>
      <c r="C1397" t="s">
        <v>234</v>
      </c>
      <c r="D1397" t="s">
        <v>260</v>
      </c>
      <c r="E1397" t="s">
        <v>716</v>
      </c>
      <c r="F1397" t="s">
        <v>1340</v>
      </c>
      <c r="G1397" t="s">
        <v>2135</v>
      </c>
      <c r="H1397" t="s">
        <v>3934</v>
      </c>
      <c r="I1397" t="s">
        <v>4862</v>
      </c>
      <c r="J1397" t="s">
        <v>5323</v>
      </c>
      <c r="K1397">
        <v>10034</v>
      </c>
      <c r="L1397" t="s">
        <v>5355</v>
      </c>
      <c r="M1397" t="s">
        <v>5355</v>
      </c>
      <c r="N1397" t="s">
        <v>5689</v>
      </c>
      <c r="O1397" t="s">
        <v>6492</v>
      </c>
      <c r="P1397" t="s">
        <v>6530</v>
      </c>
      <c r="Q1397" t="s">
        <v>6534</v>
      </c>
      <c r="R1397" t="s">
        <v>6539</v>
      </c>
      <c r="U1397" t="s">
        <v>6557</v>
      </c>
      <c r="W1397" t="s">
        <v>260</v>
      </c>
      <c r="X1397">
        <v>1625</v>
      </c>
      <c r="Y1397" t="s">
        <v>6608</v>
      </c>
      <c r="Z1397" t="s">
        <v>6616</v>
      </c>
      <c r="AA1397" t="s">
        <v>6637</v>
      </c>
      <c r="AB1397" t="s">
        <v>7315</v>
      </c>
      <c r="AC1397" t="s">
        <v>8865</v>
      </c>
      <c r="AD1397" t="s">
        <v>9690</v>
      </c>
      <c r="AE1397">
        <v>40</v>
      </c>
      <c r="AF1397" t="s">
        <v>11005</v>
      </c>
      <c r="AG1397" t="s">
        <v>5406</v>
      </c>
      <c r="AH1397">
        <v>4</v>
      </c>
      <c r="AI1397">
        <v>2</v>
      </c>
      <c r="AJ1397">
        <v>1</v>
      </c>
      <c r="AK1397">
        <v>0</v>
      </c>
      <c r="AN1397" t="s">
        <v>11049</v>
      </c>
      <c r="AO1397">
        <v>0</v>
      </c>
      <c r="AU1397">
        <v>25</v>
      </c>
      <c r="AV1397" t="s">
        <v>688</v>
      </c>
      <c r="AW1397" t="s">
        <v>11495</v>
      </c>
    </row>
    <row r="1398" spans="1:49">
      <c r="A1398" s="1">
        <f>HYPERLINK("https://cms.ls-nyc.org/matter/dynamic-profile/view/1860845","18-1860845")</f>
        <v>0</v>
      </c>
      <c r="B1398" t="s">
        <v>111</v>
      </c>
      <c r="C1398" t="s">
        <v>234</v>
      </c>
      <c r="D1398" t="s">
        <v>306</v>
      </c>
      <c r="E1398" t="s">
        <v>788</v>
      </c>
      <c r="F1398" t="s">
        <v>1658</v>
      </c>
      <c r="G1398" t="s">
        <v>2956</v>
      </c>
      <c r="H1398" t="s">
        <v>4162</v>
      </c>
      <c r="I1398" t="s">
        <v>4891</v>
      </c>
      <c r="J1398" t="s">
        <v>5323</v>
      </c>
      <c r="K1398">
        <v>10034</v>
      </c>
      <c r="L1398" t="s">
        <v>5355</v>
      </c>
      <c r="M1398" t="s">
        <v>5356</v>
      </c>
      <c r="N1398" t="s">
        <v>5690</v>
      </c>
      <c r="O1398" t="s">
        <v>6492</v>
      </c>
      <c r="P1398" t="s">
        <v>6530</v>
      </c>
      <c r="Q1398" t="s">
        <v>6534</v>
      </c>
      <c r="R1398" t="s">
        <v>6539</v>
      </c>
      <c r="S1398" t="s">
        <v>5357</v>
      </c>
      <c r="U1398" t="s">
        <v>6557</v>
      </c>
      <c r="W1398" t="s">
        <v>306</v>
      </c>
      <c r="X1398">
        <v>1650</v>
      </c>
      <c r="Y1398" t="s">
        <v>6608</v>
      </c>
      <c r="Z1398" t="s">
        <v>6616</v>
      </c>
      <c r="AA1398" t="s">
        <v>6637</v>
      </c>
      <c r="AB1398" t="s">
        <v>7857</v>
      </c>
      <c r="AD1398" t="s">
        <v>10212</v>
      </c>
      <c r="AE1398">
        <v>49</v>
      </c>
      <c r="AF1398" t="s">
        <v>11005</v>
      </c>
      <c r="AG1398" t="s">
        <v>5406</v>
      </c>
      <c r="AH1398">
        <v>5</v>
      </c>
      <c r="AI1398">
        <v>1</v>
      </c>
      <c r="AJ1398">
        <v>0</v>
      </c>
      <c r="AK1398">
        <v>0</v>
      </c>
      <c r="AN1398" t="s">
        <v>11050</v>
      </c>
      <c r="AO1398">
        <v>0</v>
      </c>
      <c r="AU1398">
        <v>69</v>
      </c>
      <c r="AV1398" t="s">
        <v>11458</v>
      </c>
      <c r="AW1398" t="s">
        <v>11495</v>
      </c>
    </row>
    <row r="1399" spans="1:49">
      <c r="A1399" s="1">
        <f>HYPERLINK("https://cms.ls-nyc.org/matter/dynamic-profile/view/1869863","18-1869863")</f>
        <v>0</v>
      </c>
      <c r="B1399" t="s">
        <v>190</v>
      </c>
      <c r="C1399" t="s">
        <v>234</v>
      </c>
      <c r="D1399" t="s">
        <v>313</v>
      </c>
      <c r="E1399" t="s">
        <v>687</v>
      </c>
      <c r="F1399" t="s">
        <v>1659</v>
      </c>
      <c r="G1399" t="s">
        <v>2957</v>
      </c>
      <c r="H1399" t="s">
        <v>4163</v>
      </c>
      <c r="I1399">
        <v>2</v>
      </c>
      <c r="J1399" t="s">
        <v>5323</v>
      </c>
      <c r="K1399">
        <v>10034</v>
      </c>
      <c r="L1399" t="s">
        <v>5355</v>
      </c>
      <c r="M1399" t="s">
        <v>5355</v>
      </c>
      <c r="N1399" t="s">
        <v>5691</v>
      </c>
      <c r="O1399" t="s">
        <v>6492</v>
      </c>
      <c r="P1399" t="s">
        <v>6530</v>
      </c>
      <c r="Q1399" t="s">
        <v>6534</v>
      </c>
      <c r="R1399" t="s">
        <v>6539</v>
      </c>
      <c r="S1399" t="s">
        <v>5357</v>
      </c>
      <c r="U1399" t="s">
        <v>6557</v>
      </c>
      <c r="W1399" t="s">
        <v>313</v>
      </c>
      <c r="X1399">
        <v>1548</v>
      </c>
      <c r="Y1399" t="s">
        <v>6608</v>
      </c>
      <c r="Z1399" t="s">
        <v>6616</v>
      </c>
      <c r="AA1399" t="s">
        <v>6637</v>
      </c>
      <c r="AB1399" t="s">
        <v>7858</v>
      </c>
      <c r="AD1399" t="s">
        <v>10213</v>
      </c>
      <c r="AE1399">
        <v>41</v>
      </c>
      <c r="AF1399" t="s">
        <v>11005</v>
      </c>
      <c r="AG1399" t="s">
        <v>5406</v>
      </c>
      <c r="AH1399">
        <v>6</v>
      </c>
      <c r="AI1399">
        <v>1</v>
      </c>
      <c r="AJ1399">
        <v>4</v>
      </c>
      <c r="AK1399">
        <v>0</v>
      </c>
      <c r="AN1399" t="s">
        <v>11049</v>
      </c>
      <c r="AO1399">
        <v>0</v>
      </c>
      <c r="AU1399">
        <v>30.05</v>
      </c>
      <c r="AV1399" t="s">
        <v>741</v>
      </c>
      <c r="AW1399" t="s">
        <v>11495</v>
      </c>
    </row>
    <row r="1400" spans="1:49">
      <c r="A1400" s="1">
        <f>HYPERLINK("https://cms.ls-nyc.org/matter/dynamic-profile/view/1861273","18-1861273")</f>
        <v>0</v>
      </c>
      <c r="B1400" t="s">
        <v>76</v>
      </c>
      <c r="C1400" t="s">
        <v>234</v>
      </c>
      <c r="D1400" t="s">
        <v>444</v>
      </c>
      <c r="E1400" t="s">
        <v>726</v>
      </c>
      <c r="F1400" t="s">
        <v>1139</v>
      </c>
      <c r="G1400" t="s">
        <v>2389</v>
      </c>
      <c r="H1400" t="s">
        <v>3748</v>
      </c>
      <c r="I1400" t="s">
        <v>4882</v>
      </c>
      <c r="J1400" t="s">
        <v>5323</v>
      </c>
      <c r="K1400">
        <v>10031</v>
      </c>
      <c r="L1400" t="s">
        <v>5355</v>
      </c>
      <c r="M1400" t="s">
        <v>5355</v>
      </c>
      <c r="N1400" t="s">
        <v>5692</v>
      </c>
      <c r="O1400" t="s">
        <v>6491</v>
      </c>
      <c r="P1400" t="s">
        <v>6530</v>
      </c>
      <c r="Q1400" t="s">
        <v>6534</v>
      </c>
      <c r="R1400" t="s">
        <v>6539</v>
      </c>
      <c r="S1400" t="s">
        <v>5357</v>
      </c>
      <c r="U1400" t="s">
        <v>6557</v>
      </c>
      <c r="W1400" t="s">
        <v>444</v>
      </c>
      <c r="X1400">
        <v>3243</v>
      </c>
      <c r="Y1400" t="s">
        <v>6608</v>
      </c>
      <c r="Z1400" t="s">
        <v>6625</v>
      </c>
      <c r="AA1400" t="s">
        <v>6637</v>
      </c>
      <c r="AB1400" t="s">
        <v>7010</v>
      </c>
      <c r="AD1400" t="s">
        <v>9414</v>
      </c>
      <c r="AE1400">
        <v>282</v>
      </c>
      <c r="AF1400" t="s">
        <v>11005</v>
      </c>
      <c r="AG1400" t="s">
        <v>11020</v>
      </c>
      <c r="AH1400">
        <v>27</v>
      </c>
      <c r="AI1400">
        <v>2</v>
      </c>
      <c r="AJ1400">
        <v>2</v>
      </c>
      <c r="AK1400">
        <v>0</v>
      </c>
      <c r="AL1400" t="s">
        <v>246</v>
      </c>
      <c r="AN1400" t="s">
        <v>11050</v>
      </c>
      <c r="AO1400">
        <v>0</v>
      </c>
      <c r="AU1400">
        <v>9.5</v>
      </c>
      <c r="AV1400" t="s">
        <v>331</v>
      </c>
      <c r="AW1400" t="s">
        <v>11497</v>
      </c>
    </row>
    <row r="1401" spans="1:49">
      <c r="A1401" s="1">
        <f>HYPERLINK("https://cms.ls-nyc.org/matter/dynamic-profile/view/1861651","18-1861651")</f>
        <v>0</v>
      </c>
      <c r="B1401" t="s">
        <v>76</v>
      </c>
      <c r="C1401" t="s">
        <v>234</v>
      </c>
      <c r="D1401" t="s">
        <v>362</v>
      </c>
      <c r="E1401" t="s">
        <v>726</v>
      </c>
      <c r="F1401" t="s">
        <v>1139</v>
      </c>
      <c r="G1401" t="s">
        <v>2389</v>
      </c>
      <c r="H1401" t="s">
        <v>3748</v>
      </c>
      <c r="I1401" t="s">
        <v>4882</v>
      </c>
      <c r="J1401" t="s">
        <v>5323</v>
      </c>
      <c r="K1401">
        <v>10031</v>
      </c>
      <c r="L1401" t="s">
        <v>5355</v>
      </c>
      <c r="M1401" t="s">
        <v>5355</v>
      </c>
      <c r="N1401" t="s">
        <v>5693</v>
      </c>
      <c r="O1401" t="s">
        <v>6494</v>
      </c>
      <c r="P1401" t="s">
        <v>6530</v>
      </c>
      <c r="Q1401" t="s">
        <v>6534</v>
      </c>
      <c r="R1401" t="s">
        <v>6539</v>
      </c>
      <c r="S1401" t="s">
        <v>5357</v>
      </c>
      <c r="U1401" t="s">
        <v>6557</v>
      </c>
      <c r="W1401" t="s">
        <v>362</v>
      </c>
      <c r="X1401">
        <v>3243</v>
      </c>
      <c r="Y1401" t="s">
        <v>6608</v>
      </c>
      <c r="Z1401" t="s">
        <v>6625</v>
      </c>
      <c r="AA1401" t="s">
        <v>6654</v>
      </c>
      <c r="AB1401" t="s">
        <v>7010</v>
      </c>
      <c r="AD1401" t="s">
        <v>9414</v>
      </c>
      <c r="AE1401">
        <v>282</v>
      </c>
      <c r="AF1401" t="s">
        <v>11005</v>
      </c>
      <c r="AG1401" t="s">
        <v>11020</v>
      </c>
      <c r="AH1401">
        <v>27</v>
      </c>
      <c r="AI1401">
        <v>2</v>
      </c>
      <c r="AJ1401">
        <v>2</v>
      </c>
      <c r="AK1401">
        <v>0</v>
      </c>
      <c r="AL1401" t="s">
        <v>246</v>
      </c>
      <c r="AN1401" t="s">
        <v>11050</v>
      </c>
      <c r="AO1401">
        <v>0</v>
      </c>
      <c r="AU1401">
        <v>20</v>
      </c>
      <c r="AV1401" t="s">
        <v>697</v>
      </c>
      <c r="AW1401" t="s">
        <v>11497</v>
      </c>
    </row>
    <row r="1402" spans="1:49">
      <c r="A1402" s="1">
        <f>HYPERLINK("https://cms.ls-nyc.org/matter/dynamic-profile/view/1835400","17-1835400")</f>
        <v>0</v>
      </c>
      <c r="B1402" t="s">
        <v>92</v>
      </c>
      <c r="C1402" t="s">
        <v>234</v>
      </c>
      <c r="D1402" t="s">
        <v>555</v>
      </c>
      <c r="E1402" t="s">
        <v>789</v>
      </c>
      <c r="F1402" t="s">
        <v>1573</v>
      </c>
      <c r="G1402" t="s">
        <v>2958</v>
      </c>
      <c r="H1402" t="s">
        <v>4164</v>
      </c>
      <c r="I1402" t="s">
        <v>4825</v>
      </c>
      <c r="J1402" t="s">
        <v>5323</v>
      </c>
      <c r="K1402">
        <v>10031</v>
      </c>
      <c r="L1402" t="s">
        <v>5355</v>
      </c>
      <c r="M1402" t="s">
        <v>5355</v>
      </c>
      <c r="N1402" t="s">
        <v>5694</v>
      </c>
      <c r="O1402" t="s">
        <v>6492</v>
      </c>
      <c r="P1402" t="s">
        <v>6530</v>
      </c>
      <c r="Q1402" t="s">
        <v>6534</v>
      </c>
      <c r="R1402" t="s">
        <v>6540</v>
      </c>
      <c r="S1402" t="s">
        <v>5357</v>
      </c>
      <c r="U1402" t="s">
        <v>6557</v>
      </c>
      <c r="W1402" t="s">
        <v>441</v>
      </c>
      <c r="X1402">
        <v>800</v>
      </c>
      <c r="Y1402" t="s">
        <v>6608</v>
      </c>
      <c r="Z1402" t="s">
        <v>6610</v>
      </c>
      <c r="AA1402" t="s">
        <v>6637</v>
      </c>
      <c r="AB1402" t="s">
        <v>7859</v>
      </c>
      <c r="AD1402" t="s">
        <v>10214</v>
      </c>
      <c r="AE1402">
        <v>119</v>
      </c>
      <c r="AF1402" t="s">
        <v>11005</v>
      </c>
      <c r="AG1402" t="s">
        <v>5406</v>
      </c>
      <c r="AH1402">
        <v>8</v>
      </c>
      <c r="AI1402">
        <v>1</v>
      </c>
      <c r="AJ1402">
        <v>0</v>
      </c>
      <c r="AK1402">
        <v>0</v>
      </c>
      <c r="AL1402" t="s">
        <v>11028</v>
      </c>
      <c r="AN1402" t="s">
        <v>11049</v>
      </c>
      <c r="AO1402">
        <v>0</v>
      </c>
      <c r="AU1402">
        <v>69.18000000000001</v>
      </c>
      <c r="AV1402" t="s">
        <v>361</v>
      </c>
      <c r="AW1402" t="s">
        <v>11525</v>
      </c>
    </row>
    <row r="1403" spans="1:49">
      <c r="A1403" s="1">
        <f>HYPERLINK("https://cms.ls-nyc.org/matter/dynamic-profile/view/1864805","18-1864805")</f>
        <v>0</v>
      </c>
      <c r="B1403" t="s">
        <v>76</v>
      </c>
      <c r="C1403" t="s">
        <v>234</v>
      </c>
      <c r="D1403" t="s">
        <v>395</v>
      </c>
      <c r="E1403" t="s">
        <v>726</v>
      </c>
      <c r="F1403" t="s">
        <v>1139</v>
      </c>
      <c r="G1403" t="s">
        <v>2389</v>
      </c>
      <c r="H1403" t="s">
        <v>3748</v>
      </c>
      <c r="I1403" t="s">
        <v>4882</v>
      </c>
      <c r="J1403" t="s">
        <v>5323</v>
      </c>
      <c r="K1403">
        <v>10031</v>
      </c>
      <c r="L1403" t="s">
        <v>5355</v>
      </c>
      <c r="M1403" t="s">
        <v>5356</v>
      </c>
      <c r="N1403" t="s">
        <v>5695</v>
      </c>
      <c r="O1403" t="s">
        <v>6492</v>
      </c>
      <c r="P1403" t="s">
        <v>6530</v>
      </c>
      <c r="Q1403" t="s">
        <v>6535</v>
      </c>
      <c r="R1403" t="s">
        <v>6539</v>
      </c>
      <c r="S1403" t="s">
        <v>5357</v>
      </c>
      <c r="U1403" t="s">
        <v>6557</v>
      </c>
      <c r="W1403" t="s">
        <v>395</v>
      </c>
      <c r="X1403">
        <v>3243</v>
      </c>
      <c r="Y1403" t="s">
        <v>6608</v>
      </c>
      <c r="Z1403" t="s">
        <v>6625</v>
      </c>
      <c r="AA1403" t="s">
        <v>6637</v>
      </c>
      <c r="AB1403" t="s">
        <v>7010</v>
      </c>
      <c r="AD1403" t="s">
        <v>9414</v>
      </c>
      <c r="AE1403">
        <v>282</v>
      </c>
      <c r="AF1403" t="s">
        <v>11005</v>
      </c>
      <c r="AG1403" t="s">
        <v>11020</v>
      </c>
      <c r="AH1403">
        <v>27</v>
      </c>
      <c r="AI1403">
        <v>2</v>
      </c>
      <c r="AJ1403">
        <v>2</v>
      </c>
      <c r="AK1403">
        <v>0</v>
      </c>
      <c r="AL1403" t="s">
        <v>246</v>
      </c>
      <c r="AN1403" t="s">
        <v>11050</v>
      </c>
      <c r="AO1403">
        <v>0</v>
      </c>
      <c r="AP1403" t="s">
        <v>11154</v>
      </c>
      <c r="AU1403">
        <v>5.75</v>
      </c>
      <c r="AV1403" t="s">
        <v>733</v>
      </c>
      <c r="AW1403" t="s">
        <v>11497</v>
      </c>
    </row>
    <row r="1404" spans="1:49">
      <c r="A1404" s="1">
        <f>HYPERLINK("https://cms.ls-nyc.org/matter/dynamic-profile/view/1863758","18-1863758")</f>
        <v>0</v>
      </c>
      <c r="B1404" t="s">
        <v>92</v>
      </c>
      <c r="C1404" t="s">
        <v>235</v>
      </c>
      <c r="D1404" t="s">
        <v>288</v>
      </c>
      <c r="F1404" t="s">
        <v>1660</v>
      </c>
      <c r="G1404" t="s">
        <v>2959</v>
      </c>
      <c r="H1404" t="s">
        <v>3579</v>
      </c>
      <c r="I1404">
        <v>712</v>
      </c>
      <c r="J1404" t="s">
        <v>5323</v>
      </c>
      <c r="K1404">
        <v>10029</v>
      </c>
      <c r="L1404" t="s">
        <v>5355</v>
      </c>
      <c r="M1404" t="s">
        <v>5355</v>
      </c>
      <c r="N1404" t="s">
        <v>5632</v>
      </c>
      <c r="O1404" t="s">
        <v>6494</v>
      </c>
      <c r="P1404" t="s">
        <v>6530</v>
      </c>
      <c r="R1404" t="s">
        <v>6539</v>
      </c>
      <c r="S1404" t="s">
        <v>5355</v>
      </c>
      <c r="U1404" t="s">
        <v>6557</v>
      </c>
      <c r="V1404" t="s">
        <v>6566</v>
      </c>
      <c r="W1404" t="s">
        <v>263</v>
      </c>
      <c r="X1404">
        <v>0</v>
      </c>
      <c r="Y1404" t="s">
        <v>6608</v>
      </c>
      <c r="Z1404" t="s">
        <v>6622</v>
      </c>
      <c r="AB1404" t="s">
        <v>7860</v>
      </c>
      <c r="AD1404" t="s">
        <v>10215</v>
      </c>
      <c r="AE1404">
        <v>108</v>
      </c>
      <c r="AF1404" t="s">
        <v>11008</v>
      </c>
      <c r="AG1404" t="s">
        <v>11020</v>
      </c>
      <c r="AH1404">
        <v>20</v>
      </c>
      <c r="AI1404">
        <v>2</v>
      </c>
      <c r="AJ1404">
        <v>1</v>
      </c>
      <c r="AK1404">
        <v>0</v>
      </c>
      <c r="AN1404" t="s">
        <v>11050</v>
      </c>
      <c r="AO1404">
        <v>0</v>
      </c>
      <c r="AP1404" t="s">
        <v>11097</v>
      </c>
      <c r="AU1404">
        <v>0.25</v>
      </c>
      <c r="AV1404" t="s">
        <v>11453</v>
      </c>
      <c r="AW1404" t="s">
        <v>11497</v>
      </c>
    </row>
    <row r="1405" spans="1:49">
      <c r="A1405" s="1">
        <f>HYPERLINK("https://cms.ls-nyc.org/matter/dynamic-profile/view/1864155","18-1864155")</f>
        <v>0</v>
      </c>
      <c r="B1405" t="s">
        <v>92</v>
      </c>
      <c r="C1405" t="s">
        <v>235</v>
      </c>
      <c r="D1405" t="s">
        <v>357</v>
      </c>
      <c r="F1405" t="s">
        <v>1033</v>
      </c>
      <c r="G1405" t="s">
        <v>2960</v>
      </c>
      <c r="H1405" t="s">
        <v>3579</v>
      </c>
      <c r="I1405">
        <v>513</v>
      </c>
      <c r="J1405" t="s">
        <v>5323</v>
      </c>
      <c r="K1405">
        <v>10029</v>
      </c>
      <c r="L1405" t="s">
        <v>5355</v>
      </c>
      <c r="M1405" t="s">
        <v>5355</v>
      </c>
      <c r="N1405" t="s">
        <v>5632</v>
      </c>
      <c r="O1405" t="s">
        <v>6494</v>
      </c>
      <c r="P1405" t="s">
        <v>6530</v>
      </c>
      <c r="R1405" t="s">
        <v>6539</v>
      </c>
      <c r="S1405" t="s">
        <v>5355</v>
      </c>
      <c r="U1405" t="s">
        <v>6557</v>
      </c>
      <c r="V1405" t="s">
        <v>6566</v>
      </c>
      <c r="W1405" t="s">
        <v>357</v>
      </c>
      <c r="X1405">
        <v>0</v>
      </c>
      <c r="Y1405" t="s">
        <v>6608</v>
      </c>
      <c r="Z1405" t="s">
        <v>6622</v>
      </c>
      <c r="AB1405" t="s">
        <v>7861</v>
      </c>
      <c r="AD1405" t="s">
        <v>10216</v>
      </c>
      <c r="AE1405">
        <v>108</v>
      </c>
      <c r="AF1405" t="s">
        <v>11008</v>
      </c>
      <c r="AG1405" t="s">
        <v>11020</v>
      </c>
      <c r="AH1405">
        <v>34</v>
      </c>
      <c r="AI1405">
        <v>1</v>
      </c>
      <c r="AJ1405">
        <v>0</v>
      </c>
      <c r="AK1405">
        <v>0</v>
      </c>
      <c r="AN1405" t="s">
        <v>11050</v>
      </c>
      <c r="AO1405">
        <v>0</v>
      </c>
      <c r="AU1405">
        <v>0.25</v>
      </c>
      <c r="AV1405" t="s">
        <v>11453</v>
      </c>
      <c r="AW1405" t="s">
        <v>11497</v>
      </c>
    </row>
    <row r="1406" spans="1:49">
      <c r="A1406" s="1">
        <f>HYPERLINK("https://cms.ls-nyc.org/matter/dynamic-profile/view/1864324","18-1864324")</f>
        <v>0</v>
      </c>
      <c r="B1406" t="s">
        <v>92</v>
      </c>
      <c r="C1406" t="s">
        <v>235</v>
      </c>
      <c r="D1406" t="s">
        <v>342</v>
      </c>
      <c r="F1406" t="s">
        <v>914</v>
      </c>
      <c r="G1406" t="s">
        <v>2961</v>
      </c>
      <c r="H1406" t="s">
        <v>3579</v>
      </c>
      <c r="I1406">
        <v>409</v>
      </c>
      <c r="J1406" t="s">
        <v>5323</v>
      </c>
      <c r="K1406">
        <v>10029</v>
      </c>
      <c r="L1406" t="s">
        <v>5355</v>
      </c>
      <c r="M1406" t="s">
        <v>5355</v>
      </c>
      <c r="N1406" t="s">
        <v>5632</v>
      </c>
      <c r="O1406" t="s">
        <v>6494</v>
      </c>
      <c r="P1406" t="s">
        <v>6530</v>
      </c>
      <c r="R1406" t="s">
        <v>6539</v>
      </c>
      <c r="S1406" t="s">
        <v>5355</v>
      </c>
      <c r="U1406" t="s">
        <v>6557</v>
      </c>
      <c r="V1406" t="s">
        <v>6566</v>
      </c>
      <c r="W1406" t="s">
        <v>342</v>
      </c>
      <c r="X1406">
        <v>0</v>
      </c>
      <c r="Y1406" t="s">
        <v>6608</v>
      </c>
      <c r="Z1406" t="s">
        <v>6622</v>
      </c>
      <c r="AB1406" t="s">
        <v>7862</v>
      </c>
      <c r="AD1406" t="s">
        <v>10217</v>
      </c>
      <c r="AE1406">
        <v>108</v>
      </c>
      <c r="AF1406" t="s">
        <v>11008</v>
      </c>
      <c r="AG1406" t="s">
        <v>11020</v>
      </c>
      <c r="AH1406">
        <v>28</v>
      </c>
      <c r="AI1406">
        <v>1</v>
      </c>
      <c r="AJ1406">
        <v>0</v>
      </c>
      <c r="AK1406">
        <v>0</v>
      </c>
      <c r="AN1406" t="s">
        <v>11049</v>
      </c>
      <c r="AO1406">
        <v>0</v>
      </c>
      <c r="AU1406">
        <v>0.75</v>
      </c>
      <c r="AV1406" t="s">
        <v>11451</v>
      </c>
      <c r="AW1406" t="s">
        <v>11497</v>
      </c>
    </row>
    <row r="1407" spans="1:49">
      <c r="A1407" s="1">
        <f>HYPERLINK("https://cms.ls-nyc.org/matter/dynamic-profile/view/1864342","18-1864342")</f>
        <v>0</v>
      </c>
      <c r="B1407" t="s">
        <v>92</v>
      </c>
      <c r="C1407" t="s">
        <v>235</v>
      </c>
      <c r="D1407" t="s">
        <v>342</v>
      </c>
      <c r="F1407" t="s">
        <v>1440</v>
      </c>
      <c r="G1407" t="s">
        <v>2311</v>
      </c>
      <c r="H1407" t="s">
        <v>3579</v>
      </c>
      <c r="I1407">
        <v>605</v>
      </c>
      <c r="J1407" t="s">
        <v>5323</v>
      </c>
      <c r="K1407">
        <v>10029</v>
      </c>
      <c r="L1407" t="s">
        <v>5355</v>
      </c>
      <c r="M1407" t="s">
        <v>5355</v>
      </c>
      <c r="N1407" t="s">
        <v>5632</v>
      </c>
      <c r="O1407" t="s">
        <v>6494</v>
      </c>
      <c r="P1407" t="s">
        <v>6530</v>
      </c>
      <c r="R1407" t="s">
        <v>6539</v>
      </c>
      <c r="S1407" t="s">
        <v>5355</v>
      </c>
      <c r="U1407" t="s">
        <v>6557</v>
      </c>
      <c r="V1407" t="s">
        <v>6566</v>
      </c>
      <c r="W1407" t="s">
        <v>342</v>
      </c>
      <c r="X1407">
        <v>0</v>
      </c>
      <c r="Y1407" t="s">
        <v>6608</v>
      </c>
      <c r="Z1407" t="s">
        <v>6622</v>
      </c>
      <c r="AB1407" t="s">
        <v>7863</v>
      </c>
      <c r="AE1407">
        <v>108</v>
      </c>
      <c r="AF1407" t="s">
        <v>11008</v>
      </c>
      <c r="AG1407" t="s">
        <v>11020</v>
      </c>
      <c r="AH1407">
        <v>24</v>
      </c>
      <c r="AI1407">
        <v>1</v>
      </c>
      <c r="AJ1407">
        <v>0</v>
      </c>
      <c r="AK1407">
        <v>0</v>
      </c>
      <c r="AN1407" t="s">
        <v>11050</v>
      </c>
      <c r="AO1407">
        <v>0</v>
      </c>
      <c r="AU1407">
        <v>0.25</v>
      </c>
      <c r="AV1407" t="s">
        <v>11453</v>
      </c>
      <c r="AW1407" t="s">
        <v>11497</v>
      </c>
    </row>
    <row r="1408" spans="1:49">
      <c r="A1408" s="1">
        <f>HYPERLINK("https://cms.ls-nyc.org/matter/dynamic-profile/view/1833608","17-1833608")</f>
        <v>0</v>
      </c>
      <c r="B1408" t="s">
        <v>123</v>
      </c>
      <c r="C1408" t="s">
        <v>234</v>
      </c>
      <c r="D1408" t="s">
        <v>470</v>
      </c>
      <c r="E1408" t="s">
        <v>665</v>
      </c>
      <c r="F1408" t="s">
        <v>1661</v>
      </c>
      <c r="G1408" t="s">
        <v>2962</v>
      </c>
      <c r="H1408" t="s">
        <v>4165</v>
      </c>
      <c r="I1408" t="s">
        <v>4817</v>
      </c>
      <c r="J1408" t="s">
        <v>5323</v>
      </c>
      <c r="K1408">
        <v>10027</v>
      </c>
      <c r="L1408" t="s">
        <v>5355</v>
      </c>
      <c r="M1408" t="s">
        <v>5355</v>
      </c>
      <c r="P1408" t="s">
        <v>6530</v>
      </c>
      <c r="Q1408" t="s">
        <v>6534</v>
      </c>
      <c r="R1408" t="s">
        <v>6539</v>
      </c>
      <c r="T1408" t="s">
        <v>6542</v>
      </c>
      <c r="U1408" t="s">
        <v>6557</v>
      </c>
      <c r="W1408" t="s">
        <v>298</v>
      </c>
      <c r="X1408">
        <v>0</v>
      </c>
      <c r="Y1408" t="s">
        <v>6608</v>
      </c>
      <c r="AA1408" t="s">
        <v>6637</v>
      </c>
      <c r="AB1408" t="s">
        <v>7864</v>
      </c>
      <c r="AD1408" t="s">
        <v>10218</v>
      </c>
      <c r="AE1408">
        <v>0</v>
      </c>
      <c r="AH1408">
        <v>0</v>
      </c>
      <c r="AI1408">
        <v>2</v>
      </c>
      <c r="AJ1408">
        <v>0</v>
      </c>
      <c r="AK1408">
        <v>0</v>
      </c>
      <c r="AN1408" t="s">
        <v>11050</v>
      </c>
      <c r="AO1408">
        <v>0</v>
      </c>
      <c r="AU1408">
        <v>17.15</v>
      </c>
      <c r="AV1408" t="s">
        <v>334</v>
      </c>
      <c r="AW1408" t="s">
        <v>11546</v>
      </c>
    </row>
    <row r="1409" spans="1:50">
      <c r="A1409" s="1">
        <f>HYPERLINK("https://cms.ls-nyc.org/matter/dynamic-profile/view/0825888","17-0825888")</f>
        <v>0</v>
      </c>
      <c r="B1409" t="s">
        <v>132</v>
      </c>
      <c r="C1409" t="s">
        <v>234</v>
      </c>
      <c r="D1409" t="s">
        <v>556</v>
      </c>
      <c r="E1409" t="s">
        <v>665</v>
      </c>
      <c r="F1409" t="s">
        <v>1094</v>
      </c>
      <c r="G1409" t="s">
        <v>2963</v>
      </c>
      <c r="H1409" t="s">
        <v>4166</v>
      </c>
      <c r="I1409" t="s">
        <v>5019</v>
      </c>
      <c r="J1409" t="s">
        <v>5323</v>
      </c>
      <c r="K1409">
        <v>10025</v>
      </c>
      <c r="L1409" t="s">
        <v>5355</v>
      </c>
      <c r="M1409" t="s">
        <v>5355</v>
      </c>
      <c r="N1409" t="s">
        <v>5696</v>
      </c>
      <c r="O1409" t="s">
        <v>6494</v>
      </c>
      <c r="P1409" t="s">
        <v>6530</v>
      </c>
      <c r="Q1409" t="s">
        <v>6534</v>
      </c>
      <c r="R1409" t="s">
        <v>6539</v>
      </c>
      <c r="S1409" t="s">
        <v>5357</v>
      </c>
      <c r="T1409" t="s">
        <v>6542</v>
      </c>
      <c r="U1409" t="s">
        <v>6557</v>
      </c>
      <c r="W1409" t="s">
        <v>474</v>
      </c>
      <c r="X1409">
        <v>0</v>
      </c>
      <c r="Y1409" t="s">
        <v>6608</v>
      </c>
      <c r="AA1409" t="s">
        <v>6634</v>
      </c>
      <c r="AB1409" t="s">
        <v>7625</v>
      </c>
      <c r="AD1409" t="s">
        <v>10219</v>
      </c>
      <c r="AE1409">
        <v>20</v>
      </c>
      <c r="AF1409" t="s">
        <v>11005</v>
      </c>
      <c r="AG1409" t="s">
        <v>11024</v>
      </c>
      <c r="AH1409">
        <v>54</v>
      </c>
      <c r="AI1409">
        <v>2</v>
      </c>
      <c r="AJ1409">
        <v>0</v>
      </c>
      <c r="AK1409">
        <v>0</v>
      </c>
      <c r="AN1409" t="s">
        <v>11050</v>
      </c>
      <c r="AO1409">
        <v>0</v>
      </c>
      <c r="AU1409">
        <v>6.05</v>
      </c>
      <c r="AV1409" t="s">
        <v>684</v>
      </c>
      <c r="AW1409" t="s">
        <v>11515</v>
      </c>
    </row>
    <row r="1410" spans="1:50">
      <c r="A1410" s="1">
        <f>HYPERLINK("https://cms.ls-nyc.org/matter/dynamic-profile/view/1854368","17-1854368")</f>
        <v>0</v>
      </c>
      <c r="B1410" t="s">
        <v>92</v>
      </c>
      <c r="C1410" t="s">
        <v>234</v>
      </c>
      <c r="D1410" t="s">
        <v>378</v>
      </c>
      <c r="E1410" t="s">
        <v>680</v>
      </c>
      <c r="F1410" t="s">
        <v>1662</v>
      </c>
      <c r="G1410" t="s">
        <v>2964</v>
      </c>
      <c r="H1410" t="s">
        <v>4167</v>
      </c>
      <c r="J1410" t="s">
        <v>5323</v>
      </c>
      <c r="K1410">
        <v>10018</v>
      </c>
      <c r="L1410" t="s">
        <v>5355</v>
      </c>
      <c r="M1410" t="s">
        <v>5357</v>
      </c>
      <c r="N1410" t="s">
        <v>5697</v>
      </c>
      <c r="O1410" t="s">
        <v>6518</v>
      </c>
      <c r="P1410" t="s">
        <v>6530</v>
      </c>
      <c r="Q1410" t="s">
        <v>6537</v>
      </c>
      <c r="R1410" t="s">
        <v>6540</v>
      </c>
      <c r="S1410" t="s">
        <v>5357</v>
      </c>
      <c r="U1410" t="s">
        <v>6557</v>
      </c>
      <c r="V1410" t="s">
        <v>6567</v>
      </c>
      <c r="W1410" t="s">
        <v>378</v>
      </c>
      <c r="X1410">
        <v>6000</v>
      </c>
      <c r="Y1410" t="s">
        <v>6608</v>
      </c>
      <c r="Z1410" t="s">
        <v>6610</v>
      </c>
      <c r="AA1410" t="s">
        <v>6633</v>
      </c>
      <c r="AB1410" t="s">
        <v>7865</v>
      </c>
      <c r="AD1410" t="s">
        <v>10220</v>
      </c>
      <c r="AE1410">
        <v>26</v>
      </c>
      <c r="AF1410" t="s">
        <v>11012</v>
      </c>
      <c r="AG1410" t="s">
        <v>5406</v>
      </c>
      <c r="AH1410">
        <v>7</v>
      </c>
      <c r="AI1410">
        <v>1</v>
      </c>
      <c r="AJ1410">
        <v>0</v>
      </c>
      <c r="AK1410">
        <v>0</v>
      </c>
      <c r="AL1410" t="s">
        <v>11028</v>
      </c>
      <c r="AN1410" t="s">
        <v>11050</v>
      </c>
      <c r="AO1410">
        <v>0</v>
      </c>
      <c r="AP1410" t="s">
        <v>11155</v>
      </c>
      <c r="AQ1410" t="s">
        <v>11191</v>
      </c>
      <c r="AR1410" t="s">
        <v>6493</v>
      </c>
      <c r="AS1410" t="s">
        <v>11252</v>
      </c>
      <c r="AT1410" t="s">
        <v>11289</v>
      </c>
      <c r="AU1410">
        <v>14.9</v>
      </c>
      <c r="AV1410" t="s">
        <v>287</v>
      </c>
      <c r="AW1410" t="s">
        <v>11498</v>
      </c>
    </row>
    <row r="1411" spans="1:50">
      <c r="A1411" s="1">
        <f>HYPERLINK("https://cms.ls-nyc.org/matter/dynamic-profile/view/0815928","16-0815928")</f>
        <v>0</v>
      </c>
      <c r="B1411" t="s">
        <v>171</v>
      </c>
      <c r="C1411" t="s">
        <v>235</v>
      </c>
      <c r="D1411" t="s">
        <v>557</v>
      </c>
      <c r="F1411" t="s">
        <v>1231</v>
      </c>
      <c r="G1411" t="s">
        <v>2925</v>
      </c>
      <c r="H1411" t="s">
        <v>4168</v>
      </c>
      <c r="I1411">
        <v>14</v>
      </c>
      <c r="J1411" t="s">
        <v>5320</v>
      </c>
      <c r="K1411">
        <v>11215</v>
      </c>
      <c r="L1411" t="s">
        <v>5355</v>
      </c>
      <c r="M1411" t="s">
        <v>5356</v>
      </c>
      <c r="N1411" t="s">
        <v>5698</v>
      </c>
      <c r="O1411" t="s">
        <v>6491</v>
      </c>
      <c r="P1411" t="s">
        <v>6530</v>
      </c>
      <c r="R1411" t="s">
        <v>6539</v>
      </c>
      <c r="T1411" t="s">
        <v>6544</v>
      </c>
      <c r="U1411" t="s">
        <v>6557</v>
      </c>
      <c r="W1411" t="s">
        <v>262</v>
      </c>
      <c r="X1411">
        <v>836.25</v>
      </c>
      <c r="Y1411" t="s">
        <v>6605</v>
      </c>
      <c r="Z1411" t="s">
        <v>6609</v>
      </c>
      <c r="AB1411" t="s">
        <v>7866</v>
      </c>
      <c r="AD1411" t="s">
        <v>10221</v>
      </c>
      <c r="AE1411">
        <v>20</v>
      </c>
      <c r="AF1411" t="s">
        <v>11005</v>
      </c>
      <c r="AG1411" t="s">
        <v>5406</v>
      </c>
      <c r="AH1411">
        <v>38</v>
      </c>
      <c r="AI1411">
        <v>3</v>
      </c>
      <c r="AJ1411">
        <v>0</v>
      </c>
      <c r="AK1411">
        <v>3.41</v>
      </c>
      <c r="AN1411" t="s">
        <v>11050</v>
      </c>
      <c r="AO1411">
        <v>688</v>
      </c>
      <c r="AU1411">
        <v>33.9</v>
      </c>
      <c r="AV1411" t="s">
        <v>11448</v>
      </c>
      <c r="AW1411" t="s">
        <v>11490</v>
      </c>
    </row>
    <row r="1412" spans="1:50">
      <c r="A1412" s="1">
        <f>HYPERLINK("https://cms.ls-nyc.org/matter/dynamic-profile/view/1863716","18-1863716")</f>
        <v>0</v>
      </c>
      <c r="B1412" t="s">
        <v>102</v>
      </c>
      <c r="C1412" t="s">
        <v>234</v>
      </c>
      <c r="D1412" t="s">
        <v>263</v>
      </c>
      <c r="E1412" t="s">
        <v>707</v>
      </c>
      <c r="F1412" t="s">
        <v>1663</v>
      </c>
      <c r="G1412" t="s">
        <v>2965</v>
      </c>
      <c r="H1412" t="s">
        <v>3552</v>
      </c>
      <c r="I1412" t="s">
        <v>4743</v>
      </c>
      <c r="J1412" t="s">
        <v>5321</v>
      </c>
      <c r="K1412">
        <v>10453</v>
      </c>
      <c r="L1412" t="s">
        <v>5355</v>
      </c>
      <c r="M1412" t="s">
        <v>5356</v>
      </c>
      <c r="N1412" t="s">
        <v>5699</v>
      </c>
      <c r="O1412" t="s">
        <v>6492</v>
      </c>
      <c r="P1412" t="s">
        <v>6530</v>
      </c>
      <c r="Q1412" t="s">
        <v>6534</v>
      </c>
      <c r="R1412" t="s">
        <v>6539</v>
      </c>
      <c r="U1412" t="s">
        <v>6557</v>
      </c>
      <c r="V1412" t="s">
        <v>6568</v>
      </c>
      <c r="W1412" t="s">
        <v>516</v>
      </c>
      <c r="X1412">
        <v>880.0700000000001</v>
      </c>
      <c r="Y1412" t="s">
        <v>6606</v>
      </c>
      <c r="Z1412" t="s">
        <v>6616</v>
      </c>
      <c r="AA1412" t="s">
        <v>6637</v>
      </c>
      <c r="AB1412" t="s">
        <v>7867</v>
      </c>
      <c r="AC1412" t="s">
        <v>8866</v>
      </c>
      <c r="AD1412" t="s">
        <v>10222</v>
      </c>
      <c r="AE1412">
        <v>16</v>
      </c>
      <c r="AF1412" t="s">
        <v>11005</v>
      </c>
      <c r="AG1412" t="s">
        <v>11024</v>
      </c>
      <c r="AH1412">
        <v>20</v>
      </c>
      <c r="AI1412">
        <v>2</v>
      </c>
      <c r="AJ1412">
        <v>0</v>
      </c>
      <c r="AK1412">
        <v>3.65</v>
      </c>
      <c r="AN1412" t="s">
        <v>11050</v>
      </c>
      <c r="AO1412">
        <v>600</v>
      </c>
      <c r="AQ1412" t="s">
        <v>11193</v>
      </c>
      <c r="AR1412" t="s">
        <v>11217</v>
      </c>
      <c r="AS1412" t="s">
        <v>11253</v>
      </c>
      <c r="AT1412" t="s">
        <v>11290</v>
      </c>
      <c r="AU1412">
        <v>39.25</v>
      </c>
      <c r="AV1412" t="s">
        <v>707</v>
      </c>
      <c r="AW1412" t="s">
        <v>11493</v>
      </c>
    </row>
    <row r="1413" spans="1:50">
      <c r="A1413" s="1">
        <f>HYPERLINK("https://cms.ls-nyc.org/matter/dynamic-profile/view/1864740","18-1864740")</f>
        <v>0</v>
      </c>
      <c r="B1413" t="s">
        <v>92</v>
      </c>
      <c r="C1413" t="s">
        <v>235</v>
      </c>
      <c r="D1413" t="s">
        <v>395</v>
      </c>
      <c r="F1413" t="s">
        <v>1664</v>
      </c>
      <c r="G1413" t="s">
        <v>2966</v>
      </c>
      <c r="H1413" t="s">
        <v>3579</v>
      </c>
      <c r="I1413">
        <v>812</v>
      </c>
      <c r="J1413" t="s">
        <v>5323</v>
      </c>
      <c r="K1413">
        <v>10029</v>
      </c>
      <c r="L1413" t="s">
        <v>5355</v>
      </c>
      <c r="M1413" t="s">
        <v>5355</v>
      </c>
      <c r="N1413" t="s">
        <v>5632</v>
      </c>
      <c r="O1413" t="s">
        <v>6494</v>
      </c>
      <c r="P1413" t="s">
        <v>6530</v>
      </c>
      <c r="R1413" t="s">
        <v>6539</v>
      </c>
      <c r="S1413" t="s">
        <v>5355</v>
      </c>
      <c r="U1413" t="s">
        <v>6557</v>
      </c>
      <c r="V1413" t="s">
        <v>6566</v>
      </c>
      <c r="W1413" t="s">
        <v>395</v>
      </c>
      <c r="X1413">
        <v>0</v>
      </c>
      <c r="Y1413" t="s">
        <v>6608</v>
      </c>
      <c r="Z1413" t="s">
        <v>6622</v>
      </c>
      <c r="AB1413" t="s">
        <v>7868</v>
      </c>
      <c r="AC1413">
        <v>5261582</v>
      </c>
      <c r="AE1413">
        <v>108</v>
      </c>
      <c r="AF1413" t="s">
        <v>11008</v>
      </c>
      <c r="AG1413" t="s">
        <v>11020</v>
      </c>
      <c r="AH1413">
        <v>14</v>
      </c>
      <c r="AI1413">
        <v>1</v>
      </c>
      <c r="AJ1413">
        <v>4</v>
      </c>
      <c r="AK1413">
        <v>4.08</v>
      </c>
      <c r="AN1413" t="s">
        <v>11050</v>
      </c>
      <c r="AO1413">
        <v>1200</v>
      </c>
      <c r="AU1413">
        <v>0.5</v>
      </c>
      <c r="AV1413" t="s">
        <v>11453</v>
      </c>
      <c r="AW1413" t="s">
        <v>11497</v>
      </c>
    </row>
    <row r="1414" spans="1:50">
      <c r="A1414" s="1">
        <f>HYPERLINK("https://cms.ls-nyc.org/matter/dynamic-profile/view/1854787","17-1854787")</f>
        <v>0</v>
      </c>
      <c r="B1414" t="s">
        <v>191</v>
      </c>
      <c r="C1414" t="s">
        <v>235</v>
      </c>
      <c r="D1414" t="s">
        <v>243</v>
      </c>
      <c r="F1414" t="s">
        <v>1665</v>
      </c>
      <c r="G1414" t="s">
        <v>2451</v>
      </c>
      <c r="H1414" t="s">
        <v>3788</v>
      </c>
      <c r="I1414" t="s">
        <v>4775</v>
      </c>
      <c r="J1414" t="s">
        <v>5321</v>
      </c>
      <c r="K1414">
        <v>10453</v>
      </c>
      <c r="L1414" t="s">
        <v>5355</v>
      </c>
      <c r="M1414" t="s">
        <v>5356</v>
      </c>
      <c r="N1414" t="s">
        <v>5700</v>
      </c>
      <c r="O1414" t="s">
        <v>6491</v>
      </c>
      <c r="P1414" t="s">
        <v>6530</v>
      </c>
      <c r="R1414" t="s">
        <v>6539</v>
      </c>
      <c r="S1414" t="s">
        <v>5357</v>
      </c>
      <c r="U1414" t="s">
        <v>6557</v>
      </c>
      <c r="V1414" t="s">
        <v>6566</v>
      </c>
      <c r="W1414" t="s">
        <v>428</v>
      </c>
      <c r="X1414">
        <v>1275</v>
      </c>
      <c r="Y1414" t="s">
        <v>6606</v>
      </c>
      <c r="Z1414" t="s">
        <v>6613</v>
      </c>
      <c r="AB1414" t="s">
        <v>7252</v>
      </c>
      <c r="AC1414" t="s">
        <v>8867</v>
      </c>
      <c r="AD1414" t="s">
        <v>10223</v>
      </c>
      <c r="AE1414">
        <v>65</v>
      </c>
      <c r="AF1414" t="s">
        <v>11005</v>
      </c>
      <c r="AG1414" t="s">
        <v>11023</v>
      </c>
      <c r="AH1414">
        <v>5</v>
      </c>
      <c r="AI1414">
        <v>1</v>
      </c>
      <c r="AJ1414">
        <v>3</v>
      </c>
      <c r="AK1414">
        <v>4.59</v>
      </c>
      <c r="AN1414" t="s">
        <v>11049</v>
      </c>
      <c r="AO1414">
        <v>1128</v>
      </c>
      <c r="AP1414" t="s">
        <v>11075</v>
      </c>
      <c r="AQ1414" t="s">
        <v>11192</v>
      </c>
      <c r="AR1414" t="s">
        <v>11210</v>
      </c>
      <c r="AS1414" t="s">
        <v>11253</v>
      </c>
      <c r="AT1414" t="s">
        <v>11291</v>
      </c>
      <c r="AU1414">
        <v>20.5</v>
      </c>
      <c r="AV1414" t="s">
        <v>763</v>
      </c>
      <c r="AW1414" t="s">
        <v>11535</v>
      </c>
    </row>
    <row r="1415" spans="1:50">
      <c r="A1415" s="1">
        <f>HYPERLINK("https://cms.ls-nyc.org/matter/dynamic-profile/view/1848381","17-1848381")</f>
        <v>0</v>
      </c>
      <c r="B1415" t="s">
        <v>80</v>
      </c>
      <c r="C1415" t="s">
        <v>234</v>
      </c>
      <c r="D1415" t="s">
        <v>465</v>
      </c>
      <c r="E1415" t="s">
        <v>600</v>
      </c>
      <c r="F1415" t="s">
        <v>1387</v>
      </c>
      <c r="G1415" t="s">
        <v>2967</v>
      </c>
      <c r="H1415" t="s">
        <v>3598</v>
      </c>
      <c r="I1415" t="s">
        <v>4750</v>
      </c>
      <c r="J1415" t="s">
        <v>5321</v>
      </c>
      <c r="K1415">
        <v>10457</v>
      </c>
      <c r="L1415" t="s">
        <v>5355</v>
      </c>
      <c r="M1415" t="s">
        <v>5356</v>
      </c>
      <c r="N1415" t="s">
        <v>5701</v>
      </c>
      <c r="O1415" t="s">
        <v>6494</v>
      </c>
      <c r="P1415" t="s">
        <v>6530</v>
      </c>
      <c r="Q1415" t="s">
        <v>6534</v>
      </c>
      <c r="R1415" t="s">
        <v>6539</v>
      </c>
      <c r="S1415" t="s">
        <v>5355</v>
      </c>
      <c r="U1415" t="s">
        <v>6557</v>
      </c>
      <c r="W1415" t="s">
        <v>372</v>
      </c>
      <c r="X1415">
        <v>1700</v>
      </c>
      <c r="Y1415" t="s">
        <v>6606</v>
      </c>
      <c r="Z1415" t="s">
        <v>6615</v>
      </c>
      <c r="AA1415" t="s">
        <v>6634</v>
      </c>
      <c r="AB1415" t="s">
        <v>7869</v>
      </c>
      <c r="AD1415" t="s">
        <v>10224</v>
      </c>
      <c r="AE1415">
        <v>46</v>
      </c>
      <c r="AF1415" t="s">
        <v>8722</v>
      </c>
      <c r="AG1415" t="s">
        <v>11020</v>
      </c>
      <c r="AH1415">
        <v>6</v>
      </c>
      <c r="AI1415">
        <v>1</v>
      </c>
      <c r="AJ1415">
        <v>0</v>
      </c>
      <c r="AK1415">
        <v>5.52</v>
      </c>
      <c r="AN1415" t="s">
        <v>11050</v>
      </c>
      <c r="AO1415">
        <v>666</v>
      </c>
      <c r="AU1415">
        <v>0.25</v>
      </c>
      <c r="AV1415" t="s">
        <v>279</v>
      </c>
      <c r="AW1415" t="s">
        <v>11509</v>
      </c>
    </row>
    <row r="1416" spans="1:50">
      <c r="A1416" s="1">
        <f>HYPERLINK("https://cms.ls-nyc.org/matter/dynamic-profile/view/1859908","18-1859908")</f>
        <v>0</v>
      </c>
      <c r="B1416" t="s">
        <v>88</v>
      </c>
      <c r="C1416" t="s">
        <v>234</v>
      </c>
      <c r="D1416" t="s">
        <v>291</v>
      </c>
      <c r="E1416" t="s">
        <v>790</v>
      </c>
      <c r="F1416" t="s">
        <v>1666</v>
      </c>
      <c r="G1416" t="s">
        <v>2968</v>
      </c>
      <c r="H1416" t="s">
        <v>4169</v>
      </c>
      <c r="J1416" t="s">
        <v>5320</v>
      </c>
      <c r="K1416">
        <v>11233</v>
      </c>
      <c r="L1416" t="s">
        <v>5355</v>
      </c>
      <c r="M1416" t="s">
        <v>5355</v>
      </c>
      <c r="N1416" t="s">
        <v>5702</v>
      </c>
      <c r="O1416" t="s">
        <v>6492</v>
      </c>
      <c r="P1416" t="s">
        <v>6530</v>
      </c>
      <c r="Q1416" t="s">
        <v>6534</v>
      </c>
      <c r="R1416" t="s">
        <v>6539</v>
      </c>
      <c r="S1416" t="s">
        <v>5357</v>
      </c>
      <c r="U1416" t="s">
        <v>6557</v>
      </c>
      <c r="W1416" t="s">
        <v>236</v>
      </c>
      <c r="X1416">
        <v>631</v>
      </c>
      <c r="Y1416" t="s">
        <v>6605</v>
      </c>
      <c r="Z1416" t="s">
        <v>6616</v>
      </c>
      <c r="AA1416" t="s">
        <v>6637</v>
      </c>
      <c r="AB1416" t="s">
        <v>7870</v>
      </c>
      <c r="AE1416">
        <v>0</v>
      </c>
      <c r="AF1416" t="s">
        <v>11005</v>
      </c>
      <c r="AG1416" t="s">
        <v>5406</v>
      </c>
      <c r="AH1416">
        <v>23</v>
      </c>
      <c r="AI1416">
        <v>1</v>
      </c>
      <c r="AJ1416">
        <v>0</v>
      </c>
      <c r="AK1416">
        <v>5.77</v>
      </c>
      <c r="AN1416" t="s">
        <v>11050</v>
      </c>
      <c r="AO1416">
        <v>700</v>
      </c>
      <c r="AR1416" t="s">
        <v>11210</v>
      </c>
      <c r="AS1416" t="s">
        <v>11253</v>
      </c>
      <c r="AT1416" t="s">
        <v>11292</v>
      </c>
      <c r="AU1416">
        <v>21.5</v>
      </c>
      <c r="AV1416" t="s">
        <v>790</v>
      </c>
      <c r="AW1416" t="s">
        <v>11489</v>
      </c>
    </row>
    <row r="1417" spans="1:50">
      <c r="A1417" s="1">
        <f>HYPERLINK("https://cms.ls-nyc.org/matter/dynamic-profile/view/1864988","18-1864988")</f>
        <v>0</v>
      </c>
      <c r="B1417" t="s">
        <v>58</v>
      </c>
      <c r="C1417" t="s">
        <v>235</v>
      </c>
      <c r="D1417" t="s">
        <v>250</v>
      </c>
      <c r="F1417" t="s">
        <v>1667</v>
      </c>
      <c r="G1417" t="s">
        <v>2969</v>
      </c>
      <c r="H1417" t="s">
        <v>3937</v>
      </c>
      <c r="I1417" t="s">
        <v>5139</v>
      </c>
      <c r="J1417" t="s">
        <v>5321</v>
      </c>
      <c r="K1417">
        <v>10453</v>
      </c>
      <c r="L1417" t="s">
        <v>5355</v>
      </c>
      <c r="M1417" t="s">
        <v>5356</v>
      </c>
      <c r="N1417" t="s">
        <v>5703</v>
      </c>
      <c r="O1417" t="s">
        <v>6492</v>
      </c>
      <c r="P1417" t="s">
        <v>6530</v>
      </c>
      <c r="R1417" t="s">
        <v>6539</v>
      </c>
      <c r="S1417" t="s">
        <v>5357</v>
      </c>
      <c r="U1417" t="s">
        <v>6557</v>
      </c>
      <c r="W1417" t="s">
        <v>516</v>
      </c>
      <c r="X1417">
        <v>0</v>
      </c>
      <c r="Y1417" t="s">
        <v>6606</v>
      </c>
      <c r="Z1417" t="s">
        <v>6612</v>
      </c>
      <c r="AB1417" t="s">
        <v>7871</v>
      </c>
      <c r="AD1417" t="s">
        <v>10225</v>
      </c>
      <c r="AE1417">
        <v>425</v>
      </c>
      <c r="AF1417" t="s">
        <v>11009</v>
      </c>
      <c r="AG1417" t="s">
        <v>11026</v>
      </c>
      <c r="AH1417">
        <v>11</v>
      </c>
      <c r="AI1417">
        <v>1</v>
      </c>
      <c r="AJ1417">
        <v>0</v>
      </c>
      <c r="AK1417">
        <v>6.92</v>
      </c>
      <c r="AN1417" t="s">
        <v>11050</v>
      </c>
      <c r="AO1417">
        <v>840</v>
      </c>
      <c r="AU1417">
        <v>64.5</v>
      </c>
      <c r="AV1417" t="s">
        <v>11447</v>
      </c>
      <c r="AW1417" t="s">
        <v>11493</v>
      </c>
    </row>
    <row r="1418" spans="1:50">
      <c r="A1418" s="1">
        <f>HYPERLINK("https://cms.ls-nyc.org/matter/dynamic-profile/view/1846300","17-1846300")</f>
        <v>0</v>
      </c>
      <c r="B1418" t="s">
        <v>67</v>
      </c>
      <c r="C1418" t="s">
        <v>235</v>
      </c>
      <c r="D1418" t="s">
        <v>301</v>
      </c>
      <c r="F1418" t="s">
        <v>1668</v>
      </c>
      <c r="G1418" t="s">
        <v>2970</v>
      </c>
      <c r="H1418" t="s">
        <v>3842</v>
      </c>
      <c r="I1418" t="s">
        <v>4823</v>
      </c>
      <c r="J1418" t="s">
        <v>5323</v>
      </c>
      <c r="K1418">
        <v>10035</v>
      </c>
      <c r="L1418" t="s">
        <v>5355</v>
      </c>
      <c r="M1418" t="s">
        <v>5356</v>
      </c>
      <c r="N1418" t="s">
        <v>5528</v>
      </c>
      <c r="O1418" t="s">
        <v>6494</v>
      </c>
      <c r="P1418" t="s">
        <v>6530</v>
      </c>
      <c r="R1418" t="s">
        <v>6539</v>
      </c>
      <c r="S1418" t="s">
        <v>5355</v>
      </c>
      <c r="U1418" t="s">
        <v>6557</v>
      </c>
      <c r="W1418" t="s">
        <v>301</v>
      </c>
      <c r="X1418">
        <v>1205.47</v>
      </c>
      <c r="Y1418" t="s">
        <v>6608</v>
      </c>
      <c r="Z1418" t="s">
        <v>6622</v>
      </c>
      <c r="AB1418" t="s">
        <v>7872</v>
      </c>
      <c r="AC1418" t="s">
        <v>8868</v>
      </c>
      <c r="AE1418">
        <v>35</v>
      </c>
      <c r="AF1418" t="s">
        <v>11005</v>
      </c>
      <c r="AG1418" t="s">
        <v>5406</v>
      </c>
      <c r="AH1418">
        <v>15</v>
      </c>
      <c r="AI1418">
        <v>1</v>
      </c>
      <c r="AJ1418">
        <v>2</v>
      </c>
      <c r="AK1418">
        <v>7.35</v>
      </c>
      <c r="AN1418" t="s">
        <v>11049</v>
      </c>
      <c r="AO1418">
        <v>1500</v>
      </c>
      <c r="AP1418" t="s">
        <v>11156</v>
      </c>
      <c r="AU1418">
        <v>5.4</v>
      </c>
      <c r="AV1418" t="s">
        <v>11465</v>
      </c>
      <c r="AW1418" t="s">
        <v>11497</v>
      </c>
    </row>
    <row r="1419" spans="1:50">
      <c r="A1419" s="1">
        <f>HYPERLINK("https://cms.ls-nyc.org/matter/dynamic-profile/view/1859187","18-1859187")</f>
        <v>0</v>
      </c>
      <c r="B1419" t="s">
        <v>94</v>
      </c>
      <c r="C1419" t="s">
        <v>234</v>
      </c>
      <c r="D1419" t="s">
        <v>467</v>
      </c>
      <c r="E1419" t="s">
        <v>427</v>
      </c>
      <c r="F1419" t="s">
        <v>1446</v>
      </c>
      <c r="G1419" t="s">
        <v>2750</v>
      </c>
      <c r="H1419" t="s">
        <v>4065</v>
      </c>
      <c r="I1419" t="s">
        <v>4781</v>
      </c>
      <c r="J1419" t="s">
        <v>5320</v>
      </c>
      <c r="K1419">
        <v>11208</v>
      </c>
      <c r="L1419" t="s">
        <v>5355</v>
      </c>
      <c r="M1419" t="s">
        <v>5355</v>
      </c>
      <c r="N1419" t="s">
        <v>5704</v>
      </c>
      <c r="O1419" t="s">
        <v>6492</v>
      </c>
      <c r="P1419" t="s">
        <v>6530</v>
      </c>
      <c r="Q1419" t="s">
        <v>6535</v>
      </c>
      <c r="R1419" t="s">
        <v>6539</v>
      </c>
      <c r="U1419" t="s">
        <v>6557</v>
      </c>
      <c r="W1419" t="s">
        <v>408</v>
      </c>
      <c r="X1419">
        <v>1144</v>
      </c>
      <c r="Y1419" t="s">
        <v>6605</v>
      </c>
      <c r="Z1419" t="s">
        <v>6611</v>
      </c>
      <c r="AA1419" t="s">
        <v>6637</v>
      </c>
      <c r="AB1419" t="s">
        <v>7549</v>
      </c>
      <c r="AC1419" t="s">
        <v>8869</v>
      </c>
      <c r="AD1419" t="s">
        <v>9911</v>
      </c>
      <c r="AE1419">
        <v>6</v>
      </c>
      <c r="AG1419" t="s">
        <v>11020</v>
      </c>
      <c r="AH1419">
        <v>10</v>
      </c>
      <c r="AI1419">
        <v>1</v>
      </c>
      <c r="AJ1419">
        <v>1</v>
      </c>
      <c r="AK1419">
        <v>7.39</v>
      </c>
      <c r="AN1419" t="s">
        <v>11050</v>
      </c>
      <c r="AO1419">
        <v>2400</v>
      </c>
      <c r="AR1419" t="s">
        <v>11210</v>
      </c>
      <c r="AS1419" t="s">
        <v>11253</v>
      </c>
      <c r="AT1419" t="s">
        <v>11293</v>
      </c>
      <c r="AU1419">
        <v>18.35</v>
      </c>
      <c r="AV1419" t="s">
        <v>401</v>
      </c>
      <c r="AW1419" t="s">
        <v>11487</v>
      </c>
    </row>
    <row r="1420" spans="1:50">
      <c r="A1420" s="1">
        <f>HYPERLINK("https://cms.ls-nyc.org/matter/dynamic-profile/view/1858729","18-1858729")</f>
        <v>0</v>
      </c>
      <c r="B1420" t="s">
        <v>55</v>
      </c>
      <c r="C1420" t="s">
        <v>234</v>
      </c>
      <c r="D1420" t="s">
        <v>248</v>
      </c>
      <c r="E1420" t="s">
        <v>738</v>
      </c>
      <c r="F1420" t="s">
        <v>1179</v>
      </c>
      <c r="G1420" t="s">
        <v>2147</v>
      </c>
      <c r="H1420" t="s">
        <v>3895</v>
      </c>
      <c r="I1420" t="s">
        <v>5140</v>
      </c>
      <c r="J1420" t="s">
        <v>5320</v>
      </c>
      <c r="K1420">
        <v>11203</v>
      </c>
      <c r="L1420" t="s">
        <v>5355</v>
      </c>
      <c r="M1420" t="s">
        <v>5356</v>
      </c>
      <c r="N1420" t="s">
        <v>5541</v>
      </c>
      <c r="O1420" t="s">
        <v>6494</v>
      </c>
      <c r="P1420" t="s">
        <v>6530</v>
      </c>
      <c r="Q1420" t="s">
        <v>6534</v>
      </c>
      <c r="R1420" t="s">
        <v>6539</v>
      </c>
      <c r="S1420" t="s">
        <v>5355</v>
      </c>
      <c r="T1420" t="s">
        <v>6545</v>
      </c>
      <c r="U1420" t="s">
        <v>6557</v>
      </c>
      <c r="W1420" t="s">
        <v>424</v>
      </c>
      <c r="X1420">
        <v>0</v>
      </c>
      <c r="Y1420" t="s">
        <v>6605</v>
      </c>
      <c r="Z1420" t="s">
        <v>6612</v>
      </c>
      <c r="AA1420" t="s">
        <v>6634</v>
      </c>
      <c r="AB1420" t="s">
        <v>7873</v>
      </c>
      <c r="AE1420">
        <v>50</v>
      </c>
      <c r="AF1420" t="s">
        <v>11005</v>
      </c>
      <c r="AG1420" t="s">
        <v>5406</v>
      </c>
      <c r="AH1420">
        <v>41</v>
      </c>
      <c r="AI1420">
        <v>2</v>
      </c>
      <c r="AJ1420">
        <v>0</v>
      </c>
      <c r="AK1420">
        <v>7.39</v>
      </c>
      <c r="AN1420" t="s">
        <v>11050</v>
      </c>
      <c r="AO1420">
        <v>1200</v>
      </c>
      <c r="AU1420">
        <v>7.6</v>
      </c>
      <c r="AV1420" t="s">
        <v>758</v>
      </c>
      <c r="AW1420" t="s">
        <v>11490</v>
      </c>
    </row>
    <row r="1421" spans="1:50">
      <c r="A1421" s="1">
        <f>HYPERLINK("https://cms.ls-nyc.org/matter/dynamic-profile/view/1860066","18-1860066")</f>
        <v>0</v>
      </c>
      <c r="B1421" t="s">
        <v>55</v>
      </c>
      <c r="C1421" t="s">
        <v>234</v>
      </c>
      <c r="D1421" t="s">
        <v>260</v>
      </c>
      <c r="E1421" t="s">
        <v>402</v>
      </c>
      <c r="F1421" t="s">
        <v>1179</v>
      </c>
      <c r="G1421" t="s">
        <v>2147</v>
      </c>
      <c r="H1421" t="s">
        <v>3895</v>
      </c>
      <c r="I1421" t="s">
        <v>5140</v>
      </c>
      <c r="J1421" t="s">
        <v>5320</v>
      </c>
      <c r="K1421">
        <v>11203</v>
      </c>
      <c r="L1421" t="s">
        <v>5355</v>
      </c>
      <c r="M1421" t="s">
        <v>5355</v>
      </c>
      <c r="N1421" t="s">
        <v>5665</v>
      </c>
      <c r="O1421" t="s">
        <v>6492</v>
      </c>
      <c r="P1421" t="s">
        <v>6530</v>
      </c>
      <c r="Q1421" t="s">
        <v>6534</v>
      </c>
      <c r="R1421" t="s">
        <v>6539</v>
      </c>
      <c r="S1421" t="s">
        <v>5357</v>
      </c>
      <c r="T1421" t="s">
        <v>6545</v>
      </c>
      <c r="U1421" t="s">
        <v>6557</v>
      </c>
      <c r="W1421" t="s">
        <v>6575</v>
      </c>
      <c r="X1421">
        <v>0</v>
      </c>
      <c r="Y1421" t="s">
        <v>6605</v>
      </c>
      <c r="Z1421" t="s">
        <v>6612</v>
      </c>
      <c r="AA1421" t="s">
        <v>6637</v>
      </c>
      <c r="AB1421" t="s">
        <v>7873</v>
      </c>
      <c r="AE1421">
        <v>50</v>
      </c>
      <c r="AF1421" t="s">
        <v>11005</v>
      </c>
      <c r="AG1421" t="s">
        <v>5406</v>
      </c>
      <c r="AH1421">
        <v>41</v>
      </c>
      <c r="AI1421">
        <v>2</v>
      </c>
      <c r="AJ1421">
        <v>0</v>
      </c>
      <c r="AK1421">
        <v>7.39</v>
      </c>
      <c r="AN1421" t="s">
        <v>11050</v>
      </c>
      <c r="AO1421">
        <v>1200</v>
      </c>
      <c r="AR1421" t="s">
        <v>11210</v>
      </c>
      <c r="AS1421" t="s">
        <v>11253</v>
      </c>
      <c r="AT1421" t="s">
        <v>11294</v>
      </c>
      <c r="AU1421">
        <v>5.7</v>
      </c>
      <c r="AV1421" t="s">
        <v>402</v>
      </c>
      <c r="AW1421" t="s">
        <v>11490</v>
      </c>
    </row>
    <row r="1422" spans="1:50">
      <c r="A1422" s="1">
        <f>HYPERLINK("https://cms.ls-nyc.org/matter/dynamic-profile/view/1841607","17-1841607")</f>
        <v>0</v>
      </c>
      <c r="B1422" t="s">
        <v>80</v>
      </c>
      <c r="C1422" t="s">
        <v>234</v>
      </c>
      <c r="D1422" t="s">
        <v>497</v>
      </c>
      <c r="E1422" t="s">
        <v>652</v>
      </c>
      <c r="F1422" t="s">
        <v>916</v>
      </c>
      <c r="G1422" t="s">
        <v>2408</v>
      </c>
      <c r="H1422" t="s">
        <v>4170</v>
      </c>
      <c r="I1422" t="s">
        <v>5141</v>
      </c>
      <c r="J1422" t="s">
        <v>5321</v>
      </c>
      <c r="K1422">
        <v>10453</v>
      </c>
      <c r="L1422" t="s">
        <v>5355</v>
      </c>
      <c r="M1422" t="s">
        <v>5356</v>
      </c>
      <c r="N1422" t="s">
        <v>5705</v>
      </c>
      <c r="O1422" t="s">
        <v>6492</v>
      </c>
      <c r="P1422" t="s">
        <v>6530</v>
      </c>
      <c r="Q1422" t="s">
        <v>6534</v>
      </c>
      <c r="R1422" t="s">
        <v>6539</v>
      </c>
      <c r="S1422" t="s">
        <v>5357</v>
      </c>
      <c r="U1422" t="s">
        <v>6557</v>
      </c>
      <c r="W1422" t="s">
        <v>406</v>
      </c>
      <c r="X1422">
        <v>1697.06</v>
      </c>
      <c r="Y1422" t="s">
        <v>6606</v>
      </c>
      <c r="Z1422" t="s">
        <v>6623</v>
      </c>
      <c r="AA1422" t="s">
        <v>6637</v>
      </c>
      <c r="AB1422" t="s">
        <v>7874</v>
      </c>
      <c r="AC1422">
        <v>4621810</v>
      </c>
      <c r="AD1422" t="s">
        <v>10226</v>
      </c>
      <c r="AE1422">
        <v>56</v>
      </c>
      <c r="AF1422" t="s">
        <v>11005</v>
      </c>
      <c r="AG1422" t="s">
        <v>11020</v>
      </c>
      <c r="AH1422">
        <v>19</v>
      </c>
      <c r="AI1422">
        <v>2</v>
      </c>
      <c r="AJ1422">
        <v>4</v>
      </c>
      <c r="AK1422">
        <v>7.89</v>
      </c>
      <c r="AN1422" t="s">
        <v>11050</v>
      </c>
      <c r="AO1422">
        <v>2600</v>
      </c>
      <c r="AQ1422" t="s">
        <v>11190</v>
      </c>
      <c r="AR1422" t="s">
        <v>11218</v>
      </c>
      <c r="AS1422" t="s">
        <v>11253</v>
      </c>
      <c r="AU1422">
        <v>13.75</v>
      </c>
      <c r="AV1422" t="s">
        <v>353</v>
      </c>
      <c r="AW1422" t="s">
        <v>11537</v>
      </c>
    </row>
    <row r="1423" spans="1:50">
      <c r="A1423" s="1">
        <f>HYPERLINK("https://cms.ls-nyc.org/matter/dynamic-profile/view/1844798","17-1844798")</f>
        <v>0</v>
      </c>
      <c r="B1423" t="s">
        <v>132</v>
      </c>
      <c r="C1423" t="s">
        <v>234</v>
      </c>
      <c r="D1423" t="s">
        <v>406</v>
      </c>
      <c r="E1423" t="s">
        <v>434</v>
      </c>
      <c r="F1423" t="s">
        <v>1669</v>
      </c>
      <c r="G1423" t="s">
        <v>2971</v>
      </c>
      <c r="H1423" t="s">
        <v>4171</v>
      </c>
      <c r="I1423">
        <v>9</v>
      </c>
      <c r="J1423" t="s">
        <v>5323</v>
      </c>
      <c r="K1423">
        <v>10029</v>
      </c>
      <c r="L1423" t="s">
        <v>5355</v>
      </c>
      <c r="M1423" t="s">
        <v>5355</v>
      </c>
      <c r="N1423" t="s">
        <v>5706</v>
      </c>
      <c r="O1423" t="s">
        <v>6491</v>
      </c>
      <c r="P1423" t="s">
        <v>6530</v>
      </c>
      <c r="Q1423" t="s">
        <v>6534</v>
      </c>
      <c r="R1423" t="s">
        <v>6539</v>
      </c>
      <c r="S1423" t="s">
        <v>5357</v>
      </c>
      <c r="U1423" t="s">
        <v>6557</v>
      </c>
      <c r="V1423" t="s">
        <v>6569</v>
      </c>
      <c r="W1423" t="s">
        <v>406</v>
      </c>
      <c r="X1423">
        <v>1976.87</v>
      </c>
      <c r="Y1423" t="s">
        <v>6608</v>
      </c>
      <c r="Z1423" t="s">
        <v>6616</v>
      </c>
      <c r="AA1423" t="s">
        <v>6633</v>
      </c>
      <c r="AB1423" t="s">
        <v>6697</v>
      </c>
      <c r="AD1423" t="s">
        <v>10227</v>
      </c>
      <c r="AE1423">
        <v>26</v>
      </c>
      <c r="AF1423" t="s">
        <v>11005</v>
      </c>
      <c r="AG1423" t="s">
        <v>5406</v>
      </c>
      <c r="AH1423">
        <v>9</v>
      </c>
      <c r="AI1423">
        <v>1</v>
      </c>
      <c r="AJ1423">
        <v>0</v>
      </c>
      <c r="AK1423">
        <v>8.289999999999999</v>
      </c>
      <c r="AN1423" t="s">
        <v>11050</v>
      </c>
      <c r="AO1423">
        <v>1000</v>
      </c>
      <c r="AU1423">
        <v>41</v>
      </c>
      <c r="AV1423" t="s">
        <v>413</v>
      </c>
      <c r="AW1423" t="s">
        <v>11497</v>
      </c>
      <c r="AX1423" t="s">
        <v>11564</v>
      </c>
    </row>
    <row r="1424" spans="1:50">
      <c r="A1424" s="1">
        <f>HYPERLINK("https://cms.ls-nyc.org/matter/dynamic-profile/view/1864126","18-1864126")</f>
        <v>0</v>
      </c>
      <c r="B1424" t="s">
        <v>111</v>
      </c>
      <c r="C1424" t="s">
        <v>235</v>
      </c>
      <c r="D1424" t="s">
        <v>357</v>
      </c>
      <c r="F1424" t="s">
        <v>1670</v>
      </c>
      <c r="G1424" t="s">
        <v>2972</v>
      </c>
      <c r="H1424" t="s">
        <v>4075</v>
      </c>
      <c r="I1424" t="s">
        <v>4907</v>
      </c>
      <c r="J1424" t="s">
        <v>5323</v>
      </c>
      <c r="K1424">
        <v>10040</v>
      </c>
      <c r="L1424" t="s">
        <v>5356</v>
      </c>
      <c r="M1424" t="s">
        <v>5356</v>
      </c>
      <c r="N1424" t="s">
        <v>5591</v>
      </c>
      <c r="O1424" t="s">
        <v>6494</v>
      </c>
      <c r="P1424" t="s">
        <v>6530</v>
      </c>
      <c r="R1424" t="s">
        <v>6539</v>
      </c>
      <c r="S1424" t="s">
        <v>5355</v>
      </c>
      <c r="U1424" t="s">
        <v>6557</v>
      </c>
      <c r="W1424" t="s">
        <v>357</v>
      </c>
      <c r="X1424">
        <v>169.04</v>
      </c>
      <c r="Y1424" t="s">
        <v>6608</v>
      </c>
      <c r="Z1424" t="s">
        <v>6614</v>
      </c>
      <c r="AB1424" t="s">
        <v>7875</v>
      </c>
      <c r="AD1424" t="s">
        <v>10228</v>
      </c>
      <c r="AE1424">
        <v>44</v>
      </c>
      <c r="AF1424" t="s">
        <v>11005</v>
      </c>
      <c r="AG1424" t="s">
        <v>11023</v>
      </c>
      <c r="AH1424">
        <v>19</v>
      </c>
      <c r="AI1424">
        <v>1</v>
      </c>
      <c r="AJ1424">
        <v>2</v>
      </c>
      <c r="AK1424">
        <v>8.949999999999999</v>
      </c>
      <c r="AL1424" t="s">
        <v>11035</v>
      </c>
      <c r="AN1424" t="s">
        <v>11049</v>
      </c>
      <c r="AO1424">
        <v>1860</v>
      </c>
      <c r="AU1424">
        <v>0</v>
      </c>
      <c r="AW1424" t="s">
        <v>11495</v>
      </c>
    </row>
    <row r="1425" spans="1:49">
      <c r="A1425" s="1">
        <f>HYPERLINK("https://cms.ls-nyc.org/matter/dynamic-profile/view/1848874","17-1848874")</f>
        <v>0</v>
      </c>
      <c r="B1425" t="s">
        <v>100</v>
      </c>
      <c r="C1425" t="s">
        <v>235</v>
      </c>
      <c r="D1425" t="s">
        <v>340</v>
      </c>
      <c r="F1425" t="s">
        <v>1671</v>
      </c>
      <c r="G1425" t="s">
        <v>2973</v>
      </c>
      <c r="H1425" t="s">
        <v>4132</v>
      </c>
      <c r="I1425">
        <v>2</v>
      </c>
      <c r="J1425" t="s">
        <v>5320</v>
      </c>
      <c r="K1425">
        <v>11208</v>
      </c>
      <c r="L1425" t="s">
        <v>5355</v>
      </c>
      <c r="M1425" t="s">
        <v>5356</v>
      </c>
      <c r="N1425" t="s">
        <v>5707</v>
      </c>
      <c r="O1425" t="s">
        <v>6491</v>
      </c>
      <c r="P1425" t="s">
        <v>6530</v>
      </c>
      <c r="R1425" t="s">
        <v>6539</v>
      </c>
      <c r="U1425" t="s">
        <v>6557</v>
      </c>
      <c r="W1425" t="s">
        <v>363</v>
      </c>
      <c r="X1425">
        <v>1100</v>
      </c>
      <c r="Y1425" t="s">
        <v>6605</v>
      </c>
      <c r="Z1425" t="s">
        <v>6611</v>
      </c>
      <c r="AB1425" t="s">
        <v>7876</v>
      </c>
      <c r="AC1425" t="s">
        <v>8870</v>
      </c>
      <c r="AD1425" t="s">
        <v>10229</v>
      </c>
      <c r="AE1425">
        <v>5</v>
      </c>
      <c r="AF1425" t="s">
        <v>11009</v>
      </c>
      <c r="AH1425">
        <v>5</v>
      </c>
      <c r="AI1425">
        <v>1</v>
      </c>
      <c r="AJ1425">
        <v>3</v>
      </c>
      <c r="AK1425">
        <v>9.199999999999999</v>
      </c>
      <c r="AN1425" t="s">
        <v>11050</v>
      </c>
      <c r="AO1425">
        <v>2262</v>
      </c>
      <c r="AU1425">
        <v>31.9</v>
      </c>
      <c r="AV1425" t="s">
        <v>11438</v>
      </c>
      <c r="AW1425" t="s">
        <v>11487</v>
      </c>
    </row>
    <row r="1426" spans="1:49">
      <c r="A1426" s="1">
        <f>HYPERLINK("https://cms.ls-nyc.org/matter/dynamic-profile/view/1861676","18-1861676")</f>
        <v>0</v>
      </c>
      <c r="B1426" t="s">
        <v>111</v>
      </c>
      <c r="C1426" t="s">
        <v>235</v>
      </c>
      <c r="D1426" t="s">
        <v>362</v>
      </c>
      <c r="F1426" t="s">
        <v>1215</v>
      </c>
      <c r="G1426" t="s">
        <v>2974</v>
      </c>
      <c r="H1426" t="s">
        <v>3815</v>
      </c>
      <c r="I1426">
        <v>22</v>
      </c>
      <c r="J1426" t="s">
        <v>5323</v>
      </c>
      <c r="K1426">
        <v>10034</v>
      </c>
      <c r="L1426" t="s">
        <v>5355</v>
      </c>
      <c r="M1426" t="s">
        <v>5356</v>
      </c>
      <c r="N1426" t="s">
        <v>5708</v>
      </c>
      <c r="O1426" t="s">
        <v>6492</v>
      </c>
      <c r="P1426" t="s">
        <v>6530</v>
      </c>
      <c r="R1426" t="s">
        <v>6539</v>
      </c>
      <c r="S1426" t="s">
        <v>5357</v>
      </c>
      <c r="U1426" t="s">
        <v>6557</v>
      </c>
      <c r="W1426" t="s">
        <v>357</v>
      </c>
      <c r="X1426">
        <v>2000</v>
      </c>
      <c r="Y1426" t="s">
        <v>6608</v>
      </c>
      <c r="Z1426" t="s">
        <v>6619</v>
      </c>
      <c r="AB1426" t="s">
        <v>7877</v>
      </c>
      <c r="AE1426">
        <v>30</v>
      </c>
      <c r="AG1426" t="s">
        <v>11023</v>
      </c>
      <c r="AH1426">
        <v>24</v>
      </c>
      <c r="AI1426">
        <v>1</v>
      </c>
      <c r="AJ1426">
        <v>0</v>
      </c>
      <c r="AK1426">
        <v>9.880000000000001</v>
      </c>
      <c r="AN1426" t="s">
        <v>11050</v>
      </c>
      <c r="AO1426">
        <v>1200</v>
      </c>
      <c r="AU1426">
        <v>156.6</v>
      </c>
      <c r="AV1426" t="s">
        <v>11461</v>
      </c>
      <c r="AW1426" t="s">
        <v>11511</v>
      </c>
    </row>
    <row r="1427" spans="1:49">
      <c r="A1427" s="1">
        <f>HYPERLINK("https://cms.ls-nyc.org/matter/dynamic-profile/view/1840141","17-1840141")</f>
        <v>0</v>
      </c>
      <c r="B1427" t="s">
        <v>138</v>
      </c>
      <c r="C1427" t="s">
        <v>235</v>
      </c>
      <c r="D1427" t="s">
        <v>359</v>
      </c>
      <c r="F1427" t="s">
        <v>1141</v>
      </c>
      <c r="G1427" t="s">
        <v>2105</v>
      </c>
      <c r="H1427" t="s">
        <v>3750</v>
      </c>
      <c r="I1427" t="s">
        <v>4739</v>
      </c>
      <c r="J1427" t="s">
        <v>5320</v>
      </c>
      <c r="K1427">
        <v>11207</v>
      </c>
      <c r="L1427" t="s">
        <v>5355</v>
      </c>
      <c r="M1427" t="s">
        <v>5355</v>
      </c>
      <c r="N1427" t="s">
        <v>5709</v>
      </c>
      <c r="O1427" t="s">
        <v>6494</v>
      </c>
      <c r="P1427" t="s">
        <v>6530</v>
      </c>
      <c r="R1427" t="s">
        <v>6539</v>
      </c>
      <c r="S1427" t="s">
        <v>5355</v>
      </c>
      <c r="U1427" t="s">
        <v>6557</v>
      </c>
      <c r="W1427" t="s">
        <v>359</v>
      </c>
      <c r="X1427">
        <v>1435</v>
      </c>
      <c r="Y1427" t="s">
        <v>6605</v>
      </c>
      <c r="AB1427" t="s">
        <v>7012</v>
      </c>
      <c r="AC1427">
        <v>9507238</v>
      </c>
      <c r="AD1427" t="s">
        <v>9416</v>
      </c>
      <c r="AE1427">
        <v>6</v>
      </c>
      <c r="AF1427" t="s">
        <v>11005</v>
      </c>
      <c r="AH1427">
        <v>7</v>
      </c>
      <c r="AI1427">
        <v>1</v>
      </c>
      <c r="AJ1427">
        <v>4</v>
      </c>
      <c r="AK1427">
        <v>10.51</v>
      </c>
      <c r="AN1427" t="s">
        <v>11050</v>
      </c>
      <c r="AO1427">
        <v>3024</v>
      </c>
      <c r="AP1427" t="s">
        <v>11092</v>
      </c>
      <c r="AU1427">
        <v>135.25</v>
      </c>
      <c r="AV1427" t="s">
        <v>370</v>
      </c>
      <c r="AW1427" t="s">
        <v>11489</v>
      </c>
    </row>
    <row r="1428" spans="1:49">
      <c r="A1428" s="1">
        <f>HYPERLINK("https://cms.ls-nyc.org/matter/dynamic-profile/view/1862083","18-1862083")</f>
        <v>0</v>
      </c>
      <c r="B1428" t="s">
        <v>52</v>
      </c>
      <c r="C1428" t="s">
        <v>235</v>
      </c>
      <c r="D1428" t="s">
        <v>325</v>
      </c>
      <c r="F1428" t="s">
        <v>872</v>
      </c>
      <c r="G1428" t="s">
        <v>2975</v>
      </c>
      <c r="H1428" t="s">
        <v>4172</v>
      </c>
      <c r="I1428" t="s">
        <v>4775</v>
      </c>
      <c r="J1428" t="s">
        <v>5344</v>
      </c>
      <c r="K1428">
        <v>11004</v>
      </c>
      <c r="L1428" t="s">
        <v>5355</v>
      </c>
      <c r="M1428" t="s">
        <v>5356</v>
      </c>
      <c r="N1428" t="s">
        <v>5710</v>
      </c>
      <c r="O1428" t="s">
        <v>6492</v>
      </c>
      <c r="P1428" t="s">
        <v>6530</v>
      </c>
      <c r="R1428" t="s">
        <v>6539</v>
      </c>
      <c r="S1428" t="s">
        <v>5357</v>
      </c>
      <c r="U1428" t="s">
        <v>6557</v>
      </c>
      <c r="W1428" t="s">
        <v>373</v>
      </c>
      <c r="X1428">
        <v>969</v>
      </c>
      <c r="Y1428" t="s">
        <v>6604</v>
      </c>
      <c r="Z1428" t="s">
        <v>6615</v>
      </c>
      <c r="AB1428" t="s">
        <v>7878</v>
      </c>
      <c r="AC1428" t="s">
        <v>8871</v>
      </c>
      <c r="AD1428" t="s">
        <v>10230</v>
      </c>
      <c r="AE1428">
        <v>75</v>
      </c>
      <c r="AF1428" t="s">
        <v>11005</v>
      </c>
      <c r="AG1428" t="s">
        <v>5406</v>
      </c>
      <c r="AH1428">
        <v>4</v>
      </c>
      <c r="AI1428">
        <v>1</v>
      </c>
      <c r="AJ1428">
        <v>0</v>
      </c>
      <c r="AK1428">
        <v>11.07</v>
      </c>
      <c r="AN1428" t="s">
        <v>11050</v>
      </c>
      <c r="AO1428">
        <v>1344</v>
      </c>
      <c r="AP1428" t="s">
        <v>11082</v>
      </c>
      <c r="AU1428">
        <v>11.15</v>
      </c>
      <c r="AV1428" t="s">
        <v>795</v>
      </c>
      <c r="AW1428" t="s">
        <v>11506</v>
      </c>
    </row>
    <row r="1429" spans="1:49">
      <c r="A1429" s="1">
        <f>HYPERLINK("https://cms.ls-nyc.org/matter/dynamic-profile/view/1834324","17-1834324")</f>
        <v>0</v>
      </c>
      <c r="B1429" t="s">
        <v>97</v>
      </c>
      <c r="C1429" t="s">
        <v>235</v>
      </c>
      <c r="D1429" t="s">
        <v>558</v>
      </c>
      <c r="F1429" t="s">
        <v>914</v>
      </c>
      <c r="G1429" t="s">
        <v>995</v>
      </c>
      <c r="H1429" t="s">
        <v>4173</v>
      </c>
      <c r="J1429" t="s">
        <v>5323</v>
      </c>
      <c r="K1429">
        <v>10028</v>
      </c>
      <c r="L1429" t="s">
        <v>5355</v>
      </c>
      <c r="M1429" t="s">
        <v>5356</v>
      </c>
      <c r="O1429" t="s">
        <v>6492</v>
      </c>
      <c r="P1429" t="s">
        <v>6530</v>
      </c>
      <c r="R1429" t="s">
        <v>6540</v>
      </c>
      <c r="S1429" t="s">
        <v>5357</v>
      </c>
      <c r="U1429" t="s">
        <v>6557</v>
      </c>
      <c r="W1429" t="s">
        <v>404</v>
      </c>
      <c r="X1429">
        <v>2150</v>
      </c>
      <c r="Y1429" t="s">
        <v>6608</v>
      </c>
      <c r="Z1429" t="s">
        <v>6610</v>
      </c>
      <c r="AB1429" t="s">
        <v>7879</v>
      </c>
      <c r="AD1429" t="s">
        <v>10231</v>
      </c>
      <c r="AE1429">
        <v>10</v>
      </c>
      <c r="AF1429" t="s">
        <v>11005</v>
      </c>
      <c r="AG1429" t="s">
        <v>5406</v>
      </c>
      <c r="AH1429">
        <v>1</v>
      </c>
      <c r="AI1429">
        <v>2</v>
      </c>
      <c r="AJ1429">
        <v>0</v>
      </c>
      <c r="AK1429">
        <v>11.08</v>
      </c>
      <c r="AL1429" t="s">
        <v>11028</v>
      </c>
      <c r="AN1429" t="s">
        <v>11056</v>
      </c>
      <c r="AO1429">
        <v>1800</v>
      </c>
      <c r="AU1429">
        <v>104.1</v>
      </c>
      <c r="AV1429" t="s">
        <v>11466</v>
      </c>
      <c r="AW1429" t="s">
        <v>11497</v>
      </c>
    </row>
    <row r="1430" spans="1:49">
      <c r="A1430" s="1">
        <f>HYPERLINK("https://cms.ls-nyc.org/matter/dynamic-profile/view/1855550","18-1855550")</f>
        <v>0</v>
      </c>
      <c r="B1430" t="s">
        <v>88</v>
      </c>
      <c r="C1430" t="s">
        <v>234</v>
      </c>
      <c r="D1430" t="s">
        <v>281</v>
      </c>
      <c r="E1430" t="s">
        <v>709</v>
      </c>
      <c r="F1430" t="s">
        <v>1331</v>
      </c>
      <c r="G1430" t="s">
        <v>1247</v>
      </c>
      <c r="H1430" t="s">
        <v>4174</v>
      </c>
      <c r="I1430" t="s">
        <v>4811</v>
      </c>
      <c r="J1430" t="s">
        <v>5320</v>
      </c>
      <c r="K1430">
        <v>11233</v>
      </c>
      <c r="L1430" t="s">
        <v>5355</v>
      </c>
      <c r="M1430" t="s">
        <v>5355</v>
      </c>
      <c r="N1430" t="s">
        <v>5711</v>
      </c>
      <c r="O1430" t="s">
        <v>6492</v>
      </c>
      <c r="P1430" t="s">
        <v>6530</v>
      </c>
      <c r="Q1430" t="s">
        <v>6534</v>
      </c>
      <c r="R1430" t="s">
        <v>6539</v>
      </c>
      <c r="S1430" t="s">
        <v>5357</v>
      </c>
      <c r="U1430" t="s">
        <v>6557</v>
      </c>
      <c r="W1430" t="s">
        <v>290</v>
      </c>
      <c r="X1430">
        <v>828.86</v>
      </c>
      <c r="Y1430" t="s">
        <v>6605</v>
      </c>
      <c r="Z1430" t="s">
        <v>6613</v>
      </c>
      <c r="AA1430" t="s">
        <v>6637</v>
      </c>
      <c r="AB1430" t="s">
        <v>7880</v>
      </c>
      <c r="AC1430" t="s">
        <v>8872</v>
      </c>
      <c r="AD1430" t="s">
        <v>10232</v>
      </c>
      <c r="AE1430">
        <v>65</v>
      </c>
      <c r="AF1430" t="s">
        <v>11005</v>
      </c>
      <c r="AG1430" t="s">
        <v>6493</v>
      </c>
      <c r="AH1430">
        <v>10</v>
      </c>
      <c r="AI1430">
        <v>1</v>
      </c>
      <c r="AJ1430">
        <v>1</v>
      </c>
      <c r="AK1430">
        <v>11.21</v>
      </c>
      <c r="AN1430" t="s">
        <v>11050</v>
      </c>
      <c r="AO1430">
        <v>1820</v>
      </c>
      <c r="AR1430" t="s">
        <v>11210</v>
      </c>
      <c r="AS1430" t="s">
        <v>11253</v>
      </c>
      <c r="AT1430" t="s">
        <v>11266</v>
      </c>
      <c r="AU1430">
        <v>14.5</v>
      </c>
      <c r="AV1430" t="s">
        <v>709</v>
      </c>
      <c r="AW1430" t="s">
        <v>11512</v>
      </c>
    </row>
    <row r="1431" spans="1:49">
      <c r="A1431" s="1">
        <f>HYPERLINK("https://cms.ls-nyc.org/matter/dynamic-profile/view/0782743","15-0782743")</f>
        <v>0</v>
      </c>
      <c r="B1431" t="s">
        <v>142</v>
      </c>
      <c r="C1431" t="s">
        <v>234</v>
      </c>
      <c r="D1431" t="s">
        <v>559</v>
      </c>
      <c r="E1431" t="s">
        <v>671</v>
      </c>
      <c r="F1431" t="s">
        <v>1672</v>
      </c>
      <c r="G1431" t="s">
        <v>2976</v>
      </c>
      <c r="H1431" t="s">
        <v>4175</v>
      </c>
      <c r="I1431" t="s">
        <v>5142</v>
      </c>
      <c r="J1431" t="s">
        <v>5320</v>
      </c>
      <c r="K1431">
        <v>11208</v>
      </c>
      <c r="L1431" t="s">
        <v>5355</v>
      </c>
      <c r="M1431" t="s">
        <v>5356</v>
      </c>
      <c r="N1431" t="s">
        <v>5712</v>
      </c>
      <c r="O1431" t="s">
        <v>6492</v>
      </c>
      <c r="P1431" t="s">
        <v>6530</v>
      </c>
      <c r="Q1431" t="s">
        <v>6531</v>
      </c>
      <c r="R1431" t="s">
        <v>6539</v>
      </c>
      <c r="S1431" t="s">
        <v>5357</v>
      </c>
      <c r="T1431" t="s">
        <v>6544</v>
      </c>
      <c r="U1431" t="s">
        <v>6557</v>
      </c>
      <c r="W1431" t="s">
        <v>262</v>
      </c>
      <c r="X1431">
        <v>972</v>
      </c>
      <c r="Y1431" t="s">
        <v>6605</v>
      </c>
      <c r="Z1431" t="s">
        <v>6616</v>
      </c>
      <c r="AA1431" t="s">
        <v>6631</v>
      </c>
      <c r="AB1431" t="s">
        <v>7881</v>
      </c>
      <c r="AC1431" t="s">
        <v>8873</v>
      </c>
      <c r="AD1431" t="s">
        <v>10233</v>
      </c>
      <c r="AE1431">
        <v>0</v>
      </c>
      <c r="AF1431" t="s">
        <v>11005</v>
      </c>
      <c r="AH1431">
        <v>6</v>
      </c>
      <c r="AI1431">
        <v>1</v>
      </c>
      <c r="AJ1431">
        <v>2</v>
      </c>
      <c r="AK1431">
        <v>11.35</v>
      </c>
      <c r="AN1431" t="s">
        <v>11050</v>
      </c>
      <c r="AO1431">
        <v>2280</v>
      </c>
      <c r="AU1431">
        <v>108.1</v>
      </c>
      <c r="AV1431" t="s">
        <v>671</v>
      </c>
      <c r="AW1431" t="s">
        <v>11547</v>
      </c>
    </row>
    <row r="1432" spans="1:49">
      <c r="A1432" s="1">
        <f>HYPERLINK("https://cms.ls-nyc.org/matter/dynamic-profile/view/1864347","18-1864347")</f>
        <v>0</v>
      </c>
      <c r="B1432" t="s">
        <v>148</v>
      </c>
      <c r="C1432" t="s">
        <v>234</v>
      </c>
      <c r="D1432" t="s">
        <v>274</v>
      </c>
      <c r="E1432" t="s">
        <v>695</v>
      </c>
      <c r="F1432" t="s">
        <v>1652</v>
      </c>
      <c r="G1432" t="s">
        <v>1247</v>
      </c>
      <c r="H1432" t="s">
        <v>4154</v>
      </c>
      <c r="I1432" t="s">
        <v>4798</v>
      </c>
      <c r="J1432" t="s">
        <v>5322</v>
      </c>
      <c r="K1432">
        <v>10301</v>
      </c>
      <c r="L1432" t="s">
        <v>5355</v>
      </c>
      <c r="M1432" t="s">
        <v>5356</v>
      </c>
      <c r="N1432" t="s">
        <v>5713</v>
      </c>
      <c r="O1432" t="s">
        <v>6491</v>
      </c>
      <c r="P1432" t="s">
        <v>6530</v>
      </c>
      <c r="Q1432" t="s">
        <v>6534</v>
      </c>
      <c r="R1432" t="s">
        <v>6539</v>
      </c>
      <c r="S1432" t="s">
        <v>5357</v>
      </c>
      <c r="U1432" t="s">
        <v>6557</v>
      </c>
      <c r="W1432" t="s">
        <v>274</v>
      </c>
      <c r="X1432">
        <v>1305</v>
      </c>
      <c r="Y1432" t="s">
        <v>6607</v>
      </c>
      <c r="Z1432" t="s">
        <v>6614</v>
      </c>
      <c r="AA1432" t="s">
        <v>6637</v>
      </c>
      <c r="AB1432" t="s">
        <v>7850</v>
      </c>
      <c r="AC1432" t="s">
        <v>8874</v>
      </c>
      <c r="AD1432" t="s">
        <v>10203</v>
      </c>
      <c r="AE1432">
        <v>4</v>
      </c>
      <c r="AF1432" t="s">
        <v>11004</v>
      </c>
      <c r="AG1432" t="s">
        <v>11020</v>
      </c>
      <c r="AH1432">
        <v>8</v>
      </c>
      <c r="AI1432">
        <v>1</v>
      </c>
      <c r="AJ1432">
        <v>0</v>
      </c>
      <c r="AK1432">
        <v>11.76</v>
      </c>
      <c r="AN1432" t="s">
        <v>11050</v>
      </c>
      <c r="AO1432">
        <v>1428</v>
      </c>
      <c r="AU1432">
        <v>8.9</v>
      </c>
      <c r="AV1432" t="s">
        <v>695</v>
      </c>
      <c r="AW1432" t="s">
        <v>11510</v>
      </c>
    </row>
    <row r="1433" spans="1:49">
      <c r="A1433" s="1">
        <f>HYPERLINK("https://cms.ls-nyc.org/matter/dynamic-profile/view/1869824","18-1869824")</f>
        <v>0</v>
      </c>
      <c r="B1433" t="s">
        <v>142</v>
      </c>
      <c r="C1433" t="s">
        <v>234</v>
      </c>
      <c r="D1433" t="s">
        <v>379</v>
      </c>
      <c r="E1433" t="s">
        <v>736</v>
      </c>
      <c r="F1433" t="s">
        <v>1642</v>
      </c>
      <c r="G1433" t="s">
        <v>2977</v>
      </c>
      <c r="H1433" t="s">
        <v>4176</v>
      </c>
      <c r="I1433">
        <v>3</v>
      </c>
      <c r="J1433" t="s">
        <v>5320</v>
      </c>
      <c r="K1433">
        <v>11212</v>
      </c>
      <c r="L1433" t="s">
        <v>5355</v>
      </c>
      <c r="M1433" t="s">
        <v>5356</v>
      </c>
      <c r="N1433" t="s">
        <v>5714</v>
      </c>
      <c r="O1433" t="s">
        <v>6495</v>
      </c>
      <c r="P1433" t="s">
        <v>6530</v>
      </c>
      <c r="Q1433" t="s">
        <v>6531</v>
      </c>
      <c r="R1433" t="s">
        <v>6539</v>
      </c>
      <c r="S1433" t="s">
        <v>5357</v>
      </c>
      <c r="U1433" t="s">
        <v>6557</v>
      </c>
      <c r="W1433" t="s">
        <v>379</v>
      </c>
      <c r="X1433">
        <v>1200</v>
      </c>
      <c r="Y1433" t="s">
        <v>6605</v>
      </c>
      <c r="Z1433" t="s">
        <v>6614</v>
      </c>
      <c r="AA1433" t="s">
        <v>6631</v>
      </c>
      <c r="AB1433" t="s">
        <v>7882</v>
      </c>
      <c r="AD1433" t="s">
        <v>10234</v>
      </c>
      <c r="AE1433">
        <v>0</v>
      </c>
      <c r="AF1433" t="s">
        <v>11005</v>
      </c>
      <c r="AG1433" t="s">
        <v>11020</v>
      </c>
      <c r="AH1433">
        <v>13</v>
      </c>
      <c r="AI1433">
        <v>1</v>
      </c>
      <c r="AJ1433">
        <v>0</v>
      </c>
      <c r="AK1433">
        <v>11.86</v>
      </c>
      <c r="AN1433" t="s">
        <v>11050</v>
      </c>
      <c r="AO1433">
        <v>1440</v>
      </c>
      <c r="AU1433">
        <v>7</v>
      </c>
      <c r="AV1433" t="s">
        <v>275</v>
      </c>
      <c r="AW1433" t="s">
        <v>142</v>
      </c>
    </row>
    <row r="1434" spans="1:49">
      <c r="A1434" s="1">
        <f>HYPERLINK("https://cms.ls-nyc.org/matter/dynamic-profile/view/1863844","18-1863844")</f>
        <v>0</v>
      </c>
      <c r="B1434" t="s">
        <v>52</v>
      </c>
      <c r="C1434" t="s">
        <v>235</v>
      </c>
      <c r="D1434" t="s">
        <v>288</v>
      </c>
      <c r="F1434" t="s">
        <v>1144</v>
      </c>
      <c r="G1434" t="s">
        <v>2270</v>
      </c>
      <c r="H1434" t="s">
        <v>3751</v>
      </c>
      <c r="I1434">
        <v>2</v>
      </c>
      <c r="J1434" t="s">
        <v>5326</v>
      </c>
      <c r="K1434">
        <v>11691</v>
      </c>
      <c r="L1434" t="s">
        <v>5355</v>
      </c>
      <c r="M1434" t="s">
        <v>5356</v>
      </c>
      <c r="N1434" t="s">
        <v>5715</v>
      </c>
      <c r="O1434" t="s">
        <v>6492</v>
      </c>
      <c r="P1434" t="s">
        <v>6530</v>
      </c>
      <c r="R1434" t="s">
        <v>6539</v>
      </c>
      <c r="S1434" t="s">
        <v>5357</v>
      </c>
      <c r="U1434" t="s">
        <v>6557</v>
      </c>
      <c r="W1434" t="s">
        <v>298</v>
      </c>
      <c r="X1434">
        <v>1560</v>
      </c>
      <c r="Y1434" t="s">
        <v>6604</v>
      </c>
      <c r="Z1434" t="s">
        <v>6614</v>
      </c>
      <c r="AB1434" t="s">
        <v>7016</v>
      </c>
      <c r="AC1434" t="s">
        <v>8875</v>
      </c>
      <c r="AD1434" t="s">
        <v>9420</v>
      </c>
      <c r="AE1434">
        <v>2</v>
      </c>
      <c r="AF1434" t="s">
        <v>11004</v>
      </c>
      <c r="AG1434" t="s">
        <v>11020</v>
      </c>
      <c r="AH1434">
        <v>4</v>
      </c>
      <c r="AI1434">
        <v>2</v>
      </c>
      <c r="AJ1434">
        <v>0</v>
      </c>
      <c r="AK1434">
        <v>12.39</v>
      </c>
      <c r="AN1434" t="s">
        <v>11050</v>
      </c>
      <c r="AO1434">
        <v>2040</v>
      </c>
      <c r="AU1434">
        <v>18.04</v>
      </c>
      <c r="AV1434" t="s">
        <v>795</v>
      </c>
      <c r="AW1434" t="s">
        <v>120</v>
      </c>
    </row>
    <row r="1435" spans="1:49">
      <c r="A1435" s="1">
        <f>HYPERLINK("https://cms.ls-nyc.org/matter/dynamic-profile/view/1868205","18-1868205")</f>
        <v>0</v>
      </c>
      <c r="B1435" t="s">
        <v>80</v>
      </c>
      <c r="C1435" t="s">
        <v>234</v>
      </c>
      <c r="D1435" t="s">
        <v>280</v>
      </c>
      <c r="E1435" t="s">
        <v>718</v>
      </c>
      <c r="F1435" t="s">
        <v>1673</v>
      </c>
      <c r="G1435" t="s">
        <v>2852</v>
      </c>
      <c r="H1435" t="s">
        <v>4177</v>
      </c>
      <c r="I1435" t="s">
        <v>5143</v>
      </c>
      <c r="J1435" t="s">
        <v>5321</v>
      </c>
      <c r="K1435">
        <v>10460</v>
      </c>
      <c r="L1435" t="s">
        <v>5355</v>
      </c>
      <c r="M1435" t="s">
        <v>5356</v>
      </c>
      <c r="N1435" t="s">
        <v>5716</v>
      </c>
      <c r="O1435" t="s">
        <v>6492</v>
      </c>
      <c r="P1435" t="s">
        <v>6530</v>
      </c>
      <c r="Q1435" t="s">
        <v>6534</v>
      </c>
      <c r="R1435" t="s">
        <v>6539</v>
      </c>
      <c r="U1435" t="s">
        <v>6557</v>
      </c>
      <c r="W1435" t="s">
        <v>280</v>
      </c>
      <c r="X1435">
        <v>1212.97</v>
      </c>
      <c r="Y1435" t="s">
        <v>6606</v>
      </c>
      <c r="Z1435" t="s">
        <v>6613</v>
      </c>
      <c r="AA1435" t="s">
        <v>6637</v>
      </c>
      <c r="AB1435" t="s">
        <v>7883</v>
      </c>
      <c r="AC1435" t="s">
        <v>8876</v>
      </c>
      <c r="AD1435" t="s">
        <v>10235</v>
      </c>
      <c r="AE1435">
        <v>0</v>
      </c>
      <c r="AF1435" t="s">
        <v>11014</v>
      </c>
      <c r="AG1435" t="s">
        <v>5406</v>
      </c>
      <c r="AH1435">
        <v>2</v>
      </c>
      <c r="AI1435">
        <v>3</v>
      </c>
      <c r="AJ1435">
        <v>2</v>
      </c>
      <c r="AK1435">
        <v>12.64</v>
      </c>
      <c r="AN1435" t="s">
        <v>11050</v>
      </c>
      <c r="AO1435">
        <v>3720</v>
      </c>
      <c r="AP1435" t="s">
        <v>11075</v>
      </c>
      <c r="AQ1435" t="s">
        <v>11195</v>
      </c>
      <c r="AR1435" t="s">
        <v>11219</v>
      </c>
      <c r="AS1435" t="s">
        <v>11253</v>
      </c>
      <c r="AT1435" t="s">
        <v>11288</v>
      </c>
      <c r="AU1435">
        <v>42.33</v>
      </c>
      <c r="AV1435" t="s">
        <v>718</v>
      </c>
      <c r="AW1435" t="s">
        <v>11523</v>
      </c>
    </row>
    <row r="1436" spans="1:49">
      <c r="A1436" s="1">
        <f>HYPERLINK("https://cms.ls-nyc.org/matter/dynamic-profile/view/1852253","17-1852253")</f>
        <v>0</v>
      </c>
      <c r="B1436" t="s">
        <v>168</v>
      </c>
      <c r="C1436" t="s">
        <v>234</v>
      </c>
      <c r="D1436" t="s">
        <v>372</v>
      </c>
      <c r="E1436" t="s">
        <v>791</v>
      </c>
      <c r="F1436" t="s">
        <v>1674</v>
      </c>
      <c r="G1436" t="s">
        <v>2978</v>
      </c>
      <c r="H1436" t="s">
        <v>4178</v>
      </c>
      <c r="I1436" t="s">
        <v>4838</v>
      </c>
      <c r="J1436" t="s">
        <v>5321</v>
      </c>
      <c r="K1436">
        <v>10453</v>
      </c>
      <c r="L1436" t="s">
        <v>5355</v>
      </c>
      <c r="M1436" t="s">
        <v>5355</v>
      </c>
      <c r="N1436" t="s">
        <v>5717</v>
      </c>
      <c r="O1436" t="s">
        <v>6492</v>
      </c>
      <c r="P1436" t="s">
        <v>6530</v>
      </c>
      <c r="Q1436" t="s">
        <v>6534</v>
      </c>
      <c r="R1436" t="s">
        <v>6539</v>
      </c>
      <c r="S1436" t="s">
        <v>5357</v>
      </c>
      <c r="U1436" t="s">
        <v>6557</v>
      </c>
      <c r="V1436" t="s">
        <v>6567</v>
      </c>
      <c r="W1436" t="s">
        <v>372</v>
      </c>
      <c r="X1436">
        <v>1509.69</v>
      </c>
      <c r="Y1436" t="s">
        <v>6606</v>
      </c>
      <c r="Z1436" t="s">
        <v>6613</v>
      </c>
      <c r="AA1436" t="s">
        <v>6637</v>
      </c>
      <c r="AB1436" t="s">
        <v>7884</v>
      </c>
      <c r="AC1436">
        <v>36928205</v>
      </c>
      <c r="AD1436" t="s">
        <v>10236</v>
      </c>
      <c r="AE1436">
        <v>99</v>
      </c>
      <c r="AF1436" t="s">
        <v>11005</v>
      </c>
      <c r="AG1436" t="s">
        <v>11020</v>
      </c>
      <c r="AH1436">
        <v>8</v>
      </c>
      <c r="AI1436">
        <v>1</v>
      </c>
      <c r="AJ1436">
        <v>2</v>
      </c>
      <c r="AK1436">
        <v>12.81</v>
      </c>
      <c r="AN1436" t="s">
        <v>11050</v>
      </c>
      <c r="AO1436">
        <v>2616</v>
      </c>
      <c r="AQ1436" t="s">
        <v>11191</v>
      </c>
      <c r="AR1436" t="s">
        <v>11213</v>
      </c>
      <c r="AS1436" t="s">
        <v>11253</v>
      </c>
      <c r="AT1436" t="s">
        <v>11295</v>
      </c>
      <c r="AU1436">
        <v>23.2</v>
      </c>
      <c r="AV1436" t="s">
        <v>652</v>
      </c>
      <c r="AW1436" t="s">
        <v>11505</v>
      </c>
    </row>
    <row r="1437" spans="1:49">
      <c r="A1437" s="1">
        <f>HYPERLINK("https://cms.ls-nyc.org/matter/dynamic-profile/view/1845348","17-1845348")</f>
        <v>0</v>
      </c>
      <c r="B1437" t="s">
        <v>137</v>
      </c>
      <c r="C1437" t="s">
        <v>235</v>
      </c>
      <c r="D1437" t="s">
        <v>457</v>
      </c>
      <c r="F1437" t="s">
        <v>1675</v>
      </c>
      <c r="G1437" t="s">
        <v>2979</v>
      </c>
      <c r="H1437" t="s">
        <v>4179</v>
      </c>
      <c r="I1437" t="s">
        <v>5003</v>
      </c>
      <c r="J1437" t="s">
        <v>5320</v>
      </c>
      <c r="K1437">
        <v>11207</v>
      </c>
      <c r="L1437" t="s">
        <v>5355</v>
      </c>
      <c r="M1437" t="s">
        <v>5356</v>
      </c>
      <c r="N1437" t="s">
        <v>5718</v>
      </c>
      <c r="O1437" t="s">
        <v>6492</v>
      </c>
      <c r="P1437" t="s">
        <v>6530</v>
      </c>
      <c r="R1437" t="s">
        <v>6539</v>
      </c>
      <c r="U1437" t="s">
        <v>6557</v>
      </c>
      <c r="W1437" t="s">
        <v>6599</v>
      </c>
      <c r="X1437">
        <v>1100</v>
      </c>
      <c r="Y1437" t="s">
        <v>6605</v>
      </c>
      <c r="Z1437" t="s">
        <v>6614</v>
      </c>
      <c r="AB1437" t="s">
        <v>7885</v>
      </c>
      <c r="AC1437" t="s">
        <v>8877</v>
      </c>
      <c r="AD1437" t="s">
        <v>10237</v>
      </c>
      <c r="AE1437">
        <v>6</v>
      </c>
      <c r="AF1437" t="s">
        <v>11005</v>
      </c>
      <c r="AH1437">
        <v>4</v>
      </c>
      <c r="AI1437">
        <v>2</v>
      </c>
      <c r="AJ1437">
        <v>2</v>
      </c>
      <c r="AK1437">
        <v>13.53</v>
      </c>
      <c r="AN1437" t="s">
        <v>11050</v>
      </c>
      <c r="AO1437">
        <v>3328</v>
      </c>
      <c r="AU1437">
        <v>43.4</v>
      </c>
      <c r="AV1437" t="s">
        <v>322</v>
      </c>
      <c r="AW1437" t="s">
        <v>11489</v>
      </c>
    </row>
    <row r="1438" spans="1:49">
      <c r="A1438" s="1">
        <f>HYPERLINK("https://cms.ls-nyc.org/matter/dynamic-profile/view/1848653","17-1848653")</f>
        <v>0</v>
      </c>
      <c r="B1438" t="s">
        <v>189</v>
      </c>
      <c r="C1438" t="s">
        <v>234</v>
      </c>
      <c r="D1438" t="s">
        <v>535</v>
      </c>
      <c r="E1438" t="s">
        <v>792</v>
      </c>
      <c r="F1438" t="s">
        <v>988</v>
      </c>
      <c r="G1438" t="s">
        <v>2980</v>
      </c>
      <c r="H1438" t="s">
        <v>4180</v>
      </c>
      <c r="I1438" t="s">
        <v>4762</v>
      </c>
      <c r="J1438" t="s">
        <v>5322</v>
      </c>
      <c r="K1438">
        <v>10304</v>
      </c>
      <c r="L1438" t="s">
        <v>5355</v>
      </c>
      <c r="M1438" t="s">
        <v>5355</v>
      </c>
      <c r="N1438" t="s">
        <v>5719</v>
      </c>
      <c r="O1438" t="s">
        <v>6492</v>
      </c>
      <c r="P1438" t="s">
        <v>6530</v>
      </c>
      <c r="Q1438" t="s">
        <v>6534</v>
      </c>
      <c r="R1438" t="s">
        <v>6539</v>
      </c>
      <c r="S1438" t="s">
        <v>5357</v>
      </c>
      <c r="U1438" t="s">
        <v>6557</v>
      </c>
      <c r="V1438" t="s">
        <v>6566</v>
      </c>
      <c r="W1438" t="s">
        <v>535</v>
      </c>
      <c r="X1438">
        <v>101</v>
      </c>
      <c r="Y1438" t="s">
        <v>6607</v>
      </c>
      <c r="Z1438" t="s">
        <v>6613</v>
      </c>
      <c r="AA1438" t="s">
        <v>6637</v>
      </c>
      <c r="AB1438" t="s">
        <v>7886</v>
      </c>
      <c r="AD1438" t="s">
        <v>10238</v>
      </c>
      <c r="AE1438">
        <v>305</v>
      </c>
      <c r="AF1438" t="s">
        <v>11008</v>
      </c>
      <c r="AG1438" t="s">
        <v>11020</v>
      </c>
      <c r="AH1438">
        <v>4</v>
      </c>
      <c r="AI1438">
        <v>1</v>
      </c>
      <c r="AJ1438">
        <v>0</v>
      </c>
      <c r="AK1438">
        <v>13.8</v>
      </c>
      <c r="AN1438" t="s">
        <v>11050</v>
      </c>
      <c r="AO1438">
        <v>1664</v>
      </c>
      <c r="AR1438" t="s">
        <v>11213</v>
      </c>
      <c r="AS1438" t="s">
        <v>11253</v>
      </c>
      <c r="AT1438" t="s">
        <v>11296</v>
      </c>
      <c r="AU1438">
        <v>4.45</v>
      </c>
      <c r="AV1438" t="s">
        <v>792</v>
      </c>
      <c r="AW1438" t="s">
        <v>11510</v>
      </c>
    </row>
    <row r="1439" spans="1:49">
      <c r="A1439" s="1">
        <f>HYPERLINK("https://cms.ls-nyc.org/matter/dynamic-profile/view/1861086","18-1861086")</f>
        <v>0</v>
      </c>
      <c r="B1439" t="s">
        <v>56</v>
      </c>
      <c r="C1439" t="s">
        <v>235</v>
      </c>
      <c r="D1439" t="s">
        <v>246</v>
      </c>
      <c r="F1439" t="s">
        <v>1676</v>
      </c>
      <c r="G1439" t="s">
        <v>2120</v>
      </c>
      <c r="H1439" t="s">
        <v>4181</v>
      </c>
      <c r="J1439" t="s">
        <v>5321</v>
      </c>
      <c r="K1439">
        <v>10472</v>
      </c>
      <c r="L1439" t="s">
        <v>5355</v>
      </c>
      <c r="M1439" t="s">
        <v>5356</v>
      </c>
      <c r="N1439" t="s">
        <v>5720</v>
      </c>
      <c r="O1439" t="s">
        <v>6492</v>
      </c>
      <c r="P1439" t="s">
        <v>6530</v>
      </c>
      <c r="R1439" t="s">
        <v>6539</v>
      </c>
      <c r="S1439" t="s">
        <v>5357</v>
      </c>
      <c r="U1439" t="s">
        <v>6557</v>
      </c>
      <c r="W1439" t="s">
        <v>480</v>
      </c>
      <c r="X1439">
        <v>1514</v>
      </c>
      <c r="Y1439" t="s">
        <v>6606</v>
      </c>
      <c r="Z1439" t="s">
        <v>6493</v>
      </c>
      <c r="AB1439" t="s">
        <v>7887</v>
      </c>
      <c r="AC1439" t="s">
        <v>8878</v>
      </c>
      <c r="AE1439">
        <v>6</v>
      </c>
      <c r="AF1439" t="s">
        <v>11005</v>
      </c>
      <c r="AG1439" t="s">
        <v>11020</v>
      </c>
      <c r="AH1439">
        <v>4</v>
      </c>
      <c r="AI1439">
        <v>1</v>
      </c>
      <c r="AJ1439">
        <v>2</v>
      </c>
      <c r="AK1439">
        <v>13.97</v>
      </c>
      <c r="AN1439" t="s">
        <v>11050</v>
      </c>
      <c r="AO1439">
        <v>2904</v>
      </c>
      <c r="AU1439">
        <v>59.2</v>
      </c>
      <c r="AV1439" t="s">
        <v>704</v>
      </c>
      <c r="AW1439" t="s">
        <v>56</v>
      </c>
    </row>
    <row r="1440" spans="1:49">
      <c r="A1440" s="1">
        <f>HYPERLINK("https://cms.ls-nyc.org/matter/dynamic-profile/view/1863428","18-1863428")</f>
        <v>0</v>
      </c>
      <c r="B1440" t="s">
        <v>133</v>
      </c>
      <c r="C1440" t="s">
        <v>234</v>
      </c>
      <c r="D1440" t="s">
        <v>263</v>
      </c>
      <c r="E1440" t="s">
        <v>712</v>
      </c>
      <c r="F1440" t="s">
        <v>1677</v>
      </c>
      <c r="G1440" t="s">
        <v>2981</v>
      </c>
      <c r="H1440" t="s">
        <v>4182</v>
      </c>
      <c r="I1440" t="s">
        <v>5144</v>
      </c>
      <c r="J1440" t="s">
        <v>5345</v>
      </c>
      <c r="K1440">
        <v>11419</v>
      </c>
      <c r="L1440" t="s">
        <v>5355</v>
      </c>
      <c r="M1440" t="s">
        <v>5355</v>
      </c>
      <c r="N1440" t="s">
        <v>5721</v>
      </c>
      <c r="O1440" t="s">
        <v>6492</v>
      </c>
      <c r="P1440" t="s">
        <v>6530</v>
      </c>
      <c r="Q1440" t="s">
        <v>6534</v>
      </c>
      <c r="R1440" t="s">
        <v>6539</v>
      </c>
      <c r="S1440" t="s">
        <v>5357</v>
      </c>
      <c r="U1440" t="s">
        <v>6557</v>
      </c>
      <c r="V1440" t="s">
        <v>6566</v>
      </c>
      <c r="W1440" t="s">
        <v>263</v>
      </c>
      <c r="X1440">
        <v>1250</v>
      </c>
      <c r="Y1440" t="s">
        <v>6604</v>
      </c>
      <c r="Z1440" t="s">
        <v>6615</v>
      </c>
      <c r="AA1440" t="s">
        <v>6637</v>
      </c>
      <c r="AB1440" t="s">
        <v>7888</v>
      </c>
      <c r="AC1440" t="s">
        <v>8879</v>
      </c>
      <c r="AD1440" t="s">
        <v>10239</v>
      </c>
      <c r="AE1440">
        <v>36</v>
      </c>
      <c r="AF1440" t="s">
        <v>11005</v>
      </c>
      <c r="AG1440" t="s">
        <v>11024</v>
      </c>
      <c r="AH1440">
        <v>15</v>
      </c>
      <c r="AI1440">
        <v>3</v>
      </c>
      <c r="AJ1440">
        <v>0</v>
      </c>
      <c r="AK1440">
        <v>14.09</v>
      </c>
      <c r="AN1440" t="s">
        <v>11065</v>
      </c>
      <c r="AO1440">
        <v>2928</v>
      </c>
      <c r="AQ1440" t="s">
        <v>11195</v>
      </c>
      <c r="AR1440" t="s">
        <v>11220</v>
      </c>
      <c r="AS1440" t="s">
        <v>11253</v>
      </c>
      <c r="AT1440" t="s">
        <v>11297</v>
      </c>
      <c r="AU1440">
        <v>87.5</v>
      </c>
      <c r="AV1440" t="s">
        <v>454</v>
      </c>
      <c r="AW1440" t="s">
        <v>133</v>
      </c>
    </row>
    <row r="1441" spans="1:49">
      <c r="A1441" s="1">
        <f>HYPERLINK("https://cms.ls-nyc.org/matter/dynamic-profile/view/1867337","18-1867337")</f>
        <v>0</v>
      </c>
      <c r="B1441" t="s">
        <v>156</v>
      </c>
      <c r="C1441" t="s">
        <v>234</v>
      </c>
      <c r="D1441" t="s">
        <v>320</v>
      </c>
      <c r="E1441" t="s">
        <v>690</v>
      </c>
      <c r="F1441" t="s">
        <v>1122</v>
      </c>
      <c r="G1441" t="s">
        <v>1643</v>
      </c>
      <c r="H1441" t="s">
        <v>4183</v>
      </c>
      <c r="I1441" t="s">
        <v>4734</v>
      </c>
      <c r="J1441" t="s">
        <v>5322</v>
      </c>
      <c r="K1441">
        <v>10304</v>
      </c>
      <c r="L1441" t="s">
        <v>5355</v>
      </c>
      <c r="M1441" t="s">
        <v>5355</v>
      </c>
      <c r="N1441" t="s">
        <v>5722</v>
      </c>
      <c r="O1441" t="s">
        <v>6492</v>
      </c>
      <c r="P1441" t="s">
        <v>6530</v>
      </c>
      <c r="Q1441" t="s">
        <v>6534</v>
      </c>
      <c r="R1441" t="s">
        <v>6539</v>
      </c>
      <c r="S1441" t="s">
        <v>5357</v>
      </c>
      <c r="U1441" t="s">
        <v>6557</v>
      </c>
      <c r="W1441" t="s">
        <v>320</v>
      </c>
      <c r="X1441">
        <v>1348.44</v>
      </c>
      <c r="Y1441" t="s">
        <v>6607</v>
      </c>
      <c r="Z1441" t="s">
        <v>6614</v>
      </c>
      <c r="AA1441" t="s">
        <v>6633</v>
      </c>
      <c r="AB1441" t="s">
        <v>7889</v>
      </c>
      <c r="AD1441" t="s">
        <v>10240</v>
      </c>
      <c r="AE1441">
        <v>4</v>
      </c>
      <c r="AF1441" t="s">
        <v>11004</v>
      </c>
      <c r="AG1441" t="s">
        <v>11020</v>
      </c>
      <c r="AH1441">
        <v>8</v>
      </c>
      <c r="AI1441">
        <v>2</v>
      </c>
      <c r="AJ1441">
        <v>0</v>
      </c>
      <c r="AK1441">
        <v>14.22</v>
      </c>
      <c r="AN1441" t="s">
        <v>11050</v>
      </c>
      <c r="AO1441">
        <v>2340</v>
      </c>
      <c r="AQ1441" t="s">
        <v>11192</v>
      </c>
      <c r="AU1441">
        <v>14.7</v>
      </c>
      <c r="AV1441" t="s">
        <v>690</v>
      </c>
      <c r="AW1441" t="s">
        <v>11545</v>
      </c>
    </row>
    <row r="1442" spans="1:49">
      <c r="A1442" s="1">
        <f>HYPERLINK("https://cms.ls-nyc.org/matter/dynamic-profile/view/1851391","17-1851391")</f>
        <v>0</v>
      </c>
      <c r="B1442" t="s">
        <v>109</v>
      </c>
      <c r="C1442" t="s">
        <v>234</v>
      </c>
      <c r="D1442" t="s">
        <v>560</v>
      </c>
      <c r="E1442" t="s">
        <v>703</v>
      </c>
      <c r="F1442" t="s">
        <v>1501</v>
      </c>
      <c r="G1442" t="s">
        <v>2982</v>
      </c>
      <c r="H1442" t="s">
        <v>4184</v>
      </c>
      <c r="I1442" t="s">
        <v>4746</v>
      </c>
      <c r="J1442" t="s">
        <v>5320</v>
      </c>
      <c r="K1442">
        <v>11207</v>
      </c>
      <c r="L1442" t="s">
        <v>5355</v>
      </c>
      <c r="M1442" t="s">
        <v>5356</v>
      </c>
      <c r="O1442" t="s">
        <v>6492</v>
      </c>
      <c r="P1442" t="s">
        <v>6530</v>
      </c>
      <c r="Q1442" t="s">
        <v>6535</v>
      </c>
      <c r="R1442" t="s">
        <v>6539</v>
      </c>
      <c r="U1442" t="s">
        <v>6557</v>
      </c>
      <c r="W1442" t="s">
        <v>372</v>
      </c>
      <c r="X1442">
        <v>680</v>
      </c>
      <c r="Y1442" t="s">
        <v>6605</v>
      </c>
      <c r="Z1442" t="s">
        <v>6614</v>
      </c>
      <c r="AA1442" t="s">
        <v>6637</v>
      </c>
      <c r="AB1442" t="s">
        <v>7890</v>
      </c>
      <c r="AC1442" t="s">
        <v>8880</v>
      </c>
      <c r="AD1442" t="s">
        <v>10241</v>
      </c>
      <c r="AE1442">
        <v>3</v>
      </c>
      <c r="AF1442" t="s">
        <v>11005</v>
      </c>
      <c r="AH1442">
        <v>34</v>
      </c>
      <c r="AI1442">
        <v>1</v>
      </c>
      <c r="AJ1442">
        <v>0</v>
      </c>
      <c r="AK1442">
        <v>14.23</v>
      </c>
      <c r="AN1442" t="s">
        <v>11049</v>
      </c>
      <c r="AO1442">
        <v>1716</v>
      </c>
      <c r="AU1442">
        <v>78.54000000000001</v>
      </c>
      <c r="AV1442" t="s">
        <v>720</v>
      </c>
      <c r="AW1442" t="s">
        <v>11489</v>
      </c>
    </row>
    <row r="1443" spans="1:49">
      <c r="A1443" s="1">
        <f>HYPERLINK("https://cms.ls-nyc.org/matter/dynamic-profile/view/1864441","18-1864441")</f>
        <v>0</v>
      </c>
      <c r="B1443" t="s">
        <v>183</v>
      </c>
      <c r="C1443" t="s">
        <v>235</v>
      </c>
      <c r="D1443" t="s">
        <v>256</v>
      </c>
      <c r="F1443" t="s">
        <v>1093</v>
      </c>
      <c r="G1443" t="s">
        <v>2983</v>
      </c>
      <c r="H1443" t="s">
        <v>4185</v>
      </c>
      <c r="I1443" t="s">
        <v>4740</v>
      </c>
      <c r="J1443" t="s">
        <v>5320</v>
      </c>
      <c r="K1443">
        <v>11233</v>
      </c>
      <c r="L1443" t="s">
        <v>5355</v>
      </c>
      <c r="M1443" t="s">
        <v>5355</v>
      </c>
      <c r="N1443" t="s">
        <v>5723</v>
      </c>
      <c r="O1443" t="s">
        <v>6492</v>
      </c>
      <c r="P1443" t="s">
        <v>6530</v>
      </c>
      <c r="R1443" t="s">
        <v>6539</v>
      </c>
      <c r="S1443" t="s">
        <v>5357</v>
      </c>
      <c r="U1443" t="s">
        <v>6557</v>
      </c>
      <c r="W1443" t="s">
        <v>256</v>
      </c>
      <c r="X1443">
        <v>975</v>
      </c>
      <c r="Y1443" t="s">
        <v>6605</v>
      </c>
      <c r="Z1443" t="s">
        <v>6611</v>
      </c>
      <c r="AB1443" t="s">
        <v>7891</v>
      </c>
      <c r="AC1443" t="s">
        <v>8881</v>
      </c>
      <c r="AD1443" t="s">
        <v>10242</v>
      </c>
      <c r="AE1443">
        <v>4</v>
      </c>
      <c r="AF1443" t="s">
        <v>11013</v>
      </c>
      <c r="AG1443" t="s">
        <v>11020</v>
      </c>
      <c r="AH1443">
        <v>16</v>
      </c>
      <c r="AI1443">
        <v>3</v>
      </c>
      <c r="AJ1443">
        <v>2</v>
      </c>
      <c r="AK1443">
        <v>14.28</v>
      </c>
      <c r="AN1443" t="s">
        <v>11050</v>
      </c>
      <c r="AO1443">
        <v>4200</v>
      </c>
      <c r="AU1443">
        <v>21.6</v>
      </c>
      <c r="AV1443" t="s">
        <v>454</v>
      </c>
      <c r="AW1443" t="s">
        <v>11487</v>
      </c>
    </row>
    <row r="1444" spans="1:49">
      <c r="A1444" s="1">
        <f>HYPERLINK("https://cms.ls-nyc.org/matter/dynamic-profile/view/1834626","17-1834626")</f>
        <v>0</v>
      </c>
      <c r="B1444" t="s">
        <v>192</v>
      </c>
      <c r="C1444" t="s">
        <v>235</v>
      </c>
      <c r="D1444" t="s">
        <v>494</v>
      </c>
      <c r="F1444" t="s">
        <v>1678</v>
      </c>
      <c r="G1444" t="s">
        <v>2984</v>
      </c>
      <c r="H1444" t="s">
        <v>4186</v>
      </c>
      <c r="I1444" t="s">
        <v>5145</v>
      </c>
      <c r="J1444" t="s">
        <v>5320</v>
      </c>
      <c r="K1444">
        <v>11233</v>
      </c>
      <c r="L1444" t="s">
        <v>5355</v>
      </c>
      <c r="M1444" t="s">
        <v>5356</v>
      </c>
      <c r="N1444" t="s">
        <v>5724</v>
      </c>
      <c r="O1444" t="s">
        <v>6491</v>
      </c>
      <c r="P1444" t="s">
        <v>6530</v>
      </c>
      <c r="R1444" t="s">
        <v>6539</v>
      </c>
      <c r="U1444" t="s">
        <v>6557</v>
      </c>
      <c r="W1444" t="s">
        <v>6583</v>
      </c>
      <c r="X1444">
        <v>1250</v>
      </c>
      <c r="Y1444" t="s">
        <v>6605</v>
      </c>
      <c r="Z1444" t="s">
        <v>6617</v>
      </c>
      <c r="AB1444" t="s">
        <v>7892</v>
      </c>
      <c r="AD1444" t="s">
        <v>10243</v>
      </c>
      <c r="AE1444">
        <v>5</v>
      </c>
      <c r="AG1444" t="s">
        <v>6493</v>
      </c>
      <c r="AH1444">
        <v>10</v>
      </c>
      <c r="AI1444">
        <v>1</v>
      </c>
      <c r="AJ1444">
        <v>2</v>
      </c>
      <c r="AK1444">
        <v>14.69</v>
      </c>
      <c r="AN1444" t="s">
        <v>11050</v>
      </c>
      <c r="AO1444">
        <v>3000</v>
      </c>
      <c r="AU1444">
        <v>177.7</v>
      </c>
      <c r="AV1444" t="s">
        <v>757</v>
      </c>
      <c r="AW1444" t="s">
        <v>11503</v>
      </c>
    </row>
    <row r="1445" spans="1:49">
      <c r="A1445" s="1">
        <f>HYPERLINK("https://cms.ls-nyc.org/matter/dynamic-profile/view/1834081","17-1834081")</f>
        <v>0</v>
      </c>
      <c r="B1445" t="s">
        <v>141</v>
      </c>
      <c r="C1445" t="s">
        <v>234</v>
      </c>
      <c r="D1445" t="s">
        <v>561</v>
      </c>
      <c r="E1445" t="s">
        <v>699</v>
      </c>
      <c r="F1445" t="s">
        <v>1679</v>
      </c>
      <c r="G1445" t="s">
        <v>2985</v>
      </c>
      <c r="H1445" t="s">
        <v>4187</v>
      </c>
      <c r="I1445" t="s">
        <v>4852</v>
      </c>
      <c r="J1445" t="s">
        <v>5320</v>
      </c>
      <c r="K1445">
        <v>11210</v>
      </c>
      <c r="L1445" t="s">
        <v>5355</v>
      </c>
      <c r="M1445" t="s">
        <v>5356</v>
      </c>
      <c r="N1445" t="s">
        <v>5725</v>
      </c>
      <c r="O1445" t="s">
        <v>6491</v>
      </c>
      <c r="P1445" t="s">
        <v>6530</v>
      </c>
      <c r="Q1445" t="s">
        <v>6533</v>
      </c>
      <c r="R1445" t="s">
        <v>6539</v>
      </c>
      <c r="S1445" t="s">
        <v>5357</v>
      </c>
      <c r="U1445" t="s">
        <v>6557</v>
      </c>
      <c r="W1445" t="s">
        <v>6583</v>
      </c>
      <c r="X1445">
        <v>1005.39</v>
      </c>
      <c r="Y1445" t="s">
        <v>6605</v>
      </c>
      <c r="Z1445" t="s">
        <v>6616</v>
      </c>
      <c r="AA1445" t="s">
        <v>6637</v>
      </c>
      <c r="AB1445" t="s">
        <v>7893</v>
      </c>
      <c r="AD1445" t="s">
        <v>10244</v>
      </c>
      <c r="AE1445">
        <v>420</v>
      </c>
      <c r="AF1445" t="s">
        <v>8722</v>
      </c>
      <c r="AG1445" t="s">
        <v>11020</v>
      </c>
      <c r="AH1445">
        <v>19</v>
      </c>
      <c r="AI1445">
        <v>1</v>
      </c>
      <c r="AJ1445">
        <v>0</v>
      </c>
      <c r="AK1445">
        <v>14.93</v>
      </c>
      <c r="AM1445" t="s">
        <v>11045</v>
      </c>
      <c r="AN1445" t="s">
        <v>11050</v>
      </c>
      <c r="AO1445">
        <v>1800</v>
      </c>
      <c r="AU1445">
        <v>21.25</v>
      </c>
      <c r="AV1445" t="s">
        <v>458</v>
      </c>
      <c r="AW1445" t="s">
        <v>11512</v>
      </c>
    </row>
    <row r="1446" spans="1:49">
      <c r="A1446" s="1">
        <f>HYPERLINK("https://cms.ls-nyc.org/matter/dynamic-profile/view/1852131","17-1852131")</f>
        <v>0</v>
      </c>
      <c r="B1446" t="s">
        <v>62</v>
      </c>
      <c r="C1446" t="s">
        <v>235</v>
      </c>
      <c r="D1446" t="s">
        <v>562</v>
      </c>
      <c r="F1446" t="s">
        <v>1419</v>
      </c>
      <c r="G1446" t="s">
        <v>2115</v>
      </c>
      <c r="H1446" t="s">
        <v>4188</v>
      </c>
      <c r="I1446" t="s">
        <v>5146</v>
      </c>
      <c r="J1446" t="s">
        <v>5322</v>
      </c>
      <c r="K1446">
        <v>10301</v>
      </c>
      <c r="L1446" t="s">
        <v>5355</v>
      </c>
      <c r="M1446" t="s">
        <v>5355</v>
      </c>
      <c r="N1446" t="s">
        <v>5726</v>
      </c>
      <c r="O1446" t="s">
        <v>6491</v>
      </c>
      <c r="P1446" t="s">
        <v>6530</v>
      </c>
      <c r="R1446" t="s">
        <v>6539</v>
      </c>
      <c r="S1446" t="s">
        <v>5355</v>
      </c>
      <c r="U1446" t="s">
        <v>6557</v>
      </c>
      <c r="W1446" t="s">
        <v>327</v>
      </c>
      <c r="X1446">
        <v>850</v>
      </c>
      <c r="Y1446" t="s">
        <v>6607</v>
      </c>
      <c r="Z1446" t="s">
        <v>6614</v>
      </c>
      <c r="AB1446" t="s">
        <v>7894</v>
      </c>
      <c r="AC1446" t="s">
        <v>8882</v>
      </c>
      <c r="AE1446">
        <v>3</v>
      </c>
      <c r="AF1446" t="s">
        <v>11004</v>
      </c>
      <c r="AG1446" t="s">
        <v>5406</v>
      </c>
      <c r="AH1446">
        <v>7</v>
      </c>
      <c r="AI1446">
        <v>1</v>
      </c>
      <c r="AJ1446">
        <v>4</v>
      </c>
      <c r="AK1446">
        <v>14.93</v>
      </c>
      <c r="AN1446" t="s">
        <v>11049</v>
      </c>
      <c r="AO1446">
        <v>4296</v>
      </c>
      <c r="AU1446">
        <v>6.85</v>
      </c>
      <c r="AV1446" t="s">
        <v>775</v>
      </c>
      <c r="AW1446" t="s">
        <v>11536</v>
      </c>
    </row>
    <row r="1447" spans="1:49">
      <c r="A1447" s="1">
        <f>HYPERLINK("https://cms.ls-nyc.org/matter/dynamic-profile/view/0798555","16-0798555")</f>
        <v>0</v>
      </c>
      <c r="B1447" t="s">
        <v>134</v>
      </c>
      <c r="C1447" t="s">
        <v>235</v>
      </c>
      <c r="D1447" t="s">
        <v>514</v>
      </c>
      <c r="F1447" t="s">
        <v>887</v>
      </c>
      <c r="G1447" t="s">
        <v>2986</v>
      </c>
      <c r="H1447" t="s">
        <v>4189</v>
      </c>
      <c r="I1447" t="s">
        <v>5147</v>
      </c>
      <c r="J1447" t="s">
        <v>5318</v>
      </c>
      <c r="K1447">
        <v>11385</v>
      </c>
      <c r="L1447" t="s">
        <v>5355</v>
      </c>
      <c r="M1447" t="s">
        <v>5356</v>
      </c>
      <c r="N1447" t="s">
        <v>5727</v>
      </c>
      <c r="O1447" t="s">
        <v>6494</v>
      </c>
      <c r="P1447" t="s">
        <v>6530</v>
      </c>
      <c r="R1447" t="s">
        <v>6539</v>
      </c>
      <c r="S1447" t="s">
        <v>5357</v>
      </c>
      <c r="T1447" t="s">
        <v>6547</v>
      </c>
      <c r="U1447" t="s">
        <v>6557</v>
      </c>
      <c r="W1447" t="s">
        <v>419</v>
      </c>
      <c r="X1447">
        <v>1469.71</v>
      </c>
      <c r="Y1447" t="s">
        <v>6604</v>
      </c>
      <c r="Z1447" t="s">
        <v>6609</v>
      </c>
      <c r="AB1447" t="s">
        <v>7895</v>
      </c>
      <c r="AC1447" t="s">
        <v>8883</v>
      </c>
      <c r="AD1447" t="s">
        <v>10245</v>
      </c>
      <c r="AE1447">
        <v>6</v>
      </c>
      <c r="AG1447" t="s">
        <v>11020</v>
      </c>
      <c r="AH1447">
        <v>9</v>
      </c>
      <c r="AI1447">
        <v>3</v>
      </c>
      <c r="AJ1447">
        <v>1</v>
      </c>
      <c r="AK1447">
        <v>14.98</v>
      </c>
      <c r="AN1447" t="s">
        <v>11050</v>
      </c>
      <c r="AO1447">
        <v>3640</v>
      </c>
      <c r="AP1447" t="s">
        <v>11136</v>
      </c>
      <c r="AU1447">
        <v>28</v>
      </c>
      <c r="AV1447" t="s">
        <v>11467</v>
      </c>
      <c r="AW1447" t="s">
        <v>93</v>
      </c>
    </row>
    <row r="1448" spans="1:49">
      <c r="A1448" s="1">
        <f>HYPERLINK("https://cms.ls-nyc.org/matter/dynamic-profile/view/1867183","18-1867183")</f>
        <v>0</v>
      </c>
      <c r="B1448" t="s">
        <v>71</v>
      </c>
      <c r="C1448" t="s">
        <v>235</v>
      </c>
      <c r="D1448" t="s">
        <v>391</v>
      </c>
      <c r="F1448" t="s">
        <v>1680</v>
      </c>
      <c r="G1448" t="s">
        <v>1367</v>
      </c>
      <c r="H1448" t="s">
        <v>4190</v>
      </c>
      <c r="I1448" t="s">
        <v>5030</v>
      </c>
      <c r="J1448" t="s">
        <v>5321</v>
      </c>
      <c r="K1448">
        <v>10452</v>
      </c>
      <c r="L1448" t="s">
        <v>5355</v>
      </c>
      <c r="M1448" t="s">
        <v>5355</v>
      </c>
      <c r="N1448" t="s">
        <v>5728</v>
      </c>
      <c r="O1448" t="s">
        <v>6492</v>
      </c>
      <c r="P1448" t="s">
        <v>6530</v>
      </c>
      <c r="R1448" t="s">
        <v>6539</v>
      </c>
      <c r="S1448" t="s">
        <v>5357</v>
      </c>
      <c r="U1448" t="s">
        <v>6557</v>
      </c>
      <c r="W1448" t="s">
        <v>275</v>
      </c>
      <c r="X1448">
        <v>129</v>
      </c>
      <c r="Y1448" t="s">
        <v>6606</v>
      </c>
      <c r="Z1448" t="s">
        <v>6614</v>
      </c>
      <c r="AB1448" t="s">
        <v>7896</v>
      </c>
      <c r="AC1448" t="s">
        <v>8884</v>
      </c>
      <c r="AD1448" t="s">
        <v>10246</v>
      </c>
      <c r="AE1448">
        <v>18</v>
      </c>
      <c r="AF1448" t="s">
        <v>11008</v>
      </c>
      <c r="AG1448" t="s">
        <v>11020</v>
      </c>
      <c r="AH1448">
        <v>36</v>
      </c>
      <c r="AI1448">
        <v>1</v>
      </c>
      <c r="AJ1448">
        <v>0</v>
      </c>
      <c r="AK1448">
        <v>15.02</v>
      </c>
      <c r="AN1448" t="s">
        <v>11050</v>
      </c>
      <c r="AO1448">
        <v>1824</v>
      </c>
      <c r="AP1448" t="s">
        <v>11075</v>
      </c>
      <c r="AU1448">
        <v>23</v>
      </c>
      <c r="AV1448" t="s">
        <v>773</v>
      </c>
      <c r="AW1448" t="s">
        <v>11505</v>
      </c>
    </row>
    <row r="1449" spans="1:49">
      <c r="A1449" s="1">
        <f>HYPERLINK("https://cms.ls-nyc.org/matter/dynamic-profile/view/1861300","18-1861300")</f>
        <v>0</v>
      </c>
      <c r="B1449" t="s">
        <v>115</v>
      </c>
      <c r="C1449" t="s">
        <v>234</v>
      </c>
      <c r="D1449" t="s">
        <v>444</v>
      </c>
      <c r="E1449" t="s">
        <v>720</v>
      </c>
      <c r="F1449" t="s">
        <v>1127</v>
      </c>
      <c r="G1449" t="s">
        <v>2987</v>
      </c>
      <c r="H1449" t="s">
        <v>3849</v>
      </c>
      <c r="I1449" t="s">
        <v>5148</v>
      </c>
      <c r="J1449" t="s">
        <v>5320</v>
      </c>
      <c r="K1449">
        <v>11225</v>
      </c>
      <c r="L1449" t="s">
        <v>5355</v>
      </c>
      <c r="M1449" t="s">
        <v>5356</v>
      </c>
      <c r="N1449" t="s">
        <v>5729</v>
      </c>
      <c r="O1449" t="s">
        <v>6492</v>
      </c>
      <c r="P1449" t="s">
        <v>6530</v>
      </c>
      <c r="Q1449" t="s">
        <v>6534</v>
      </c>
      <c r="R1449" t="s">
        <v>6539</v>
      </c>
      <c r="S1449" t="s">
        <v>5355</v>
      </c>
      <c r="U1449" t="s">
        <v>6557</v>
      </c>
      <c r="W1449" t="s">
        <v>646</v>
      </c>
      <c r="X1449">
        <v>914.15</v>
      </c>
      <c r="Y1449" t="s">
        <v>6605</v>
      </c>
      <c r="Z1449" t="s">
        <v>6614</v>
      </c>
      <c r="AA1449" t="s">
        <v>6637</v>
      </c>
      <c r="AB1449" t="s">
        <v>7897</v>
      </c>
      <c r="AD1449" t="s">
        <v>10247</v>
      </c>
      <c r="AE1449">
        <v>16</v>
      </c>
      <c r="AF1449" t="s">
        <v>11005</v>
      </c>
      <c r="AH1449">
        <v>17</v>
      </c>
      <c r="AI1449">
        <v>3</v>
      </c>
      <c r="AJ1449">
        <v>0</v>
      </c>
      <c r="AK1449">
        <v>15.75</v>
      </c>
      <c r="AL1449" t="s">
        <v>11031</v>
      </c>
      <c r="AN1449" t="s">
        <v>11050</v>
      </c>
      <c r="AO1449">
        <v>3216</v>
      </c>
      <c r="AR1449" t="s">
        <v>11210</v>
      </c>
      <c r="AS1449" t="s">
        <v>11253</v>
      </c>
      <c r="AT1449" t="s">
        <v>11298</v>
      </c>
      <c r="AU1449">
        <v>0.6</v>
      </c>
      <c r="AV1449" t="s">
        <v>347</v>
      </c>
      <c r="AW1449" t="s">
        <v>54</v>
      </c>
    </row>
    <row r="1450" spans="1:49">
      <c r="A1450" s="1">
        <f>HYPERLINK("https://cms.ls-nyc.org/matter/dynamic-profile/view/1870444","18-1870444")</f>
        <v>0</v>
      </c>
      <c r="B1450" t="s">
        <v>106</v>
      </c>
      <c r="C1450" t="s">
        <v>235</v>
      </c>
      <c r="D1450" t="s">
        <v>255</v>
      </c>
      <c r="F1450" t="s">
        <v>1681</v>
      </c>
      <c r="G1450" t="s">
        <v>2988</v>
      </c>
      <c r="H1450" t="s">
        <v>4191</v>
      </c>
      <c r="I1450" t="s">
        <v>5149</v>
      </c>
      <c r="J1450" t="s">
        <v>5321</v>
      </c>
      <c r="K1450">
        <v>10453</v>
      </c>
      <c r="L1450" t="s">
        <v>5355</v>
      </c>
      <c r="M1450" t="s">
        <v>5355</v>
      </c>
      <c r="N1450" t="s">
        <v>5730</v>
      </c>
      <c r="O1450" t="s">
        <v>6492</v>
      </c>
      <c r="P1450" t="s">
        <v>6530</v>
      </c>
      <c r="R1450" t="s">
        <v>6539</v>
      </c>
      <c r="S1450" t="s">
        <v>5357</v>
      </c>
      <c r="U1450" t="s">
        <v>6557</v>
      </c>
      <c r="W1450" t="s">
        <v>516</v>
      </c>
      <c r="X1450">
        <v>1379.06</v>
      </c>
      <c r="Y1450" t="s">
        <v>6606</v>
      </c>
      <c r="Z1450" t="s">
        <v>6614</v>
      </c>
      <c r="AB1450" t="s">
        <v>7898</v>
      </c>
      <c r="AC1450" t="s">
        <v>8885</v>
      </c>
      <c r="AD1450" t="s">
        <v>10248</v>
      </c>
      <c r="AE1450">
        <v>101</v>
      </c>
      <c r="AF1450" t="s">
        <v>11005</v>
      </c>
      <c r="AG1450" t="s">
        <v>5406</v>
      </c>
      <c r="AH1450">
        <v>11</v>
      </c>
      <c r="AI1450">
        <v>1</v>
      </c>
      <c r="AJ1450">
        <v>1</v>
      </c>
      <c r="AK1450">
        <v>17.06</v>
      </c>
      <c r="AN1450" t="s">
        <v>11050</v>
      </c>
      <c r="AO1450">
        <v>2808</v>
      </c>
      <c r="AU1450">
        <v>19.1</v>
      </c>
      <c r="AV1450" t="s">
        <v>738</v>
      </c>
      <c r="AW1450" t="s">
        <v>11499</v>
      </c>
    </row>
    <row r="1451" spans="1:49">
      <c r="A1451" s="1">
        <f>HYPERLINK("https://cms.ls-nyc.org/matter/dynamic-profile/view/1861033","18-1861033")</f>
        <v>0</v>
      </c>
      <c r="B1451" t="s">
        <v>52</v>
      </c>
      <c r="C1451" t="s">
        <v>235</v>
      </c>
      <c r="D1451" t="s">
        <v>246</v>
      </c>
      <c r="F1451" t="s">
        <v>1144</v>
      </c>
      <c r="G1451" t="s">
        <v>2270</v>
      </c>
      <c r="H1451" t="s">
        <v>4192</v>
      </c>
      <c r="I1451">
        <v>2</v>
      </c>
      <c r="J1451" t="s">
        <v>5326</v>
      </c>
      <c r="K1451">
        <v>11691</v>
      </c>
      <c r="L1451" t="s">
        <v>5355</v>
      </c>
      <c r="M1451" t="s">
        <v>5356</v>
      </c>
      <c r="N1451" t="s">
        <v>5731</v>
      </c>
      <c r="O1451" t="s">
        <v>6494</v>
      </c>
      <c r="P1451" t="s">
        <v>6530</v>
      </c>
      <c r="R1451" t="s">
        <v>6539</v>
      </c>
      <c r="S1451" t="s">
        <v>5357</v>
      </c>
      <c r="U1451" t="s">
        <v>6557</v>
      </c>
      <c r="W1451" t="s">
        <v>246</v>
      </c>
      <c r="X1451">
        <v>1560</v>
      </c>
      <c r="Y1451" t="s">
        <v>6604</v>
      </c>
      <c r="Z1451" t="s">
        <v>6612</v>
      </c>
      <c r="AB1451" t="s">
        <v>7016</v>
      </c>
      <c r="AC1451" t="s">
        <v>8875</v>
      </c>
      <c r="AD1451" t="s">
        <v>9420</v>
      </c>
      <c r="AE1451">
        <v>2</v>
      </c>
      <c r="AF1451" t="s">
        <v>11014</v>
      </c>
      <c r="AG1451" t="s">
        <v>11020</v>
      </c>
      <c r="AH1451">
        <v>4</v>
      </c>
      <c r="AI1451">
        <v>2</v>
      </c>
      <c r="AJ1451">
        <v>0</v>
      </c>
      <c r="AK1451">
        <v>17.24</v>
      </c>
      <c r="AN1451" t="s">
        <v>11050</v>
      </c>
      <c r="AO1451">
        <v>2838</v>
      </c>
      <c r="AU1451">
        <v>14.32</v>
      </c>
      <c r="AV1451" t="s">
        <v>809</v>
      </c>
      <c r="AW1451" t="s">
        <v>149</v>
      </c>
    </row>
    <row r="1452" spans="1:49">
      <c r="A1452" s="1">
        <f>HYPERLINK("https://cms.ls-nyc.org/matter/dynamic-profile/view/1863488","18-1863488")</f>
        <v>0</v>
      </c>
      <c r="B1452" t="s">
        <v>52</v>
      </c>
      <c r="C1452" t="s">
        <v>234</v>
      </c>
      <c r="D1452" t="s">
        <v>377</v>
      </c>
      <c r="E1452" t="s">
        <v>752</v>
      </c>
      <c r="F1452" t="s">
        <v>1144</v>
      </c>
      <c r="G1452" t="s">
        <v>2270</v>
      </c>
      <c r="H1452" t="s">
        <v>3751</v>
      </c>
      <c r="I1452">
        <v>2</v>
      </c>
      <c r="J1452" t="s">
        <v>5326</v>
      </c>
      <c r="K1452">
        <v>11691</v>
      </c>
      <c r="L1452" t="s">
        <v>5355</v>
      </c>
      <c r="M1452" t="s">
        <v>5355</v>
      </c>
      <c r="N1452" t="s">
        <v>5732</v>
      </c>
      <c r="O1452" t="s">
        <v>6494</v>
      </c>
      <c r="P1452" t="s">
        <v>6530</v>
      </c>
      <c r="Q1452" t="s">
        <v>6534</v>
      </c>
      <c r="R1452" t="s">
        <v>6539</v>
      </c>
      <c r="S1452" t="s">
        <v>5357</v>
      </c>
      <c r="U1452" t="s">
        <v>6557</v>
      </c>
      <c r="V1452" t="s">
        <v>6566</v>
      </c>
      <c r="W1452" t="s">
        <v>377</v>
      </c>
      <c r="X1452">
        <v>1560</v>
      </c>
      <c r="Y1452" t="s">
        <v>6604</v>
      </c>
      <c r="Z1452" t="s">
        <v>6614</v>
      </c>
      <c r="AA1452" t="s">
        <v>6634</v>
      </c>
      <c r="AB1452" t="s">
        <v>7016</v>
      </c>
      <c r="AC1452" t="s">
        <v>8875</v>
      </c>
      <c r="AD1452" t="s">
        <v>9420</v>
      </c>
      <c r="AE1452">
        <v>2</v>
      </c>
      <c r="AF1452" t="s">
        <v>11014</v>
      </c>
      <c r="AG1452" t="s">
        <v>11020</v>
      </c>
      <c r="AH1452">
        <v>4</v>
      </c>
      <c r="AI1452">
        <v>2</v>
      </c>
      <c r="AJ1452">
        <v>0</v>
      </c>
      <c r="AK1452">
        <v>17.24</v>
      </c>
      <c r="AN1452" t="s">
        <v>11050</v>
      </c>
      <c r="AO1452">
        <v>2838</v>
      </c>
      <c r="AR1452" t="s">
        <v>11203</v>
      </c>
      <c r="AS1452" t="s">
        <v>11253</v>
      </c>
      <c r="AT1452" t="s">
        <v>11299</v>
      </c>
      <c r="AU1452">
        <v>3.34</v>
      </c>
      <c r="AV1452" t="s">
        <v>713</v>
      </c>
      <c r="AW1452" t="s">
        <v>52</v>
      </c>
    </row>
    <row r="1453" spans="1:49">
      <c r="A1453" s="1">
        <f>HYPERLINK("https://cms.ls-nyc.org/matter/dynamic-profile/view/1867739","18-1867739")</f>
        <v>0</v>
      </c>
      <c r="B1453" t="s">
        <v>56</v>
      </c>
      <c r="C1453" t="s">
        <v>235</v>
      </c>
      <c r="D1453" t="s">
        <v>317</v>
      </c>
      <c r="F1453" t="s">
        <v>1493</v>
      </c>
      <c r="G1453" t="s">
        <v>2989</v>
      </c>
      <c r="H1453" t="s">
        <v>4193</v>
      </c>
      <c r="I1453" t="s">
        <v>4768</v>
      </c>
      <c r="J1453" t="s">
        <v>5321</v>
      </c>
      <c r="K1453">
        <v>10459</v>
      </c>
      <c r="L1453" t="s">
        <v>5355</v>
      </c>
      <c r="M1453" t="s">
        <v>5356</v>
      </c>
      <c r="N1453" t="s">
        <v>5733</v>
      </c>
      <c r="O1453" t="s">
        <v>6492</v>
      </c>
      <c r="P1453" t="s">
        <v>6530</v>
      </c>
      <c r="R1453" t="s">
        <v>6539</v>
      </c>
      <c r="S1453" t="s">
        <v>5357</v>
      </c>
      <c r="U1453" t="s">
        <v>6557</v>
      </c>
      <c r="W1453" t="s">
        <v>516</v>
      </c>
      <c r="X1453">
        <v>1751</v>
      </c>
      <c r="Y1453" t="s">
        <v>6606</v>
      </c>
      <c r="Z1453" t="s">
        <v>6609</v>
      </c>
      <c r="AB1453" t="s">
        <v>7899</v>
      </c>
      <c r="AD1453" t="s">
        <v>10249</v>
      </c>
      <c r="AE1453">
        <v>64</v>
      </c>
      <c r="AF1453" t="s">
        <v>11005</v>
      </c>
      <c r="AG1453" t="s">
        <v>11027</v>
      </c>
      <c r="AH1453">
        <v>28</v>
      </c>
      <c r="AI1453">
        <v>2</v>
      </c>
      <c r="AJ1453">
        <v>1</v>
      </c>
      <c r="AK1453">
        <v>17.44</v>
      </c>
      <c r="AN1453" t="s">
        <v>11049</v>
      </c>
      <c r="AO1453">
        <v>3624</v>
      </c>
      <c r="AP1453" t="s">
        <v>11079</v>
      </c>
      <c r="AU1453">
        <v>8.85</v>
      </c>
      <c r="AV1453" t="s">
        <v>704</v>
      </c>
      <c r="AW1453" t="s">
        <v>11499</v>
      </c>
    </row>
    <row r="1454" spans="1:49">
      <c r="A1454" s="1">
        <f>HYPERLINK("https://cms.ls-nyc.org/matter/dynamic-profile/view/1858122","18-1858122")</f>
        <v>0</v>
      </c>
      <c r="B1454" t="s">
        <v>63</v>
      </c>
      <c r="C1454" t="s">
        <v>235</v>
      </c>
      <c r="D1454" t="s">
        <v>238</v>
      </c>
      <c r="F1454" t="s">
        <v>1682</v>
      </c>
      <c r="G1454" t="s">
        <v>2285</v>
      </c>
      <c r="H1454" t="s">
        <v>4180</v>
      </c>
      <c r="I1454" t="s">
        <v>5150</v>
      </c>
      <c r="J1454" t="s">
        <v>5322</v>
      </c>
      <c r="K1454">
        <v>10304</v>
      </c>
      <c r="L1454" t="s">
        <v>5355</v>
      </c>
      <c r="M1454" t="s">
        <v>5356</v>
      </c>
      <c r="N1454" t="s">
        <v>5734</v>
      </c>
      <c r="O1454" t="s">
        <v>6492</v>
      </c>
      <c r="P1454" t="s">
        <v>6530</v>
      </c>
      <c r="R1454" t="s">
        <v>6539</v>
      </c>
      <c r="S1454" t="s">
        <v>5357</v>
      </c>
      <c r="U1454" t="s">
        <v>6557</v>
      </c>
      <c r="W1454" t="s">
        <v>238</v>
      </c>
      <c r="X1454">
        <v>1106</v>
      </c>
      <c r="Y1454" t="s">
        <v>6607</v>
      </c>
      <c r="Z1454" t="s">
        <v>6614</v>
      </c>
      <c r="AB1454" t="s">
        <v>7900</v>
      </c>
      <c r="AD1454" t="s">
        <v>10250</v>
      </c>
      <c r="AE1454">
        <v>305</v>
      </c>
      <c r="AF1454" t="s">
        <v>11008</v>
      </c>
      <c r="AG1454" t="s">
        <v>11020</v>
      </c>
      <c r="AH1454">
        <v>16</v>
      </c>
      <c r="AI1454">
        <v>2</v>
      </c>
      <c r="AJ1454">
        <v>1</v>
      </c>
      <c r="AK1454">
        <v>17.63</v>
      </c>
      <c r="AN1454" t="s">
        <v>11050</v>
      </c>
      <c r="AO1454">
        <v>12276</v>
      </c>
      <c r="AU1454">
        <v>7.1</v>
      </c>
      <c r="AV1454" t="s">
        <v>568</v>
      </c>
      <c r="AW1454" t="s">
        <v>11510</v>
      </c>
    </row>
    <row r="1455" spans="1:49">
      <c r="A1455" s="1">
        <f>HYPERLINK("https://cms.ls-nyc.org/matter/dynamic-profile/view/1847656","17-1847656")</f>
        <v>0</v>
      </c>
      <c r="B1455" t="s">
        <v>142</v>
      </c>
      <c r="C1455" t="s">
        <v>235</v>
      </c>
      <c r="D1455" t="s">
        <v>346</v>
      </c>
      <c r="F1455" t="s">
        <v>1683</v>
      </c>
      <c r="G1455" t="s">
        <v>2663</v>
      </c>
      <c r="H1455" t="s">
        <v>4194</v>
      </c>
      <c r="I1455" t="s">
        <v>4781</v>
      </c>
      <c r="J1455" t="s">
        <v>5320</v>
      </c>
      <c r="K1455">
        <v>11237</v>
      </c>
      <c r="L1455" t="s">
        <v>5355</v>
      </c>
      <c r="M1455" t="s">
        <v>5356</v>
      </c>
      <c r="N1455" t="s">
        <v>5735</v>
      </c>
      <c r="O1455" t="s">
        <v>6491</v>
      </c>
      <c r="P1455" t="s">
        <v>6530</v>
      </c>
      <c r="R1455" t="s">
        <v>6539</v>
      </c>
      <c r="S1455" t="s">
        <v>5357</v>
      </c>
      <c r="U1455" t="s">
        <v>6557</v>
      </c>
      <c r="W1455" t="s">
        <v>362</v>
      </c>
      <c r="X1455">
        <v>576</v>
      </c>
      <c r="Y1455" t="s">
        <v>6605</v>
      </c>
      <c r="Z1455" t="s">
        <v>6493</v>
      </c>
      <c r="AB1455" t="s">
        <v>7251</v>
      </c>
      <c r="AC1455" t="s">
        <v>8886</v>
      </c>
      <c r="AD1455" t="s">
        <v>10251</v>
      </c>
      <c r="AE1455">
        <v>6</v>
      </c>
      <c r="AF1455" t="s">
        <v>11005</v>
      </c>
      <c r="AG1455" t="s">
        <v>5406</v>
      </c>
      <c r="AH1455">
        <v>30</v>
      </c>
      <c r="AI1455">
        <v>1</v>
      </c>
      <c r="AJ1455">
        <v>0</v>
      </c>
      <c r="AK1455">
        <v>18.21</v>
      </c>
      <c r="AN1455" t="s">
        <v>11050</v>
      </c>
      <c r="AO1455">
        <v>2196</v>
      </c>
      <c r="AU1455">
        <v>68.86</v>
      </c>
      <c r="AV1455" t="s">
        <v>829</v>
      </c>
      <c r="AW1455" t="s">
        <v>11513</v>
      </c>
    </row>
    <row r="1456" spans="1:49">
      <c r="A1456" s="1">
        <f>HYPERLINK("https://cms.ls-nyc.org/matter/dynamic-profile/view/1869741","18-1869741")</f>
        <v>0</v>
      </c>
      <c r="B1456" t="s">
        <v>134</v>
      </c>
      <c r="C1456" t="s">
        <v>235</v>
      </c>
      <c r="D1456" t="s">
        <v>275</v>
      </c>
      <c r="F1456" t="s">
        <v>1684</v>
      </c>
      <c r="G1456" t="s">
        <v>2990</v>
      </c>
      <c r="H1456" t="s">
        <v>4195</v>
      </c>
      <c r="I1456" t="s">
        <v>4738</v>
      </c>
      <c r="J1456" t="s">
        <v>5326</v>
      </c>
      <c r="K1456">
        <v>11691</v>
      </c>
      <c r="L1456" t="s">
        <v>5355</v>
      </c>
      <c r="M1456" t="s">
        <v>5356</v>
      </c>
      <c r="N1456" t="s">
        <v>5736</v>
      </c>
      <c r="O1456" t="s">
        <v>6492</v>
      </c>
      <c r="P1456" t="s">
        <v>6530</v>
      </c>
      <c r="R1456" t="s">
        <v>6539</v>
      </c>
      <c r="S1456" t="s">
        <v>5357</v>
      </c>
      <c r="U1456" t="s">
        <v>6557</v>
      </c>
      <c r="W1456" t="s">
        <v>275</v>
      </c>
      <c r="X1456">
        <v>1043.08</v>
      </c>
      <c r="Y1456" t="s">
        <v>6604</v>
      </c>
      <c r="Z1456" t="s">
        <v>6615</v>
      </c>
      <c r="AB1456" t="s">
        <v>7901</v>
      </c>
      <c r="AC1456" t="s">
        <v>8887</v>
      </c>
      <c r="AD1456" t="s">
        <v>10252</v>
      </c>
      <c r="AE1456">
        <v>20</v>
      </c>
      <c r="AF1456" t="s">
        <v>11005</v>
      </c>
      <c r="AG1456" t="s">
        <v>11023</v>
      </c>
      <c r="AH1456">
        <v>6</v>
      </c>
      <c r="AI1456">
        <v>1</v>
      </c>
      <c r="AJ1456">
        <v>1</v>
      </c>
      <c r="AK1456">
        <v>18.32</v>
      </c>
      <c r="AN1456" t="s">
        <v>11050</v>
      </c>
      <c r="AO1456">
        <v>3016</v>
      </c>
      <c r="AU1456">
        <v>14.1</v>
      </c>
      <c r="AV1456" t="s">
        <v>11433</v>
      </c>
      <c r="AW1456" t="s">
        <v>86</v>
      </c>
    </row>
    <row r="1457" spans="1:49">
      <c r="A1457" s="1">
        <f>HYPERLINK("https://cms.ls-nyc.org/matter/dynamic-profile/view/1864502","18-1864502")</f>
        <v>0</v>
      </c>
      <c r="B1457" t="s">
        <v>92</v>
      </c>
      <c r="C1457" t="s">
        <v>235</v>
      </c>
      <c r="D1457" t="s">
        <v>256</v>
      </c>
      <c r="F1457" t="s">
        <v>972</v>
      </c>
      <c r="G1457" t="s">
        <v>2264</v>
      </c>
      <c r="H1457" t="s">
        <v>4196</v>
      </c>
      <c r="I1457">
        <v>704</v>
      </c>
      <c r="J1457" t="s">
        <v>5323</v>
      </c>
      <c r="K1457">
        <v>10029</v>
      </c>
      <c r="L1457" t="s">
        <v>5355</v>
      </c>
      <c r="M1457" t="s">
        <v>5355</v>
      </c>
      <c r="N1457" t="s">
        <v>5632</v>
      </c>
      <c r="O1457" t="s">
        <v>6494</v>
      </c>
      <c r="P1457" t="s">
        <v>6530</v>
      </c>
      <c r="R1457" t="s">
        <v>6539</v>
      </c>
      <c r="S1457" t="s">
        <v>5355</v>
      </c>
      <c r="U1457" t="s">
        <v>6557</v>
      </c>
      <c r="V1457" t="s">
        <v>6566</v>
      </c>
      <c r="W1457" t="s">
        <v>256</v>
      </c>
      <c r="X1457">
        <v>0</v>
      </c>
      <c r="Y1457" t="s">
        <v>6608</v>
      </c>
      <c r="Z1457" t="s">
        <v>6622</v>
      </c>
      <c r="AB1457" t="s">
        <v>7902</v>
      </c>
      <c r="AD1457" t="s">
        <v>10253</v>
      </c>
      <c r="AE1457">
        <v>108</v>
      </c>
      <c r="AF1457" t="s">
        <v>11008</v>
      </c>
      <c r="AG1457" t="s">
        <v>11020</v>
      </c>
      <c r="AH1457">
        <v>34</v>
      </c>
      <c r="AI1457">
        <v>1</v>
      </c>
      <c r="AJ1457">
        <v>0</v>
      </c>
      <c r="AK1457">
        <v>18.48</v>
      </c>
      <c r="AN1457" t="s">
        <v>11050</v>
      </c>
      <c r="AO1457">
        <v>2244</v>
      </c>
      <c r="AU1457">
        <v>0</v>
      </c>
      <c r="AW1457" t="s">
        <v>11497</v>
      </c>
    </row>
    <row r="1458" spans="1:49">
      <c r="A1458" s="1">
        <f>HYPERLINK("https://cms.ls-nyc.org/matter/dynamic-profile/view/1845580","17-1845580")</f>
        <v>0</v>
      </c>
      <c r="B1458" t="s">
        <v>156</v>
      </c>
      <c r="C1458" t="s">
        <v>234</v>
      </c>
      <c r="D1458" t="s">
        <v>563</v>
      </c>
      <c r="E1458" t="s">
        <v>766</v>
      </c>
      <c r="F1458" t="s">
        <v>1346</v>
      </c>
      <c r="G1458" t="s">
        <v>2605</v>
      </c>
      <c r="H1458" t="s">
        <v>3943</v>
      </c>
      <c r="I1458" t="s">
        <v>4766</v>
      </c>
      <c r="J1458" t="s">
        <v>5322</v>
      </c>
      <c r="K1458">
        <v>10304</v>
      </c>
      <c r="L1458" t="s">
        <v>5355</v>
      </c>
      <c r="M1458" t="s">
        <v>5356</v>
      </c>
      <c r="N1458" t="s">
        <v>5737</v>
      </c>
      <c r="O1458" t="s">
        <v>6494</v>
      </c>
      <c r="P1458" t="s">
        <v>6530</v>
      </c>
      <c r="Q1458" t="s">
        <v>6534</v>
      </c>
      <c r="R1458" t="s">
        <v>6540</v>
      </c>
      <c r="S1458" t="s">
        <v>5357</v>
      </c>
      <c r="U1458" t="s">
        <v>6557</v>
      </c>
      <c r="W1458" t="s">
        <v>563</v>
      </c>
      <c r="X1458">
        <v>1050</v>
      </c>
      <c r="Y1458" t="s">
        <v>6607</v>
      </c>
      <c r="Z1458" t="s">
        <v>6610</v>
      </c>
      <c r="AA1458" t="s">
        <v>6634</v>
      </c>
      <c r="AB1458" t="s">
        <v>7323</v>
      </c>
      <c r="AC1458" t="s">
        <v>8888</v>
      </c>
      <c r="AE1458">
        <v>3</v>
      </c>
      <c r="AF1458" t="s">
        <v>11004</v>
      </c>
      <c r="AG1458" t="s">
        <v>11023</v>
      </c>
      <c r="AH1458">
        <v>2</v>
      </c>
      <c r="AI1458">
        <v>1</v>
      </c>
      <c r="AJ1458">
        <v>2</v>
      </c>
      <c r="AK1458">
        <v>18.91</v>
      </c>
      <c r="AL1458" t="s">
        <v>11028</v>
      </c>
      <c r="AN1458" t="s">
        <v>11050</v>
      </c>
      <c r="AO1458">
        <v>3861</v>
      </c>
      <c r="AU1458">
        <v>18.2</v>
      </c>
      <c r="AV1458" t="s">
        <v>766</v>
      </c>
      <c r="AW1458" t="s">
        <v>11510</v>
      </c>
    </row>
    <row r="1459" spans="1:49">
      <c r="A1459" s="1">
        <f>HYPERLINK("https://cms.ls-nyc.org/matter/dynamic-profile/view/1841268","17-1841268")</f>
        <v>0</v>
      </c>
      <c r="B1459" t="s">
        <v>84</v>
      </c>
      <c r="C1459" t="s">
        <v>234</v>
      </c>
      <c r="D1459" t="s">
        <v>273</v>
      </c>
      <c r="E1459" t="s">
        <v>755</v>
      </c>
      <c r="F1459" t="s">
        <v>871</v>
      </c>
      <c r="G1459" t="s">
        <v>2130</v>
      </c>
      <c r="H1459" t="s">
        <v>3459</v>
      </c>
      <c r="I1459" t="s">
        <v>4758</v>
      </c>
      <c r="J1459" t="s">
        <v>5320</v>
      </c>
      <c r="K1459">
        <v>11233</v>
      </c>
      <c r="L1459" t="s">
        <v>5355</v>
      </c>
      <c r="M1459" t="s">
        <v>5355</v>
      </c>
      <c r="N1459" t="s">
        <v>5738</v>
      </c>
      <c r="O1459" t="s">
        <v>6492</v>
      </c>
      <c r="P1459" t="s">
        <v>6530</v>
      </c>
      <c r="Q1459" t="s">
        <v>6534</v>
      </c>
      <c r="R1459" t="s">
        <v>6539</v>
      </c>
      <c r="S1459" t="s">
        <v>5357</v>
      </c>
      <c r="U1459" t="s">
        <v>6557</v>
      </c>
      <c r="W1459" t="s">
        <v>497</v>
      </c>
      <c r="X1459">
        <v>1500</v>
      </c>
      <c r="Y1459" t="s">
        <v>6605</v>
      </c>
      <c r="Z1459" t="s">
        <v>6611</v>
      </c>
      <c r="AA1459" t="s">
        <v>6637</v>
      </c>
      <c r="AB1459" t="s">
        <v>6691</v>
      </c>
      <c r="AC1459" t="s">
        <v>8889</v>
      </c>
      <c r="AD1459" t="s">
        <v>9127</v>
      </c>
      <c r="AE1459">
        <v>6</v>
      </c>
      <c r="AG1459" t="s">
        <v>11023</v>
      </c>
      <c r="AH1459">
        <v>4</v>
      </c>
      <c r="AI1459">
        <v>5</v>
      </c>
      <c r="AJ1459">
        <v>5</v>
      </c>
      <c r="AK1459">
        <v>19.38</v>
      </c>
      <c r="AN1459" t="s">
        <v>11050</v>
      </c>
      <c r="AO1459">
        <v>9626</v>
      </c>
      <c r="AR1459" t="s">
        <v>11210</v>
      </c>
      <c r="AS1459" t="s">
        <v>11253</v>
      </c>
      <c r="AT1459" t="s">
        <v>11300</v>
      </c>
      <c r="AU1459">
        <v>62.55</v>
      </c>
      <c r="AV1459" t="s">
        <v>755</v>
      </c>
      <c r="AW1459" t="s">
        <v>11487</v>
      </c>
    </row>
    <row r="1460" spans="1:49">
      <c r="A1460" s="1">
        <f>HYPERLINK("https://cms.ls-nyc.org/matter/dynamic-profile/view/1859764","18-1859764")</f>
        <v>0</v>
      </c>
      <c r="B1460" t="s">
        <v>88</v>
      </c>
      <c r="C1460" t="s">
        <v>234</v>
      </c>
      <c r="D1460" t="s">
        <v>360</v>
      </c>
      <c r="E1460" t="s">
        <v>513</v>
      </c>
      <c r="F1460" t="s">
        <v>1685</v>
      </c>
      <c r="G1460" t="s">
        <v>2991</v>
      </c>
      <c r="H1460" t="s">
        <v>4197</v>
      </c>
      <c r="I1460">
        <v>1170</v>
      </c>
      <c r="J1460" t="s">
        <v>5320</v>
      </c>
      <c r="K1460">
        <v>11217</v>
      </c>
      <c r="L1460" t="s">
        <v>5355</v>
      </c>
      <c r="M1460" t="s">
        <v>5355</v>
      </c>
      <c r="N1460" t="s">
        <v>5739</v>
      </c>
      <c r="O1460" t="s">
        <v>6492</v>
      </c>
      <c r="P1460" t="s">
        <v>6530</v>
      </c>
      <c r="Q1460" t="s">
        <v>6534</v>
      </c>
      <c r="R1460" t="s">
        <v>6539</v>
      </c>
      <c r="U1460" t="s">
        <v>6557</v>
      </c>
      <c r="W1460" t="s">
        <v>284</v>
      </c>
      <c r="X1460">
        <v>677.51</v>
      </c>
      <c r="Y1460" t="s">
        <v>6605</v>
      </c>
      <c r="Z1460" t="s">
        <v>6611</v>
      </c>
      <c r="AA1460" t="s">
        <v>6637</v>
      </c>
      <c r="AB1460" t="s">
        <v>7903</v>
      </c>
      <c r="AC1460" t="s">
        <v>8890</v>
      </c>
      <c r="AD1460" t="s">
        <v>10254</v>
      </c>
      <c r="AE1460">
        <v>2</v>
      </c>
      <c r="AH1460">
        <v>5</v>
      </c>
      <c r="AI1460">
        <v>1</v>
      </c>
      <c r="AJ1460">
        <v>0</v>
      </c>
      <c r="AK1460">
        <v>19.4</v>
      </c>
      <c r="AN1460" t="s">
        <v>11050</v>
      </c>
      <c r="AO1460">
        <v>2340</v>
      </c>
      <c r="AQ1460" t="s">
        <v>11191</v>
      </c>
      <c r="AS1460" t="s">
        <v>11253</v>
      </c>
      <c r="AT1460" t="s">
        <v>11301</v>
      </c>
      <c r="AU1460">
        <v>55.3</v>
      </c>
      <c r="AV1460" t="s">
        <v>833</v>
      </c>
      <c r="AW1460" t="s">
        <v>11487</v>
      </c>
    </row>
    <row r="1461" spans="1:49">
      <c r="A1461" s="1">
        <f>HYPERLINK("https://cms.ls-nyc.org/matter/dynamic-profile/view/1841873","17-1841873")</f>
        <v>0</v>
      </c>
      <c r="B1461" t="s">
        <v>92</v>
      </c>
      <c r="C1461" t="s">
        <v>234</v>
      </c>
      <c r="D1461" t="s">
        <v>323</v>
      </c>
      <c r="E1461" t="s">
        <v>686</v>
      </c>
      <c r="F1461" t="s">
        <v>1383</v>
      </c>
      <c r="G1461" t="s">
        <v>2501</v>
      </c>
      <c r="H1461" t="s">
        <v>3692</v>
      </c>
      <c r="I1461" t="s">
        <v>4841</v>
      </c>
      <c r="J1461" t="s">
        <v>5323</v>
      </c>
      <c r="K1461">
        <v>10040</v>
      </c>
      <c r="L1461" t="s">
        <v>5355</v>
      </c>
      <c r="M1461" t="s">
        <v>5355</v>
      </c>
      <c r="N1461" t="s">
        <v>5478</v>
      </c>
      <c r="O1461" t="s">
        <v>6494</v>
      </c>
      <c r="P1461" t="s">
        <v>6530</v>
      </c>
      <c r="Q1461" t="s">
        <v>6534</v>
      </c>
      <c r="R1461" t="s">
        <v>6539</v>
      </c>
      <c r="S1461" t="s">
        <v>5355</v>
      </c>
      <c r="U1461" t="s">
        <v>6557</v>
      </c>
      <c r="W1461" t="s">
        <v>404</v>
      </c>
      <c r="X1461">
        <v>658.52</v>
      </c>
      <c r="Y1461" t="s">
        <v>6608</v>
      </c>
      <c r="Z1461" t="s">
        <v>6616</v>
      </c>
      <c r="AA1461" t="s">
        <v>6634</v>
      </c>
      <c r="AB1461" t="s">
        <v>7904</v>
      </c>
      <c r="AD1461" t="s">
        <v>10255</v>
      </c>
      <c r="AE1461">
        <v>31</v>
      </c>
      <c r="AF1461" t="s">
        <v>11005</v>
      </c>
      <c r="AG1461" t="s">
        <v>5406</v>
      </c>
      <c r="AH1461">
        <v>35</v>
      </c>
      <c r="AI1461">
        <v>1</v>
      </c>
      <c r="AJ1461">
        <v>0</v>
      </c>
      <c r="AK1461">
        <v>19.4</v>
      </c>
      <c r="AN1461" t="s">
        <v>11049</v>
      </c>
      <c r="AO1461">
        <v>2340</v>
      </c>
      <c r="AQ1461" t="s">
        <v>11190</v>
      </c>
      <c r="AR1461" t="s">
        <v>11203</v>
      </c>
      <c r="AS1461" t="s">
        <v>11253</v>
      </c>
      <c r="AT1461" t="s">
        <v>11302</v>
      </c>
      <c r="AU1461">
        <v>1.4</v>
      </c>
      <c r="AV1461" t="s">
        <v>686</v>
      </c>
      <c r="AW1461" t="s">
        <v>11495</v>
      </c>
    </row>
    <row r="1462" spans="1:49">
      <c r="A1462" s="1">
        <f>HYPERLINK("https://cms.ls-nyc.org/matter/dynamic-profile/view/1862212","18-1862212")</f>
        <v>0</v>
      </c>
      <c r="B1462" t="s">
        <v>90</v>
      </c>
      <c r="C1462" t="s">
        <v>234</v>
      </c>
      <c r="D1462" t="s">
        <v>331</v>
      </c>
      <c r="E1462" t="s">
        <v>713</v>
      </c>
      <c r="F1462" t="s">
        <v>1168</v>
      </c>
      <c r="G1462" t="s">
        <v>2743</v>
      </c>
      <c r="H1462" t="s">
        <v>3549</v>
      </c>
      <c r="I1462" t="s">
        <v>4791</v>
      </c>
      <c r="J1462" t="s">
        <v>5321</v>
      </c>
      <c r="K1462">
        <v>10452</v>
      </c>
      <c r="L1462" t="s">
        <v>5355</v>
      </c>
      <c r="M1462" t="s">
        <v>5355</v>
      </c>
      <c r="N1462" t="s">
        <v>5740</v>
      </c>
      <c r="O1462" t="s">
        <v>6494</v>
      </c>
      <c r="P1462" t="s">
        <v>6530</v>
      </c>
      <c r="Q1462" t="s">
        <v>6534</v>
      </c>
      <c r="R1462" t="s">
        <v>6539</v>
      </c>
      <c r="S1462" t="s">
        <v>5355</v>
      </c>
      <c r="U1462" t="s">
        <v>6557</v>
      </c>
      <c r="W1462" t="s">
        <v>480</v>
      </c>
      <c r="X1462">
        <v>1275</v>
      </c>
      <c r="Y1462" t="s">
        <v>6606</v>
      </c>
      <c r="Z1462" t="s">
        <v>6612</v>
      </c>
      <c r="AA1462" t="s">
        <v>6634</v>
      </c>
      <c r="AB1462" t="s">
        <v>7535</v>
      </c>
      <c r="AD1462" t="s">
        <v>9899</v>
      </c>
      <c r="AE1462">
        <v>52</v>
      </c>
      <c r="AF1462" t="s">
        <v>11005</v>
      </c>
      <c r="AG1462" t="s">
        <v>6493</v>
      </c>
      <c r="AH1462">
        <v>16</v>
      </c>
      <c r="AI1462">
        <v>1</v>
      </c>
      <c r="AJ1462">
        <v>0</v>
      </c>
      <c r="AK1462">
        <v>19.77</v>
      </c>
      <c r="AN1462" t="s">
        <v>11050</v>
      </c>
      <c r="AO1462">
        <v>2400</v>
      </c>
      <c r="AU1462">
        <v>1.8</v>
      </c>
      <c r="AV1462" t="s">
        <v>713</v>
      </c>
      <c r="AW1462" t="s">
        <v>59</v>
      </c>
    </row>
    <row r="1463" spans="1:49">
      <c r="A1463" s="1">
        <f>HYPERLINK("https://cms.ls-nyc.org/matter/dynamic-profile/view/1835844","17-1835844")</f>
        <v>0</v>
      </c>
      <c r="B1463" t="s">
        <v>193</v>
      </c>
      <c r="C1463" t="s">
        <v>234</v>
      </c>
      <c r="D1463" t="s">
        <v>431</v>
      </c>
      <c r="E1463" t="s">
        <v>793</v>
      </c>
      <c r="F1463" t="s">
        <v>1686</v>
      </c>
      <c r="G1463" t="s">
        <v>2164</v>
      </c>
      <c r="H1463" t="s">
        <v>4198</v>
      </c>
      <c r="I1463" t="s">
        <v>5151</v>
      </c>
      <c r="J1463" t="s">
        <v>5320</v>
      </c>
      <c r="K1463">
        <v>11213</v>
      </c>
      <c r="L1463" t="s">
        <v>5355</v>
      </c>
      <c r="M1463" t="s">
        <v>5356</v>
      </c>
      <c r="N1463" t="s">
        <v>5741</v>
      </c>
      <c r="O1463" t="s">
        <v>6492</v>
      </c>
      <c r="P1463" t="s">
        <v>6530</v>
      </c>
      <c r="Q1463" t="s">
        <v>6534</v>
      </c>
      <c r="R1463" t="s">
        <v>6539</v>
      </c>
      <c r="S1463" t="s">
        <v>5357</v>
      </c>
      <c r="T1463" t="s">
        <v>6544</v>
      </c>
      <c r="U1463" t="s">
        <v>6557</v>
      </c>
      <c r="W1463" t="s">
        <v>6583</v>
      </c>
      <c r="X1463">
        <v>1000</v>
      </c>
      <c r="Y1463" t="s">
        <v>6605</v>
      </c>
      <c r="Z1463" t="s">
        <v>6613</v>
      </c>
      <c r="AA1463" t="s">
        <v>6637</v>
      </c>
      <c r="AB1463" t="s">
        <v>7905</v>
      </c>
      <c r="AD1463" t="s">
        <v>10256</v>
      </c>
      <c r="AE1463">
        <v>248</v>
      </c>
      <c r="AF1463" t="s">
        <v>11008</v>
      </c>
      <c r="AG1463" t="s">
        <v>5406</v>
      </c>
      <c r="AH1463">
        <v>2</v>
      </c>
      <c r="AI1463">
        <v>1</v>
      </c>
      <c r="AJ1463">
        <v>0</v>
      </c>
      <c r="AK1463">
        <v>19.9</v>
      </c>
      <c r="AN1463" t="s">
        <v>11050</v>
      </c>
      <c r="AO1463">
        <v>2400</v>
      </c>
      <c r="AR1463" t="s">
        <v>11210</v>
      </c>
      <c r="AS1463" t="s">
        <v>11253</v>
      </c>
      <c r="AT1463" t="s">
        <v>11265</v>
      </c>
      <c r="AU1463">
        <v>79.3</v>
      </c>
      <c r="AV1463" t="s">
        <v>793</v>
      </c>
      <c r="AW1463" t="s">
        <v>11490</v>
      </c>
    </row>
    <row r="1464" spans="1:49">
      <c r="A1464" s="1">
        <f>HYPERLINK("https://cms.ls-nyc.org/matter/dynamic-profile/view/1856773","18-1856773")</f>
        <v>0</v>
      </c>
      <c r="B1464" t="s">
        <v>156</v>
      </c>
      <c r="C1464" t="s">
        <v>234</v>
      </c>
      <c r="D1464" t="s">
        <v>249</v>
      </c>
      <c r="E1464" t="s">
        <v>713</v>
      </c>
      <c r="F1464" t="s">
        <v>1040</v>
      </c>
      <c r="G1464" t="s">
        <v>2992</v>
      </c>
      <c r="H1464" t="s">
        <v>4199</v>
      </c>
      <c r="J1464" t="s">
        <v>5322</v>
      </c>
      <c r="K1464">
        <v>10312</v>
      </c>
      <c r="L1464" t="s">
        <v>5355</v>
      </c>
      <c r="M1464" t="s">
        <v>5356</v>
      </c>
      <c r="N1464" t="s">
        <v>5742</v>
      </c>
      <c r="O1464" t="s">
        <v>6491</v>
      </c>
      <c r="P1464" t="s">
        <v>6530</v>
      </c>
      <c r="Q1464" t="s">
        <v>6534</v>
      </c>
      <c r="R1464" t="s">
        <v>6539</v>
      </c>
      <c r="S1464" t="s">
        <v>5355</v>
      </c>
      <c r="U1464" t="s">
        <v>6557</v>
      </c>
      <c r="W1464" t="s">
        <v>249</v>
      </c>
      <c r="X1464">
        <v>0</v>
      </c>
      <c r="Y1464" t="s">
        <v>6607</v>
      </c>
      <c r="Z1464" t="s">
        <v>6625</v>
      </c>
      <c r="AA1464" t="s">
        <v>6633</v>
      </c>
      <c r="AB1464" t="s">
        <v>7094</v>
      </c>
      <c r="AC1464" t="s">
        <v>8891</v>
      </c>
      <c r="AD1464" t="s">
        <v>10257</v>
      </c>
      <c r="AE1464">
        <v>1</v>
      </c>
      <c r="AF1464" t="s">
        <v>11004</v>
      </c>
      <c r="AG1464" t="s">
        <v>5406</v>
      </c>
      <c r="AH1464">
        <v>13</v>
      </c>
      <c r="AI1464">
        <v>1</v>
      </c>
      <c r="AJ1464">
        <v>3</v>
      </c>
      <c r="AK1464">
        <v>20.19</v>
      </c>
      <c r="AN1464" t="s">
        <v>11050</v>
      </c>
      <c r="AO1464">
        <v>4966</v>
      </c>
      <c r="AU1464">
        <v>50.4</v>
      </c>
      <c r="AV1464" t="s">
        <v>713</v>
      </c>
      <c r="AW1464" t="s">
        <v>11510</v>
      </c>
    </row>
    <row r="1465" spans="1:49">
      <c r="A1465" s="1">
        <f>HYPERLINK("https://cms.ls-nyc.org/matter/dynamic-profile/view/1848463","17-1848463")</f>
        <v>0</v>
      </c>
      <c r="B1465" t="s">
        <v>80</v>
      </c>
      <c r="C1465" t="s">
        <v>234</v>
      </c>
      <c r="D1465" t="s">
        <v>354</v>
      </c>
      <c r="E1465" t="s">
        <v>600</v>
      </c>
      <c r="F1465" t="s">
        <v>895</v>
      </c>
      <c r="G1465" t="s">
        <v>2993</v>
      </c>
      <c r="H1465" t="s">
        <v>3598</v>
      </c>
      <c r="I1465" t="s">
        <v>4776</v>
      </c>
      <c r="J1465" t="s">
        <v>5321</v>
      </c>
      <c r="K1465">
        <v>10457</v>
      </c>
      <c r="L1465" t="s">
        <v>5355</v>
      </c>
      <c r="M1465" t="s">
        <v>5356</v>
      </c>
      <c r="N1465" t="s">
        <v>5701</v>
      </c>
      <c r="O1465" t="s">
        <v>6494</v>
      </c>
      <c r="P1465" t="s">
        <v>6530</v>
      </c>
      <c r="Q1465" t="s">
        <v>6534</v>
      </c>
      <c r="R1465" t="s">
        <v>6539</v>
      </c>
      <c r="S1465" t="s">
        <v>5355</v>
      </c>
      <c r="U1465" t="s">
        <v>6557</v>
      </c>
      <c r="W1465" t="s">
        <v>372</v>
      </c>
      <c r="X1465">
        <v>1400</v>
      </c>
      <c r="Y1465" t="s">
        <v>6606</v>
      </c>
      <c r="Z1465" t="s">
        <v>6612</v>
      </c>
      <c r="AA1465" t="s">
        <v>6634</v>
      </c>
      <c r="AB1465" t="s">
        <v>7906</v>
      </c>
      <c r="AD1465" t="s">
        <v>10258</v>
      </c>
      <c r="AE1465">
        <v>46</v>
      </c>
      <c r="AF1465" t="s">
        <v>8722</v>
      </c>
      <c r="AG1465" t="s">
        <v>11020</v>
      </c>
      <c r="AH1465">
        <v>14</v>
      </c>
      <c r="AI1465">
        <v>1</v>
      </c>
      <c r="AJ1465">
        <v>0</v>
      </c>
      <c r="AK1465">
        <v>20.5</v>
      </c>
      <c r="AN1465" t="s">
        <v>11050</v>
      </c>
      <c r="AO1465">
        <v>2472</v>
      </c>
      <c r="AU1465">
        <v>23</v>
      </c>
      <c r="AV1465" t="s">
        <v>600</v>
      </c>
      <c r="AW1465" t="s">
        <v>11509</v>
      </c>
    </row>
    <row r="1466" spans="1:49">
      <c r="A1466" s="1">
        <f>HYPERLINK("https://cms.ls-nyc.org/matter/dynamic-profile/view/1869015","18-1869015")</f>
        <v>0</v>
      </c>
      <c r="B1466" t="s">
        <v>186</v>
      </c>
      <c r="C1466" t="s">
        <v>235</v>
      </c>
      <c r="D1466" t="s">
        <v>345</v>
      </c>
      <c r="F1466" t="s">
        <v>1687</v>
      </c>
      <c r="G1466" t="s">
        <v>2994</v>
      </c>
      <c r="H1466" t="s">
        <v>4200</v>
      </c>
      <c r="I1466" t="s">
        <v>4739</v>
      </c>
      <c r="J1466" t="s">
        <v>5320</v>
      </c>
      <c r="K1466">
        <v>11233</v>
      </c>
      <c r="L1466" t="s">
        <v>5355</v>
      </c>
      <c r="M1466" t="s">
        <v>5355</v>
      </c>
      <c r="N1466" t="s">
        <v>5743</v>
      </c>
      <c r="O1466" t="s">
        <v>6492</v>
      </c>
      <c r="P1466" t="s">
        <v>6530</v>
      </c>
      <c r="R1466" t="s">
        <v>6539</v>
      </c>
      <c r="S1466" t="s">
        <v>5357</v>
      </c>
      <c r="U1466" t="s">
        <v>6557</v>
      </c>
      <c r="W1466" t="s">
        <v>349</v>
      </c>
      <c r="X1466">
        <v>1436</v>
      </c>
      <c r="Y1466" t="s">
        <v>6605</v>
      </c>
      <c r="Z1466" t="s">
        <v>6612</v>
      </c>
      <c r="AB1466" t="s">
        <v>7907</v>
      </c>
      <c r="AC1466" t="s">
        <v>8892</v>
      </c>
      <c r="AD1466" t="s">
        <v>10259</v>
      </c>
      <c r="AE1466">
        <v>6</v>
      </c>
      <c r="AF1466" t="s">
        <v>11005</v>
      </c>
      <c r="AG1466" t="s">
        <v>11020</v>
      </c>
      <c r="AH1466">
        <v>9</v>
      </c>
      <c r="AI1466">
        <v>1</v>
      </c>
      <c r="AJ1466">
        <v>1</v>
      </c>
      <c r="AK1466">
        <v>20.53</v>
      </c>
      <c r="AN1466" t="s">
        <v>11050</v>
      </c>
      <c r="AO1466">
        <v>3380</v>
      </c>
      <c r="AU1466">
        <v>25.3</v>
      </c>
      <c r="AV1466" t="s">
        <v>774</v>
      </c>
      <c r="AW1466" t="s">
        <v>11512</v>
      </c>
    </row>
    <row r="1467" spans="1:49">
      <c r="A1467" s="1">
        <f>HYPERLINK("https://cms.ls-nyc.org/matter/dynamic-profile/view/1839910","17-1839910")</f>
        <v>0</v>
      </c>
      <c r="B1467" t="s">
        <v>194</v>
      </c>
      <c r="C1467" t="s">
        <v>234</v>
      </c>
      <c r="D1467" t="s">
        <v>564</v>
      </c>
      <c r="E1467" t="s">
        <v>791</v>
      </c>
      <c r="F1467" t="s">
        <v>1623</v>
      </c>
      <c r="G1467" t="s">
        <v>2995</v>
      </c>
      <c r="H1467" t="s">
        <v>4201</v>
      </c>
      <c r="I1467">
        <v>1</v>
      </c>
      <c r="J1467" t="s">
        <v>5320</v>
      </c>
      <c r="K1467">
        <v>11207</v>
      </c>
      <c r="L1467" t="s">
        <v>5357</v>
      </c>
      <c r="M1467" t="s">
        <v>5356</v>
      </c>
      <c r="N1467" t="s">
        <v>5744</v>
      </c>
      <c r="O1467" t="s">
        <v>6491</v>
      </c>
      <c r="P1467" t="s">
        <v>6530</v>
      </c>
      <c r="Q1467" t="s">
        <v>6534</v>
      </c>
      <c r="R1467" t="s">
        <v>6539</v>
      </c>
      <c r="S1467" t="s">
        <v>5355</v>
      </c>
      <c r="U1467" t="s">
        <v>6557</v>
      </c>
      <c r="W1467" t="s">
        <v>388</v>
      </c>
      <c r="X1467">
        <v>1515</v>
      </c>
      <c r="Y1467" t="s">
        <v>6605</v>
      </c>
      <c r="Z1467" t="s">
        <v>6617</v>
      </c>
      <c r="AA1467" t="s">
        <v>6637</v>
      </c>
      <c r="AB1467" t="s">
        <v>7908</v>
      </c>
      <c r="AC1467" t="s">
        <v>8893</v>
      </c>
      <c r="AD1467" t="s">
        <v>10260</v>
      </c>
      <c r="AE1467">
        <v>6</v>
      </c>
      <c r="AF1467" t="s">
        <v>8722</v>
      </c>
      <c r="AG1467" t="s">
        <v>11019</v>
      </c>
      <c r="AH1467">
        <v>3</v>
      </c>
      <c r="AI1467">
        <v>1</v>
      </c>
      <c r="AJ1467">
        <v>2</v>
      </c>
      <c r="AK1467">
        <v>20.57</v>
      </c>
      <c r="AN1467" t="s">
        <v>11050</v>
      </c>
      <c r="AO1467">
        <v>4200</v>
      </c>
      <c r="AQ1467" t="s">
        <v>11192</v>
      </c>
      <c r="AR1467" t="s">
        <v>11210</v>
      </c>
      <c r="AS1467" t="s">
        <v>11253</v>
      </c>
      <c r="AT1467" t="s">
        <v>11303</v>
      </c>
      <c r="AU1467">
        <v>6.5</v>
      </c>
      <c r="AV1467" t="s">
        <v>274</v>
      </c>
      <c r="AW1467" t="s">
        <v>11512</v>
      </c>
    </row>
    <row r="1468" spans="1:49">
      <c r="A1468" s="1">
        <f>HYPERLINK("https://cms.ls-nyc.org/matter/dynamic-profile/view/1841892","17-1841892")</f>
        <v>0</v>
      </c>
      <c r="B1468" t="s">
        <v>94</v>
      </c>
      <c r="C1468" t="s">
        <v>234</v>
      </c>
      <c r="D1468" t="s">
        <v>323</v>
      </c>
      <c r="E1468" t="s">
        <v>427</v>
      </c>
      <c r="F1468" t="s">
        <v>1688</v>
      </c>
      <c r="G1468" t="s">
        <v>2996</v>
      </c>
      <c r="H1468" t="s">
        <v>4202</v>
      </c>
      <c r="I1468" t="s">
        <v>4738</v>
      </c>
      <c r="J1468" t="s">
        <v>5320</v>
      </c>
      <c r="K1468">
        <v>11233</v>
      </c>
      <c r="L1468" t="s">
        <v>5355</v>
      </c>
      <c r="M1468" t="s">
        <v>5355</v>
      </c>
      <c r="N1468" t="s">
        <v>5745</v>
      </c>
      <c r="O1468" t="s">
        <v>6492</v>
      </c>
      <c r="P1468" t="s">
        <v>6530</v>
      </c>
      <c r="Q1468" t="s">
        <v>6534</v>
      </c>
      <c r="R1468" t="s">
        <v>6539</v>
      </c>
      <c r="S1468" t="s">
        <v>5357</v>
      </c>
      <c r="U1468" t="s">
        <v>6557</v>
      </c>
      <c r="W1468" t="s">
        <v>348</v>
      </c>
      <c r="X1468">
        <v>600</v>
      </c>
      <c r="Y1468" t="s">
        <v>6605</v>
      </c>
      <c r="Z1468" t="s">
        <v>6614</v>
      </c>
      <c r="AA1468" t="s">
        <v>6637</v>
      </c>
      <c r="AB1468" t="s">
        <v>7909</v>
      </c>
      <c r="AD1468" t="s">
        <v>10261</v>
      </c>
      <c r="AE1468">
        <v>35</v>
      </c>
      <c r="AF1468" t="s">
        <v>11005</v>
      </c>
      <c r="AG1468" t="s">
        <v>5406</v>
      </c>
      <c r="AH1468">
        <v>37</v>
      </c>
      <c r="AI1468">
        <v>1</v>
      </c>
      <c r="AJ1468">
        <v>0</v>
      </c>
      <c r="AK1468">
        <v>20.8</v>
      </c>
      <c r="AN1468" t="s">
        <v>11050</v>
      </c>
      <c r="AO1468">
        <v>2508</v>
      </c>
      <c r="AR1468" t="s">
        <v>11210</v>
      </c>
      <c r="AS1468" t="s">
        <v>11253</v>
      </c>
      <c r="AT1468" t="s">
        <v>11293</v>
      </c>
      <c r="AU1468">
        <v>76.5</v>
      </c>
      <c r="AV1468" t="s">
        <v>427</v>
      </c>
      <c r="AW1468" t="s">
        <v>11512</v>
      </c>
    </row>
    <row r="1469" spans="1:49">
      <c r="A1469" s="1">
        <f>HYPERLINK("https://cms.ls-nyc.org/matter/dynamic-profile/view/1864023","18-1864023")</f>
        <v>0</v>
      </c>
      <c r="B1469" t="s">
        <v>84</v>
      </c>
      <c r="C1469" t="s">
        <v>234</v>
      </c>
      <c r="D1469" t="s">
        <v>425</v>
      </c>
      <c r="E1469" t="s">
        <v>449</v>
      </c>
      <c r="F1469" t="s">
        <v>1523</v>
      </c>
      <c r="G1469" t="s">
        <v>2599</v>
      </c>
      <c r="H1469" t="s">
        <v>4203</v>
      </c>
      <c r="I1469" t="s">
        <v>4743</v>
      </c>
      <c r="J1469" t="s">
        <v>5320</v>
      </c>
      <c r="K1469">
        <v>11237</v>
      </c>
      <c r="L1469" t="s">
        <v>5355</v>
      </c>
      <c r="M1469" t="s">
        <v>5355</v>
      </c>
      <c r="N1469" t="s">
        <v>5746</v>
      </c>
      <c r="O1469" t="s">
        <v>6492</v>
      </c>
      <c r="P1469" t="s">
        <v>6530</v>
      </c>
      <c r="Q1469" t="s">
        <v>6535</v>
      </c>
      <c r="R1469" t="s">
        <v>6539</v>
      </c>
      <c r="U1469" t="s">
        <v>6557</v>
      </c>
      <c r="W1469" t="s">
        <v>298</v>
      </c>
      <c r="X1469">
        <v>1350</v>
      </c>
      <c r="Y1469" t="s">
        <v>6605</v>
      </c>
      <c r="Z1469" t="s">
        <v>6614</v>
      </c>
      <c r="AA1469" t="s">
        <v>6637</v>
      </c>
      <c r="AB1469" t="s">
        <v>7910</v>
      </c>
      <c r="AD1469" t="s">
        <v>10262</v>
      </c>
      <c r="AE1469">
        <v>6</v>
      </c>
      <c r="AF1469" t="s">
        <v>11005</v>
      </c>
      <c r="AH1469">
        <v>3</v>
      </c>
      <c r="AI1469">
        <v>2</v>
      </c>
      <c r="AJ1469">
        <v>2</v>
      </c>
      <c r="AK1469">
        <v>20.99</v>
      </c>
      <c r="AN1469" t="s">
        <v>11049</v>
      </c>
      <c r="AO1469">
        <v>26068</v>
      </c>
      <c r="AR1469" t="s">
        <v>11210</v>
      </c>
      <c r="AS1469" t="s">
        <v>11253</v>
      </c>
      <c r="AT1469" t="s">
        <v>11304</v>
      </c>
      <c r="AU1469">
        <v>32.2</v>
      </c>
      <c r="AV1469" t="s">
        <v>697</v>
      </c>
      <c r="AW1469" t="s">
        <v>11489</v>
      </c>
    </row>
    <row r="1470" spans="1:49">
      <c r="A1470" s="1">
        <f>HYPERLINK("https://cms.ls-nyc.org/matter/dynamic-profile/view/1848494","17-1848494")</f>
        <v>0</v>
      </c>
      <c r="B1470" t="s">
        <v>88</v>
      </c>
      <c r="C1470" t="s">
        <v>234</v>
      </c>
      <c r="D1470" t="s">
        <v>354</v>
      </c>
      <c r="E1470" t="s">
        <v>746</v>
      </c>
      <c r="F1470" t="s">
        <v>914</v>
      </c>
      <c r="G1470" t="s">
        <v>2188</v>
      </c>
      <c r="H1470" t="s">
        <v>4204</v>
      </c>
      <c r="I1470" t="s">
        <v>5002</v>
      </c>
      <c r="J1470" t="s">
        <v>5320</v>
      </c>
      <c r="K1470">
        <v>11208</v>
      </c>
      <c r="L1470" t="s">
        <v>5355</v>
      </c>
      <c r="M1470" t="s">
        <v>5355</v>
      </c>
      <c r="N1470" t="s">
        <v>5747</v>
      </c>
      <c r="O1470" t="s">
        <v>6492</v>
      </c>
      <c r="P1470" t="s">
        <v>6530</v>
      </c>
      <c r="Q1470" t="s">
        <v>6534</v>
      </c>
      <c r="R1470" t="s">
        <v>6539</v>
      </c>
      <c r="S1470" t="s">
        <v>5357</v>
      </c>
      <c r="U1470" t="s">
        <v>6557</v>
      </c>
      <c r="W1470" t="s">
        <v>354</v>
      </c>
      <c r="X1470">
        <v>286</v>
      </c>
      <c r="Y1470" t="s">
        <v>6605</v>
      </c>
      <c r="Z1470" t="s">
        <v>6610</v>
      </c>
      <c r="AA1470" t="s">
        <v>6644</v>
      </c>
      <c r="AB1470" t="s">
        <v>7911</v>
      </c>
      <c r="AC1470" t="s">
        <v>8894</v>
      </c>
      <c r="AD1470" t="s">
        <v>10263</v>
      </c>
      <c r="AE1470">
        <v>80</v>
      </c>
      <c r="AF1470" t="s">
        <v>11005</v>
      </c>
      <c r="AG1470" t="s">
        <v>5406</v>
      </c>
      <c r="AH1470">
        <v>1</v>
      </c>
      <c r="AI1470">
        <v>1</v>
      </c>
      <c r="AJ1470">
        <v>0</v>
      </c>
      <c r="AK1470">
        <v>21.39</v>
      </c>
      <c r="AN1470" t="s">
        <v>11050</v>
      </c>
      <c r="AO1470">
        <v>2580</v>
      </c>
      <c r="AR1470" t="s">
        <v>11210</v>
      </c>
      <c r="AS1470" t="s">
        <v>11253</v>
      </c>
      <c r="AT1470" t="s">
        <v>11305</v>
      </c>
      <c r="AU1470">
        <v>16.6</v>
      </c>
      <c r="AV1470" t="s">
        <v>746</v>
      </c>
      <c r="AW1470" t="s">
        <v>11517</v>
      </c>
    </row>
    <row r="1471" spans="1:49">
      <c r="A1471" s="1">
        <f>HYPERLINK("https://cms.ls-nyc.org/matter/dynamic-profile/view/1853541","17-1853541")</f>
        <v>0</v>
      </c>
      <c r="B1471" t="s">
        <v>111</v>
      </c>
      <c r="C1471" t="s">
        <v>235</v>
      </c>
      <c r="D1471" t="s">
        <v>327</v>
      </c>
      <c r="F1471" t="s">
        <v>903</v>
      </c>
      <c r="G1471" t="s">
        <v>2997</v>
      </c>
      <c r="H1471" t="s">
        <v>3919</v>
      </c>
      <c r="I1471" t="s">
        <v>4791</v>
      </c>
      <c r="J1471" t="s">
        <v>5323</v>
      </c>
      <c r="K1471">
        <v>10034</v>
      </c>
      <c r="L1471" t="s">
        <v>5355</v>
      </c>
      <c r="M1471" t="s">
        <v>5356</v>
      </c>
      <c r="N1471" t="s">
        <v>5748</v>
      </c>
      <c r="O1471" t="s">
        <v>6492</v>
      </c>
      <c r="P1471" t="s">
        <v>6530</v>
      </c>
      <c r="R1471" t="s">
        <v>6539</v>
      </c>
      <c r="S1471" t="s">
        <v>5357</v>
      </c>
      <c r="U1471" t="s">
        <v>6557</v>
      </c>
      <c r="W1471" t="s">
        <v>464</v>
      </c>
      <c r="X1471">
        <v>972.72</v>
      </c>
      <c r="Y1471" t="s">
        <v>6608</v>
      </c>
      <c r="Z1471" t="s">
        <v>6616</v>
      </c>
      <c r="AB1471" t="s">
        <v>7912</v>
      </c>
      <c r="AD1471" t="s">
        <v>10264</v>
      </c>
      <c r="AE1471">
        <v>121</v>
      </c>
      <c r="AF1471" t="s">
        <v>11005</v>
      </c>
      <c r="AG1471" t="s">
        <v>5406</v>
      </c>
      <c r="AH1471">
        <v>32</v>
      </c>
      <c r="AI1471">
        <v>1</v>
      </c>
      <c r="AJ1471">
        <v>0</v>
      </c>
      <c r="AK1471">
        <v>21.39</v>
      </c>
      <c r="AN1471" t="s">
        <v>11049</v>
      </c>
      <c r="AO1471">
        <v>2580</v>
      </c>
      <c r="AU1471">
        <v>98.38</v>
      </c>
      <c r="AV1471" t="s">
        <v>678</v>
      </c>
      <c r="AW1471" t="s">
        <v>11495</v>
      </c>
    </row>
    <row r="1472" spans="1:49">
      <c r="A1472" s="1">
        <f>HYPERLINK("https://cms.ls-nyc.org/matter/dynamic-profile/view/1846704","17-1846704")</f>
        <v>0</v>
      </c>
      <c r="B1472" t="s">
        <v>56</v>
      </c>
      <c r="C1472" t="s">
        <v>234</v>
      </c>
      <c r="D1472" t="s">
        <v>565</v>
      </c>
      <c r="E1472" t="s">
        <v>622</v>
      </c>
      <c r="F1472" t="s">
        <v>1689</v>
      </c>
      <c r="G1472" t="s">
        <v>2092</v>
      </c>
      <c r="H1472" t="s">
        <v>4205</v>
      </c>
      <c r="I1472" t="s">
        <v>4832</v>
      </c>
      <c r="J1472" t="s">
        <v>5321</v>
      </c>
      <c r="K1472">
        <v>10452</v>
      </c>
      <c r="L1472" t="s">
        <v>5355</v>
      </c>
      <c r="M1472" t="s">
        <v>5356</v>
      </c>
      <c r="N1472" t="s">
        <v>5749</v>
      </c>
      <c r="O1472" t="s">
        <v>6492</v>
      </c>
      <c r="P1472" t="s">
        <v>6530</v>
      </c>
      <c r="Q1472" t="s">
        <v>6534</v>
      </c>
      <c r="R1472" t="s">
        <v>6539</v>
      </c>
      <c r="S1472" t="s">
        <v>5357</v>
      </c>
      <c r="U1472" t="s">
        <v>6557</v>
      </c>
      <c r="W1472" t="s">
        <v>6599</v>
      </c>
      <c r="X1472">
        <v>1268</v>
      </c>
      <c r="Y1472" t="s">
        <v>6606</v>
      </c>
      <c r="Z1472" t="s">
        <v>6613</v>
      </c>
      <c r="AA1472" t="s">
        <v>6637</v>
      </c>
      <c r="AB1472" t="s">
        <v>7913</v>
      </c>
      <c r="AD1472" t="s">
        <v>10265</v>
      </c>
      <c r="AE1472">
        <v>36</v>
      </c>
      <c r="AF1472" t="s">
        <v>11005</v>
      </c>
      <c r="AG1472" t="s">
        <v>11022</v>
      </c>
      <c r="AH1472">
        <v>1</v>
      </c>
      <c r="AI1472">
        <v>1</v>
      </c>
      <c r="AJ1472">
        <v>1</v>
      </c>
      <c r="AK1472">
        <v>21.43</v>
      </c>
      <c r="AN1472" t="s">
        <v>11050</v>
      </c>
      <c r="AO1472">
        <v>3480</v>
      </c>
      <c r="AT1472" t="s">
        <v>11306</v>
      </c>
      <c r="AU1472">
        <v>94.5</v>
      </c>
      <c r="AV1472" t="s">
        <v>336</v>
      </c>
      <c r="AW1472" t="s">
        <v>11507</v>
      </c>
    </row>
    <row r="1473" spans="1:50">
      <c r="A1473" s="1">
        <f>HYPERLINK("https://cms.ls-nyc.org/matter/dynamic-profile/view/1841002","17-1841002")</f>
        <v>0</v>
      </c>
      <c r="B1473" t="s">
        <v>180</v>
      </c>
      <c r="C1473" t="s">
        <v>234</v>
      </c>
      <c r="D1473" t="s">
        <v>473</v>
      </c>
      <c r="E1473" t="s">
        <v>707</v>
      </c>
      <c r="F1473" t="s">
        <v>1690</v>
      </c>
      <c r="G1473" t="s">
        <v>2232</v>
      </c>
      <c r="H1473" t="s">
        <v>4206</v>
      </c>
      <c r="I1473" t="s">
        <v>5036</v>
      </c>
      <c r="J1473" t="s">
        <v>5321</v>
      </c>
      <c r="K1473">
        <v>10453</v>
      </c>
      <c r="L1473" t="s">
        <v>5355</v>
      </c>
      <c r="M1473" t="s">
        <v>5356</v>
      </c>
      <c r="N1473" t="s">
        <v>5750</v>
      </c>
      <c r="O1473" t="s">
        <v>6491</v>
      </c>
      <c r="P1473" t="s">
        <v>6530</v>
      </c>
      <c r="Q1473" t="s">
        <v>6534</v>
      </c>
      <c r="R1473" t="s">
        <v>6539</v>
      </c>
      <c r="S1473" t="s">
        <v>5357</v>
      </c>
      <c r="U1473" t="s">
        <v>6557</v>
      </c>
      <c r="V1473" t="s">
        <v>6566</v>
      </c>
      <c r="W1473" t="s">
        <v>473</v>
      </c>
      <c r="X1473">
        <v>1010</v>
      </c>
      <c r="Y1473" t="s">
        <v>6606</v>
      </c>
      <c r="Z1473" t="s">
        <v>6614</v>
      </c>
      <c r="AA1473" t="s">
        <v>6637</v>
      </c>
      <c r="AB1473" t="s">
        <v>7914</v>
      </c>
      <c r="AC1473" t="s">
        <v>8895</v>
      </c>
      <c r="AD1473" t="s">
        <v>10266</v>
      </c>
      <c r="AE1473">
        <v>54</v>
      </c>
      <c r="AF1473" t="s">
        <v>11005</v>
      </c>
      <c r="AG1473" t="s">
        <v>11023</v>
      </c>
      <c r="AH1473">
        <v>11</v>
      </c>
      <c r="AI1473">
        <v>3</v>
      </c>
      <c r="AJ1473">
        <v>2</v>
      </c>
      <c r="AK1473">
        <v>21.68</v>
      </c>
      <c r="AN1473" t="s">
        <v>11050</v>
      </c>
      <c r="AO1473">
        <v>6240</v>
      </c>
      <c r="AQ1473" t="s">
        <v>11192</v>
      </c>
      <c r="AR1473" t="s">
        <v>11211</v>
      </c>
      <c r="AS1473" t="s">
        <v>11253</v>
      </c>
      <c r="AT1473" t="s">
        <v>11307</v>
      </c>
      <c r="AU1473">
        <v>9.4</v>
      </c>
      <c r="AV1473" t="s">
        <v>771</v>
      </c>
      <c r="AW1473" t="s">
        <v>11491</v>
      </c>
    </row>
    <row r="1474" spans="1:50">
      <c r="A1474" s="1">
        <f>HYPERLINK("https://cms.ls-nyc.org/matter/dynamic-profile/view/1858519","18-1858519")</f>
        <v>0</v>
      </c>
      <c r="B1474" t="s">
        <v>195</v>
      </c>
      <c r="C1474" t="s">
        <v>235</v>
      </c>
      <c r="D1474" t="s">
        <v>279</v>
      </c>
      <c r="F1474" t="s">
        <v>1474</v>
      </c>
      <c r="G1474" t="s">
        <v>1739</v>
      </c>
      <c r="H1474" t="s">
        <v>4060</v>
      </c>
      <c r="I1474" t="s">
        <v>4814</v>
      </c>
      <c r="J1474" t="s">
        <v>5323</v>
      </c>
      <c r="K1474">
        <v>10029</v>
      </c>
      <c r="L1474" t="s">
        <v>5355</v>
      </c>
      <c r="M1474" t="s">
        <v>5356</v>
      </c>
      <c r="N1474" t="s">
        <v>5751</v>
      </c>
      <c r="O1474" t="s">
        <v>6492</v>
      </c>
      <c r="P1474" t="s">
        <v>6530</v>
      </c>
      <c r="R1474" t="s">
        <v>6539</v>
      </c>
      <c r="S1474" t="s">
        <v>5357</v>
      </c>
      <c r="U1474" t="s">
        <v>6557</v>
      </c>
      <c r="W1474" t="s">
        <v>428</v>
      </c>
      <c r="X1474">
        <v>2065</v>
      </c>
      <c r="Y1474" t="s">
        <v>6608</v>
      </c>
      <c r="Z1474" t="s">
        <v>6616</v>
      </c>
      <c r="AB1474" t="s">
        <v>7536</v>
      </c>
      <c r="AD1474" t="s">
        <v>9900</v>
      </c>
      <c r="AE1474">
        <v>32</v>
      </c>
      <c r="AF1474" t="s">
        <v>11005</v>
      </c>
      <c r="AG1474" t="s">
        <v>5406</v>
      </c>
      <c r="AH1474">
        <v>8</v>
      </c>
      <c r="AI1474">
        <v>1</v>
      </c>
      <c r="AJ1474">
        <v>1</v>
      </c>
      <c r="AK1474">
        <v>22.02</v>
      </c>
      <c r="AN1474" t="s">
        <v>11050</v>
      </c>
      <c r="AO1474">
        <v>3576</v>
      </c>
      <c r="AU1474">
        <v>167.2</v>
      </c>
      <c r="AV1474" t="s">
        <v>11451</v>
      </c>
      <c r="AW1474" t="s">
        <v>11496</v>
      </c>
    </row>
    <row r="1475" spans="1:50">
      <c r="A1475" s="1">
        <f>HYPERLINK("https://cms.ls-nyc.org/matter/dynamic-profile/view/1841058","17-1841058")</f>
        <v>0</v>
      </c>
      <c r="B1475" t="s">
        <v>58</v>
      </c>
      <c r="C1475" t="s">
        <v>234</v>
      </c>
      <c r="D1475" t="s">
        <v>473</v>
      </c>
      <c r="E1475" t="s">
        <v>427</v>
      </c>
      <c r="F1475" t="s">
        <v>1148</v>
      </c>
      <c r="G1475" t="s">
        <v>2189</v>
      </c>
      <c r="H1475" t="s">
        <v>3754</v>
      </c>
      <c r="I1475" t="s">
        <v>4778</v>
      </c>
      <c r="J1475" t="s">
        <v>5321</v>
      </c>
      <c r="K1475">
        <v>10463</v>
      </c>
      <c r="L1475" t="s">
        <v>5355</v>
      </c>
      <c r="M1475" t="s">
        <v>5356</v>
      </c>
      <c r="N1475" t="s">
        <v>5752</v>
      </c>
      <c r="O1475" t="s">
        <v>6494</v>
      </c>
      <c r="P1475" t="s">
        <v>6530</v>
      </c>
      <c r="Q1475" t="s">
        <v>6534</v>
      </c>
      <c r="R1475" t="s">
        <v>6539</v>
      </c>
      <c r="S1475" t="s">
        <v>5355</v>
      </c>
      <c r="U1475" t="s">
        <v>6557</v>
      </c>
      <c r="W1475" t="s">
        <v>404</v>
      </c>
      <c r="X1475">
        <v>320</v>
      </c>
      <c r="Y1475" t="s">
        <v>6606</v>
      </c>
      <c r="Z1475" t="s">
        <v>6620</v>
      </c>
      <c r="AA1475" t="s">
        <v>6634</v>
      </c>
      <c r="AB1475" t="s">
        <v>7020</v>
      </c>
      <c r="AD1475" t="s">
        <v>9423</v>
      </c>
      <c r="AE1475">
        <v>67</v>
      </c>
      <c r="AF1475" t="s">
        <v>11005</v>
      </c>
      <c r="AG1475" t="s">
        <v>11026</v>
      </c>
      <c r="AH1475">
        <v>1</v>
      </c>
      <c r="AI1475">
        <v>1</v>
      </c>
      <c r="AJ1475">
        <v>2</v>
      </c>
      <c r="AK1475">
        <v>22.28</v>
      </c>
      <c r="AL1475" t="s">
        <v>632</v>
      </c>
      <c r="AN1475" t="s">
        <v>11050</v>
      </c>
      <c r="AO1475">
        <v>4550</v>
      </c>
      <c r="AU1475">
        <v>0.3</v>
      </c>
      <c r="AV1475" t="s">
        <v>427</v>
      </c>
      <c r="AW1475" t="s">
        <v>11537</v>
      </c>
    </row>
    <row r="1476" spans="1:50">
      <c r="A1476" s="1">
        <f>HYPERLINK("https://cms.ls-nyc.org/matter/dynamic-profile/view/1853932","17-1853932")</f>
        <v>0</v>
      </c>
      <c r="B1476" t="s">
        <v>61</v>
      </c>
      <c r="C1476" t="s">
        <v>234</v>
      </c>
      <c r="D1476" t="s">
        <v>327</v>
      </c>
      <c r="E1476" t="s">
        <v>715</v>
      </c>
      <c r="F1476" t="s">
        <v>1691</v>
      </c>
      <c r="G1476" t="s">
        <v>2998</v>
      </c>
      <c r="H1476" t="s">
        <v>4207</v>
      </c>
      <c r="I1476" t="s">
        <v>5152</v>
      </c>
      <c r="J1476" t="s">
        <v>5321</v>
      </c>
      <c r="K1476">
        <v>10466</v>
      </c>
      <c r="L1476" t="s">
        <v>5355</v>
      </c>
      <c r="M1476" t="s">
        <v>5356</v>
      </c>
      <c r="O1476" t="s">
        <v>6492</v>
      </c>
      <c r="P1476" t="s">
        <v>6530</v>
      </c>
      <c r="Q1476" t="s">
        <v>6534</v>
      </c>
      <c r="R1476" t="s">
        <v>6540</v>
      </c>
      <c r="S1476" t="s">
        <v>5357</v>
      </c>
      <c r="U1476" t="s">
        <v>6557</v>
      </c>
      <c r="W1476" t="s">
        <v>6576</v>
      </c>
      <c r="X1476">
        <v>1700</v>
      </c>
      <c r="Y1476" t="s">
        <v>6606</v>
      </c>
      <c r="Z1476" t="s">
        <v>6610</v>
      </c>
      <c r="AA1476" t="s">
        <v>6637</v>
      </c>
      <c r="AB1476" t="s">
        <v>7915</v>
      </c>
      <c r="AD1476" t="s">
        <v>10267</v>
      </c>
      <c r="AE1476">
        <v>2</v>
      </c>
      <c r="AF1476" t="s">
        <v>8722</v>
      </c>
      <c r="AG1476" t="s">
        <v>6493</v>
      </c>
      <c r="AH1476">
        <v>1</v>
      </c>
      <c r="AI1476">
        <v>1</v>
      </c>
      <c r="AJ1476">
        <v>2</v>
      </c>
      <c r="AK1476">
        <v>22.8</v>
      </c>
      <c r="AL1476" t="s">
        <v>11028</v>
      </c>
      <c r="AN1476" t="s">
        <v>11060</v>
      </c>
      <c r="AO1476">
        <v>4656</v>
      </c>
      <c r="AU1476">
        <v>38.3</v>
      </c>
      <c r="AV1476" t="s">
        <v>427</v>
      </c>
      <c r="AW1476" t="s">
        <v>57</v>
      </c>
    </row>
    <row r="1477" spans="1:50">
      <c r="A1477" s="1">
        <f>HYPERLINK("https://cms.ls-nyc.org/matter/dynamic-profile/view/1868495","18-1868495")</f>
        <v>0</v>
      </c>
      <c r="B1477" t="s">
        <v>106</v>
      </c>
      <c r="C1477" t="s">
        <v>235</v>
      </c>
      <c r="D1477" t="s">
        <v>352</v>
      </c>
      <c r="F1477" t="s">
        <v>973</v>
      </c>
      <c r="G1477" t="s">
        <v>2243</v>
      </c>
      <c r="H1477" t="s">
        <v>4208</v>
      </c>
      <c r="I1477" t="s">
        <v>5153</v>
      </c>
      <c r="J1477" t="s">
        <v>5321</v>
      </c>
      <c r="K1477">
        <v>10453</v>
      </c>
      <c r="L1477" t="s">
        <v>5355</v>
      </c>
      <c r="M1477" t="s">
        <v>5356</v>
      </c>
      <c r="N1477" t="s">
        <v>5753</v>
      </c>
      <c r="O1477" t="s">
        <v>6492</v>
      </c>
      <c r="P1477" t="s">
        <v>6530</v>
      </c>
      <c r="R1477" t="s">
        <v>6539</v>
      </c>
      <c r="S1477" t="s">
        <v>5357</v>
      </c>
      <c r="U1477" t="s">
        <v>6557</v>
      </c>
      <c r="W1477" t="s">
        <v>516</v>
      </c>
      <c r="X1477">
        <v>1613.9</v>
      </c>
      <c r="Y1477" t="s">
        <v>6606</v>
      </c>
      <c r="Z1477" t="s">
        <v>6615</v>
      </c>
      <c r="AB1477" t="s">
        <v>7916</v>
      </c>
      <c r="AC1477" t="s">
        <v>8896</v>
      </c>
      <c r="AE1477">
        <v>40</v>
      </c>
      <c r="AF1477" t="s">
        <v>11005</v>
      </c>
      <c r="AG1477" t="s">
        <v>11019</v>
      </c>
      <c r="AH1477">
        <v>3</v>
      </c>
      <c r="AI1477">
        <v>2</v>
      </c>
      <c r="AJ1477">
        <v>2</v>
      </c>
      <c r="AK1477">
        <v>23.65</v>
      </c>
      <c r="AN1477" t="s">
        <v>11050</v>
      </c>
      <c r="AO1477">
        <v>5936</v>
      </c>
      <c r="AU1477">
        <v>80.45</v>
      </c>
      <c r="AV1477" t="s">
        <v>678</v>
      </c>
      <c r="AW1477" t="s">
        <v>106</v>
      </c>
    </row>
    <row r="1478" spans="1:50">
      <c r="A1478" s="1">
        <f>HYPERLINK("https://cms.ls-nyc.org/matter/dynamic-profile/view/1864623","18-1864623")</f>
        <v>0</v>
      </c>
      <c r="B1478" t="s">
        <v>196</v>
      </c>
      <c r="C1478" t="s">
        <v>235</v>
      </c>
      <c r="D1478" t="s">
        <v>361</v>
      </c>
      <c r="F1478" t="s">
        <v>1692</v>
      </c>
      <c r="G1478" t="s">
        <v>2239</v>
      </c>
      <c r="H1478" t="s">
        <v>4209</v>
      </c>
      <c r="I1478" t="s">
        <v>4840</v>
      </c>
      <c r="J1478" t="s">
        <v>5321</v>
      </c>
      <c r="K1478">
        <v>10460</v>
      </c>
      <c r="L1478" t="s">
        <v>5355</v>
      </c>
      <c r="M1478" t="s">
        <v>5356</v>
      </c>
      <c r="N1478" t="s">
        <v>5754</v>
      </c>
      <c r="O1478" t="s">
        <v>6491</v>
      </c>
      <c r="P1478" t="s">
        <v>6530</v>
      </c>
      <c r="R1478" t="s">
        <v>6539</v>
      </c>
      <c r="S1478" t="s">
        <v>5357</v>
      </c>
      <c r="U1478" t="s">
        <v>6557</v>
      </c>
      <c r="W1478" t="s">
        <v>6573</v>
      </c>
      <c r="X1478">
        <v>1013</v>
      </c>
      <c r="Y1478" t="s">
        <v>6606</v>
      </c>
      <c r="Z1478" t="s">
        <v>6613</v>
      </c>
      <c r="AB1478" t="s">
        <v>7917</v>
      </c>
      <c r="AC1478" t="s">
        <v>8897</v>
      </c>
      <c r="AD1478" t="s">
        <v>10268</v>
      </c>
      <c r="AE1478">
        <v>0</v>
      </c>
      <c r="AF1478" t="s">
        <v>11005</v>
      </c>
      <c r="AG1478" t="s">
        <v>11023</v>
      </c>
      <c r="AH1478">
        <v>4</v>
      </c>
      <c r="AI1478">
        <v>1</v>
      </c>
      <c r="AJ1478">
        <v>1</v>
      </c>
      <c r="AK1478">
        <v>23.69</v>
      </c>
      <c r="AN1478" t="s">
        <v>11050</v>
      </c>
      <c r="AO1478">
        <v>3900</v>
      </c>
      <c r="AP1478" t="s">
        <v>11075</v>
      </c>
      <c r="AU1478">
        <v>17.75</v>
      </c>
      <c r="AV1478" t="s">
        <v>674</v>
      </c>
      <c r="AW1478" t="s">
        <v>11538</v>
      </c>
    </row>
    <row r="1479" spans="1:50">
      <c r="A1479" s="1">
        <f>HYPERLINK("https://cms.ls-nyc.org/matter/dynamic-profile/view/1867389","18-1867389")</f>
        <v>0</v>
      </c>
      <c r="B1479" t="s">
        <v>124</v>
      </c>
      <c r="C1479" t="s">
        <v>234</v>
      </c>
      <c r="D1479" t="s">
        <v>320</v>
      </c>
      <c r="E1479" t="s">
        <v>739</v>
      </c>
      <c r="F1479" t="s">
        <v>1220</v>
      </c>
      <c r="G1479" t="s">
        <v>2999</v>
      </c>
      <c r="H1479" t="s">
        <v>4210</v>
      </c>
      <c r="I1479" t="s">
        <v>4788</v>
      </c>
      <c r="J1479" t="s">
        <v>5323</v>
      </c>
      <c r="K1479">
        <v>10040</v>
      </c>
      <c r="L1479" t="s">
        <v>5355</v>
      </c>
      <c r="M1479" t="s">
        <v>5355</v>
      </c>
      <c r="N1479" t="s">
        <v>5755</v>
      </c>
      <c r="P1479" t="s">
        <v>6530</v>
      </c>
      <c r="Q1479" t="s">
        <v>6534</v>
      </c>
      <c r="R1479" t="s">
        <v>6539</v>
      </c>
      <c r="S1479" t="s">
        <v>5357</v>
      </c>
      <c r="U1479" t="s">
        <v>6557</v>
      </c>
      <c r="W1479" t="s">
        <v>320</v>
      </c>
      <c r="X1479">
        <v>1155.06</v>
      </c>
      <c r="Y1479" t="s">
        <v>6608</v>
      </c>
      <c r="Z1479" t="s">
        <v>6615</v>
      </c>
      <c r="AA1479" t="s">
        <v>6644</v>
      </c>
      <c r="AB1479" t="s">
        <v>7918</v>
      </c>
      <c r="AC1479" t="s">
        <v>8898</v>
      </c>
      <c r="AD1479" t="s">
        <v>10269</v>
      </c>
      <c r="AE1479">
        <v>88</v>
      </c>
      <c r="AG1479" t="s">
        <v>5406</v>
      </c>
      <c r="AH1479">
        <v>25</v>
      </c>
      <c r="AI1479">
        <v>2</v>
      </c>
      <c r="AJ1479">
        <v>0</v>
      </c>
      <c r="AK1479">
        <v>23.77</v>
      </c>
      <c r="AN1479" t="s">
        <v>11050</v>
      </c>
      <c r="AO1479">
        <v>3912</v>
      </c>
      <c r="AU1479">
        <v>14.7</v>
      </c>
      <c r="AV1479" t="s">
        <v>707</v>
      </c>
      <c r="AW1479" t="s">
        <v>11495</v>
      </c>
    </row>
    <row r="1480" spans="1:50">
      <c r="A1480" s="1">
        <f>HYPERLINK("https://cms.ls-nyc.org/matter/dynamic-profile/view/1865763","18-1865763")</f>
        <v>0</v>
      </c>
      <c r="B1480" t="s">
        <v>74</v>
      </c>
      <c r="C1480" t="s">
        <v>234</v>
      </c>
      <c r="D1480" t="s">
        <v>241</v>
      </c>
      <c r="E1480" t="s">
        <v>681</v>
      </c>
      <c r="F1480" t="s">
        <v>1693</v>
      </c>
      <c r="G1480" t="s">
        <v>3000</v>
      </c>
      <c r="H1480" t="s">
        <v>3960</v>
      </c>
      <c r="I1480" t="s">
        <v>4816</v>
      </c>
      <c r="J1480" t="s">
        <v>5322</v>
      </c>
      <c r="K1480">
        <v>10304</v>
      </c>
      <c r="L1480" t="s">
        <v>5355</v>
      </c>
      <c r="M1480" t="s">
        <v>5355</v>
      </c>
      <c r="N1480" t="s">
        <v>5756</v>
      </c>
      <c r="O1480" t="s">
        <v>6492</v>
      </c>
      <c r="P1480" t="s">
        <v>6530</v>
      </c>
      <c r="Q1480" t="s">
        <v>6534</v>
      </c>
      <c r="R1480" t="s">
        <v>6539</v>
      </c>
      <c r="S1480" t="s">
        <v>5357</v>
      </c>
      <c r="U1480" t="s">
        <v>6557</v>
      </c>
      <c r="W1480" t="s">
        <v>241</v>
      </c>
      <c r="X1480">
        <v>1545.3</v>
      </c>
      <c r="Y1480" t="s">
        <v>6607</v>
      </c>
      <c r="Z1480" t="s">
        <v>6612</v>
      </c>
      <c r="AA1480" t="s">
        <v>6651</v>
      </c>
      <c r="AB1480" t="s">
        <v>7919</v>
      </c>
      <c r="AC1480" t="s">
        <v>8899</v>
      </c>
      <c r="AD1480" t="s">
        <v>10270</v>
      </c>
      <c r="AE1480">
        <v>0</v>
      </c>
      <c r="AF1480" t="s">
        <v>11005</v>
      </c>
      <c r="AG1480" t="s">
        <v>11023</v>
      </c>
      <c r="AH1480">
        <v>3</v>
      </c>
      <c r="AI1480">
        <v>1</v>
      </c>
      <c r="AJ1480">
        <v>1</v>
      </c>
      <c r="AK1480">
        <v>24.33</v>
      </c>
      <c r="AN1480" t="s">
        <v>11050</v>
      </c>
      <c r="AO1480">
        <v>4004</v>
      </c>
      <c r="AU1480">
        <v>11.5</v>
      </c>
      <c r="AV1480" t="s">
        <v>681</v>
      </c>
      <c r="AW1480" t="s">
        <v>11510</v>
      </c>
    </row>
    <row r="1481" spans="1:50">
      <c r="A1481" s="1">
        <f>HYPERLINK("https://cms.ls-nyc.org/matter/dynamic-profile/view/0786502","15-0786502")</f>
        <v>0</v>
      </c>
      <c r="B1481" t="s">
        <v>197</v>
      </c>
      <c r="C1481" t="s">
        <v>234</v>
      </c>
      <c r="D1481" t="s">
        <v>566</v>
      </c>
      <c r="E1481" t="s">
        <v>665</v>
      </c>
      <c r="F1481" t="s">
        <v>1694</v>
      </c>
      <c r="G1481" t="s">
        <v>2237</v>
      </c>
      <c r="H1481" t="s">
        <v>4211</v>
      </c>
      <c r="I1481" t="s">
        <v>5154</v>
      </c>
      <c r="J1481" t="s">
        <v>5320</v>
      </c>
      <c r="K1481">
        <v>11237</v>
      </c>
      <c r="L1481" t="s">
        <v>5355</v>
      </c>
      <c r="M1481" t="s">
        <v>5356</v>
      </c>
      <c r="N1481" t="s">
        <v>5757</v>
      </c>
      <c r="O1481" t="s">
        <v>6491</v>
      </c>
      <c r="P1481" t="s">
        <v>6530</v>
      </c>
      <c r="Q1481" t="s">
        <v>6534</v>
      </c>
      <c r="R1481" t="s">
        <v>6539</v>
      </c>
      <c r="T1481" t="s">
        <v>6544</v>
      </c>
      <c r="U1481" t="s">
        <v>6557</v>
      </c>
      <c r="W1481" t="s">
        <v>262</v>
      </c>
      <c r="X1481">
        <v>350</v>
      </c>
      <c r="Y1481" t="s">
        <v>6605</v>
      </c>
      <c r="Z1481" t="s">
        <v>6614</v>
      </c>
      <c r="AA1481" t="s">
        <v>6637</v>
      </c>
      <c r="AB1481" t="s">
        <v>7920</v>
      </c>
      <c r="AC1481" t="s">
        <v>8900</v>
      </c>
      <c r="AD1481" t="s">
        <v>10271</v>
      </c>
      <c r="AE1481">
        <v>6</v>
      </c>
      <c r="AF1481" t="s">
        <v>11005</v>
      </c>
      <c r="AH1481">
        <v>20</v>
      </c>
      <c r="AI1481">
        <v>1</v>
      </c>
      <c r="AJ1481">
        <v>0</v>
      </c>
      <c r="AK1481">
        <v>24.47</v>
      </c>
      <c r="AN1481" t="s">
        <v>11050</v>
      </c>
      <c r="AO1481">
        <v>2880</v>
      </c>
      <c r="AU1481">
        <v>27.1</v>
      </c>
      <c r="AV1481" t="s">
        <v>6584</v>
      </c>
      <c r="AW1481" t="s">
        <v>11490</v>
      </c>
    </row>
    <row r="1482" spans="1:50">
      <c r="A1482" s="1">
        <f>HYPERLINK("https://cms.ls-nyc.org/matter/dynamic-profile/view/1851392","17-1851392")</f>
        <v>0</v>
      </c>
      <c r="B1482" t="s">
        <v>56</v>
      </c>
      <c r="C1482" t="s">
        <v>234</v>
      </c>
      <c r="D1482" t="s">
        <v>560</v>
      </c>
      <c r="E1482" t="s">
        <v>622</v>
      </c>
      <c r="F1482" t="s">
        <v>1126</v>
      </c>
      <c r="G1482" t="s">
        <v>2105</v>
      </c>
      <c r="H1482" t="s">
        <v>4212</v>
      </c>
      <c r="I1482" t="s">
        <v>4879</v>
      </c>
      <c r="J1482" t="s">
        <v>5321</v>
      </c>
      <c r="K1482">
        <v>10453</v>
      </c>
      <c r="L1482" t="s">
        <v>5355</v>
      </c>
      <c r="M1482" t="s">
        <v>5356</v>
      </c>
      <c r="N1482" t="s">
        <v>5758</v>
      </c>
      <c r="O1482" t="s">
        <v>6492</v>
      </c>
      <c r="P1482" t="s">
        <v>6530</v>
      </c>
      <c r="Q1482" t="s">
        <v>6534</v>
      </c>
      <c r="R1482" t="s">
        <v>6539</v>
      </c>
      <c r="S1482" t="s">
        <v>5357</v>
      </c>
      <c r="U1482" t="s">
        <v>6557</v>
      </c>
      <c r="W1482" t="s">
        <v>332</v>
      </c>
      <c r="X1482">
        <v>1050</v>
      </c>
      <c r="Y1482" t="s">
        <v>6606</v>
      </c>
      <c r="Z1482" t="s">
        <v>6616</v>
      </c>
      <c r="AA1482" t="s">
        <v>6637</v>
      </c>
      <c r="AB1482" t="s">
        <v>7921</v>
      </c>
      <c r="AD1482" t="s">
        <v>10272</v>
      </c>
      <c r="AE1482">
        <v>20</v>
      </c>
      <c r="AF1482" t="s">
        <v>11005</v>
      </c>
      <c r="AG1482" t="s">
        <v>6493</v>
      </c>
      <c r="AH1482">
        <v>10</v>
      </c>
      <c r="AI1482">
        <v>1</v>
      </c>
      <c r="AJ1482">
        <v>1</v>
      </c>
      <c r="AK1482">
        <v>24.83</v>
      </c>
      <c r="AN1482" t="s">
        <v>11049</v>
      </c>
      <c r="AO1482">
        <v>4032</v>
      </c>
      <c r="AP1482" t="s">
        <v>11157</v>
      </c>
      <c r="AT1482" t="s">
        <v>11308</v>
      </c>
      <c r="AU1482">
        <v>29.5</v>
      </c>
      <c r="AV1482" t="s">
        <v>299</v>
      </c>
      <c r="AW1482" t="s">
        <v>11520</v>
      </c>
    </row>
    <row r="1483" spans="1:50">
      <c r="A1483" s="1">
        <f>HYPERLINK("https://cms.ls-nyc.org/matter/dynamic-profile/view/1852943","17-1852943")</f>
        <v>0</v>
      </c>
      <c r="B1483" t="s">
        <v>198</v>
      </c>
      <c r="C1483" t="s">
        <v>234</v>
      </c>
      <c r="D1483" t="s">
        <v>353</v>
      </c>
      <c r="E1483" t="s">
        <v>738</v>
      </c>
      <c r="F1483" t="s">
        <v>837</v>
      </c>
      <c r="G1483" t="s">
        <v>3001</v>
      </c>
      <c r="H1483" t="s">
        <v>4135</v>
      </c>
      <c r="I1483" t="s">
        <v>5009</v>
      </c>
      <c r="J1483" t="s">
        <v>5320</v>
      </c>
      <c r="K1483">
        <v>11208</v>
      </c>
      <c r="L1483" t="s">
        <v>5355</v>
      </c>
      <c r="M1483" t="s">
        <v>5356</v>
      </c>
      <c r="N1483" t="s">
        <v>5759</v>
      </c>
      <c r="O1483" t="s">
        <v>6492</v>
      </c>
      <c r="P1483" t="s">
        <v>6530</v>
      </c>
      <c r="Q1483" t="s">
        <v>6538</v>
      </c>
      <c r="R1483" t="s">
        <v>6539</v>
      </c>
      <c r="S1483" t="s">
        <v>5355</v>
      </c>
      <c r="U1483" t="s">
        <v>6557</v>
      </c>
      <c r="W1483" t="s">
        <v>509</v>
      </c>
      <c r="X1483">
        <v>1051</v>
      </c>
      <c r="Y1483" t="s">
        <v>6605</v>
      </c>
      <c r="Z1483" t="s">
        <v>6617</v>
      </c>
      <c r="AA1483" t="s">
        <v>6651</v>
      </c>
      <c r="AB1483" t="s">
        <v>7922</v>
      </c>
      <c r="AC1483" t="s">
        <v>8901</v>
      </c>
      <c r="AD1483" t="s">
        <v>10273</v>
      </c>
      <c r="AE1483">
        <v>20</v>
      </c>
      <c r="AF1483" t="s">
        <v>11011</v>
      </c>
      <c r="AG1483" t="s">
        <v>6493</v>
      </c>
      <c r="AH1483">
        <v>2</v>
      </c>
      <c r="AI1483">
        <v>1</v>
      </c>
      <c r="AJ1483">
        <v>0</v>
      </c>
      <c r="AK1483">
        <v>24.88</v>
      </c>
      <c r="AN1483" t="s">
        <v>11050</v>
      </c>
      <c r="AO1483">
        <v>3000</v>
      </c>
      <c r="AR1483" t="s">
        <v>11210</v>
      </c>
      <c r="AS1483" t="s">
        <v>11253</v>
      </c>
      <c r="AT1483" t="s">
        <v>11281</v>
      </c>
      <c r="AU1483">
        <v>27.4</v>
      </c>
      <c r="AV1483" t="s">
        <v>716</v>
      </c>
      <c r="AW1483" t="s">
        <v>11512</v>
      </c>
    </row>
    <row r="1484" spans="1:50">
      <c r="A1484" s="1">
        <f>HYPERLINK("https://cms.ls-nyc.org/matter/dynamic-profile/view/1865284","18-1865284")</f>
        <v>0</v>
      </c>
      <c r="B1484" t="s">
        <v>90</v>
      </c>
      <c r="C1484" t="s">
        <v>235</v>
      </c>
      <c r="D1484" t="s">
        <v>358</v>
      </c>
      <c r="F1484" t="s">
        <v>1695</v>
      </c>
      <c r="G1484" t="s">
        <v>3002</v>
      </c>
      <c r="H1484" t="s">
        <v>4147</v>
      </c>
      <c r="I1484" t="s">
        <v>5155</v>
      </c>
      <c r="J1484" t="s">
        <v>5321</v>
      </c>
      <c r="K1484">
        <v>10453</v>
      </c>
      <c r="L1484" t="s">
        <v>5355</v>
      </c>
      <c r="M1484" t="s">
        <v>5356</v>
      </c>
      <c r="N1484" t="s">
        <v>5670</v>
      </c>
      <c r="O1484" t="s">
        <v>6494</v>
      </c>
      <c r="P1484" t="s">
        <v>6530</v>
      </c>
      <c r="R1484" t="s">
        <v>6539</v>
      </c>
      <c r="S1484" t="s">
        <v>5355</v>
      </c>
      <c r="U1484" t="s">
        <v>6557</v>
      </c>
      <c r="W1484" t="s">
        <v>516</v>
      </c>
      <c r="X1484">
        <v>1139.81</v>
      </c>
      <c r="Y1484" t="s">
        <v>6606</v>
      </c>
      <c r="Z1484" t="s">
        <v>6614</v>
      </c>
      <c r="AB1484" t="s">
        <v>7923</v>
      </c>
      <c r="AC1484" t="s">
        <v>8902</v>
      </c>
      <c r="AD1484" t="s">
        <v>10274</v>
      </c>
      <c r="AE1484">
        <v>46</v>
      </c>
      <c r="AF1484" t="s">
        <v>11005</v>
      </c>
      <c r="AG1484" t="s">
        <v>11023</v>
      </c>
      <c r="AH1484">
        <v>7</v>
      </c>
      <c r="AI1484">
        <v>1</v>
      </c>
      <c r="AJ1484">
        <v>2</v>
      </c>
      <c r="AK1484">
        <v>24.95</v>
      </c>
      <c r="AN1484" t="s">
        <v>11049</v>
      </c>
      <c r="AO1484">
        <v>5184</v>
      </c>
      <c r="AU1484">
        <v>0.8</v>
      </c>
      <c r="AV1484" t="s">
        <v>496</v>
      </c>
      <c r="AW1484" t="s">
        <v>59</v>
      </c>
    </row>
    <row r="1485" spans="1:50">
      <c r="A1485" s="1">
        <f>HYPERLINK("https://cms.ls-nyc.org/matter/dynamic-profile/view/1850179","17-1850179")</f>
        <v>0</v>
      </c>
      <c r="B1485" t="s">
        <v>71</v>
      </c>
      <c r="C1485" t="s">
        <v>235</v>
      </c>
      <c r="D1485" t="s">
        <v>363</v>
      </c>
      <c r="F1485" t="s">
        <v>1696</v>
      </c>
      <c r="G1485" t="s">
        <v>3003</v>
      </c>
      <c r="H1485" t="s">
        <v>4213</v>
      </c>
      <c r="I1485" t="s">
        <v>4814</v>
      </c>
      <c r="J1485" t="s">
        <v>5321</v>
      </c>
      <c r="K1485">
        <v>10453</v>
      </c>
      <c r="L1485" t="s">
        <v>5355</v>
      </c>
      <c r="M1485" t="s">
        <v>5356</v>
      </c>
      <c r="N1485" t="s">
        <v>5760</v>
      </c>
      <c r="O1485" t="s">
        <v>6492</v>
      </c>
      <c r="P1485" t="s">
        <v>6530</v>
      </c>
      <c r="R1485" t="s">
        <v>6539</v>
      </c>
      <c r="S1485" t="s">
        <v>5357</v>
      </c>
      <c r="U1485" t="s">
        <v>6557</v>
      </c>
      <c r="W1485" t="s">
        <v>363</v>
      </c>
      <c r="X1485">
        <v>922</v>
      </c>
      <c r="Y1485" t="s">
        <v>6606</v>
      </c>
      <c r="Z1485" t="s">
        <v>6613</v>
      </c>
      <c r="AB1485" t="s">
        <v>7924</v>
      </c>
      <c r="AC1485" t="s">
        <v>8903</v>
      </c>
      <c r="AD1485" t="s">
        <v>10275</v>
      </c>
      <c r="AE1485">
        <v>32</v>
      </c>
      <c r="AF1485" t="s">
        <v>11006</v>
      </c>
      <c r="AG1485" t="s">
        <v>11020</v>
      </c>
      <c r="AH1485">
        <v>17</v>
      </c>
      <c r="AI1485">
        <v>1</v>
      </c>
      <c r="AJ1485">
        <v>3</v>
      </c>
      <c r="AK1485">
        <v>25.37</v>
      </c>
      <c r="AN1485" t="s">
        <v>11050</v>
      </c>
      <c r="AO1485">
        <v>6240</v>
      </c>
      <c r="AP1485" t="s">
        <v>11075</v>
      </c>
      <c r="AU1485">
        <v>46.5</v>
      </c>
      <c r="AV1485" t="s">
        <v>690</v>
      </c>
      <c r="AW1485" t="s">
        <v>11509</v>
      </c>
    </row>
    <row r="1486" spans="1:50">
      <c r="A1486" s="1">
        <f>HYPERLINK("https://cms.ls-nyc.org/matter/dynamic-profile/view/1852662","17-1852662")</f>
        <v>0</v>
      </c>
      <c r="B1486" t="s">
        <v>53</v>
      </c>
      <c r="C1486" t="s">
        <v>235</v>
      </c>
      <c r="D1486" t="s">
        <v>567</v>
      </c>
      <c r="F1486" t="s">
        <v>887</v>
      </c>
      <c r="G1486" t="s">
        <v>2106</v>
      </c>
      <c r="H1486" t="s">
        <v>3434</v>
      </c>
      <c r="J1486" t="s">
        <v>5320</v>
      </c>
      <c r="K1486">
        <v>11208</v>
      </c>
      <c r="L1486" t="s">
        <v>5355</v>
      </c>
      <c r="M1486" t="s">
        <v>5356</v>
      </c>
      <c r="N1486" t="s">
        <v>5761</v>
      </c>
      <c r="O1486" t="s">
        <v>6491</v>
      </c>
      <c r="P1486" t="s">
        <v>6530</v>
      </c>
      <c r="R1486" t="s">
        <v>6539</v>
      </c>
      <c r="S1486" t="s">
        <v>5357</v>
      </c>
      <c r="U1486" t="s">
        <v>6557</v>
      </c>
      <c r="V1486" t="s">
        <v>6567</v>
      </c>
      <c r="W1486" t="s">
        <v>277</v>
      </c>
      <c r="X1486">
        <v>1939.6</v>
      </c>
      <c r="Y1486" t="s">
        <v>6605</v>
      </c>
      <c r="Z1486" t="s">
        <v>6622</v>
      </c>
      <c r="AB1486" t="s">
        <v>7925</v>
      </c>
      <c r="AC1486">
        <v>37151017</v>
      </c>
      <c r="AE1486">
        <v>6</v>
      </c>
      <c r="AF1486" t="s">
        <v>11005</v>
      </c>
      <c r="AG1486" t="s">
        <v>11020</v>
      </c>
      <c r="AH1486">
        <v>8</v>
      </c>
      <c r="AI1486">
        <v>5</v>
      </c>
      <c r="AJ1486">
        <v>0</v>
      </c>
      <c r="AK1486">
        <v>25.84</v>
      </c>
      <c r="AN1486" t="s">
        <v>11050</v>
      </c>
      <c r="AO1486">
        <v>7436</v>
      </c>
      <c r="AQ1486" t="s">
        <v>11190</v>
      </c>
      <c r="AR1486" t="s">
        <v>11221</v>
      </c>
      <c r="AS1486" t="s">
        <v>11253</v>
      </c>
      <c r="AT1486" t="s">
        <v>11309</v>
      </c>
      <c r="AU1486">
        <v>112.2</v>
      </c>
      <c r="AV1486" t="s">
        <v>799</v>
      </c>
      <c r="AW1486" t="s">
        <v>11489</v>
      </c>
      <c r="AX1486" t="s">
        <v>11565</v>
      </c>
    </row>
    <row r="1487" spans="1:50">
      <c r="A1487" s="1">
        <f>HYPERLINK("https://cms.ls-nyc.org/matter/dynamic-profile/view/1853770","17-1853770")</f>
        <v>0</v>
      </c>
      <c r="B1487" t="s">
        <v>102</v>
      </c>
      <c r="C1487" t="s">
        <v>234</v>
      </c>
      <c r="D1487" t="s">
        <v>332</v>
      </c>
      <c r="E1487" t="s">
        <v>738</v>
      </c>
      <c r="F1487" t="s">
        <v>1234</v>
      </c>
      <c r="G1487" t="s">
        <v>2231</v>
      </c>
      <c r="H1487" t="s">
        <v>4214</v>
      </c>
      <c r="I1487" t="s">
        <v>4740</v>
      </c>
      <c r="J1487" t="s">
        <v>5321</v>
      </c>
      <c r="K1487">
        <v>10453</v>
      </c>
      <c r="L1487" t="s">
        <v>5355</v>
      </c>
      <c r="M1487" t="s">
        <v>5355</v>
      </c>
      <c r="N1487" t="s">
        <v>5762</v>
      </c>
      <c r="O1487" t="s">
        <v>6492</v>
      </c>
      <c r="P1487" t="s">
        <v>6530</v>
      </c>
      <c r="Q1487" t="s">
        <v>6534</v>
      </c>
      <c r="R1487" t="s">
        <v>6539</v>
      </c>
      <c r="S1487" t="s">
        <v>5357</v>
      </c>
      <c r="U1487" t="s">
        <v>6557</v>
      </c>
      <c r="V1487" t="s">
        <v>6566</v>
      </c>
      <c r="W1487" t="s">
        <v>397</v>
      </c>
      <c r="X1487">
        <v>1350</v>
      </c>
      <c r="Y1487" t="s">
        <v>6606</v>
      </c>
      <c r="Z1487" t="s">
        <v>6616</v>
      </c>
      <c r="AA1487" t="s">
        <v>6637</v>
      </c>
      <c r="AB1487" t="s">
        <v>7926</v>
      </c>
      <c r="AC1487" t="s">
        <v>8904</v>
      </c>
      <c r="AD1487" t="s">
        <v>10276</v>
      </c>
      <c r="AE1487">
        <v>22</v>
      </c>
      <c r="AF1487" t="s">
        <v>11005</v>
      </c>
      <c r="AG1487" t="s">
        <v>11022</v>
      </c>
      <c r="AH1487">
        <v>3</v>
      </c>
      <c r="AI1487">
        <v>1</v>
      </c>
      <c r="AJ1487">
        <v>5</v>
      </c>
      <c r="AK1487">
        <v>26.14</v>
      </c>
      <c r="AN1487" t="s">
        <v>11050</v>
      </c>
      <c r="AO1487">
        <v>8616</v>
      </c>
      <c r="AQ1487" t="s">
        <v>11196</v>
      </c>
      <c r="AR1487" t="s">
        <v>11213</v>
      </c>
      <c r="AS1487" t="s">
        <v>11252</v>
      </c>
      <c r="AT1487" t="s">
        <v>11310</v>
      </c>
      <c r="AU1487">
        <v>48.05</v>
      </c>
      <c r="AV1487" t="s">
        <v>738</v>
      </c>
      <c r="AW1487" t="s">
        <v>11522</v>
      </c>
    </row>
    <row r="1488" spans="1:50">
      <c r="A1488" s="1">
        <f>HYPERLINK("https://cms.ls-nyc.org/matter/dynamic-profile/view/1869544","18-1869544")</f>
        <v>0</v>
      </c>
      <c r="B1488" t="s">
        <v>102</v>
      </c>
      <c r="C1488" t="s">
        <v>234</v>
      </c>
      <c r="D1488" t="s">
        <v>364</v>
      </c>
      <c r="E1488" t="s">
        <v>794</v>
      </c>
      <c r="F1488" t="s">
        <v>1697</v>
      </c>
      <c r="G1488" t="s">
        <v>3004</v>
      </c>
      <c r="H1488" t="s">
        <v>4215</v>
      </c>
      <c r="I1488" t="s">
        <v>4765</v>
      </c>
      <c r="J1488" t="s">
        <v>5321</v>
      </c>
      <c r="K1488">
        <v>10458</v>
      </c>
      <c r="L1488" t="s">
        <v>5355</v>
      </c>
      <c r="M1488" t="s">
        <v>5356</v>
      </c>
      <c r="N1488" t="s">
        <v>5763</v>
      </c>
      <c r="O1488" t="s">
        <v>6492</v>
      </c>
      <c r="P1488" t="s">
        <v>6530</v>
      </c>
      <c r="Q1488" t="s">
        <v>6534</v>
      </c>
      <c r="R1488" t="s">
        <v>6539</v>
      </c>
      <c r="S1488" t="s">
        <v>5357</v>
      </c>
      <c r="U1488" t="s">
        <v>6557</v>
      </c>
      <c r="W1488" t="s">
        <v>364</v>
      </c>
      <c r="X1488">
        <v>1370.69</v>
      </c>
      <c r="Y1488" t="s">
        <v>6606</v>
      </c>
      <c r="Z1488" t="s">
        <v>6616</v>
      </c>
      <c r="AA1488" t="s">
        <v>6637</v>
      </c>
      <c r="AB1488" t="s">
        <v>7927</v>
      </c>
      <c r="AC1488" t="s">
        <v>8905</v>
      </c>
      <c r="AD1488" t="s">
        <v>10277</v>
      </c>
      <c r="AE1488">
        <v>0</v>
      </c>
      <c r="AF1488" t="s">
        <v>11005</v>
      </c>
      <c r="AG1488" t="s">
        <v>5406</v>
      </c>
      <c r="AH1488">
        <v>11</v>
      </c>
      <c r="AI1488">
        <v>2</v>
      </c>
      <c r="AJ1488">
        <v>3</v>
      </c>
      <c r="AK1488">
        <v>26.51</v>
      </c>
      <c r="AN1488" t="s">
        <v>11050</v>
      </c>
      <c r="AO1488">
        <v>7800</v>
      </c>
      <c r="AQ1488" t="s">
        <v>11191</v>
      </c>
      <c r="AR1488" t="s">
        <v>11222</v>
      </c>
      <c r="AS1488" t="s">
        <v>11253</v>
      </c>
      <c r="AT1488" t="s">
        <v>11311</v>
      </c>
      <c r="AU1488">
        <v>15.9</v>
      </c>
      <c r="AV1488" t="s">
        <v>794</v>
      </c>
      <c r="AW1488" t="s">
        <v>11509</v>
      </c>
    </row>
    <row r="1489" spans="1:50">
      <c r="A1489" s="1">
        <f>HYPERLINK("https://cms.ls-nyc.org/matter/dynamic-profile/view/1856674","18-1856674")</f>
        <v>0</v>
      </c>
      <c r="B1489" t="s">
        <v>199</v>
      </c>
      <c r="C1489" t="s">
        <v>235</v>
      </c>
      <c r="D1489" t="s">
        <v>389</v>
      </c>
      <c r="F1489" t="s">
        <v>1698</v>
      </c>
      <c r="G1489" t="s">
        <v>2439</v>
      </c>
      <c r="H1489" t="s">
        <v>4216</v>
      </c>
      <c r="I1489">
        <v>301</v>
      </c>
      <c r="J1489" t="s">
        <v>5340</v>
      </c>
      <c r="K1489">
        <v>11692</v>
      </c>
      <c r="L1489" t="s">
        <v>5355</v>
      </c>
      <c r="M1489" t="s">
        <v>5356</v>
      </c>
      <c r="N1489" t="s">
        <v>5764</v>
      </c>
      <c r="O1489" t="s">
        <v>6492</v>
      </c>
      <c r="P1489" t="s">
        <v>6530</v>
      </c>
      <c r="R1489" t="s">
        <v>6539</v>
      </c>
      <c r="S1489" t="s">
        <v>5357</v>
      </c>
      <c r="U1489" t="s">
        <v>6557</v>
      </c>
      <c r="V1489" t="s">
        <v>6568</v>
      </c>
      <c r="W1489" t="s">
        <v>389</v>
      </c>
      <c r="X1489">
        <v>1825</v>
      </c>
      <c r="Y1489" t="s">
        <v>6604</v>
      </c>
      <c r="Z1489" t="s">
        <v>6614</v>
      </c>
      <c r="AB1489" t="s">
        <v>7928</v>
      </c>
      <c r="AC1489" t="s">
        <v>8906</v>
      </c>
      <c r="AD1489" t="s">
        <v>10278</v>
      </c>
      <c r="AE1489">
        <v>8</v>
      </c>
      <c r="AF1489" t="s">
        <v>11004</v>
      </c>
      <c r="AG1489" t="s">
        <v>11020</v>
      </c>
      <c r="AH1489">
        <v>2</v>
      </c>
      <c r="AI1489">
        <v>1</v>
      </c>
      <c r="AJ1489">
        <v>5</v>
      </c>
      <c r="AK1489">
        <v>26.58</v>
      </c>
      <c r="AN1489" t="s">
        <v>11050</v>
      </c>
      <c r="AO1489">
        <v>8762</v>
      </c>
      <c r="AR1489" t="s">
        <v>6493</v>
      </c>
      <c r="AS1489" t="s">
        <v>11253</v>
      </c>
      <c r="AT1489" t="s">
        <v>11312</v>
      </c>
      <c r="AU1489">
        <v>7.15</v>
      </c>
      <c r="AV1489" t="s">
        <v>11468</v>
      </c>
      <c r="AW1489" t="s">
        <v>81</v>
      </c>
      <c r="AX1489" t="s">
        <v>11564</v>
      </c>
    </row>
    <row r="1490" spans="1:50">
      <c r="A1490" s="1">
        <f>HYPERLINK("https://cms.ls-nyc.org/matter/dynamic-profile/view/1841788","17-1841788")</f>
        <v>0</v>
      </c>
      <c r="B1490" t="s">
        <v>114</v>
      </c>
      <c r="C1490" t="s">
        <v>234</v>
      </c>
      <c r="D1490" t="s">
        <v>323</v>
      </c>
      <c r="E1490" t="s">
        <v>758</v>
      </c>
      <c r="F1490" t="s">
        <v>1699</v>
      </c>
      <c r="G1490" t="s">
        <v>2714</v>
      </c>
      <c r="H1490" t="s">
        <v>4217</v>
      </c>
      <c r="I1490">
        <v>11213</v>
      </c>
      <c r="J1490" t="s">
        <v>5320</v>
      </c>
      <c r="K1490">
        <v>11213</v>
      </c>
      <c r="L1490" t="s">
        <v>5355</v>
      </c>
      <c r="M1490" t="s">
        <v>5356</v>
      </c>
      <c r="N1490" t="s">
        <v>5765</v>
      </c>
      <c r="O1490" t="s">
        <v>6492</v>
      </c>
      <c r="P1490" t="s">
        <v>6530</v>
      </c>
      <c r="Q1490" t="s">
        <v>6535</v>
      </c>
      <c r="R1490" t="s">
        <v>6540</v>
      </c>
      <c r="S1490" t="s">
        <v>5357</v>
      </c>
      <c r="U1490" t="s">
        <v>6557</v>
      </c>
      <c r="W1490" t="s">
        <v>323</v>
      </c>
      <c r="X1490">
        <v>2300.27</v>
      </c>
      <c r="Y1490" t="s">
        <v>6605</v>
      </c>
      <c r="Z1490" t="s">
        <v>6610</v>
      </c>
      <c r="AA1490" t="s">
        <v>6637</v>
      </c>
      <c r="AB1490" t="s">
        <v>7929</v>
      </c>
      <c r="AC1490" t="s">
        <v>8907</v>
      </c>
      <c r="AD1490" t="s">
        <v>10279</v>
      </c>
      <c r="AE1490">
        <v>70</v>
      </c>
      <c r="AF1490" t="s">
        <v>11005</v>
      </c>
      <c r="AH1490">
        <v>0</v>
      </c>
      <c r="AI1490">
        <v>1</v>
      </c>
      <c r="AJ1490">
        <v>6</v>
      </c>
      <c r="AK1490">
        <v>26.67</v>
      </c>
      <c r="AL1490" t="s">
        <v>11028</v>
      </c>
      <c r="AN1490" t="s">
        <v>11050</v>
      </c>
      <c r="AO1490">
        <v>9906</v>
      </c>
      <c r="AU1490">
        <v>52.9</v>
      </c>
      <c r="AV1490" t="s">
        <v>445</v>
      </c>
      <c r="AW1490" t="s">
        <v>11488</v>
      </c>
    </row>
    <row r="1491" spans="1:50">
      <c r="A1491" s="1">
        <f>HYPERLINK("https://cms.ls-nyc.org/matter/dynamic-profile/view/1854274","17-1854274")</f>
        <v>0</v>
      </c>
      <c r="B1491" t="s">
        <v>99</v>
      </c>
      <c r="C1491" t="s">
        <v>234</v>
      </c>
      <c r="D1491" t="s">
        <v>422</v>
      </c>
      <c r="E1491" t="s">
        <v>795</v>
      </c>
      <c r="F1491" t="s">
        <v>1700</v>
      </c>
      <c r="G1491" t="s">
        <v>2458</v>
      </c>
      <c r="H1491" t="s">
        <v>4218</v>
      </c>
      <c r="I1491" t="s">
        <v>4796</v>
      </c>
      <c r="J1491" t="s">
        <v>5320</v>
      </c>
      <c r="K1491">
        <v>11208</v>
      </c>
      <c r="L1491" t="s">
        <v>5355</v>
      </c>
      <c r="M1491" t="s">
        <v>5356</v>
      </c>
      <c r="N1491" t="s">
        <v>5766</v>
      </c>
      <c r="O1491" t="s">
        <v>6492</v>
      </c>
      <c r="P1491" t="s">
        <v>6530</v>
      </c>
      <c r="Q1491" t="s">
        <v>6537</v>
      </c>
      <c r="R1491" t="s">
        <v>6539</v>
      </c>
      <c r="S1491" t="s">
        <v>5355</v>
      </c>
      <c r="U1491" t="s">
        <v>6557</v>
      </c>
      <c r="W1491" t="s">
        <v>422</v>
      </c>
      <c r="X1491">
        <v>1350</v>
      </c>
      <c r="Y1491" t="s">
        <v>6605</v>
      </c>
      <c r="Z1491" t="s">
        <v>6623</v>
      </c>
      <c r="AA1491" t="s">
        <v>6637</v>
      </c>
      <c r="AB1491" t="s">
        <v>7930</v>
      </c>
      <c r="AC1491" t="s">
        <v>8908</v>
      </c>
      <c r="AD1491" t="s">
        <v>10280</v>
      </c>
      <c r="AE1491">
        <v>15</v>
      </c>
      <c r="AF1491" t="s">
        <v>11005</v>
      </c>
      <c r="AG1491" t="s">
        <v>5406</v>
      </c>
      <c r="AH1491">
        <v>1</v>
      </c>
      <c r="AI1491">
        <v>2</v>
      </c>
      <c r="AJ1491">
        <v>2</v>
      </c>
      <c r="AK1491">
        <v>26.83</v>
      </c>
      <c r="AN1491" t="s">
        <v>11050</v>
      </c>
      <c r="AO1491">
        <v>6600</v>
      </c>
      <c r="AU1491">
        <v>110.9</v>
      </c>
      <c r="AV1491" t="s">
        <v>11437</v>
      </c>
      <c r="AW1491" t="s">
        <v>11512</v>
      </c>
    </row>
    <row r="1492" spans="1:50">
      <c r="A1492" s="1">
        <f>HYPERLINK("https://cms.ls-nyc.org/matter/dynamic-profile/view/1845490","17-1845490")</f>
        <v>0</v>
      </c>
      <c r="B1492" t="s">
        <v>56</v>
      </c>
      <c r="C1492" t="s">
        <v>234</v>
      </c>
      <c r="D1492" t="s">
        <v>417</v>
      </c>
      <c r="E1492" t="s">
        <v>691</v>
      </c>
      <c r="F1492" t="s">
        <v>1577</v>
      </c>
      <c r="G1492" t="s">
        <v>1746</v>
      </c>
      <c r="H1492" t="s">
        <v>4219</v>
      </c>
      <c r="I1492" t="s">
        <v>5028</v>
      </c>
      <c r="J1492" t="s">
        <v>5321</v>
      </c>
      <c r="K1492">
        <v>10472</v>
      </c>
      <c r="L1492" t="s">
        <v>5355</v>
      </c>
      <c r="M1492" t="s">
        <v>5356</v>
      </c>
      <c r="N1492" t="s">
        <v>5767</v>
      </c>
      <c r="O1492" t="s">
        <v>6492</v>
      </c>
      <c r="P1492" t="s">
        <v>6530</v>
      </c>
      <c r="Q1492" t="s">
        <v>6534</v>
      </c>
      <c r="R1492" t="s">
        <v>6540</v>
      </c>
      <c r="S1492" t="s">
        <v>5357</v>
      </c>
      <c r="U1492" t="s">
        <v>6557</v>
      </c>
      <c r="W1492" t="s">
        <v>6599</v>
      </c>
      <c r="X1492">
        <v>11450</v>
      </c>
      <c r="Y1492" t="s">
        <v>6606</v>
      </c>
      <c r="Z1492" t="s">
        <v>6610</v>
      </c>
      <c r="AA1492" t="s">
        <v>6637</v>
      </c>
      <c r="AB1492" t="s">
        <v>7931</v>
      </c>
      <c r="AC1492" t="s">
        <v>8909</v>
      </c>
      <c r="AE1492">
        <v>76</v>
      </c>
      <c r="AF1492" t="s">
        <v>11005</v>
      </c>
      <c r="AG1492" t="s">
        <v>11023</v>
      </c>
      <c r="AH1492">
        <v>1</v>
      </c>
      <c r="AI1492">
        <v>1</v>
      </c>
      <c r="AJ1492">
        <v>3</v>
      </c>
      <c r="AK1492">
        <v>26.83</v>
      </c>
      <c r="AL1492" t="s">
        <v>11028</v>
      </c>
      <c r="AN1492" t="s">
        <v>11049</v>
      </c>
      <c r="AO1492">
        <v>6600</v>
      </c>
      <c r="AT1492" t="s">
        <v>11313</v>
      </c>
      <c r="AU1492">
        <v>44.1</v>
      </c>
      <c r="AV1492" t="s">
        <v>709</v>
      </c>
      <c r="AW1492" t="s">
        <v>57</v>
      </c>
    </row>
    <row r="1493" spans="1:50">
      <c r="A1493" s="1">
        <f>HYPERLINK("https://cms.ls-nyc.org/matter/dynamic-profile/view/1866104","18-1866104")</f>
        <v>0</v>
      </c>
      <c r="B1493" t="s">
        <v>56</v>
      </c>
      <c r="C1493" t="s">
        <v>234</v>
      </c>
      <c r="D1493" t="s">
        <v>250</v>
      </c>
      <c r="E1493" t="s">
        <v>716</v>
      </c>
      <c r="F1493" t="s">
        <v>1014</v>
      </c>
      <c r="G1493" t="s">
        <v>3005</v>
      </c>
      <c r="H1493" t="s">
        <v>4220</v>
      </c>
      <c r="I1493" t="s">
        <v>4743</v>
      </c>
      <c r="J1493" t="s">
        <v>5321</v>
      </c>
      <c r="K1493">
        <v>10453</v>
      </c>
      <c r="L1493" t="s">
        <v>5355</v>
      </c>
      <c r="M1493" t="s">
        <v>5356</v>
      </c>
      <c r="N1493" t="s">
        <v>5768</v>
      </c>
      <c r="O1493" t="s">
        <v>6492</v>
      </c>
      <c r="P1493" t="s">
        <v>6530</v>
      </c>
      <c r="Q1493" t="s">
        <v>6534</v>
      </c>
      <c r="R1493" t="s">
        <v>6539</v>
      </c>
      <c r="S1493" t="s">
        <v>5357</v>
      </c>
      <c r="U1493" t="s">
        <v>6557</v>
      </c>
      <c r="W1493" t="s">
        <v>326</v>
      </c>
      <c r="X1493">
        <v>818.64</v>
      </c>
      <c r="Y1493" t="s">
        <v>6606</v>
      </c>
      <c r="Z1493" t="s">
        <v>6611</v>
      </c>
      <c r="AA1493" t="s">
        <v>6637</v>
      </c>
      <c r="AB1493" t="s">
        <v>7932</v>
      </c>
      <c r="AC1493" t="s">
        <v>8910</v>
      </c>
      <c r="AD1493" t="s">
        <v>10281</v>
      </c>
      <c r="AE1493">
        <v>60</v>
      </c>
      <c r="AF1493" t="s">
        <v>11005</v>
      </c>
      <c r="AG1493" t="s">
        <v>11020</v>
      </c>
      <c r="AH1493">
        <v>25</v>
      </c>
      <c r="AI1493">
        <v>2</v>
      </c>
      <c r="AJ1493">
        <v>4</v>
      </c>
      <c r="AK1493">
        <v>28.16</v>
      </c>
      <c r="AN1493" t="s">
        <v>11049</v>
      </c>
      <c r="AO1493">
        <v>9500</v>
      </c>
      <c r="AP1493" t="s">
        <v>11075</v>
      </c>
      <c r="AT1493" t="s">
        <v>11314</v>
      </c>
      <c r="AU1493">
        <v>10.21</v>
      </c>
      <c r="AV1493" t="s">
        <v>758</v>
      </c>
      <c r="AW1493" t="s">
        <v>11492</v>
      </c>
    </row>
    <row r="1494" spans="1:50">
      <c r="A1494" s="1">
        <f>HYPERLINK("https://cms.ls-nyc.org/matter/dynamic-profile/view/1861958","18-1861958")</f>
        <v>0</v>
      </c>
      <c r="B1494" t="s">
        <v>90</v>
      </c>
      <c r="C1494" t="s">
        <v>235</v>
      </c>
      <c r="D1494" t="s">
        <v>358</v>
      </c>
      <c r="F1494" t="s">
        <v>986</v>
      </c>
      <c r="G1494" t="s">
        <v>2122</v>
      </c>
      <c r="H1494" t="s">
        <v>4147</v>
      </c>
      <c r="I1494" t="s">
        <v>5156</v>
      </c>
      <c r="J1494" t="s">
        <v>5321</v>
      </c>
      <c r="K1494">
        <v>10453</v>
      </c>
      <c r="L1494" t="s">
        <v>5355</v>
      </c>
      <c r="M1494" t="s">
        <v>5355</v>
      </c>
      <c r="N1494" t="s">
        <v>5670</v>
      </c>
      <c r="O1494" t="s">
        <v>6494</v>
      </c>
      <c r="P1494" t="s">
        <v>6530</v>
      </c>
      <c r="R1494" t="s">
        <v>6539</v>
      </c>
      <c r="S1494" t="s">
        <v>5355</v>
      </c>
      <c r="U1494" t="s">
        <v>6557</v>
      </c>
      <c r="W1494" t="s">
        <v>480</v>
      </c>
      <c r="X1494">
        <v>533.61</v>
      </c>
      <c r="Y1494" t="s">
        <v>6606</v>
      </c>
      <c r="Z1494" t="s">
        <v>6616</v>
      </c>
      <c r="AB1494" t="s">
        <v>7933</v>
      </c>
      <c r="AD1494" t="s">
        <v>10282</v>
      </c>
      <c r="AE1494">
        <v>46</v>
      </c>
      <c r="AF1494" t="s">
        <v>11005</v>
      </c>
      <c r="AG1494" t="s">
        <v>5406</v>
      </c>
      <c r="AH1494">
        <v>30</v>
      </c>
      <c r="AI1494">
        <v>1</v>
      </c>
      <c r="AJ1494">
        <v>0</v>
      </c>
      <c r="AK1494">
        <v>28.27</v>
      </c>
      <c r="AN1494" t="s">
        <v>11050</v>
      </c>
      <c r="AO1494">
        <v>3432</v>
      </c>
      <c r="AU1494">
        <v>2.7</v>
      </c>
      <c r="AV1494" t="s">
        <v>823</v>
      </c>
      <c r="AW1494" t="s">
        <v>59</v>
      </c>
    </row>
    <row r="1495" spans="1:50">
      <c r="A1495" s="1">
        <f>HYPERLINK("https://cms.ls-nyc.org/matter/dynamic-profile/view/1859306","18-1859306")</f>
        <v>0</v>
      </c>
      <c r="B1495" t="s">
        <v>131</v>
      </c>
      <c r="C1495" t="s">
        <v>234</v>
      </c>
      <c r="D1495" t="s">
        <v>284</v>
      </c>
      <c r="E1495" t="s">
        <v>420</v>
      </c>
      <c r="F1495" t="s">
        <v>1701</v>
      </c>
      <c r="G1495" t="s">
        <v>3006</v>
      </c>
      <c r="H1495" t="s">
        <v>3980</v>
      </c>
      <c r="I1495" t="s">
        <v>4768</v>
      </c>
      <c r="J1495" t="s">
        <v>5323</v>
      </c>
      <c r="K1495">
        <v>10034</v>
      </c>
      <c r="L1495" t="s">
        <v>5355</v>
      </c>
      <c r="M1495" t="s">
        <v>5356</v>
      </c>
      <c r="N1495" t="s">
        <v>5769</v>
      </c>
      <c r="O1495" t="s">
        <v>6492</v>
      </c>
      <c r="P1495" t="s">
        <v>6530</v>
      </c>
      <c r="Q1495" t="s">
        <v>6534</v>
      </c>
      <c r="R1495" t="s">
        <v>6539</v>
      </c>
      <c r="S1495" t="s">
        <v>5357</v>
      </c>
      <c r="U1495" t="s">
        <v>6557</v>
      </c>
      <c r="W1495" t="s">
        <v>284</v>
      </c>
      <c r="X1495">
        <v>1250</v>
      </c>
      <c r="Y1495" t="s">
        <v>6608</v>
      </c>
      <c r="Z1495" t="s">
        <v>6616</v>
      </c>
      <c r="AA1495" t="s">
        <v>6637</v>
      </c>
      <c r="AB1495" t="s">
        <v>7934</v>
      </c>
      <c r="AC1495" t="s">
        <v>8911</v>
      </c>
      <c r="AD1495" t="s">
        <v>10283</v>
      </c>
      <c r="AE1495">
        <v>65</v>
      </c>
      <c r="AF1495" t="s">
        <v>11005</v>
      </c>
      <c r="AG1495" t="s">
        <v>5406</v>
      </c>
      <c r="AH1495">
        <v>11</v>
      </c>
      <c r="AI1495">
        <v>1</v>
      </c>
      <c r="AJ1495">
        <v>0</v>
      </c>
      <c r="AK1495">
        <v>28.46</v>
      </c>
      <c r="AN1495" t="s">
        <v>11050</v>
      </c>
      <c r="AO1495">
        <v>3432</v>
      </c>
      <c r="AU1495">
        <v>49.05</v>
      </c>
      <c r="AV1495" t="s">
        <v>808</v>
      </c>
      <c r="AW1495" t="s">
        <v>11495</v>
      </c>
    </row>
    <row r="1496" spans="1:50">
      <c r="A1496" s="1">
        <f>HYPERLINK("https://cms.ls-nyc.org/matter/dynamic-profile/view/1864275","18-1864275")</f>
        <v>0</v>
      </c>
      <c r="B1496" t="s">
        <v>80</v>
      </c>
      <c r="C1496" t="s">
        <v>234</v>
      </c>
      <c r="D1496" t="s">
        <v>303</v>
      </c>
      <c r="E1496" t="s">
        <v>719</v>
      </c>
      <c r="F1496" t="s">
        <v>1247</v>
      </c>
      <c r="G1496" t="s">
        <v>2273</v>
      </c>
      <c r="H1496" t="s">
        <v>4221</v>
      </c>
      <c r="I1496" t="s">
        <v>4867</v>
      </c>
      <c r="J1496" t="s">
        <v>5321</v>
      </c>
      <c r="K1496">
        <v>10453</v>
      </c>
      <c r="L1496" t="s">
        <v>5355</v>
      </c>
      <c r="M1496" t="s">
        <v>5356</v>
      </c>
      <c r="N1496" t="s">
        <v>5770</v>
      </c>
      <c r="O1496" t="s">
        <v>6491</v>
      </c>
      <c r="P1496" t="s">
        <v>6530</v>
      </c>
      <c r="Q1496" t="s">
        <v>6534</v>
      </c>
      <c r="R1496" t="s">
        <v>6539</v>
      </c>
      <c r="U1496" t="s">
        <v>6557</v>
      </c>
      <c r="W1496" t="s">
        <v>312</v>
      </c>
      <c r="X1496">
        <v>1100</v>
      </c>
      <c r="Y1496" t="s">
        <v>6606</v>
      </c>
      <c r="Z1496" t="s">
        <v>6616</v>
      </c>
      <c r="AA1496" t="s">
        <v>6637</v>
      </c>
      <c r="AB1496" t="s">
        <v>7935</v>
      </c>
      <c r="AC1496" t="s">
        <v>8912</v>
      </c>
      <c r="AD1496" t="s">
        <v>10284</v>
      </c>
      <c r="AE1496">
        <v>82</v>
      </c>
      <c r="AF1496" t="s">
        <v>11006</v>
      </c>
      <c r="AG1496" t="s">
        <v>5406</v>
      </c>
      <c r="AH1496">
        <v>10</v>
      </c>
      <c r="AI1496">
        <v>1</v>
      </c>
      <c r="AJ1496">
        <v>0</v>
      </c>
      <c r="AK1496">
        <v>28.67</v>
      </c>
      <c r="AN1496" t="s">
        <v>11050</v>
      </c>
      <c r="AO1496">
        <v>3480</v>
      </c>
      <c r="AQ1496" t="s">
        <v>11192</v>
      </c>
      <c r="AR1496" t="s">
        <v>11208</v>
      </c>
      <c r="AS1496" t="s">
        <v>11253</v>
      </c>
      <c r="AT1496" t="s">
        <v>11310</v>
      </c>
      <c r="AU1496">
        <v>27.5</v>
      </c>
      <c r="AV1496" t="s">
        <v>719</v>
      </c>
      <c r="AW1496" t="s">
        <v>11524</v>
      </c>
    </row>
    <row r="1497" spans="1:50">
      <c r="A1497" s="1">
        <f>HYPERLINK("https://cms.ls-nyc.org/matter/dynamic-profile/view/1885196","18-1885196")</f>
        <v>0</v>
      </c>
      <c r="B1497" t="s">
        <v>159</v>
      </c>
      <c r="C1497" t="s">
        <v>235</v>
      </c>
      <c r="D1497" t="s">
        <v>568</v>
      </c>
      <c r="F1497" t="s">
        <v>929</v>
      </c>
      <c r="G1497" t="s">
        <v>3007</v>
      </c>
      <c r="H1497" t="s">
        <v>4222</v>
      </c>
      <c r="I1497" t="s">
        <v>4838</v>
      </c>
      <c r="J1497" t="s">
        <v>5321</v>
      </c>
      <c r="K1497">
        <v>10452</v>
      </c>
      <c r="L1497" t="s">
        <v>5355</v>
      </c>
      <c r="M1497" t="s">
        <v>5355</v>
      </c>
      <c r="N1497" t="s">
        <v>5771</v>
      </c>
      <c r="O1497" t="s">
        <v>6494</v>
      </c>
      <c r="P1497" t="s">
        <v>6530</v>
      </c>
      <c r="R1497" t="s">
        <v>6539</v>
      </c>
      <c r="S1497" t="s">
        <v>5355</v>
      </c>
      <c r="U1497" t="s">
        <v>6557</v>
      </c>
      <c r="W1497" t="s">
        <v>269</v>
      </c>
      <c r="X1497">
        <v>1400</v>
      </c>
      <c r="Y1497" t="s">
        <v>6606</v>
      </c>
      <c r="Z1497" t="s">
        <v>6612</v>
      </c>
      <c r="AB1497" t="s">
        <v>7936</v>
      </c>
      <c r="AE1497">
        <v>41</v>
      </c>
      <c r="AF1497" t="s">
        <v>11005</v>
      </c>
      <c r="AG1497" t="s">
        <v>5406</v>
      </c>
      <c r="AH1497">
        <v>1</v>
      </c>
      <c r="AI1497">
        <v>1</v>
      </c>
      <c r="AJ1497">
        <v>2</v>
      </c>
      <c r="AK1497">
        <v>28.87</v>
      </c>
      <c r="AN1497" t="s">
        <v>11063</v>
      </c>
      <c r="AO1497">
        <v>6000</v>
      </c>
      <c r="AP1497" t="s">
        <v>11158</v>
      </c>
      <c r="AU1497">
        <v>0.5</v>
      </c>
      <c r="AV1497" t="s">
        <v>649</v>
      </c>
      <c r="AW1497" t="s">
        <v>11499</v>
      </c>
    </row>
    <row r="1498" spans="1:50">
      <c r="A1498" s="1">
        <f>HYPERLINK("https://cms.ls-nyc.org/matter/dynamic-profile/view/1860129","18-1860129")</f>
        <v>0</v>
      </c>
      <c r="B1498" t="s">
        <v>77</v>
      </c>
      <c r="C1498" t="s">
        <v>234</v>
      </c>
      <c r="D1498" t="s">
        <v>260</v>
      </c>
      <c r="E1498" t="s">
        <v>723</v>
      </c>
      <c r="F1498" t="s">
        <v>892</v>
      </c>
      <c r="G1498" t="s">
        <v>2835</v>
      </c>
      <c r="H1498" t="s">
        <v>3897</v>
      </c>
      <c r="I1498" t="s">
        <v>4879</v>
      </c>
      <c r="J1498" t="s">
        <v>5320</v>
      </c>
      <c r="K1498">
        <v>11233</v>
      </c>
      <c r="L1498" t="s">
        <v>5355</v>
      </c>
      <c r="M1498" t="s">
        <v>5356</v>
      </c>
      <c r="O1498" t="s">
        <v>6494</v>
      </c>
      <c r="P1498" t="s">
        <v>6530</v>
      </c>
      <c r="Q1498" t="s">
        <v>6531</v>
      </c>
      <c r="R1498" t="s">
        <v>6539</v>
      </c>
      <c r="S1498" t="s">
        <v>5355</v>
      </c>
      <c r="U1498" t="s">
        <v>6557</v>
      </c>
      <c r="W1498" t="s">
        <v>347</v>
      </c>
      <c r="X1498">
        <v>499.01</v>
      </c>
      <c r="Y1498" t="s">
        <v>6605</v>
      </c>
      <c r="Z1498" t="s">
        <v>6614</v>
      </c>
      <c r="AA1498" t="s">
        <v>6634</v>
      </c>
      <c r="AB1498" t="s">
        <v>7937</v>
      </c>
      <c r="AC1498">
        <v>4547922</v>
      </c>
      <c r="AD1498" t="s">
        <v>10285</v>
      </c>
      <c r="AE1498">
        <v>43</v>
      </c>
      <c r="AF1498" t="s">
        <v>11005</v>
      </c>
      <c r="AG1498" t="s">
        <v>5406</v>
      </c>
      <c r="AH1498">
        <v>22</v>
      </c>
      <c r="AI1498">
        <v>2</v>
      </c>
      <c r="AJ1498">
        <v>0</v>
      </c>
      <c r="AK1498">
        <v>29.11</v>
      </c>
      <c r="AN1498" t="s">
        <v>11050</v>
      </c>
      <c r="AO1498">
        <v>4728</v>
      </c>
      <c r="AU1498">
        <v>1.35</v>
      </c>
      <c r="AV1498" t="s">
        <v>723</v>
      </c>
      <c r="AW1498" t="s">
        <v>11512</v>
      </c>
    </row>
    <row r="1499" spans="1:50">
      <c r="A1499" s="1">
        <f>HYPERLINK("https://cms.ls-nyc.org/matter/dynamic-profile/view/1853638","17-1853638")</f>
        <v>0</v>
      </c>
      <c r="B1499" t="s">
        <v>101</v>
      </c>
      <c r="C1499" t="s">
        <v>234</v>
      </c>
      <c r="D1499" t="s">
        <v>327</v>
      </c>
      <c r="E1499" t="s">
        <v>703</v>
      </c>
      <c r="F1499" t="s">
        <v>1702</v>
      </c>
      <c r="G1499" t="s">
        <v>3008</v>
      </c>
      <c r="H1499" t="s">
        <v>4223</v>
      </c>
      <c r="I1499" t="s">
        <v>5041</v>
      </c>
      <c r="J1499" t="s">
        <v>5320</v>
      </c>
      <c r="K1499">
        <v>11212</v>
      </c>
      <c r="L1499" t="s">
        <v>5355</v>
      </c>
      <c r="M1499" t="s">
        <v>5356</v>
      </c>
      <c r="N1499" t="s">
        <v>5772</v>
      </c>
      <c r="O1499" t="s">
        <v>6492</v>
      </c>
      <c r="P1499" t="s">
        <v>6530</v>
      </c>
      <c r="Q1499" t="s">
        <v>6534</v>
      </c>
      <c r="R1499" t="s">
        <v>6539</v>
      </c>
      <c r="S1499" t="s">
        <v>5357</v>
      </c>
      <c r="U1499" t="s">
        <v>6557</v>
      </c>
      <c r="W1499" t="s">
        <v>262</v>
      </c>
      <c r="X1499">
        <v>1300</v>
      </c>
      <c r="Y1499" t="s">
        <v>6605</v>
      </c>
      <c r="Z1499" t="s">
        <v>6611</v>
      </c>
      <c r="AA1499" t="s">
        <v>6648</v>
      </c>
      <c r="AB1499" t="s">
        <v>7938</v>
      </c>
      <c r="AD1499" t="s">
        <v>10286</v>
      </c>
      <c r="AE1499">
        <v>26</v>
      </c>
      <c r="AF1499" t="s">
        <v>11005</v>
      </c>
      <c r="AG1499" t="s">
        <v>11020</v>
      </c>
      <c r="AH1499">
        <v>4</v>
      </c>
      <c r="AI1499">
        <v>1</v>
      </c>
      <c r="AJ1499">
        <v>0</v>
      </c>
      <c r="AK1499">
        <v>29.42</v>
      </c>
      <c r="AN1499" t="s">
        <v>11050</v>
      </c>
      <c r="AO1499">
        <v>3547.69</v>
      </c>
      <c r="AU1499">
        <v>2.9</v>
      </c>
      <c r="AV1499" t="s">
        <v>269</v>
      </c>
      <c r="AW1499" t="s">
        <v>11490</v>
      </c>
    </row>
    <row r="1500" spans="1:50">
      <c r="A1500" s="1">
        <f>HYPERLINK("https://cms.ls-nyc.org/matter/dynamic-profile/view/0814754","16-0814754")</f>
        <v>0</v>
      </c>
      <c r="B1500" t="s">
        <v>177</v>
      </c>
      <c r="C1500" t="s">
        <v>235</v>
      </c>
      <c r="D1500" t="s">
        <v>569</v>
      </c>
      <c r="F1500" t="s">
        <v>968</v>
      </c>
      <c r="G1500" t="s">
        <v>3009</v>
      </c>
      <c r="H1500" t="s">
        <v>4224</v>
      </c>
      <c r="I1500">
        <v>3</v>
      </c>
      <c r="J1500" t="s">
        <v>5320</v>
      </c>
      <c r="K1500">
        <v>11218</v>
      </c>
      <c r="L1500" t="s">
        <v>5355</v>
      </c>
      <c r="M1500" t="s">
        <v>5356</v>
      </c>
      <c r="N1500" t="s">
        <v>5773</v>
      </c>
      <c r="O1500" t="s">
        <v>6491</v>
      </c>
      <c r="P1500" t="s">
        <v>6530</v>
      </c>
      <c r="R1500" t="s">
        <v>6539</v>
      </c>
      <c r="T1500" t="s">
        <v>6544</v>
      </c>
      <c r="U1500" t="s">
        <v>6557</v>
      </c>
      <c r="W1500" t="s">
        <v>276</v>
      </c>
      <c r="X1500">
        <v>900</v>
      </c>
      <c r="Y1500" t="s">
        <v>6605</v>
      </c>
      <c r="Z1500" t="s">
        <v>6616</v>
      </c>
      <c r="AB1500" t="s">
        <v>7939</v>
      </c>
      <c r="AD1500" t="s">
        <v>10287</v>
      </c>
      <c r="AE1500">
        <v>6</v>
      </c>
      <c r="AF1500" t="s">
        <v>8722</v>
      </c>
      <c r="AH1500">
        <v>11</v>
      </c>
      <c r="AI1500">
        <v>4</v>
      </c>
      <c r="AJ1500">
        <v>0</v>
      </c>
      <c r="AK1500">
        <v>29.63</v>
      </c>
      <c r="AN1500" t="s">
        <v>11060</v>
      </c>
      <c r="AO1500">
        <v>7200</v>
      </c>
      <c r="AU1500">
        <v>67.25</v>
      </c>
      <c r="AV1500" t="s">
        <v>468</v>
      </c>
      <c r="AW1500" t="s">
        <v>11488</v>
      </c>
    </row>
    <row r="1501" spans="1:50">
      <c r="A1501" s="1">
        <f>HYPERLINK("https://cms.ls-nyc.org/matter/dynamic-profile/view/1854764","17-1854764")</f>
        <v>0</v>
      </c>
      <c r="B1501" t="s">
        <v>52</v>
      </c>
      <c r="C1501" t="s">
        <v>234</v>
      </c>
      <c r="D1501" t="s">
        <v>243</v>
      </c>
      <c r="E1501" t="s">
        <v>682</v>
      </c>
      <c r="F1501" t="s">
        <v>1703</v>
      </c>
      <c r="G1501" t="s">
        <v>3010</v>
      </c>
      <c r="H1501" t="s">
        <v>4225</v>
      </c>
      <c r="I1501" t="s">
        <v>5157</v>
      </c>
      <c r="J1501" t="s">
        <v>5324</v>
      </c>
      <c r="K1501">
        <v>11354</v>
      </c>
      <c r="L1501" t="s">
        <v>5355</v>
      </c>
      <c r="M1501" t="s">
        <v>5355</v>
      </c>
      <c r="N1501" t="s">
        <v>5774</v>
      </c>
      <c r="O1501" t="s">
        <v>6491</v>
      </c>
      <c r="P1501" t="s">
        <v>6530</v>
      </c>
      <c r="Q1501" t="s">
        <v>6534</v>
      </c>
      <c r="R1501" t="s">
        <v>6539</v>
      </c>
      <c r="S1501" t="s">
        <v>5357</v>
      </c>
      <c r="U1501" t="s">
        <v>6557</v>
      </c>
      <c r="V1501" t="s">
        <v>6566</v>
      </c>
      <c r="W1501" t="s">
        <v>269</v>
      </c>
      <c r="X1501">
        <v>1826.3</v>
      </c>
      <c r="Y1501" t="s">
        <v>6604</v>
      </c>
      <c r="Z1501" t="s">
        <v>6609</v>
      </c>
      <c r="AA1501" t="s">
        <v>6637</v>
      </c>
      <c r="AB1501" t="s">
        <v>7940</v>
      </c>
      <c r="AD1501" t="s">
        <v>10288</v>
      </c>
      <c r="AE1501">
        <v>90</v>
      </c>
      <c r="AF1501" t="s">
        <v>11005</v>
      </c>
      <c r="AG1501" t="s">
        <v>5406</v>
      </c>
      <c r="AH1501">
        <v>9</v>
      </c>
      <c r="AI1501">
        <v>1</v>
      </c>
      <c r="AJ1501">
        <v>0</v>
      </c>
      <c r="AK1501">
        <v>29.85</v>
      </c>
      <c r="AN1501" t="s">
        <v>11051</v>
      </c>
      <c r="AO1501">
        <v>3600</v>
      </c>
      <c r="AQ1501" t="s">
        <v>11192</v>
      </c>
      <c r="AR1501" t="s">
        <v>11211</v>
      </c>
      <c r="AS1501" t="s">
        <v>11253</v>
      </c>
      <c r="AT1501" t="s">
        <v>11308</v>
      </c>
      <c r="AU1501">
        <v>13.7</v>
      </c>
      <c r="AV1501" t="s">
        <v>741</v>
      </c>
      <c r="AW1501" t="s">
        <v>11515</v>
      </c>
    </row>
    <row r="1502" spans="1:50">
      <c r="A1502" s="1">
        <f>HYPERLINK("https://cms.ls-nyc.org/matter/dynamic-profile/view/1861375","18-1861375")</f>
        <v>0</v>
      </c>
      <c r="B1502" t="s">
        <v>133</v>
      </c>
      <c r="C1502" t="s">
        <v>234</v>
      </c>
      <c r="D1502" t="s">
        <v>330</v>
      </c>
      <c r="E1502" t="s">
        <v>796</v>
      </c>
      <c r="F1502" t="s">
        <v>906</v>
      </c>
      <c r="G1502" t="s">
        <v>2624</v>
      </c>
      <c r="H1502" t="s">
        <v>3967</v>
      </c>
      <c r="I1502" t="s">
        <v>4979</v>
      </c>
      <c r="J1502" t="s">
        <v>5324</v>
      </c>
      <c r="K1502">
        <v>11355</v>
      </c>
      <c r="L1502" t="s">
        <v>5355</v>
      </c>
      <c r="M1502" t="s">
        <v>5355</v>
      </c>
      <c r="N1502" t="s">
        <v>5775</v>
      </c>
      <c r="O1502" t="s">
        <v>6492</v>
      </c>
      <c r="P1502" t="s">
        <v>6530</v>
      </c>
      <c r="Q1502" t="s">
        <v>6534</v>
      </c>
      <c r="R1502" t="s">
        <v>6539</v>
      </c>
      <c r="S1502" t="s">
        <v>5357</v>
      </c>
      <c r="U1502" t="s">
        <v>6557</v>
      </c>
      <c r="V1502" t="s">
        <v>6566</v>
      </c>
      <c r="W1502" t="s">
        <v>330</v>
      </c>
      <c r="X1502">
        <v>1262.63</v>
      </c>
      <c r="Y1502" t="s">
        <v>6604</v>
      </c>
      <c r="Z1502" t="s">
        <v>6614</v>
      </c>
      <c r="AA1502" t="s">
        <v>6637</v>
      </c>
      <c r="AB1502" t="s">
        <v>7352</v>
      </c>
      <c r="AD1502" t="s">
        <v>9724</v>
      </c>
      <c r="AE1502">
        <v>53</v>
      </c>
      <c r="AF1502" t="s">
        <v>11005</v>
      </c>
      <c r="AG1502" t="s">
        <v>5406</v>
      </c>
      <c r="AH1502">
        <v>11</v>
      </c>
      <c r="AI1502">
        <v>1</v>
      </c>
      <c r="AJ1502">
        <v>0</v>
      </c>
      <c r="AK1502">
        <v>29.98</v>
      </c>
      <c r="AN1502" t="s">
        <v>11066</v>
      </c>
      <c r="AO1502">
        <v>3640</v>
      </c>
      <c r="AQ1502" t="s">
        <v>11195</v>
      </c>
      <c r="AR1502" t="s">
        <v>11213</v>
      </c>
      <c r="AS1502" t="s">
        <v>11253</v>
      </c>
      <c r="AT1502" t="s">
        <v>11315</v>
      </c>
      <c r="AU1502">
        <v>66.8</v>
      </c>
      <c r="AV1502" t="s">
        <v>793</v>
      </c>
      <c r="AW1502" t="s">
        <v>93</v>
      </c>
    </row>
    <row r="1503" spans="1:50">
      <c r="A1503" s="1">
        <f>HYPERLINK("https://cms.ls-nyc.org/matter/dynamic-profile/view/1864041","18-1864041")</f>
        <v>0</v>
      </c>
      <c r="B1503" t="s">
        <v>92</v>
      </c>
      <c r="C1503" t="s">
        <v>235</v>
      </c>
      <c r="D1503" t="s">
        <v>357</v>
      </c>
      <c r="F1503" t="s">
        <v>1397</v>
      </c>
      <c r="G1503" t="s">
        <v>3011</v>
      </c>
      <c r="H1503" t="s">
        <v>3579</v>
      </c>
      <c r="I1503">
        <v>403</v>
      </c>
      <c r="J1503" t="s">
        <v>5323</v>
      </c>
      <c r="K1503">
        <v>10029</v>
      </c>
      <c r="L1503" t="s">
        <v>5355</v>
      </c>
      <c r="M1503" t="s">
        <v>5355</v>
      </c>
      <c r="N1503" t="s">
        <v>5776</v>
      </c>
      <c r="O1503" t="s">
        <v>6494</v>
      </c>
      <c r="P1503" t="s">
        <v>6530</v>
      </c>
      <c r="R1503" t="s">
        <v>6539</v>
      </c>
      <c r="S1503" t="s">
        <v>5355</v>
      </c>
      <c r="U1503" t="s">
        <v>6557</v>
      </c>
      <c r="V1503" t="s">
        <v>6566</v>
      </c>
      <c r="W1503" t="s">
        <v>357</v>
      </c>
      <c r="X1503">
        <v>0</v>
      </c>
      <c r="Y1503" t="s">
        <v>6608</v>
      </c>
      <c r="Z1503" t="s">
        <v>6622</v>
      </c>
      <c r="AB1503" t="s">
        <v>7941</v>
      </c>
      <c r="AD1503" t="s">
        <v>10289</v>
      </c>
      <c r="AE1503">
        <v>108</v>
      </c>
      <c r="AF1503" t="s">
        <v>11008</v>
      </c>
      <c r="AG1503" t="s">
        <v>11020</v>
      </c>
      <c r="AH1503">
        <v>13</v>
      </c>
      <c r="AI1503">
        <v>1</v>
      </c>
      <c r="AJ1503">
        <v>4</v>
      </c>
      <c r="AK1503">
        <v>30.59</v>
      </c>
      <c r="AN1503" t="s">
        <v>11050</v>
      </c>
      <c r="AO1503">
        <v>9000</v>
      </c>
      <c r="AU1503">
        <v>0.1</v>
      </c>
      <c r="AV1503" t="s">
        <v>762</v>
      </c>
      <c r="AW1503" t="s">
        <v>11497</v>
      </c>
    </row>
    <row r="1504" spans="1:50">
      <c r="A1504" s="1">
        <f>HYPERLINK("https://cms.ls-nyc.org/matter/dynamic-profile/view/1845644","17-1845644")</f>
        <v>0</v>
      </c>
      <c r="B1504" t="s">
        <v>137</v>
      </c>
      <c r="C1504" t="s">
        <v>235</v>
      </c>
      <c r="D1504" t="s">
        <v>462</v>
      </c>
      <c r="F1504" t="s">
        <v>1040</v>
      </c>
      <c r="G1504" t="s">
        <v>2399</v>
      </c>
      <c r="H1504" t="s">
        <v>3759</v>
      </c>
      <c r="I1504" t="s">
        <v>4889</v>
      </c>
      <c r="J1504" t="s">
        <v>5320</v>
      </c>
      <c r="K1504">
        <v>11213</v>
      </c>
      <c r="L1504" t="s">
        <v>5355</v>
      </c>
      <c r="M1504" t="s">
        <v>5356</v>
      </c>
      <c r="O1504" t="s">
        <v>6494</v>
      </c>
      <c r="P1504" t="s">
        <v>6530</v>
      </c>
      <c r="R1504" t="s">
        <v>6539</v>
      </c>
      <c r="S1504" t="s">
        <v>5355</v>
      </c>
      <c r="U1504" t="s">
        <v>6557</v>
      </c>
      <c r="W1504" t="s">
        <v>404</v>
      </c>
      <c r="X1504">
        <v>1100</v>
      </c>
      <c r="Y1504" t="s">
        <v>6605</v>
      </c>
      <c r="AB1504" t="s">
        <v>7026</v>
      </c>
      <c r="AD1504" t="s">
        <v>9429</v>
      </c>
      <c r="AE1504">
        <v>74</v>
      </c>
      <c r="AF1504" t="s">
        <v>11005</v>
      </c>
      <c r="AH1504">
        <v>8</v>
      </c>
      <c r="AI1504">
        <v>2</v>
      </c>
      <c r="AJ1504">
        <v>1</v>
      </c>
      <c r="AK1504">
        <v>30.81</v>
      </c>
      <c r="AL1504" t="s">
        <v>511</v>
      </c>
      <c r="AN1504" t="s">
        <v>11050</v>
      </c>
      <c r="AO1504">
        <v>6292</v>
      </c>
      <c r="AU1504">
        <v>0</v>
      </c>
      <c r="AW1504" t="s">
        <v>11489</v>
      </c>
    </row>
    <row r="1505" spans="1:50">
      <c r="A1505" s="1">
        <f>HYPERLINK("https://cms.ls-nyc.org/matter/dynamic-profile/view/1863621","18-1863621")</f>
        <v>0</v>
      </c>
      <c r="B1505" t="s">
        <v>92</v>
      </c>
      <c r="C1505" t="s">
        <v>235</v>
      </c>
      <c r="D1505" t="s">
        <v>263</v>
      </c>
      <c r="F1505" t="s">
        <v>914</v>
      </c>
      <c r="G1505" t="s">
        <v>3012</v>
      </c>
      <c r="H1505" t="s">
        <v>3579</v>
      </c>
      <c r="I1505">
        <v>102</v>
      </c>
      <c r="J1505" t="s">
        <v>5323</v>
      </c>
      <c r="K1505">
        <v>10029</v>
      </c>
      <c r="L1505" t="s">
        <v>5355</v>
      </c>
      <c r="M1505" t="s">
        <v>5356</v>
      </c>
      <c r="N1505" t="s">
        <v>5632</v>
      </c>
      <c r="O1505" t="s">
        <v>6494</v>
      </c>
      <c r="P1505" t="s">
        <v>6530</v>
      </c>
      <c r="R1505" t="s">
        <v>6539</v>
      </c>
      <c r="S1505" t="s">
        <v>5355</v>
      </c>
      <c r="U1505" t="s">
        <v>6557</v>
      </c>
      <c r="V1505" t="s">
        <v>6566</v>
      </c>
      <c r="W1505" t="s">
        <v>336</v>
      </c>
      <c r="X1505">
        <v>0</v>
      </c>
      <c r="Y1505" t="s">
        <v>6608</v>
      </c>
      <c r="Z1505" t="s">
        <v>6622</v>
      </c>
      <c r="AB1505" t="s">
        <v>7942</v>
      </c>
      <c r="AD1505" t="s">
        <v>10290</v>
      </c>
      <c r="AE1505">
        <v>108</v>
      </c>
      <c r="AF1505" t="s">
        <v>11008</v>
      </c>
      <c r="AG1505" t="s">
        <v>11020</v>
      </c>
      <c r="AH1505">
        <v>35</v>
      </c>
      <c r="AI1505">
        <v>1</v>
      </c>
      <c r="AJ1505">
        <v>0</v>
      </c>
      <c r="AK1505">
        <v>31.33</v>
      </c>
      <c r="AN1505" t="s">
        <v>11049</v>
      </c>
      <c r="AO1505">
        <v>3804</v>
      </c>
      <c r="AU1505">
        <v>0.75</v>
      </c>
      <c r="AV1505" t="s">
        <v>11453</v>
      </c>
      <c r="AW1505" t="s">
        <v>11497</v>
      </c>
      <c r="AX1505" t="s">
        <v>11564</v>
      </c>
    </row>
    <row r="1506" spans="1:50">
      <c r="A1506" s="1">
        <f>HYPERLINK("https://cms.ls-nyc.org/matter/dynamic-profile/view/1853216","17-1853216")</f>
        <v>0</v>
      </c>
      <c r="B1506" t="s">
        <v>148</v>
      </c>
      <c r="C1506" t="s">
        <v>234</v>
      </c>
      <c r="D1506" t="s">
        <v>277</v>
      </c>
      <c r="E1506" t="s">
        <v>751</v>
      </c>
      <c r="F1506" t="s">
        <v>1452</v>
      </c>
      <c r="G1506" t="s">
        <v>3013</v>
      </c>
      <c r="H1506" t="s">
        <v>3932</v>
      </c>
      <c r="I1506" t="s">
        <v>4752</v>
      </c>
      <c r="J1506" t="s">
        <v>5322</v>
      </c>
      <c r="K1506">
        <v>10304</v>
      </c>
      <c r="L1506" t="s">
        <v>5355</v>
      </c>
      <c r="M1506" t="s">
        <v>5356</v>
      </c>
      <c r="N1506" t="s">
        <v>5777</v>
      </c>
      <c r="O1506" t="s">
        <v>6491</v>
      </c>
      <c r="P1506" t="s">
        <v>6530</v>
      </c>
      <c r="Q1506" t="s">
        <v>6534</v>
      </c>
      <c r="R1506" t="s">
        <v>6539</v>
      </c>
      <c r="S1506" t="s">
        <v>5357</v>
      </c>
      <c r="U1506" t="s">
        <v>6557</v>
      </c>
      <c r="W1506" t="s">
        <v>289</v>
      </c>
      <c r="X1506">
        <v>1956</v>
      </c>
      <c r="Y1506" t="s">
        <v>6607</v>
      </c>
      <c r="Z1506" t="s">
        <v>6614</v>
      </c>
      <c r="AA1506" t="s">
        <v>6637</v>
      </c>
      <c r="AB1506" t="s">
        <v>7943</v>
      </c>
      <c r="AC1506" t="s">
        <v>8913</v>
      </c>
      <c r="AD1506" t="s">
        <v>10291</v>
      </c>
      <c r="AE1506">
        <v>7</v>
      </c>
      <c r="AF1506" t="s">
        <v>11005</v>
      </c>
      <c r="AG1506" t="s">
        <v>11022</v>
      </c>
      <c r="AH1506">
        <v>2</v>
      </c>
      <c r="AI1506">
        <v>2</v>
      </c>
      <c r="AJ1506">
        <v>4</v>
      </c>
      <c r="AK1506">
        <v>31.35</v>
      </c>
      <c r="AN1506" t="s">
        <v>11050</v>
      </c>
      <c r="AO1506">
        <v>10332</v>
      </c>
      <c r="AU1506">
        <v>12.7</v>
      </c>
      <c r="AV1506" t="s">
        <v>751</v>
      </c>
      <c r="AW1506" t="s">
        <v>148</v>
      </c>
    </row>
    <row r="1507" spans="1:50">
      <c r="A1507" s="1">
        <f>HYPERLINK("https://cms.ls-nyc.org/matter/dynamic-profile/view/0830911","17-0830911")</f>
        <v>0</v>
      </c>
      <c r="B1507" t="s">
        <v>131</v>
      </c>
      <c r="C1507" t="s">
        <v>235</v>
      </c>
      <c r="D1507" t="s">
        <v>570</v>
      </c>
      <c r="F1507" t="s">
        <v>903</v>
      </c>
      <c r="G1507" t="s">
        <v>2479</v>
      </c>
      <c r="H1507" t="s">
        <v>3764</v>
      </c>
      <c r="I1507" t="s">
        <v>4787</v>
      </c>
      <c r="J1507" t="s">
        <v>5323</v>
      </c>
      <c r="K1507">
        <v>10034</v>
      </c>
      <c r="L1507" t="s">
        <v>5355</v>
      </c>
      <c r="M1507" t="s">
        <v>5356</v>
      </c>
      <c r="O1507" t="s">
        <v>5393</v>
      </c>
      <c r="P1507" t="s">
        <v>6530</v>
      </c>
      <c r="R1507" t="s">
        <v>6539</v>
      </c>
      <c r="S1507" t="s">
        <v>5355</v>
      </c>
      <c r="U1507" t="s">
        <v>6557</v>
      </c>
      <c r="W1507" t="s">
        <v>404</v>
      </c>
      <c r="X1507">
        <v>1199</v>
      </c>
      <c r="Y1507" t="s">
        <v>6608</v>
      </c>
      <c r="Z1507" t="s">
        <v>6616</v>
      </c>
      <c r="AB1507" t="s">
        <v>7944</v>
      </c>
      <c r="AD1507" t="s">
        <v>10292</v>
      </c>
      <c r="AE1507">
        <v>49</v>
      </c>
      <c r="AF1507" t="s">
        <v>11006</v>
      </c>
      <c r="AG1507" t="s">
        <v>5406</v>
      </c>
      <c r="AH1507">
        <v>33</v>
      </c>
      <c r="AI1507">
        <v>1</v>
      </c>
      <c r="AJ1507">
        <v>0</v>
      </c>
      <c r="AK1507">
        <v>31.74</v>
      </c>
      <c r="AN1507" t="s">
        <v>11049</v>
      </c>
      <c r="AO1507">
        <v>3828</v>
      </c>
      <c r="AU1507">
        <v>75.2</v>
      </c>
      <c r="AV1507" t="s">
        <v>727</v>
      </c>
      <c r="AW1507" t="s">
        <v>11519</v>
      </c>
    </row>
    <row r="1508" spans="1:50">
      <c r="A1508" s="1">
        <f>HYPERLINK("https://cms.ls-nyc.org/matter/dynamic-profile/view/1854779","17-1854779")</f>
        <v>0</v>
      </c>
      <c r="B1508" t="s">
        <v>56</v>
      </c>
      <c r="C1508" t="s">
        <v>234</v>
      </c>
      <c r="D1508" t="s">
        <v>243</v>
      </c>
      <c r="E1508" t="s">
        <v>670</v>
      </c>
      <c r="F1508" t="s">
        <v>1324</v>
      </c>
      <c r="G1508" t="s">
        <v>2341</v>
      </c>
      <c r="H1508" t="s">
        <v>4226</v>
      </c>
      <c r="I1508" t="s">
        <v>4750</v>
      </c>
      <c r="J1508" t="s">
        <v>5321</v>
      </c>
      <c r="K1508">
        <v>10451</v>
      </c>
      <c r="L1508" t="s">
        <v>5355</v>
      </c>
      <c r="M1508" t="s">
        <v>5356</v>
      </c>
      <c r="N1508" t="s">
        <v>5778</v>
      </c>
      <c r="O1508" t="s">
        <v>6492</v>
      </c>
      <c r="P1508" t="s">
        <v>6530</v>
      </c>
      <c r="Q1508" t="s">
        <v>6537</v>
      </c>
      <c r="R1508" t="s">
        <v>6539</v>
      </c>
      <c r="S1508" t="s">
        <v>5357</v>
      </c>
      <c r="U1508" t="s">
        <v>6557</v>
      </c>
      <c r="W1508" t="s">
        <v>6572</v>
      </c>
      <c r="X1508">
        <v>1644.26</v>
      </c>
      <c r="Y1508" t="s">
        <v>6606</v>
      </c>
      <c r="Z1508" t="s">
        <v>6609</v>
      </c>
      <c r="AA1508" t="s">
        <v>6632</v>
      </c>
      <c r="AB1508" t="s">
        <v>7945</v>
      </c>
      <c r="AD1508" t="s">
        <v>10293</v>
      </c>
      <c r="AE1508">
        <v>82</v>
      </c>
      <c r="AF1508" t="s">
        <v>11005</v>
      </c>
      <c r="AG1508" t="s">
        <v>11020</v>
      </c>
      <c r="AH1508">
        <v>24</v>
      </c>
      <c r="AI1508">
        <v>2</v>
      </c>
      <c r="AJ1508">
        <v>0</v>
      </c>
      <c r="AK1508">
        <v>32.07</v>
      </c>
      <c r="AN1508" t="s">
        <v>11049</v>
      </c>
      <c r="AO1508">
        <v>5208</v>
      </c>
      <c r="AP1508" t="s">
        <v>11075</v>
      </c>
      <c r="AT1508" t="s">
        <v>11316</v>
      </c>
      <c r="AU1508">
        <v>136.45</v>
      </c>
      <c r="AV1508" t="s">
        <v>440</v>
      </c>
      <c r="AW1508" t="s">
        <v>11499</v>
      </c>
    </row>
    <row r="1509" spans="1:50">
      <c r="A1509" s="1">
        <f>HYPERLINK("https://cms.ls-nyc.org/matter/dynamic-profile/view/1852708","17-1852708")</f>
        <v>0</v>
      </c>
      <c r="B1509" t="s">
        <v>200</v>
      </c>
      <c r="C1509" t="s">
        <v>234</v>
      </c>
      <c r="D1509" t="s">
        <v>304</v>
      </c>
      <c r="E1509" t="s">
        <v>797</v>
      </c>
      <c r="F1509" t="s">
        <v>1704</v>
      </c>
      <c r="G1509" t="s">
        <v>3014</v>
      </c>
      <c r="H1509" t="s">
        <v>4227</v>
      </c>
      <c r="I1509" t="s">
        <v>4851</v>
      </c>
      <c r="J1509" t="s">
        <v>5321</v>
      </c>
      <c r="K1509">
        <v>10453</v>
      </c>
      <c r="L1509" t="s">
        <v>5355</v>
      </c>
      <c r="M1509" t="s">
        <v>5355</v>
      </c>
      <c r="N1509" t="s">
        <v>5779</v>
      </c>
      <c r="O1509" t="s">
        <v>6492</v>
      </c>
      <c r="P1509" t="s">
        <v>6530</v>
      </c>
      <c r="Q1509" t="s">
        <v>6538</v>
      </c>
      <c r="R1509" t="s">
        <v>6539</v>
      </c>
      <c r="S1509" t="s">
        <v>5357</v>
      </c>
      <c r="U1509" t="s">
        <v>6557</v>
      </c>
      <c r="V1509" t="s">
        <v>6567</v>
      </c>
      <c r="W1509" t="s">
        <v>304</v>
      </c>
      <c r="X1509">
        <v>1262</v>
      </c>
      <c r="Y1509" t="s">
        <v>6606</v>
      </c>
      <c r="Z1509" t="s">
        <v>6615</v>
      </c>
      <c r="AA1509" t="s">
        <v>6637</v>
      </c>
      <c r="AB1509" t="s">
        <v>7946</v>
      </c>
      <c r="AC1509" t="s">
        <v>8914</v>
      </c>
      <c r="AD1509" t="s">
        <v>10294</v>
      </c>
      <c r="AE1509">
        <v>220</v>
      </c>
      <c r="AF1509" t="s">
        <v>11005</v>
      </c>
      <c r="AG1509" t="s">
        <v>5406</v>
      </c>
      <c r="AH1509">
        <v>4</v>
      </c>
      <c r="AI1509">
        <v>1</v>
      </c>
      <c r="AJ1509">
        <v>3</v>
      </c>
      <c r="AK1509">
        <v>32.2</v>
      </c>
      <c r="AN1509" t="s">
        <v>11050</v>
      </c>
      <c r="AO1509">
        <v>7920</v>
      </c>
      <c r="AP1509" t="s">
        <v>11075</v>
      </c>
      <c r="AQ1509" t="s">
        <v>11195</v>
      </c>
      <c r="AR1509" t="s">
        <v>11223</v>
      </c>
      <c r="AS1509" t="s">
        <v>11253</v>
      </c>
      <c r="AT1509" t="s">
        <v>11317</v>
      </c>
      <c r="AU1509">
        <v>61.4</v>
      </c>
      <c r="AV1509" t="s">
        <v>797</v>
      </c>
      <c r="AW1509" t="s">
        <v>11535</v>
      </c>
    </row>
    <row r="1510" spans="1:50">
      <c r="A1510" s="1">
        <f>HYPERLINK("https://cms.ls-nyc.org/matter/dynamic-profile/view/1870937","18-1870937")</f>
        <v>0</v>
      </c>
      <c r="B1510" t="s">
        <v>131</v>
      </c>
      <c r="C1510" t="s">
        <v>235</v>
      </c>
      <c r="D1510" t="s">
        <v>245</v>
      </c>
      <c r="F1510" t="s">
        <v>1450</v>
      </c>
      <c r="G1510" t="s">
        <v>2412</v>
      </c>
      <c r="H1510" t="s">
        <v>4228</v>
      </c>
      <c r="I1510" t="s">
        <v>4825</v>
      </c>
      <c r="J1510" t="s">
        <v>5323</v>
      </c>
      <c r="K1510">
        <v>10040</v>
      </c>
      <c r="L1510" t="s">
        <v>5355</v>
      </c>
      <c r="M1510" t="s">
        <v>5355</v>
      </c>
      <c r="O1510" t="s">
        <v>6491</v>
      </c>
      <c r="P1510" t="s">
        <v>6530</v>
      </c>
      <c r="R1510" t="s">
        <v>6539</v>
      </c>
      <c r="S1510" t="s">
        <v>5357</v>
      </c>
      <c r="U1510" t="s">
        <v>6557</v>
      </c>
      <c r="V1510" t="s">
        <v>6566</v>
      </c>
      <c r="W1510" t="s">
        <v>245</v>
      </c>
      <c r="X1510">
        <v>1268</v>
      </c>
      <c r="Y1510" t="s">
        <v>6608</v>
      </c>
      <c r="Z1510" t="s">
        <v>6616</v>
      </c>
      <c r="AB1510" t="s">
        <v>7947</v>
      </c>
      <c r="AD1510" t="s">
        <v>10295</v>
      </c>
      <c r="AE1510">
        <v>55</v>
      </c>
      <c r="AF1510" t="s">
        <v>11005</v>
      </c>
      <c r="AG1510" t="s">
        <v>11020</v>
      </c>
      <c r="AH1510">
        <v>40</v>
      </c>
      <c r="AI1510">
        <v>4</v>
      </c>
      <c r="AJ1510">
        <v>0</v>
      </c>
      <c r="AK1510">
        <v>32.65</v>
      </c>
      <c r="AN1510" t="s">
        <v>11049</v>
      </c>
      <c r="AO1510">
        <v>8196</v>
      </c>
      <c r="AU1510">
        <v>166.37</v>
      </c>
      <c r="AV1510" t="s">
        <v>803</v>
      </c>
      <c r="AW1510" t="s">
        <v>11495</v>
      </c>
    </row>
    <row r="1511" spans="1:50">
      <c r="A1511" s="1">
        <f>HYPERLINK("https://cms.ls-nyc.org/matter/dynamic-profile/view/1861971","18-1861971")</f>
        <v>0</v>
      </c>
      <c r="B1511" t="s">
        <v>90</v>
      </c>
      <c r="C1511" t="s">
        <v>235</v>
      </c>
      <c r="D1511" t="s">
        <v>358</v>
      </c>
      <c r="F1511" t="s">
        <v>1705</v>
      </c>
      <c r="G1511" t="s">
        <v>2215</v>
      </c>
      <c r="H1511" t="s">
        <v>4147</v>
      </c>
      <c r="I1511" t="s">
        <v>4907</v>
      </c>
      <c r="J1511" t="s">
        <v>5321</v>
      </c>
      <c r="K1511">
        <v>10453</v>
      </c>
      <c r="L1511" t="s">
        <v>5355</v>
      </c>
      <c r="M1511" t="s">
        <v>5356</v>
      </c>
      <c r="N1511" t="s">
        <v>5670</v>
      </c>
      <c r="O1511" t="s">
        <v>6494</v>
      </c>
      <c r="P1511" t="s">
        <v>6530</v>
      </c>
      <c r="R1511" t="s">
        <v>6539</v>
      </c>
      <c r="S1511" t="s">
        <v>5355</v>
      </c>
      <c r="U1511" t="s">
        <v>6557</v>
      </c>
      <c r="W1511" t="s">
        <v>480</v>
      </c>
      <c r="X1511">
        <v>1275</v>
      </c>
      <c r="Y1511" t="s">
        <v>6606</v>
      </c>
      <c r="Z1511" t="s">
        <v>6616</v>
      </c>
      <c r="AB1511" t="s">
        <v>7948</v>
      </c>
      <c r="AC1511" t="s">
        <v>8915</v>
      </c>
      <c r="AE1511">
        <v>46</v>
      </c>
      <c r="AF1511" t="s">
        <v>11005</v>
      </c>
      <c r="AG1511" t="s">
        <v>11023</v>
      </c>
      <c r="AH1511">
        <v>2</v>
      </c>
      <c r="AI1511">
        <v>1</v>
      </c>
      <c r="AJ1511">
        <v>2</v>
      </c>
      <c r="AK1511">
        <v>33.15</v>
      </c>
      <c r="AN1511" t="s">
        <v>11050</v>
      </c>
      <c r="AO1511">
        <v>6888</v>
      </c>
      <c r="AU1511">
        <v>0.8</v>
      </c>
      <c r="AV1511" t="s">
        <v>358</v>
      </c>
      <c r="AW1511" t="s">
        <v>59</v>
      </c>
    </row>
    <row r="1512" spans="1:50">
      <c r="A1512" s="1">
        <f>HYPERLINK("https://cms.ls-nyc.org/matter/dynamic-profile/view/1858816","18-1858816")</f>
        <v>0</v>
      </c>
      <c r="B1512" t="s">
        <v>195</v>
      </c>
      <c r="C1512" t="s">
        <v>234</v>
      </c>
      <c r="D1512" t="s">
        <v>240</v>
      </c>
      <c r="E1512" t="s">
        <v>798</v>
      </c>
      <c r="F1512" t="s">
        <v>1144</v>
      </c>
      <c r="G1512" t="s">
        <v>2120</v>
      </c>
      <c r="H1512" t="s">
        <v>4043</v>
      </c>
      <c r="I1512" t="s">
        <v>5158</v>
      </c>
      <c r="J1512" t="s">
        <v>5323</v>
      </c>
      <c r="K1512">
        <v>10037</v>
      </c>
      <c r="L1512" t="s">
        <v>5355</v>
      </c>
      <c r="M1512" t="s">
        <v>5355</v>
      </c>
      <c r="N1512" t="s">
        <v>5780</v>
      </c>
      <c r="O1512" t="s">
        <v>6492</v>
      </c>
      <c r="P1512" t="s">
        <v>6530</v>
      </c>
      <c r="Q1512" t="s">
        <v>6534</v>
      </c>
      <c r="R1512" t="s">
        <v>6539</v>
      </c>
      <c r="S1512" t="s">
        <v>5357</v>
      </c>
      <c r="U1512" t="s">
        <v>6557</v>
      </c>
      <c r="V1512" t="s">
        <v>6569</v>
      </c>
      <c r="W1512" t="s">
        <v>240</v>
      </c>
      <c r="X1512">
        <v>2041</v>
      </c>
      <c r="Y1512" t="s">
        <v>6608</v>
      </c>
      <c r="Z1512" t="s">
        <v>6614</v>
      </c>
      <c r="AA1512" t="s">
        <v>6640</v>
      </c>
      <c r="AB1512" t="s">
        <v>7949</v>
      </c>
      <c r="AD1512" t="s">
        <v>10296</v>
      </c>
      <c r="AE1512">
        <v>108</v>
      </c>
      <c r="AF1512" t="s">
        <v>11005</v>
      </c>
      <c r="AG1512" t="s">
        <v>11020</v>
      </c>
      <c r="AH1512">
        <v>27</v>
      </c>
      <c r="AI1512">
        <v>2</v>
      </c>
      <c r="AJ1512">
        <v>1</v>
      </c>
      <c r="AK1512">
        <v>33.93</v>
      </c>
      <c r="AN1512" t="s">
        <v>11050</v>
      </c>
      <c r="AO1512">
        <v>6928</v>
      </c>
      <c r="AQ1512" t="s">
        <v>11192</v>
      </c>
      <c r="AR1512" t="s">
        <v>11224</v>
      </c>
      <c r="AS1512" t="s">
        <v>11253</v>
      </c>
      <c r="AT1512" t="s">
        <v>11318</v>
      </c>
      <c r="AU1512">
        <v>30.95</v>
      </c>
      <c r="AV1512" t="s">
        <v>11462</v>
      </c>
      <c r="AW1512" t="s">
        <v>11497</v>
      </c>
    </row>
    <row r="1513" spans="1:50">
      <c r="A1513" s="1">
        <f>HYPERLINK("https://cms.ls-nyc.org/matter/dynamic-profile/view/1862515","18-1862515")</f>
        <v>0</v>
      </c>
      <c r="B1513" t="s">
        <v>99</v>
      </c>
      <c r="C1513" t="s">
        <v>234</v>
      </c>
      <c r="D1513" t="s">
        <v>408</v>
      </c>
      <c r="E1513" t="s">
        <v>669</v>
      </c>
      <c r="F1513" t="s">
        <v>1503</v>
      </c>
      <c r="G1513" t="s">
        <v>3015</v>
      </c>
      <c r="H1513" t="s">
        <v>4229</v>
      </c>
      <c r="I1513" t="s">
        <v>4852</v>
      </c>
      <c r="J1513" t="s">
        <v>5320</v>
      </c>
      <c r="K1513">
        <v>11233</v>
      </c>
      <c r="L1513" t="s">
        <v>5355</v>
      </c>
      <c r="M1513" t="s">
        <v>5355</v>
      </c>
      <c r="N1513" t="s">
        <v>5781</v>
      </c>
      <c r="O1513" t="s">
        <v>6492</v>
      </c>
      <c r="P1513" t="s">
        <v>6530</v>
      </c>
      <c r="Q1513" t="s">
        <v>6534</v>
      </c>
      <c r="R1513" t="s">
        <v>6539</v>
      </c>
      <c r="S1513" t="s">
        <v>5355</v>
      </c>
      <c r="U1513" t="s">
        <v>6557</v>
      </c>
      <c r="W1513" t="s">
        <v>6575</v>
      </c>
      <c r="X1513">
        <v>811.59</v>
      </c>
      <c r="Y1513" t="s">
        <v>6605</v>
      </c>
      <c r="Z1513" t="s">
        <v>6613</v>
      </c>
      <c r="AA1513" t="s">
        <v>6637</v>
      </c>
      <c r="AB1513" t="s">
        <v>7431</v>
      </c>
      <c r="AC1513" t="s">
        <v>8916</v>
      </c>
      <c r="AD1513" t="s">
        <v>10297</v>
      </c>
      <c r="AE1513">
        <v>762</v>
      </c>
      <c r="AF1513" t="s">
        <v>11005</v>
      </c>
      <c r="AG1513" t="s">
        <v>11020</v>
      </c>
      <c r="AH1513">
        <v>23</v>
      </c>
      <c r="AI1513">
        <v>2</v>
      </c>
      <c r="AJ1513">
        <v>0</v>
      </c>
      <c r="AK1513">
        <v>34.04</v>
      </c>
      <c r="AN1513" t="s">
        <v>11050</v>
      </c>
      <c r="AO1513">
        <v>5602.7</v>
      </c>
      <c r="AR1513" t="s">
        <v>11210</v>
      </c>
      <c r="AS1513" t="s">
        <v>11253</v>
      </c>
      <c r="AT1513" t="s">
        <v>11319</v>
      </c>
      <c r="AU1513">
        <v>36.3</v>
      </c>
      <c r="AV1513" t="s">
        <v>669</v>
      </c>
      <c r="AW1513" t="s">
        <v>11512</v>
      </c>
    </row>
    <row r="1514" spans="1:50">
      <c r="A1514" s="1">
        <f>HYPERLINK("https://cms.ls-nyc.org/matter/dynamic-profile/view/0828402","17-0828402")</f>
        <v>0</v>
      </c>
      <c r="B1514" t="s">
        <v>101</v>
      </c>
      <c r="C1514" t="s">
        <v>234</v>
      </c>
      <c r="D1514" t="s">
        <v>571</v>
      </c>
      <c r="E1514" t="s">
        <v>799</v>
      </c>
      <c r="F1514" t="s">
        <v>893</v>
      </c>
      <c r="G1514" t="s">
        <v>2145</v>
      </c>
      <c r="H1514" t="s">
        <v>3767</v>
      </c>
      <c r="I1514">
        <v>3</v>
      </c>
      <c r="J1514" t="s">
        <v>5320</v>
      </c>
      <c r="K1514">
        <v>11208</v>
      </c>
      <c r="L1514" t="s">
        <v>5357</v>
      </c>
      <c r="M1514" t="s">
        <v>5356</v>
      </c>
      <c r="N1514" t="s">
        <v>5782</v>
      </c>
      <c r="O1514" t="s">
        <v>6492</v>
      </c>
      <c r="P1514" t="s">
        <v>6530</v>
      </c>
      <c r="Q1514" t="s">
        <v>6534</v>
      </c>
      <c r="R1514" t="s">
        <v>6539</v>
      </c>
      <c r="S1514" t="s">
        <v>5355</v>
      </c>
      <c r="U1514" t="s">
        <v>6557</v>
      </c>
      <c r="W1514" t="s">
        <v>6583</v>
      </c>
      <c r="X1514">
        <v>1899</v>
      </c>
      <c r="Y1514" t="s">
        <v>6605</v>
      </c>
      <c r="Z1514" t="s">
        <v>6613</v>
      </c>
      <c r="AA1514" t="s">
        <v>6651</v>
      </c>
      <c r="AB1514" t="s">
        <v>7950</v>
      </c>
      <c r="AD1514" t="s">
        <v>10298</v>
      </c>
      <c r="AE1514">
        <v>3</v>
      </c>
      <c r="AF1514" t="s">
        <v>11004</v>
      </c>
      <c r="AG1514" t="s">
        <v>11020</v>
      </c>
      <c r="AH1514">
        <v>5</v>
      </c>
      <c r="AI1514">
        <v>2</v>
      </c>
      <c r="AJ1514">
        <v>3</v>
      </c>
      <c r="AK1514">
        <v>34.07</v>
      </c>
      <c r="AN1514" t="s">
        <v>11050</v>
      </c>
      <c r="AO1514">
        <v>9804</v>
      </c>
      <c r="AU1514">
        <v>17.85</v>
      </c>
      <c r="AV1514" t="s">
        <v>473</v>
      </c>
      <c r="AW1514" t="s">
        <v>11512</v>
      </c>
    </row>
    <row r="1515" spans="1:50">
      <c r="A1515" s="1">
        <f>HYPERLINK("https://cms.ls-nyc.org/matter/dynamic-profile/view/0831520","17-0831520")</f>
        <v>0</v>
      </c>
      <c r="B1515" t="s">
        <v>128</v>
      </c>
      <c r="C1515" t="s">
        <v>235</v>
      </c>
      <c r="D1515" t="s">
        <v>572</v>
      </c>
      <c r="F1515" t="s">
        <v>1706</v>
      </c>
      <c r="G1515" t="s">
        <v>3016</v>
      </c>
      <c r="H1515" t="s">
        <v>4230</v>
      </c>
      <c r="I1515">
        <v>15</v>
      </c>
      <c r="J1515" t="s">
        <v>5320</v>
      </c>
      <c r="K1515">
        <v>11233</v>
      </c>
      <c r="L1515" t="s">
        <v>5355</v>
      </c>
      <c r="M1515" t="s">
        <v>5356</v>
      </c>
      <c r="N1515" t="s">
        <v>5783</v>
      </c>
      <c r="O1515" t="s">
        <v>6491</v>
      </c>
      <c r="P1515" t="s">
        <v>6530</v>
      </c>
      <c r="R1515" t="s">
        <v>6539</v>
      </c>
      <c r="U1515" t="s">
        <v>6557</v>
      </c>
      <c r="W1515" t="s">
        <v>323</v>
      </c>
      <c r="X1515">
        <v>226.34</v>
      </c>
      <c r="Y1515" t="s">
        <v>6605</v>
      </c>
      <c r="AB1515" t="s">
        <v>7951</v>
      </c>
      <c r="AD1515" t="s">
        <v>10299</v>
      </c>
      <c r="AE1515">
        <v>16</v>
      </c>
      <c r="AF1515" t="s">
        <v>11005</v>
      </c>
      <c r="AH1515">
        <v>48</v>
      </c>
      <c r="AI1515">
        <v>4</v>
      </c>
      <c r="AJ1515">
        <v>0</v>
      </c>
      <c r="AK1515">
        <v>34.15</v>
      </c>
      <c r="AN1515" t="s">
        <v>11050</v>
      </c>
      <c r="AO1515">
        <v>8400</v>
      </c>
      <c r="AU1515">
        <v>82.66</v>
      </c>
      <c r="AV1515" t="s">
        <v>11455</v>
      </c>
      <c r="AW1515" t="s">
        <v>11489</v>
      </c>
    </row>
    <row r="1516" spans="1:50">
      <c r="A1516" s="1">
        <f>HYPERLINK("https://cms.ls-nyc.org/matter/dynamic-profile/view/1856585","18-1856585")</f>
        <v>0</v>
      </c>
      <c r="B1516" t="s">
        <v>72</v>
      </c>
      <c r="C1516" t="s">
        <v>234</v>
      </c>
      <c r="D1516" t="s">
        <v>458</v>
      </c>
      <c r="E1516" t="s">
        <v>652</v>
      </c>
      <c r="F1516" t="s">
        <v>986</v>
      </c>
      <c r="G1516" t="s">
        <v>2115</v>
      </c>
      <c r="H1516" t="s">
        <v>4231</v>
      </c>
      <c r="I1516" t="s">
        <v>5082</v>
      </c>
      <c r="J1516" t="s">
        <v>5320</v>
      </c>
      <c r="K1516">
        <v>11215</v>
      </c>
      <c r="L1516" t="s">
        <v>5355</v>
      </c>
      <c r="M1516" t="s">
        <v>5356</v>
      </c>
      <c r="O1516" t="s">
        <v>6494</v>
      </c>
      <c r="P1516" t="s">
        <v>6530</v>
      </c>
      <c r="Q1516" t="s">
        <v>6537</v>
      </c>
      <c r="R1516" t="s">
        <v>6539</v>
      </c>
      <c r="S1516" t="s">
        <v>5357</v>
      </c>
      <c r="U1516" t="s">
        <v>6557</v>
      </c>
      <c r="W1516" t="s">
        <v>262</v>
      </c>
      <c r="X1516">
        <v>165</v>
      </c>
      <c r="Y1516" t="s">
        <v>6605</v>
      </c>
      <c r="Z1516" t="s">
        <v>6623</v>
      </c>
      <c r="AA1516" t="s">
        <v>6637</v>
      </c>
      <c r="AB1516" t="s">
        <v>7952</v>
      </c>
      <c r="AD1516" t="s">
        <v>10300</v>
      </c>
      <c r="AE1516">
        <v>7</v>
      </c>
      <c r="AF1516" t="s">
        <v>11006</v>
      </c>
      <c r="AG1516" t="s">
        <v>5406</v>
      </c>
      <c r="AH1516">
        <v>22</v>
      </c>
      <c r="AI1516">
        <v>3</v>
      </c>
      <c r="AJ1516">
        <v>2</v>
      </c>
      <c r="AK1516">
        <v>34.33</v>
      </c>
      <c r="AN1516" t="s">
        <v>11050</v>
      </c>
      <c r="AO1516">
        <v>10100</v>
      </c>
      <c r="AU1516">
        <v>70.40000000000001</v>
      </c>
      <c r="AV1516" t="s">
        <v>255</v>
      </c>
      <c r="AW1516" t="s">
        <v>11512</v>
      </c>
    </row>
    <row r="1517" spans="1:50">
      <c r="A1517" s="1">
        <f>HYPERLINK("https://cms.ls-nyc.org/matter/dynamic-profile/view/1863619","18-1863619")</f>
        <v>0</v>
      </c>
      <c r="B1517" t="s">
        <v>88</v>
      </c>
      <c r="C1517" t="s">
        <v>234</v>
      </c>
      <c r="D1517" t="s">
        <v>373</v>
      </c>
      <c r="E1517" t="s">
        <v>665</v>
      </c>
      <c r="F1517" t="s">
        <v>1275</v>
      </c>
      <c r="G1517" t="s">
        <v>3017</v>
      </c>
      <c r="H1517" t="s">
        <v>4232</v>
      </c>
      <c r="I1517">
        <v>3</v>
      </c>
      <c r="J1517" t="s">
        <v>5320</v>
      </c>
      <c r="K1517">
        <v>11233</v>
      </c>
      <c r="L1517" t="s">
        <v>5355</v>
      </c>
      <c r="M1517" t="s">
        <v>5355</v>
      </c>
      <c r="N1517" t="s">
        <v>5784</v>
      </c>
      <c r="O1517" t="s">
        <v>6491</v>
      </c>
      <c r="P1517" t="s">
        <v>6530</v>
      </c>
      <c r="Q1517" t="s">
        <v>6538</v>
      </c>
      <c r="R1517" t="s">
        <v>6539</v>
      </c>
      <c r="S1517" t="s">
        <v>5357</v>
      </c>
      <c r="U1517" t="s">
        <v>6557</v>
      </c>
      <c r="W1517" t="s">
        <v>257</v>
      </c>
      <c r="X1517">
        <v>0</v>
      </c>
      <c r="Y1517" t="s">
        <v>6605</v>
      </c>
      <c r="AA1517" t="s">
        <v>6637</v>
      </c>
      <c r="AB1517" t="s">
        <v>7953</v>
      </c>
      <c r="AD1517" t="s">
        <v>10301</v>
      </c>
      <c r="AE1517">
        <v>2</v>
      </c>
      <c r="AF1517" t="s">
        <v>11004</v>
      </c>
      <c r="AH1517">
        <v>1</v>
      </c>
      <c r="AI1517">
        <v>2</v>
      </c>
      <c r="AJ1517">
        <v>4</v>
      </c>
      <c r="AK1517">
        <v>34.62</v>
      </c>
      <c r="AN1517" t="s">
        <v>11050</v>
      </c>
      <c r="AO1517">
        <v>11682</v>
      </c>
      <c r="AS1517" t="s">
        <v>11253</v>
      </c>
      <c r="AT1517" t="s">
        <v>11320</v>
      </c>
      <c r="AU1517">
        <v>15</v>
      </c>
      <c r="AV1517" t="s">
        <v>11454</v>
      </c>
      <c r="AW1517" t="s">
        <v>88</v>
      </c>
    </row>
    <row r="1518" spans="1:50">
      <c r="A1518" s="1">
        <f>HYPERLINK("https://cms.ls-nyc.org/matter/dynamic-profile/view/1866671","18-1866671")</f>
        <v>0</v>
      </c>
      <c r="B1518" t="s">
        <v>56</v>
      </c>
      <c r="C1518" t="s">
        <v>234</v>
      </c>
      <c r="D1518" t="s">
        <v>274</v>
      </c>
      <c r="E1518" t="s">
        <v>704</v>
      </c>
      <c r="F1518" t="s">
        <v>1458</v>
      </c>
      <c r="G1518" t="s">
        <v>2197</v>
      </c>
      <c r="H1518" t="s">
        <v>4233</v>
      </c>
      <c r="I1518" t="s">
        <v>4825</v>
      </c>
      <c r="J1518" t="s">
        <v>5321</v>
      </c>
      <c r="K1518">
        <v>10459</v>
      </c>
      <c r="L1518" t="s">
        <v>5355</v>
      </c>
      <c r="M1518" t="s">
        <v>5356</v>
      </c>
      <c r="N1518" t="s">
        <v>5785</v>
      </c>
      <c r="O1518" t="s">
        <v>6492</v>
      </c>
      <c r="P1518" t="s">
        <v>6530</v>
      </c>
      <c r="Q1518" t="s">
        <v>6534</v>
      </c>
      <c r="R1518" t="s">
        <v>6539</v>
      </c>
      <c r="S1518" t="s">
        <v>5357</v>
      </c>
      <c r="U1518" t="s">
        <v>6557</v>
      </c>
      <c r="W1518" t="s">
        <v>375</v>
      </c>
      <c r="X1518">
        <v>2000</v>
      </c>
      <c r="Y1518" t="s">
        <v>6606</v>
      </c>
      <c r="Z1518" t="s">
        <v>6613</v>
      </c>
      <c r="AA1518" t="s">
        <v>6637</v>
      </c>
      <c r="AB1518" t="s">
        <v>7954</v>
      </c>
      <c r="AC1518" t="s">
        <v>8917</v>
      </c>
      <c r="AD1518" t="s">
        <v>10302</v>
      </c>
      <c r="AE1518">
        <v>37</v>
      </c>
      <c r="AF1518" t="s">
        <v>11005</v>
      </c>
      <c r="AG1518" t="s">
        <v>11022</v>
      </c>
      <c r="AH1518">
        <v>3</v>
      </c>
      <c r="AI1518">
        <v>2</v>
      </c>
      <c r="AJ1518">
        <v>4</v>
      </c>
      <c r="AK1518">
        <v>34.68</v>
      </c>
      <c r="AN1518" t="s">
        <v>11050</v>
      </c>
      <c r="AO1518">
        <v>11700</v>
      </c>
      <c r="AU1518">
        <v>16.5</v>
      </c>
      <c r="AV1518" t="s">
        <v>668</v>
      </c>
      <c r="AW1518" t="s">
        <v>11492</v>
      </c>
    </row>
    <row r="1519" spans="1:50">
      <c r="A1519" s="1">
        <f>HYPERLINK("https://cms.ls-nyc.org/matter/dynamic-profile/view/1867812","18-1867812")</f>
        <v>0</v>
      </c>
      <c r="B1519" t="s">
        <v>71</v>
      </c>
      <c r="C1519" t="s">
        <v>235</v>
      </c>
      <c r="D1519" t="s">
        <v>382</v>
      </c>
      <c r="F1519" t="s">
        <v>1707</v>
      </c>
      <c r="G1519" t="s">
        <v>3018</v>
      </c>
      <c r="H1519" t="s">
        <v>4234</v>
      </c>
      <c r="I1519" t="s">
        <v>4840</v>
      </c>
      <c r="J1519" t="s">
        <v>5321</v>
      </c>
      <c r="K1519">
        <v>10468</v>
      </c>
      <c r="L1519" t="s">
        <v>5355</v>
      </c>
      <c r="M1519" t="s">
        <v>5356</v>
      </c>
      <c r="N1519" t="s">
        <v>5786</v>
      </c>
      <c r="O1519" t="s">
        <v>6492</v>
      </c>
      <c r="P1519" t="s">
        <v>6530</v>
      </c>
      <c r="R1519" t="s">
        <v>6539</v>
      </c>
      <c r="U1519" t="s">
        <v>6557</v>
      </c>
      <c r="W1519" t="s">
        <v>516</v>
      </c>
      <c r="X1519">
        <v>817.85</v>
      </c>
      <c r="Y1519" t="s">
        <v>6606</v>
      </c>
      <c r="AB1519" t="s">
        <v>7955</v>
      </c>
      <c r="AD1519" t="s">
        <v>10303</v>
      </c>
      <c r="AE1519">
        <v>0</v>
      </c>
      <c r="AF1519" t="s">
        <v>11005</v>
      </c>
      <c r="AH1519">
        <v>42</v>
      </c>
      <c r="AI1519">
        <v>2</v>
      </c>
      <c r="AJ1519">
        <v>0</v>
      </c>
      <c r="AK1519">
        <v>34.75</v>
      </c>
      <c r="AN1519" t="s">
        <v>11050</v>
      </c>
      <c r="AO1519">
        <v>5720</v>
      </c>
      <c r="AU1519">
        <v>27.5</v>
      </c>
      <c r="AV1519" t="s">
        <v>583</v>
      </c>
      <c r="AW1519" t="s">
        <v>11505</v>
      </c>
    </row>
    <row r="1520" spans="1:50">
      <c r="A1520" s="1">
        <f>HYPERLINK("https://cms.ls-nyc.org/matter/dynamic-profile/view/1858772","18-1858772")</f>
        <v>0</v>
      </c>
      <c r="B1520" t="s">
        <v>142</v>
      </c>
      <c r="C1520" t="s">
        <v>234</v>
      </c>
      <c r="D1520" t="s">
        <v>573</v>
      </c>
      <c r="E1520" t="s">
        <v>800</v>
      </c>
      <c r="F1520" t="s">
        <v>1642</v>
      </c>
      <c r="G1520" t="s">
        <v>2977</v>
      </c>
      <c r="H1520" t="s">
        <v>4176</v>
      </c>
      <c r="I1520">
        <v>3</v>
      </c>
      <c r="J1520" t="s">
        <v>5320</v>
      </c>
      <c r="K1520">
        <v>11212</v>
      </c>
      <c r="L1520" t="s">
        <v>5355</v>
      </c>
      <c r="M1520" t="s">
        <v>5356</v>
      </c>
      <c r="N1520" t="s">
        <v>5787</v>
      </c>
      <c r="O1520" t="s">
        <v>6491</v>
      </c>
      <c r="P1520" t="s">
        <v>6530</v>
      </c>
      <c r="Q1520" t="s">
        <v>6531</v>
      </c>
      <c r="R1520" t="s">
        <v>6539</v>
      </c>
      <c r="S1520" t="s">
        <v>5357</v>
      </c>
      <c r="U1520" t="s">
        <v>6557</v>
      </c>
      <c r="W1520" t="s">
        <v>262</v>
      </c>
      <c r="X1520">
        <v>1200</v>
      </c>
      <c r="Y1520" t="s">
        <v>6605</v>
      </c>
      <c r="Z1520" t="s">
        <v>6614</v>
      </c>
      <c r="AA1520" t="s">
        <v>6637</v>
      </c>
      <c r="AB1520" t="s">
        <v>7882</v>
      </c>
      <c r="AC1520" t="s">
        <v>8918</v>
      </c>
      <c r="AD1520" t="s">
        <v>10234</v>
      </c>
      <c r="AE1520">
        <v>16</v>
      </c>
      <c r="AF1520" t="s">
        <v>11005</v>
      </c>
      <c r="AG1520" t="s">
        <v>11020</v>
      </c>
      <c r="AH1520">
        <v>0</v>
      </c>
      <c r="AI1520">
        <v>1</v>
      </c>
      <c r="AJ1520">
        <v>0</v>
      </c>
      <c r="AK1520">
        <v>35.02</v>
      </c>
      <c r="AN1520" t="s">
        <v>11050</v>
      </c>
      <c r="AO1520">
        <v>4224</v>
      </c>
      <c r="AU1520">
        <v>33.1</v>
      </c>
      <c r="AV1520" t="s">
        <v>11441</v>
      </c>
      <c r="AW1520" t="s">
        <v>11544</v>
      </c>
    </row>
    <row r="1521" spans="1:49">
      <c r="A1521" s="1">
        <f>HYPERLINK("https://cms.ls-nyc.org/matter/dynamic-profile/view/1852111","17-1852111")</f>
        <v>0</v>
      </c>
      <c r="B1521" t="s">
        <v>94</v>
      </c>
      <c r="C1521" t="s">
        <v>235</v>
      </c>
      <c r="D1521" t="s">
        <v>481</v>
      </c>
      <c r="F1521" t="s">
        <v>986</v>
      </c>
      <c r="G1521" t="s">
        <v>2115</v>
      </c>
      <c r="H1521" t="s">
        <v>4231</v>
      </c>
      <c r="I1521" t="s">
        <v>5082</v>
      </c>
      <c r="J1521" t="s">
        <v>5320</v>
      </c>
      <c r="K1521">
        <v>11215</v>
      </c>
      <c r="L1521" t="s">
        <v>5355</v>
      </c>
      <c r="M1521" t="s">
        <v>5355</v>
      </c>
      <c r="N1521" t="s">
        <v>5788</v>
      </c>
      <c r="O1521" t="s">
        <v>6491</v>
      </c>
      <c r="P1521" t="s">
        <v>6530</v>
      </c>
      <c r="R1521" t="s">
        <v>6539</v>
      </c>
      <c r="S1521" t="s">
        <v>5355</v>
      </c>
      <c r="U1521" t="s">
        <v>6557</v>
      </c>
      <c r="W1521" t="s">
        <v>269</v>
      </c>
      <c r="X1521">
        <v>165</v>
      </c>
      <c r="Y1521" t="s">
        <v>6605</v>
      </c>
      <c r="Z1521" t="s">
        <v>6623</v>
      </c>
      <c r="AB1521" t="s">
        <v>7952</v>
      </c>
      <c r="AD1521" t="s">
        <v>10300</v>
      </c>
      <c r="AE1521">
        <v>7</v>
      </c>
      <c r="AF1521" t="s">
        <v>11006</v>
      </c>
      <c r="AG1521" t="s">
        <v>5406</v>
      </c>
      <c r="AH1521">
        <v>22</v>
      </c>
      <c r="AI1521">
        <v>3</v>
      </c>
      <c r="AJ1521">
        <v>2</v>
      </c>
      <c r="AK1521">
        <v>35.09</v>
      </c>
      <c r="AN1521" t="s">
        <v>11050</v>
      </c>
      <c r="AO1521">
        <v>10100</v>
      </c>
      <c r="AU1521">
        <v>186.3</v>
      </c>
      <c r="AV1521" t="s">
        <v>434</v>
      </c>
      <c r="AW1521" t="s">
        <v>11512</v>
      </c>
    </row>
    <row r="1522" spans="1:49">
      <c r="A1522" s="1">
        <f>HYPERLINK("https://cms.ls-nyc.org/matter/dynamic-profile/view/1850001","17-1850001")</f>
        <v>0</v>
      </c>
      <c r="B1522" t="s">
        <v>88</v>
      </c>
      <c r="C1522" t="s">
        <v>234</v>
      </c>
      <c r="D1522" t="s">
        <v>341</v>
      </c>
      <c r="E1522" t="s">
        <v>468</v>
      </c>
      <c r="F1522" t="s">
        <v>1275</v>
      </c>
      <c r="G1522" t="s">
        <v>3017</v>
      </c>
      <c r="H1522" t="s">
        <v>4232</v>
      </c>
      <c r="I1522">
        <v>3</v>
      </c>
      <c r="J1522" t="s">
        <v>5320</v>
      </c>
      <c r="K1522">
        <v>11233</v>
      </c>
      <c r="L1522" t="s">
        <v>5355</v>
      </c>
      <c r="M1522" t="s">
        <v>5355</v>
      </c>
      <c r="N1522" t="s">
        <v>5789</v>
      </c>
      <c r="O1522" t="s">
        <v>6491</v>
      </c>
      <c r="P1522" t="s">
        <v>6530</v>
      </c>
      <c r="Q1522" t="s">
        <v>6534</v>
      </c>
      <c r="R1522" t="s">
        <v>6539</v>
      </c>
      <c r="S1522" t="s">
        <v>5357</v>
      </c>
      <c r="U1522" t="s">
        <v>6557</v>
      </c>
      <c r="W1522" t="s">
        <v>363</v>
      </c>
      <c r="X1522">
        <v>1956</v>
      </c>
      <c r="Y1522" t="s">
        <v>6605</v>
      </c>
      <c r="Z1522" t="s">
        <v>6611</v>
      </c>
      <c r="AA1522" t="s">
        <v>6637</v>
      </c>
      <c r="AB1522" t="s">
        <v>7953</v>
      </c>
      <c r="AC1522" t="s">
        <v>8919</v>
      </c>
      <c r="AD1522" t="s">
        <v>10301</v>
      </c>
      <c r="AE1522">
        <v>3</v>
      </c>
      <c r="AF1522" t="s">
        <v>11009</v>
      </c>
      <c r="AG1522" t="s">
        <v>11022</v>
      </c>
      <c r="AH1522">
        <v>-1</v>
      </c>
      <c r="AI1522">
        <v>2</v>
      </c>
      <c r="AJ1522">
        <v>4</v>
      </c>
      <c r="AK1522">
        <v>35.44</v>
      </c>
      <c r="AN1522" t="s">
        <v>11050</v>
      </c>
      <c r="AO1522">
        <v>11682</v>
      </c>
      <c r="AQ1522" t="s">
        <v>11192</v>
      </c>
      <c r="AR1522" t="s">
        <v>11210</v>
      </c>
      <c r="AS1522" t="s">
        <v>11253</v>
      </c>
      <c r="AT1522" t="s">
        <v>11321</v>
      </c>
      <c r="AU1522">
        <v>22.9</v>
      </c>
      <c r="AV1522" t="s">
        <v>254</v>
      </c>
      <c r="AW1522" t="s">
        <v>11487</v>
      </c>
    </row>
    <row r="1523" spans="1:49">
      <c r="A1523" s="1">
        <f>HYPERLINK("https://cms.ls-nyc.org/matter/dynamic-profile/view/1848797","17-1848797")</f>
        <v>0</v>
      </c>
      <c r="B1523" t="s">
        <v>80</v>
      </c>
      <c r="C1523" t="s">
        <v>234</v>
      </c>
      <c r="D1523" t="s">
        <v>340</v>
      </c>
      <c r="E1523" t="s">
        <v>600</v>
      </c>
      <c r="F1523" t="s">
        <v>1708</v>
      </c>
      <c r="G1523" t="s">
        <v>2146</v>
      </c>
      <c r="H1523" t="s">
        <v>3664</v>
      </c>
      <c r="I1523" t="s">
        <v>4778</v>
      </c>
      <c r="J1523" t="s">
        <v>5321</v>
      </c>
      <c r="K1523">
        <v>10457</v>
      </c>
      <c r="L1523" t="s">
        <v>5355</v>
      </c>
      <c r="M1523" t="s">
        <v>5356</v>
      </c>
      <c r="N1523" t="s">
        <v>5790</v>
      </c>
      <c r="O1523" t="s">
        <v>6494</v>
      </c>
      <c r="P1523" t="s">
        <v>6530</v>
      </c>
      <c r="Q1523" t="s">
        <v>6534</v>
      </c>
      <c r="R1523" t="s">
        <v>6539</v>
      </c>
      <c r="S1523" t="s">
        <v>5355</v>
      </c>
      <c r="U1523" t="s">
        <v>6557</v>
      </c>
      <c r="W1523" t="s">
        <v>372</v>
      </c>
      <c r="X1523">
        <v>0</v>
      </c>
      <c r="Y1523" t="s">
        <v>6606</v>
      </c>
      <c r="Z1523" t="s">
        <v>6625</v>
      </c>
      <c r="AA1523" t="s">
        <v>6634</v>
      </c>
      <c r="AB1523" t="s">
        <v>7956</v>
      </c>
      <c r="AD1523" t="s">
        <v>10304</v>
      </c>
      <c r="AE1523">
        <v>46</v>
      </c>
      <c r="AF1523" t="s">
        <v>11004</v>
      </c>
      <c r="AG1523" t="s">
        <v>11020</v>
      </c>
      <c r="AH1523">
        <v>11</v>
      </c>
      <c r="AI1523">
        <v>2</v>
      </c>
      <c r="AJ1523">
        <v>2</v>
      </c>
      <c r="AK1523">
        <v>36.1</v>
      </c>
      <c r="AN1523" t="s">
        <v>11049</v>
      </c>
      <c r="AO1523">
        <v>8880</v>
      </c>
      <c r="AU1523">
        <v>18.5</v>
      </c>
      <c r="AV1523" t="s">
        <v>332</v>
      </c>
      <c r="AW1523" t="s">
        <v>11509</v>
      </c>
    </row>
    <row r="1524" spans="1:49">
      <c r="A1524" s="1">
        <f>HYPERLINK("https://cms.ls-nyc.org/matter/dynamic-profile/view/1866057","18-1866057")</f>
        <v>0</v>
      </c>
      <c r="B1524" t="s">
        <v>106</v>
      </c>
      <c r="C1524" t="s">
        <v>235</v>
      </c>
      <c r="D1524" t="s">
        <v>298</v>
      </c>
      <c r="F1524" t="s">
        <v>1709</v>
      </c>
      <c r="G1524" t="s">
        <v>2628</v>
      </c>
      <c r="H1524" t="s">
        <v>3716</v>
      </c>
      <c r="I1524" t="s">
        <v>4740</v>
      </c>
      <c r="J1524" t="s">
        <v>5321</v>
      </c>
      <c r="K1524">
        <v>10453</v>
      </c>
      <c r="L1524" t="s">
        <v>5355</v>
      </c>
      <c r="M1524" t="s">
        <v>5356</v>
      </c>
      <c r="N1524" t="s">
        <v>5791</v>
      </c>
      <c r="O1524" t="s">
        <v>6494</v>
      </c>
      <c r="P1524" t="s">
        <v>6530</v>
      </c>
      <c r="R1524" t="s">
        <v>6539</v>
      </c>
      <c r="S1524" t="s">
        <v>5357</v>
      </c>
      <c r="U1524" t="s">
        <v>6557</v>
      </c>
      <c r="W1524" t="s">
        <v>516</v>
      </c>
      <c r="X1524">
        <v>1437.99</v>
      </c>
      <c r="Y1524" t="s">
        <v>6606</v>
      </c>
      <c r="Z1524" t="s">
        <v>6614</v>
      </c>
      <c r="AB1524" t="s">
        <v>7957</v>
      </c>
      <c r="AE1524">
        <v>101</v>
      </c>
      <c r="AF1524" t="s">
        <v>11005</v>
      </c>
      <c r="AG1524" t="s">
        <v>11020</v>
      </c>
      <c r="AH1524">
        <v>15</v>
      </c>
      <c r="AI1524">
        <v>3</v>
      </c>
      <c r="AJ1524">
        <v>6</v>
      </c>
      <c r="AK1524">
        <v>36.33</v>
      </c>
      <c r="AN1524" t="s">
        <v>11050</v>
      </c>
      <c r="AO1524">
        <v>16968</v>
      </c>
      <c r="AU1524">
        <v>58.8</v>
      </c>
      <c r="AV1524" t="s">
        <v>694</v>
      </c>
      <c r="AW1524" t="s">
        <v>106</v>
      </c>
    </row>
    <row r="1525" spans="1:49">
      <c r="A1525" s="1">
        <f>HYPERLINK("https://cms.ls-nyc.org/matter/dynamic-profile/view/1862079","18-1862079")</f>
        <v>0</v>
      </c>
      <c r="B1525" t="s">
        <v>90</v>
      </c>
      <c r="C1525" t="s">
        <v>235</v>
      </c>
      <c r="D1525" t="s">
        <v>325</v>
      </c>
      <c r="F1525" t="s">
        <v>1138</v>
      </c>
      <c r="G1525" t="s">
        <v>2610</v>
      </c>
      <c r="H1525" t="s">
        <v>3949</v>
      </c>
      <c r="I1525" t="s">
        <v>4971</v>
      </c>
      <c r="J1525" t="s">
        <v>5321</v>
      </c>
      <c r="K1525">
        <v>10452</v>
      </c>
      <c r="L1525" t="s">
        <v>5355</v>
      </c>
      <c r="M1525" t="s">
        <v>5356</v>
      </c>
      <c r="N1525" t="s">
        <v>5792</v>
      </c>
      <c r="O1525" t="s">
        <v>6494</v>
      </c>
      <c r="P1525" t="s">
        <v>6530</v>
      </c>
      <c r="R1525" t="s">
        <v>6539</v>
      </c>
      <c r="S1525" t="s">
        <v>5355</v>
      </c>
      <c r="U1525" t="s">
        <v>6557</v>
      </c>
      <c r="W1525" t="s">
        <v>480</v>
      </c>
      <c r="X1525">
        <v>810</v>
      </c>
      <c r="Y1525" t="s">
        <v>6606</v>
      </c>
      <c r="Z1525" t="s">
        <v>6612</v>
      </c>
      <c r="AB1525" t="s">
        <v>7330</v>
      </c>
      <c r="AC1525" t="s">
        <v>8783</v>
      </c>
      <c r="AD1525" t="s">
        <v>9703</v>
      </c>
      <c r="AE1525">
        <v>60</v>
      </c>
      <c r="AF1525" t="s">
        <v>11005</v>
      </c>
      <c r="AG1525" t="s">
        <v>6493</v>
      </c>
      <c r="AH1525">
        <v>25</v>
      </c>
      <c r="AI1525">
        <v>1</v>
      </c>
      <c r="AJ1525">
        <v>1</v>
      </c>
      <c r="AK1525">
        <v>36.45</v>
      </c>
      <c r="AN1525" t="s">
        <v>11049</v>
      </c>
      <c r="AO1525">
        <v>6000</v>
      </c>
      <c r="AU1525">
        <v>0</v>
      </c>
      <c r="AW1525" t="s">
        <v>11492</v>
      </c>
    </row>
    <row r="1526" spans="1:49">
      <c r="A1526" s="1">
        <f>HYPERLINK("https://cms.ls-nyc.org/matter/dynamic-profile/view/1870635","18-1870635")</f>
        <v>0</v>
      </c>
      <c r="B1526" t="s">
        <v>74</v>
      </c>
      <c r="C1526" t="s">
        <v>234</v>
      </c>
      <c r="D1526" t="s">
        <v>245</v>
      </c>
      <c r="E1526" t="s">
        <v>801</v>
      </c>
      <c r="F1526" t="s">
        <v>1710</v>
      </c>
      <c r="G1526" t="s">
        <v>3019</v>
      </c>
      <c r="H1526" t="s">
        <v>4235</v>
      </c>
      <c r="I1526" t="s">
        <v>5159</v>
      </c>
      <c r="J1526" t="s">
        <v>5322</v>
      </c>
      <c r="K1526">
        <v>10304</v>
      </c>
      <c r="L1526" t="s">
        <v>5357</v>
      </c>
      <c r="M1526" t="s">
        <v>5356</v>
      </c>
      <c r="N1526" t="s">
        <v>5793</v>
      </c>
      <c r="O1526" t="s">
        <v>6491</v>
      </c>
      <c r="P1526" t="s">
        <v>6530</v>
      </c>
      <c r="Q1526" t="s">
        <v>6534</v>
      </c>
      <c r="R1526" t="s">
        <v>6539</v>
      </c>
      <c r="S1526" t="s">
        <v>5357</v>
      </c>
      <c r="U1526" t="s">
        <v>6557</v>
      </c>
      <c r="W1526" t="s">
        <v>474</v>
      </c>
      <c r="X1526">
        <v>1200</v>
      </c>
      <c r="Y1526" t="s">
        <v>6607</v>
      </c>
      <c r="Z1526" t="s">
        <v>6613</v>
      </c>
      <c r="AA1526" t="s">
        <v>6633</v>
      </c>
      <c r="AB1526" t="s">
        <v>7958</v>
      </c>
      <c r="AD1526" t="s">
        <v>10305</v>
      </c>
      <c r="AE1526">
        <v>2</v>
      </c>
      <c r="AF1526" t="s">
        <v>11004</v>
      </c>
      <c r="AG1526" t="s">
        <v>5406</v>
      </c>
      <c r="AH1526">
        <v>13</v>
      </c>
      <c r="AI1526">
        <v>2</v>
      </c>
      <c r="AJ1526">
        <v>0</v>
      </c>
      <c r="AK1526">
        <v>36.45</v>
      </c>
      <c r="AN1526" t="s">
        <v>11050</v>
      </c>
      <c r="AO1526">
        <v>6000</v>
      </c>
      <c r="AU1526">
        <v>8.1</v>
      </c>
      <c r="AV1526" t="s">
        <v>801</v>
      </c>
      <c r="AW1526" t="s">
        <v>11501</v>
      </c>
    </row>
    <row r="1527" spans="1:49">
      <c r="A1527" s="1">
        <f>HYPERLINK("https://cms.ls-nyc.org/matter/dynamic-profile/view/1857734","18-1857734")</f>
        <v>0</v>
      </c>
      <c r="B1527" t="s">
        <v>156</v>
      </c>
      <c r="C1527" t="s">
        <v>235</v>
      </c>
      <c r="D1527" t="s">
        <v>247</v>
      </c>
      <c r="F1527" t="s">
        <v>1711</v>
      </c>
      <c r="G1527" t="s">
        <v>3020</v>
      </c>
      <c r="H1527" t="s">
        <v>4236</v>
      </c>
      <c r="I1527">
        <v>3</v>
      </c>
      <c r="J1527" t="s">
        <v>5322</v>
      </c>
      <c r="K1527">
        <v>10305</v>
      </c>
      <c r="L1527" t="s">
        <v>5355</v>
      </c>
      <c r="M1527" t="s">
        <v>5356</v>
      </c>
      <c r="N1527" t="s">
        <v>5794</v>
      </c>
      <c r="O1527" t="s">
        <v>6491</v>
      </c>
      <c r="P1527" t="s">
        <v>6530</v>
      </c>
      <c r="R1527" t="s">
        <v>6540</v>
      </c>
      <c r="S1527" t="s">
        <v>5357</v>
      </c>
      <c r="U1527" t="s">
        <v>6557</v>
      </c>
      <c r="W1527" t="s">
        <v>247</v>
      </c>
      <c r="X1527">
        <v>1750</v>
      </c>
      <c r="Y1527" t="s">
        <v>6607</v>
      </c>
      <c r="Z1527" t="s">
        <v>6610</v>
      </c>
      <c r="AB1527" t="s">
        <v>7834</v>
      </c>
      <c r="AC1527" t="s">
        <v>8920</v>
      </c>
      <c r="AD1527" t="s">
        <v>10306</v>
      </c>
      <c r="AE1527">
        <v>3</v>
      </c>
      <c r="AF1527" t="s">
        <v>11004</v>
      </c>
      <c r="AG1527" t="s">
        <v>5406</v>
      </c>
      <c r="AH1527">
        <v>8</v>
      </c>
      <c r="AI1527">
        <v>1</v>
      </c>
      <c r="AJ1527">
        <v>3</v>
      </c>
      <c r="AK1527">
        <v>36.73</v>
      </c>
      <c r="AL1527" t="s">
        <v>11028</v>
      </c>
      <c r="AN1527" t="s">
        <v>11060</v>
      </c>
      <c r="AO1527">
        <v>9036</v>
      </c>
      <c r="AU1527">
        <v>10.9</v>
      </c>
      <c r="AV1527" t="s">
        <v>777</v>
      </c>
      <c r="AW1527" t="s">
        <v>62</v>
      </c>
    </row>
    <row r="1528" spans="1:49">
      <c r="A1528" s="1">
        <f>HYPERLINK("https://cms.ls-nyc.org/matter/dynamic-profile/view/1857417","18-1857417")</f>
        <v>0</v>
      </c>
      <c r="B1528" t="s">
        <v>52</v>
      </c>
      <c r="C1528" t="s">
        <v>234</v>
      </c>
      <c r="D1528" t="s">
        <v>397</v>
      </c>
      <c r="E1528" t="s">
        <v>752</v>
      </c>
      <c r="F1528" t="s">
        <v>1352</v>
      </c>
      <c r="G1528" t="s">
        <v>2611</v>
      </c>
      <c r="H1528" t="s">
        <v>3950</v>
      </c>
      <c r="I1528" t="s">
        <v>4746</v>
      </c>
      <c r="J1528" t="s">
        <v>5329</v>
      </c>
      <c r="K1528">
        <v>11365</v>
      </c>
      <c r="L1528" t="s">
        <v>5355</v>
      </c>
      <c r="M1528" t="s">
        <v>5355</v>
      </c>
      <c r="N1528" t="s">
        <v>5795</v>
      </c>
      <c r="O1528" t="s">
        <v>6492</v>
      </c>
      <c r="P1528" t="s">
        <v>6530</v>
      </c>
      <c r="Q1528" t="s">
        <v>6534</v>
      </c>
      <c r="R1528" t="s">
        <v>6540</v>
      </c>
      <c r="S1528" t="s">
        <v>5357</v>
      </c>
      <c r="U1528" t="s">
        <v>6564</v>
      </c>
      <c r="W1528" t="s">
        <v>397</v>
      </c>
      <c r="X1528">
        <v>521</v>
      </c>
      <c r="Y1528" t="s">
        <v>6604</v>
      </c>
      <c r="Z1528" t="s">
        <v>6610</v>
      </c>
      <c r="AA1528" t="s">
        <v>6644</v>
      </c>
      <c r="AB1528" t="s">
        <v>7331</v>
      </c>
      <c r="AC1528" t="s">
        <v>8784</v>
      </c>
      <c r="AD1528" t="s">
        <v>9704</v>
      </c>
      <c r="AE1528">
        <v>100</v>
      </c>
      <c r="AF1528" t="s">
        <v>11007</v>
      </c>
      <c r="AG1528" t="s">
        <v>5406</v>
      </c>
      <c r="AH1528">
        <v>13</v>
      </c>
      <c r="AI1528">
        <v>1</v>
      </c>
      <c r="AJ1528">
        <v>2</v>
      </c>
      <c r="AK1528">
        <v>37.02</v>
      </c>
      <c r="AL1528" t="s">
        <v>11028</v>
      </c>
      <c r="AN1528" t="s">
        <v>11050</v>
      </c>
      <c r="AO1528">
        <v>7560</v>
      </c>
      <c r="AQ1528" t="s">
        <v>11190</v>
      </c>
      <c r="AR1528" t="s">
        <v>6493</v>
      </c>
      <c r="AS1528" t="s">
        <v>11253</v>
      </c>
      <c r="AT1528" t="s">
        <v>11322</v>
      </c>
      <c r="AU1528">
        <v>11.4</v>
      </c>
      <c r="AV1528" t="s">
        <v>713</v>
      </c>
      <c r="AW1528" t="s">
        <v>93</v>
      </c>
    </row>
    <row r="1529" spans="1:49">
      <c r="A1529" s="1">
        <f>HYPERLINK("https://cms.ls-nyc.org/matter/dynamic-profile/view/1864963","18-1864963")</f>
        <v>0</v>
      </c>
      <c r="B1529" t="s">
        <v>90</v>
      </c>
      <c r="C1529" t="s">
        <v>235</v>
      </c>
      <c r="D1529" t="s">
        <v>358</v>
      </c>
      <c r="F1529" t="s">
        <v>899</v>
      </c>
      <c r="G1529" t="s">
        <v>2188</v>
      </c>
      <c r="H1529" t="s">
        <v>4147</v>
      </c>
      <c r="I1529" t="s">
        <v>5160</v>
      </c>
      <c r="J1529" t="s">
        <v>5321</v>
      </c>
      <c r="K1529">
        <v>10453</v>
      </c>
      <c r="L1529" t="s">
        <v>5355</v>
      </c>
      <c r="M1529" t="s">
        <v>5356</v>
      </c>
      <c r="N1529" t="s">
        <v>5670</v>
      </c>
      <c r="O1529" t="s">
        <v>6494</v>
      </c>
      <c r="P1529" t="s">
        <v>6530</v>
      </c>
      <c r="R1529" t="s">
        <v>6539</v>
      </c>
      <c r="S1529" t="s">
        <v>5355</v>
      </c>
      <c r="U1529" t="s">
        <v>6557</v>
      </c>
      <c r="W1529" t="s">
        <v>312</v>
      </c>
      <c r="X1529">
        <v>2101.58</v>
      </c>
      <c r="Y1529" t="s">
        <v>6606</v>
      </c>
      <c r="Z1529" t="s">
        <v>6616</v>
      </c>
      <c r="AB1529" t="s">
        <v>7959</v>
      </c>
      <c r="AC1529" t="s">
        <v>8921</v>
      </c>
      <c r="AD1529" t="s">
        <v>10307</v>
      </c>
      <c r="AE1529">
        <v>46</v>
      </c>
      <c r="AF1529" t="s">
        <v>11005</v>
      </c>
      <c r="AG1529" t="s">
        <v>11020</v>
      </c>
      <c r="AH1529">
        <v>14</v>
      </c>
      <c r="AI1529">
        <v>4</v>
      </c>
      <c r="AJ1529">
        <v>3</v>
      </c>
      <c r="AK1529">
        <v>37.23</v>
      </c>
      <c r="AN1529" t="s">
        <v>11050</v>
      </c>
      <c r="AO1529">
        <v>21970</v>
      </c>
      <c r="AU1529">
        <v>1.2</v>
      </c>
      <c r="AV1529" t="s">
        <v>11469</v>
      </c>
      <c r="AW1529" t="s">
        <v>59</v>
      </c>
    </row>
    <row r="1530" spans="1:49">
      <c r="A1530" s="1">
        <f>HYPERLINK("https://cms.ls-nyc.org/matter/dynamic-profile/view/1867992","18-1867992")</f>
        <v>0</v>
      </c>
      <c r="B1530" t="s">
        <v>115</v>
      </c>
      <c r="C1530" t="s">
        <v>234</v>
      </c>
      <c r="D1530" t="s">
        <v>452</v>
      </c>
      <c r="E1530" t="s">
        <v>665</v>
      </c>
      <c r="F1530" t="s">
        <v>1504</v>
      </c>
      <c r="G1530" t="s">
        <v>3021</v>
      </c>
      <c r="H1530" t="s">
        <v>4237</v>
      </c>
      <c r="I1530">
        <v>3</v>
      </c>
      <c r="J1530" t="s">
        <v>5320</v>
      </c>
      <c r="K1530">
        <v>11233</v>
      </c>
      <c r="L1530" t="s">
        <v>5355</v>
      </c>
      <c r="M1530" t="s">
        <v>5356</v>
      </c>
      <c r="N1530" t="s">
        <v>5796</v>
      </c>
      <c r="O1530" t="s">
        <v>6492</v>
      </c>
      <c r="P1530" t="s">
        <v>6530</v>
      </c>
      <c r="Q1530" t="s">
        <v>6534</v>
      </c>
      <c r="R1530" t="s">
        <v>6539</v>
      </c>
      <c r="U1530" t="s">
        <v>6557</v>
      </c>
      <c r="W1530" t="s">
        <v>452</v>
      </c>
      <c r="X1530">
        <v>2095</v>
      </c>
      <c r="Y1530" t="s">
        <v>6605</v>
      </c>
      <c r="AA1530" t="s">
        <v>6637</v>
      </c>
      <c r="AB1530" t="s">
        <v>7960</v>
      </c>
      <c r="AC1530">
        <v>97721461</v>
      </c>
      <c r="AD1530" t="s">
        <v>10308</v>
      </c>
      <c r="AE1530">
        <v>3</v>
      </c>
      <c r="AF1530" t="s">
        <v>11004</v>
      </c>
      <c r="AH1530">
        <v>3</v>
      </c>
      <c r="AI1530">
        <v>3</v>
      </c>
      <c r="AJ1530">
        <v>3</v>
      </c>
      <c r="AK1530">
        <v>37.24</v>
      </c>
      <c r="AN1530" t="s">
        <v>11050</v>
      </c>
      <c r="AO1530">
        <v>12566</v>
      </c>
      <c r="AU1530">
        <v>35.93</v>
      </c>
      <c r="AV1530" t="s">
        <v>707</v>
      </c>
      <c r="AW1530" t="s">
        <v>11488</v>
      </c>
    </row>
    <row r="1531" spans="1:49">
      <c r="A1531" s="1">
        <f>HYPERLINK("https://cms.ls-nyc.org/matter/dynamic-profile/view/1867145","18-1867145")</f>
        <v>0</v>
      </c>
      <c r="B1531" t="s">
        <v>80</v>
      </c>
      <c r="C1531" t="s">
        <v>234</v>
      </c>
      <c r="D1531" t="s">
        <v>391</v>
      </c>
      <c r="E1531" t="s">
        <v>719</v>
      </c>
      <c r="F1531" t="s">
        <v>901</v>
      </c>
      <c r="G1531" t="s">
        <v>2135</v>
      </c>
      <c r="H1531" t="s">
        <v>4238</v>
      </c>
      <c r="I1531" t="s">
        <v>5161</v>
      </c>
      <c r="J1531" t="s">
        <v>5321</v>
      </c>
      <c r="K1531">
        <v>10452</v>
      </c>
      <c r="L1531" t="s">
        <v>5355</v>
      </c>
      <c r="M1531" t="s">
        <v>5355</v>
      </c>
      <c r="N1531" t="s">
        <v>5797</v>
      </c>
      <c r="O1531" t="s">
        <v>6492</v>
      </c>
      <c r="P1531" t="s">
        <v>6530</v>
      </c>
      <c r="Q1531" t="s">
        <v>6534</v>
      </c>
      <c r="R1531" t="s">
        <v>6539</v>
      </c>
      <c r="U1531" t="s">
        <v>6557</v>
      </c>
      <c r="W1531" t="s">
        <v>245</v>
      </c>
      <c r="X1531">
        <v>1198</v>
      </c>
      <c r="Y1531" t="s">
        <v>6606</v>
      </c>
      <c r="Z1531" t="s">
        <v>6612</v>
      </c>
      <c r="AA1531" t="s">
        <v>6637</v>
      </c>
      <c r="AB1531" t="s">
        <v>7961</v>
      </c>
      <c r="AD1531" t="s">
        <v>10309</v>
      </c>
      <c r="AE1531">
        <v>42</v>
      </c>
      <c r="AF1531" t="s">
        <v>11005</v>
      </c>
      <c r="AG1531" t="s">
        <v>11026</v>
      </c>
      <c r="AH1531">
        <v>5</v>
      </c>
      <c r="AI1531">
        <v>1</v>
      </c>
      <c r="AJ1531">
        <v>0</v>
      </c>
      <c r="AK1531">
        <v>37.56</v>
      </c>
      <c r="AN1531" t="s">
        <v>11049</v>
      </c>
      <c r="AO1531">
        <v>4560</v>
      </c>
      <c r="AR1531" t="s">
        <v>11218</v>
      </c>
      <c r="AS1531" t="s">
        <v>11253</v>
      </c>
      <c r="AT1531" t="s">
        <v>11323</v>
      </c>
      <c r="AU1531">
        <v>14.85</v>
      </c>
      <c r="AV1531" t="s">
        <v>719</v>
      </c>
      <c r="AW1531" t="s">
        <v>11500</v>
      </c>
    </row>
    <row r="1532" spans="1:49">
      <c r="A1532" s="1">
        <f>HYPERLINK("https://cms.ls-nyc.org/matter/dynamic-profile/view/1860289","18-1860289")</f>
        <v>0</v>
      </c>
      <c r="B1532" t="s">
        <v>162</v>
      </c>
      <c r="C1532" t="s">
        <v>235</v>
      </c>
      <c r="D1532" t="s">
        <v>236</v>
      </c>
      <c r="F1532" t="s">
        <v>1269</v>
      </c>
      <c r="G1532" t="s">
        <v>2146</v>
      </c>
      <c r="H1532" t="s">
        <v>3803</v>
      </c>
      <c r="I1532">
        <v>41</v>
      </c>
      <c r="J1532" t="s">
        <v>5321</v>
      </c>
      <c r="K1532">
        <v>10453</v>
      </c>
      <c r="L1532" t="s">
        <v>5355</v>
      </c>
      <c r="M1532" t="s">
        <v>5355</v>
      </c>
      <c r="N1532" t="s">
        <v>5798</v>
      </c>
      <c r="O1532" t="s">
        <v>6492</v>
      </c>
      <c r="P1532" t="s">
        <v>6530</v>
      </c>
      <c r="R1532" t="s">
        <v>6539</v>
      </c>
      <c r="S1532" t="s">
        <v>5357</v>
      </c>
      <c r="U1532" t="s">
        <v>6557</v>
      </c>
      <c r="V1532" t="s">
        <v>6567</v>
      </c>
      <c r="W1532" t="s">
        <v>236</v>
      </c>
      <c r="X1532">
        <v>1366.27</v>
      </c>
      <c r="Y1532" t="s">
        <v>6606</v>
      </c>
      <c r="Z1532" t="s">
        <v>6613</v>
      </c>
      <c r="AB1532" t="s">
        <v>7962</v>
      </c>
      <c r="AE1532">
        <v>32</v>
      </c>
      <c r="AF1532" t="s">
        <v>11005</v>
      </c>
      <c r="AG1532" t="s">
        <v>5406</v>
      </c>
      <c r="AH1532">
        <v>16</v>
      </c>
      <c r="AI1532">
        <v>3</v>
      </c>
      <c r="AJ1532">
        <v>8</v>
      </c>
      <c r="AK1532">
        <v>38.04</v>
      </c>
      <c r="AN1532" t="s">
        <v>11049</v>
      </c>
      <c r="AO1532">
        <v>20488</v>
      </c>
      <c r="AU1532">
        <v>71.09999999999999</v>
      </c>
      <c r="AV1532" t="s">
        <v>11438</v>
      </c>
      <c r="AW1532" t="s">
        <v>11505</v>
      </c>
    </row>
    <row r="1533" spans="1:49">
      <c r="A1533" s="1">
        <f>HYPERLINK("https://cms.ls-nyc.org/matter/dynamic-profile/view/1858775","18-1858775")</f>
        <v>0</v>
      </c>
      <c r="B1533" t="s">
        <v>56</v>
      </c>
      <c r="C1533" t="s">
        <v>235</v>
      </c>
      <c r="D1533" t="s">
        <v>573</v>
      </c>
      <c r="F1533" t="s">
        <v>1046</v>
      </c>
      <c r="G1533" t="s">
        <v>1598</v>
      </c>
      <c r="H1533" t="s">
        <v>4239</v>
      </c>
      <c r="I1533">
        <v>305</v>
      </c>
      <c r="J1533" t="s">
        <v>5321</v>
      </c>
      <c r="K1533">
        <v>10452</v>
      </c>
      <c r="L1533" t="s">
        <v>5355</v>
      </c>
      <c r="M1533" t="s">
        <v>5356</v>
      </c>
      <c r="N1533" t="s">
        <v>5799</v>
      </c>
      <c r="O1533" t="s">
        <v>6491</v>
      </c>
      <c r="P1533" t="s">
        <v>6530</v>
      </c>
      <c r="R1533" t="s">
        <v>6539</v>
      </c>
      <c r="S1533" t="s">
        <v>5357</v>
      </c>
      <c r="U1533" t="s">
        <v>6557</v>
      </c>
      <c r="W1533" t="s">
        <v>291</v>
      </c>
      <c r="X1533">
        <v>995</v>
      </c>
      <c r="Y1533" t="s">
        <v>6606</v>
      </c>
      <c r="Z1533" t="s">
        <v>6611</v>
      </c>
      <c r="AB1533" t="s">
        <v>7963</v>
      </c>
      <c r="AC1533" t="s">
        <v>8922</v>
      </c>
      <c r="AD1533" t="s">
        <v>10310</v>
      </c>
      <c r="AE1533">
        <v>163</v>
      </c>
      <c r="AF1533" t="s">
        <v>11005</v>
      </c>
      <c r="AG1533" t="s">
        <v>11020</v>
      </c>
      <c r="AH1533">
        <v>8</v>
      </c>
      <c r="AI1533">
        <v>4</v>
      </c>
      <c r="AJ1533">
        <v>0</v>
      </c>
      <c r="AK1533">
        <v>38.25</v>
      </c>
      <c r="AN1533" t="s">
        <v>11049</v>
      </c>
      <c r="AO1533">
        <v>9600</v>
      </c>
      <c r="AP1533" t="s">
        <v>11075</v>
      </c>
      <c r="AU1533">
        <v>44.5</v>
      </c>
      <c r="AV1533" t="s">
        <v>781</v>
      </c>
      <c r="AW1533" t="s">
        <v>11538</v>
      </c>
    </row>
    <row r="1534" spans="1:49">
      <c r="A1534" s="1">
        <f>HYPERLINK("https://cms.ls-nyc.org/matter/dynamic-profile/view/1867606","18-1867606")</f>
        <v>0</v>
      </c>
      <c r="B1534" t="s">
        <v>61</v>
      </c>
      <c r="C1534" t="s">
        <v>234</v>
      </c>
      <c r="D1534" t="s">
        <v>299</v>
      </c>
      <c r="E1534" t="s">
        <v>712</v>
      </c>
      <c r="F1534" t="s">
        <v>1418</v>
      </c>
      <c r="G1534" t="s">
        <v>1742</v>
      </c>
      <c r="H1534" t="s">
        <v>4240</v>
      </c>
      <c r="I1534" t="s">
        <v>5162</v>
      </c>
      <c r="J1534" t="s">
        <v>5321</v>
      </c>
      <c r="K1534">
        <v>10457</v>
      </c>
      <c r="L1534" t="s">
        <v>5355</v>
      </c>
      <c r="M1534" t="s">
        <v>5356</v>
      </c>
      <c r="N1534" t="s">
        <v>5800</v>
      </c>
      <c r="O1534" t="s">
        <v>6492</v>
      </c>
      <c r="P1534" t="s">
        <v>6530</v>
      </c>
      <c r="Q1534" t="s">
        <v>6537</v>
      </c>
      <c r="R1534" t="s">
        <v>6539</v>
      </c>
      <c r="S1534" t="s">
        <v>5357</v>
      </c>
      <c r="U1534" t="s">
        <v>6557</v>
      </c>
      <c r="W1534" t="s">
        <v>299</v>
      </c>
      <c r="X1534">
        <v>1450</v>
      </c>
      <c r="Y1534" t="s">
        <v>6606</v>
      </c>
      <c r="Z1534" t="s">
        <v>6611</v>
      </c>
      <c r="AA1534" t="s">
        <v>6640</v>
      </c>
      <c r="AB1534" t="s">
        <v>7964</v>
      </c>
      <c r="AC1534" t="s">
        <v>8923</v>
      </c>
      <c r="AD1534" t="s">
        <v>10311</v>
      </c>
      <c r="AE1534">
        <v>0</v>
      </c>
      <c r="AH1534">
        <v>10</v>
      </c>
      <c r="AI1534">
        <v>2</v>
      </c>
      <c r="AJ1534">
        <v>1</v>
      </c>
      <c r="AK1534">
        <v>38.5</v>
      </c>
      <c r="AN1534" t="s">
        <v>11049</v>
      </c>
      <c r="AO1534">
        <v>8000</v>
      </c>
      <c r="AP1534" t="s">
        <v>11079</v>
      </c>
      <c r="AT1534" t="s">
        <v>11324</v>
      </c>
      <c r="AU1534">
        <v>34.1</v>
      </c>
      <c r="AV1534" t="s">
        <v>309</v>
      </c>
      <c r="AW1534" t="s">
        <v>11538</v>
      </c>
    </row>
    <row r="1535" spans="1:49">
      <c r="A1535" s="1">
        <f>HYPERLINK("https://cms.ls-nyc.org/matter/dynamic-profile/view/1865272","18-1865272")</f>
        <v>0</v>
      </c>
      <c r="B1535" t="s">
        <v>90</v>
      </c>
      <c r="C1535" t="s">
        <v>235</v>
      </c>
      <c r="D1535" t="s">
        <v>358</v>
      </c>
      <c r="F1535" t="s">
        <v>942</v>
      </c>
      <c r="G1535" t="s">
        <v>3022</v>
      </c>
      <c r="H1535" t="s">
        <v>4147</v>
      </c>
      <c r="I1535" t="s">
        <v>4765</v>
      </c>
      <c r="J1535" t="s">
        <v>5321</v>
      </c>
      <c r="K1535">
        <v>10453</v>
      </c>
      <c r="L1535" t="s">
        <v>5355</v>
      </c>
      <c r="M1535" t="s">
        <v>5356</v>
      </c>
      <c r="N1535" t="s">
        <v>5670</v>
      </c>
      <c r="O1535" t="s">
        <v>6494</v>
      </c>
      <c r="P1535" t="s">
        <v>6530</v>
      </c>
      <c r="R1535" t="s">
        <v>6539</v>
      </c>
      <c r="S1535" t="s">
        <v>5355</v>
      </c>
      <c r="U1535" t="s">
        <v>6557</v>
      </c>
      <c r="W1535" t="s">
        <v>516</v>
      </c>
      <c r="X1535">
        <v>0</v>
      </c>
      <c r="Y1535" t="s">
        <v>6606</v>
      </c>
      <c r="Z1535" t="s">
        <v>6616</v>
      </c>
      <c r="AB1535" t="s">
        <v>7965</v>
      </c>
      <c r="AC1535" t="s">
        <v>8924</v>
      </c>
      <c r="AE1535">
        <v>0</v>
      </c>
      <c r="AF1535" t="s">
        <v>11005</v>
      </c>
      <c r="AG1535" t="s">
        <v>11020</v>
      </c>
      <c r="AH1535">
        <v>0</v>
      </c>
      <c r="AI1535">
        <v>3</v>
      </c>
      <c r="AJ1535">
        <v>2</v>
      </c>
      <c r="AK1535">
        <v>38.79</v>
      </c>
      <c r="AN1535" t="s">
        <v>11050</v>
      </c>
      <c r="AO1535">
        <v>11412</v>
      </c>
      <c r="AU1535">
        <v>21.9</v>
      </c>
      <c r="AV1535" t="s">
        <v>832</v>
      </c>
      <c r="AW1535" t="s">
        <v>59</v>
      </c>
    </row>
    <row r="1536" spans="1:49">
      <c r="A1536" s="1">
        <f>HYPERLINK("https://cms.ls-nyc.org/matter/dynamic-profile/view/1857233","18-1857233")</f>
        <v>0</v>
      </c>
      <c r="B1536" t="s">
        <v>135</v>
      </c>
      <c r="C1536" t="s">
        <v>235</v>
      </c>
      <c r="D1536" t="s">
        <v>297</v>
      </c>
      <c r="F1536" t="s">
        <v>1158</v>
      </c>
      <c r="G1536" t="s">
        <v>2404</v>
      </c>
      <c r="H1536" t="s">
        <v>3762</v>
      </c>
      <c r="I1536" t="s">
        <v>4825</v>
      </c>
      <c r="J1536" t="s">
        <v>5320</v>
      </c>
      <c r="K1536">
        <v>11206</v>
      </c>
      <c r="L1536" t="s">
        <v>5355</v>
      </c>
      <c r="M1536" t="s">
        <v>5355</v>
      </c>
      <c r="O1536" t="s">
        <v>6494</v>
      </c>
      <c r="P1536" t="s">
        <v>6530</v>
      </c>
      <c r="R1536" t="s">
        <v>6539</v>
      </c>
      <c r="S1536" t="s">
        <v>5355</v>
      </c>
      <c r="U1536" t="s">
        <v>6557</v>
      </c>
      <c r="W1536" t="s">
        <v>281</v>
      </c>
      <c r="X1536">
        <v>1291.45</v>
      </c>
      <c r="Y1536" t="s">
        <v>6605</v>
      </c>
      <c r="AB1536" t="s">
        <v>7032</v>
      </c>
      <c r="AD1536" t="s">
        <v>9434</v>
      </c>
      <c r="AE1536">
        <v>29</v>
      </c>
      <c r="AF1536" t="s">
        <v>11005</v>
      </c>
      <c r="AG1536" t="s">
        <v>11020</v>
      </c>
      <c r="AH1536">
        <v>23</v>
      </c>
      <c r="AI1536">
        <v>3</v>
      </c>
      <c r="AJ1536">
        <v>0</v>
      </c>
      <c r="AK1536">
        <v>38.87</v>
      </c>
      <c r="AN1536" t="s">
        <v>11050</v>
      </c>
      <c r="AO1536">
        <v>7938</v>
      </c>
      <c r="AP1536" t="s">
        <v>11159</v>
      </c>
      <c r="AU1536">
        <v>15.25</v>
      </c>
      <c r="AV1536" t="s">
        <v>255</v>
      </c>
      <c r="AW1536" t="s">
        <v>11512</v>
      </c>
    </row>
    <row r="1537" spans="1:49">
      <c r="A1537" s="1">
        <f>HYPERLINK("https://cms.ls-nyc.org/matter/dynamic-profile/view/1852575","17-1852575")</f>
        <v>0</v>
      </c>
      <c r="B1537" t="s">
        <v>109</v>
      </c>
      <c r="C1537" t="s">
        <v>234</v>
      </c>
      <c r="D1537" t="s">
        <v>549</v>
      </c>
      <c r="E1537" t="s">
        <v>709</v>
      </c>
      <c r="F1537" t="s">
        <v>1712</v>
      </c>
      <c r="G1537" t="s">
        <v>3023</v>
      </c>
      <c r="H1537" t="s">
        <v>4241</v>
      </c>
      <c r="I1537">
        <v>5</v>
      </c>
      <c r="J1537" t="s">
        <v>5320</v>
      </c>
      <c r="K1537">
        <v>11233</v>
      </c>
      <c r="L1537" t="s">
        <v>5355</v>
      </c>
      <c r="M1537" t="s">
        <v>5355</v>
      </c>
      <c r="N1537" t="s">
        <v>5801</v>
      </c>
      <c r="O1537" t="s">
        <v>6492</v>
      </c>
      <c r="P1537" t="s">
        <v>6530</v>
      </c>
      <c r="Q1537" t="s">
        <v>6534</v>
      </c>
      <c r="R1537" t="s">
        <v>6539</v>
      </c>
      <c r="S1537" t="s">
        <v>5357</v>
      </c>
      <c r="U1537" t="s">
        <v>6557</v>
      </c>
      <c r="W1537" t="s">
        <v>332</v>
      </c>
      <c r="X1537">
        <v>1686</v>
      </c>
      <c r="Y1537" t="s">
        <v>6605</v>
      </c>
      <c r="Z1537" t="s">
        <v>6611</v>
      </c>
      <c r="AA1537" t="s">
        <v>6637</v>
      </c>
      <c r="AB1537" t="s">
        <v>7966</v>
      </c>
      <c r="AC1537" t="s">
        <v>8925</v>
      </c>
      <c r="AD1537" t="s">
        <v>10312</v>
      </c>
      <c r="AE1537">
        <v>16</v>
      </c>
      <c r="AF1537" t="s">
        <v>11005</v>
      </c>
      <c r="AG1537" t="s">
        <v>11020</v>
      </c>
      <c r="AH1537">
        <v>8</v>
      </c>
      <c r="AI1537">
        <v>1</v>
      </c>
      <c r="AJ1537">
        <v>3</v>
      </c>
      <c r="AK1537">
        <v>39.02</v>
      </c>
      <c r="AN1537" t="s">
        <v>11050</v>
      </c>
      <c r="AO1537">
        <v>11130.96</v>
      </c>
      <c r="AR1537" t="s">
        <v>11210</v>
      </c>
      <c r="AS1537" t="s">
        <v>11253</v>
      </c>
      <c r="AT1537" t="s">
        <v>11266</v>
      </c>
      <c r="AU1537">
        <v>35.4</v>
      </c>
      <c r="AV1537" t="s">
        <v>318</v>
      </c>
      <c r="AW1537" t="s">
        <v>11490</v>
      </c>
    </row>
    <row r="1538" spans="1:49">
      <c r="A1538" s="1">
        <f>HYPERLINK("https://cms.ls-nyc.org/matter/dynamic-profile/view/1844003","17-1844003")</f>
        <v>0</v>
      </c>
      <c r="B1538" t="s">
        <v>52</v>
      </c>
      <c r="C1538" t="s">
        <v>235</v>
      </c>
      <c r="D1538" t="s">
        <v>574</v>
      </c>
      <c r="F1538" t="s">
        <v>1170</v>
      </c>
      <c r="G1538" t="s">
        <v>2420</v>
      </c>
      <c r="H1538" t="s">
        <v>3777</v>
      </c>
      <c r="I1538">
        <v>620</v>
      </c>
      <c r="J1538" t="s">
        <v>5324</v>
      </c>
      <c r="K1538">
        <v>11355</v>
      </c>
      <c r="L1538" t="s">
        <v>5355</v>
      </c>
      <c r="M1538" t="s">
        <v>5356</v>
      </c>
      <c r="N1538" t="s">
        <v>5802</v>
      </c>
      <c r="O1538" t="s">
        <v>6490</v>
      </c>
      <c r="P1538" t="s">
        <v>6530</v>
      </c>
      <c r="R1538" t="s">
        <v>6539</v>
      </c>
      <c r="S1538" t="s">
        <v>5357</v>
      </c>
      <c r="U1538" t="s">
        <v>6556</v>
      </c>
      <c r="V1538" t="s">
        <v>6566</v>
      </c>
      <c r="W1538" t="s">
        <v>419</v>
      </c>
      <c r="X1538">
        <v>975.25</v>
      </c>
      <c r="Y1538" t="s">
        <v>6604</v>
      </c>
      <c r="Z1538" t="s">
        <v>6617</v>
      </c>
      <c r="AB1538" t="s">
        <v>7054</v>
      </c>
      <c r="AC1538" t="s">
        <v>8926</v>
      </c>
      <c r="AD1538" t="s">
        <v>9166</v>
      </c>
      <c r="AE1538">
        <v>50</v>
      </c>
      <c r="AF1538" t="s">
        <v>11005</v>
      </c>
      <c r="AG1538" t="s">
        <v>11023</v>
      </c>
      <c r="AH1538">
        <v>22</v>
      </c>
      <c r="AI1538">
        <v>3</v>
      </c>
      <c r="AJ1538">
        <v>2</v>
      </c>
      <c r="AK1538">
        <v>39.11</v>
      </c>
      <c r="AL1538" t="s">
        <v>266</v>
      </c>
      <c r="AN1538" t="s">
        <v>11049</v>
      </c>
      <c r="AO1538">
        <v>11256</v>
      </c>
      <c r="AP1538" t="s">
        <v>11071</v>
      </c>
      <c r="AU1538">
        <v>16.95</v>
      </c>
      <c r="AV1538" t="s">
        <v>795</v>
      </c>
      <c r="AW1538" t="s">
        <v>11527</v>
      </c>
    </row>
    <row r="1539" spans="1:49">
      <c r="A1539" s="1">
        <f>HYPERLINK("https://cms.ls-nyc.org/matter/dynamic-profile/view/1856303","18-1856303")</f>
        <v>0</v>
      </c>
      <c r="B1539" t="s">
        <v>128</v>
      </c>
      <c r="C1539" t="s">
        <v>234</v>
      </c>
      <c r="D1539" t="s">
        <v>261</v>
      </c>
      <c r="E1539" t="s">
        <v>665</v>
      </c>
      <c r="F1539" t="s">
        <v>1713</v>
      </c>
      <c r="G1539" t="s">
        <v>2520</v>
      </c>
      <c r="H1539" t="s">
        <v>4242</v>
      </c>
      <c r="I1539" t="s">
        <v>4746</v>
      </c>
      <c r="J1539" t="s">
        <v>5320</v>
      </c>
      <c r="K1539">
        <v>11233</v>
      </c>
      <c r="L1539" t="s">
        <v>5355</v>
      </c>
      <c r="M1539" t="s">
        <v>5356</v>
      </c>
      <c r="N1539" t="s">
        <v>5803</v>
      </c>
      <c r="O1539" t="s">
        <v>6492</v>
      </c>
      <c r="P1539" t="s">
        <v>6530</v>
      </c>
      <c r="Q1539" t="s">
        <v>6534</v>
      </c>
      <c r="R1539" t="s">
        <v>6539</v>
      </c>
      <c r="S1539" t="s">
        <v>5357</v>
      </c>
      <c r="U1539" t="s">
        <v>6557</v>
      </c>
      <c r="W1539" t="s">
        <v>261</v>
      </c>
      <c r="X1539">
        <v>2100</v>
      </c>
      <c r="Y1539" t="s">
        <v>6605</v>
      </c>
      <c r="Z1539" t="s">
        <v>6611</v>
      </c>
      <c r="AA1539" t="s">
        <v>6637</v>
      </c>
      <c r="AB1539" t="s">
        <v>7967</v>
      </c>
      <c r="AC1539" t="s">
        <v>8927</v>
      </c>
      <c r="AD1539" t="s">
        <v>10313</v>
      </c>
      <c r="AE1539">
        <v>6</v>
      </c>
      <c r="AF1539" t="s">
        <v>11008</v>
      </c>
      <c r="AH1539">
        <v>24</v>
      </c>
      <c r="AI1539">
        <v>1</v>
      </c>
      <c r="AJ1539">
        <v>0</v>
      </c>
      <c r="AK1539">
        <v>39.16</v>
      </c>
      <c r="AN1539" t="s">
        <v>11050</v>
      </c>
      <c r="AO1539">
        <v>4722.96</v>
      </c>
      <c r="AU1539">
        <v>38.35</v>
      </c>
      <c r="AV1539" t="s">
        <v>11470</v>
      </c>
      <c r="AW1539" t="s">
        <v>11487</v>
      </c>
    </row>
    <row r="1540" spans="1:49">
      <c r="A1540" s="1">
        <f>HYPERLINK("https://cms.ls-nyc.org/matter/dynamic-profile/view/1860020","18-1860020")</f>
        <v>0</v>
      </c>
      <c r="B1540" t="s">
        <v>60</v>
      </c>
      <c r="C1540" t="s">
        <v>234</v>
      </c>
      <c r="D1540" t="s">
        <v>260</v>
      </c>
      <c r="E1540" t="s">
        <v>759</v>
      </c>
      <c r="F1540" t="s">
        <v>1714</v>
      </c>
      <c r="G1540" t="s">
        <v>3024</v>
      </c>
      <c r="H1540" t="s">
        <v>4243</v>
      </c>
      <c r="I1540">
        <v>1</v>
      </c>
      <c r="J1540" t="s">
        <v>5321</v>
      </c>
      <c r="K1540">
        <v>10462</v>
      </c>
      <c r="L1540" t="s">
        <v>5355</v>
      </c>
      <c r="M1540" t="s">
        <v>5356</v>
      </c>
      <c r="N1540" t="s">
        <v>5804</v>
      </c>
      <c r="O1540" t="s">
        <v>6491</v>
      </c>
      <c r="P1540" t="s">
        <v>6530</v>
      </c>
      <c r="Q1540" t="s">
        <v>6534</v>
      </c>
      <c r="R1540" t="s">
        <v>6539</v>
      </c>
      <c r="S1540" t="s">
        <v>5357</v>
      </c>
      <c r="U1540" t="s">
        <v>6557</v>
      </c>
      <c r="W1540" t="s">
        <v>319</v>
      </c>
      <c r="X1540">
        <v>1685</v>
      </c>
      <c r="Y1540" t="s">
        <v>6606</v>
      </c>
      <c r="Z1540" t="s">
        <v>6615</v>
      </c>
      <c r="AA1540" t="s">
        <v>6637</v>
      </c>
      <c r="AB1540" t="s">
        <v>7968</v>
      </c>
      <c r="AD1540" t="s">
        <v>10314</v>
      </c>
      <c r="AE1540">
        <v>2</v>
      </c>
      <c r="AF1540" t="s">
        <v>11004</v>
      </c>
      <c r="AG1540" t="s">
        <v>11020</v>
      </c>
      <c r="AH1540">
        <v>19</v>
      </c>
      <c r="AI1540">
        <v>2</v>
      </c>
      <c r="AJ1540">
        <v>0</v>
      </c>
      <c r="AK1540">
        <v>39.16</v>
      </c>
      <c r="AO1540">
        <v>6360</v>
      </c>
      <c r="AP1540" t="s">
        <v>11079</v>
      </c>
      <c r="AQ1540" t="s">
        <v>11190</v>
      </c>
      <c r="AR1540" t="s">
        <v>11211</v>
      </c>
      <c r="AS1540" t="s">
        <v>11252</v>
      </c>
      <c r="AT1540" t="s">
        <v>11325</v>
      </c>
      <c r="AU1540">
        <v>11.1</v>
      </c>
      <c r="AV1540" t="s">
        <v>759</v>
      </c>
      <c r="AW1540" t="s">
        <v>11535</v>
      </c>
    </row>
    <row r="1541" spans="1:49">
      <c r="A1541" s="1">
        <f>HYPERLINK("https://cms.ls-nyc.org/matter/dynamic-profile/view/1846632","17-1846632")</f>
        <v>0</v>
      </c>
      <c r="B1541" t="s">
        <v>177</v>
      </c>
      <c r="C1541" t="s">
        <v>234</v>
      </c>
      <c r="D1541" t="s">
        <v>575</v>
      </c>
      <c r="E1541" t="s">
        <v>702</v>
      </c>
      <c r="F1541" t="s">
        <v>1131</v>
      </c>
      <c r="G1541" t="s">
        <v>2368</v>
      </c>
      <c r="H1541" t="s">
        <v>4244</v>
      </c>
      <c r="I1541" t="s">
        <v>4752</v>
      </c>
      <c r="J1541" t="s">
        <v>5320</v>
      </c>
      <c r="K1541">
        <v>11206</v>
      </c>
      <c r="L1541" t="s">
        <v>5355</v>
      </c>
      <c r="M1541" t="s">
        <v>5356</v>
      </c>
      <c r="N1541" t="s">
        <v>5805</v>
      </c>
      <c r="O1541" t="s">
        <v>6492</v>
      </c>
      <c r="P1541" t="s">
        <v>6530</v>
      </c>
      <c r="Q1541" t="s">
        <v>6534</v>
      </c>
      <c r="R1541" t="s">
        <v>6539</v>
      </c>
      <c r="S1541" t="s">
        <v>5357</v>
      </c>
      <c r="U1541" t="s">
        <v>6557</v>
      </c>
      <c r="W1541" t="s">
        <v>575</v>
      </c>
      <c r="X1541">
        <v>380</v>
      </c>
      <c r="Y1541" t="s">
        <v>6605</v>
      </c>
      <c r="Z1541" t="s">
        <v>6611</v>
      </c>
      <c r="AA1541" t="s">
        <v>6637</v>
      </c>
      <c r="AB1541" t="s">
        <v>7969</v>
      </c>
      <c r="AC1541" t="s">
        <v>8928</v>
      </c>
      <c r="AD1541" t="s">
        <v>10315</v>
      </c>
      <c r="AE1541">
        <v>6</v>
      </c>
      <c r="AF1541" t="s">
        <v>11014</v>
      </c>
      <c r="AG1541" t="s">
        <v>5406</v>
      </c>
      <c r="AH1541">
        <v>0</v>
      </c>
      <c r="AI1541">
        <v>1</v>
      </c>
      <c r="AJ1541">
        <v>4</v>
      </c>
      <c r="AK1541">
        <v>39.33</v>
      </c>
      <c r="AN1541" t="s">
        <v>11050</v>
      </c>
      <c r="AO1541">
        <v>11320</v>
      </c>
      <c r="AU1541">
        <v>7.9</v>
      </c>
      <c r="AV1541" t="s">
        <v>330</v>
      </c>
      <c r="AW1541" t="s">
        <v>11487</v>
      </c>
    </row>
    <row r="1542" spans="1:49">
      <c r="A1542" s="1">
        <f>HYPERLINK("https://cms.ls-nyc.org/matter/dynamic-profile/view/1846718","17-1846718")</f>
        <v>0</v>
      </c>
      <c r="B1542" t="s">
        <v>197</v>
      </c>
      <c r="C1542" t="s">
        <v>234</v>
      </c>
      <c r="D1542" t="s">
        <v>356</v>
      </c>
      <c r="E1542" t="s">
        <v>665</v>
      </c>
      <c r="F1542" t="s">
        <v>1088</v>
      </c>
      <c r="G1542" t="s">
        <v>3025</v>
      </c>
      <c r="H1542" t="s">
        <v>4245</v>
      </c>
      <c r="I1542">
        <v>428</v>
      </c>
      <c r="J1542" t="s">
        <v>5320</v>
      </c>
      <c r="K1542">
        <v>11212</v>
      </c>
      <c r="L1542" t="s">
        <v>5355</v>
      </c>
      <c r="M1542" t="s">
        <v>5356</v>
      </c>
      <c r="N1542" t="s">
        <v>5806</v>
      </c>
      <c r="O1542" t="s">
        <v>6491</v>
      </c>
      <c r="P1542" t="s">
        <v>6530</v>
      </c>
      <c r="Q1542" t="s">
        <v>6538</v>
      </c>
      <c r="R1542" t="s">
        <v>6539</v>
      </c>
      <c r="S1542" t="s">
        <v>5357</v>
      </c>
      <c r="U1542" t="s">
        <v>6557</v>
      </c>
      <c r="W1542" t="s">
        <v>294</v>
      </c>
      <c r="X1542">
        <v>215</v>
      </c>
      <c r="Y1542" t="s">
        <v>6605</v>
      </c>
      <c r="Z1542" t="s">
        <v>6614</v>
      </c>
      <c r="AA1542" t="s">
        <v>6637</v>
      </c>
      <c r="AB1542" t="s">
        <v>7970</v>
      </c>
      <c r="AC1542" t="s">
        <v>8929</v>
      </c>
      <c r="AD1542" t="s">
        <v>10316</v>
      </c>
      <c r="AE1542">
        <v>177</v>
      </c>
      <c r="AF1542" t="s">
        <v>11005</v>
      </c>
      <c r="AG1542" t="s">
        <v>5406</v>
      </c>
      <c r="AH1542">
        <v>8</v>
      </c>
      <c r="AI1542">
        <v>1</v>
      </c>
      <c r="AJ1542">
        <v>0</v>
      </c>
      <c r="AK1542">
        <v>39.5</v>
      </c>
      <c r="AN1542" t="s">
        <v>11050</v>
      </c>
      <c r="AO1542">
        <v>4764</v>
      </c>
      <c r="AU1542">
        <v>22.65</v>
      </c>
      <c r="AV1542" t="s">
        <v>665</v>
      </c>
      <c r="AW1542" t="s">
        <v>11490</v>
      </c>
    </row>
    <row r="1543" spans="1:49">
      <c r="A1543" s="1">
        <f>HYPERLINK("https://cms.ls-nyc.org/matter/dynamic-profile/view/1866247","18-1866247")</f>
        <v>0</v>
      </c>
      <c r="B1543" t="s">
        <v>124</v>
      </c>
      <c r="C1543" t="s">
        <v>234</v>
      </c>
      <c r="D1543" t="s">
        <v>274</v>
      </c>
      <c r="E1543" t="s">
        <v>739</v>
      </c>
      <c r="F1543" t="s">
        <v>1131</v>
      </c>
      <c r="G1543" t="s">
        <v>3026</v>
      </c>
      <c r="H1543" t="s">
        <v>4246</v>
      </c>
      <c r="I1543" t="s">
        <v>5163</v>
      </c>
      <c r="J1543" t="s">
        <v>5323</v>
      </c>
      <c r="K1543">
        <v>10034</v>
      </c>
      <c r="L1543" t="s">
        <v>5355</v>
      </c>
      <c r="M1543" t="s">
        <v>5355</v>
      </c>
      <c r="O1543" t="s">
        <v>6492</v>
      </c>
      <c r="P1543" t="s">
        <v>6530</v>
      </c>
      <c r="Q1543" t="s">
        <v>6534</v>
      </c>
      <c r="R1543" t="s">
        <v>6539</v>
      </c>
      <c r="U1543" t="s">
        <v>6557</v>
      </c>
      <c r="W1543" t="s">
        <v>320</v>
      </c>
      <c r="X1543">
        <v>1395</v>
      </c>
      <c r="Y1543" t="s">
        <v>6608</v>
      </c>
      <c r="Z1543" t="s">
        <v>6619</v>
      </c>
      <c r="AA1543" t="s">
        <v>6631</v>
      </c>
      <c r="AB1543" t="s">
        <v>7971</v>
      </c>
      <c r="AD1543" t="s">
        <v>10317</v>
      </c>
      <c r="AE1543">
        <v>20</v>
      </c>
      <c r="AF1543" t="s">
        <v>11005</v>
      </c>
      <c r="AG1543" t="s">
        <v>5406</v>
      </c>
      <c r="AH1543">
        <v>20</v>
      </c>
      <c r="AI1543">
        <v>1</v>
      </c>
      <c r="AJ1543">
        <v>0</v>
      </c>
      <c r="AK1543">
        <v>39.54</v>
      </c>
      <c r="AN1543" t="s">
        <v>11050</v>
      </c>
      <c r="AO1543">
        <v>4800</v>
      </c>
      <c r="AU1543">
        <v>22.4</v>
      </c>
      <c r="AV1543" t="s">
        <v>673</v>
      </c>
      <c r="AW1543" t="s">
        <v>11511</v>
      </c>
    </row>
    <row r="1544" spans="1:49">
      <c r="A1544" s="1">
        <f>HYPERLINK("https://cms.ls-nyc.org/matter/dynamic-profile/view/1856515","18-1856515")</f>
        <v>0</v>
      </c>
      <c r="B1544" t="s">
        <v>54</v>
      </c>
      <c r="C1544" t="s">
        <v>234</v>
      </c>
      <c r="D1544" t="s">
        <v>458</v>
      </c>
      <c r="E1544" t="s">
        <v>707</v>
      </c>
      <c r="F1544" t="s">
        <v>1000</v>
      </c>
      <c r="G1544" t="s">
        <v>2460</v>
      </c>
      <c r="H1544" t="s">
        <v>4133</v>
      </c>
      <c r="I1544" t="s">
        <v>4735</v>
      </c>
      <c r="J1544" t="s">
        <v>5320</v>
      </c>
      <c r="K1544">
        <v>11208</v>
      </c>
      <c r="L1544" t="s">
        <v>5355</v>
      </c>
      <c r="M1544" t="s">
        <v>5355</v>
      </c>
      <c r="N1544" t="s">
        <v>5807</v>
      </c>
      <c r="O1544" t="s">
        <v>6491</v>
      </c>
      <c r="P1544" t="s">
        <v>6530</v>
      </c>
      <c r="Q1544" t="s">
        <v>6538</v>
      </c>
      <c r="R1544" t="s">
        <v>6539</v>
      </c>
      <c r="S1544" t="s">
        <v>5355</v>
      </c>
      <c r="U1544" t="s">
        <v>6557</v>
      </c>
      <c r="W1544" t="s">
        <v>400</v>
      </c>
      <c r="X1544">
        <v>0</v>
      </c>
      <c r="Y1544" t="s">
        <v>6605</v>
      </c>
      <c r="Z1544" t="s">
        <v>6622</v>
      </c>
      <c r="AA1544" t="s">
        <v>6637</v>
      </c>
      <c r="AB1544" t="s">
        <v>7972</v>
      </c>
      <c r="AD1544" t="s">
        <v>10318</v>
      </c>
      <c r="AE1544">
        <v>7</v>
      </c>
      <c r="AF1544" t="s">
        <v>11004</v>
      </c>
      <c r="AH1544">
        <v>17</v>
      </c>
      <c r="AI1544">
        <v>1</v>
      </c>
      <c r="AJ1544">
        <v>0</v>
      </c>
      <c r="AK1544">
        <v>39.8</v>
      </c>
      <c r="AN1544" t="s">
        <v>11049</v>
      </c>
      <c r="AO1544">
        <v>4800</v>
      </c>
      <c r="AQ1544" t="s">
        <v>11192</v>
      </c>
      <c r="AR1544" t="s">
        <v>11210</v>
      </c>
      <c r="AS1544" t="s">
        <v>11253</v>
      </c>
      <c r="AT1544" t="s">
        <v>11261</v>
      </c>
      <c r="AU1544">
        <v>5.4</v>
      </c>
      <c r="AV1544" t="s">
        <v>398</v>
      </c>
      <c r="AW1544" t="s">
        <v>11512</v>
      </c>
    </row>
    <row r="1545" spans="1:49">
      <c r="A1545" s="1">
        <f>HYPERLINK("https://cms.ls-nyc.org/matter/dynamic-profile/view/1856516","18-1856516")</f>
        <v>0</v>
      </c>
      <c r="B1545" t="s">
        <v>54</v>
      </c>
      <c r="C1545" t="s">
        <v>234</v>
      </c>
      <c r="D1545" t="s">
        <v>458</v>
      </c>
      <c r="E1545" t="s">
        <v>784</v>
      </c>
      <c r="F1545" t="s">
        <v>1000</v>
      </c>
      <c r="G1545" t="s">
        <v>2460</v>
      </c>
      <c r="H1545" t="s">
        <v>4133</v>
      </c>
      <c r="I1545" t="s">
        <v>4735</v>
      </c>
      <c r="J1545" t="s">
        <v>5320</v>
      </c>
      <c r="K1545">
        <v>11208</v>
      </c>
      <c r="L1545" t="s">
        <v>5355</v>
      </c>
      <c r="M1545" t="s">
        <v>5355</v>
      </c>
      <c r="N1545" t="s">
        <v>5808</v>
      </c>
      <c r="O1545" t="s">
        <v>6494</v>
      </c>
      <c r="P1545" t="s">
        <v>6530</v>
      </c>
      <c r="Q1545" t="s">
        <v>6534</v>
      </c>
      <c r="R1545" t="s">
        <v>6539</v>
      </c>
      <c r="S1545" t="s">
        <v>5355</v>
      </c>
      <c r="U1545" t="s">
        <v>6557</v>
      </c>
      <c r="W1545" t="s">
        <v>458</v>
      </c>
      <c r="X1545">
        <v>0</v>
      </c>
      <c r="Y1545" t="s">
        <v>6605</v>
      </c>
      <c r="Z1545" t="s">
        <v>6622</v>
      </c>
      <c r="AA1545" t="s">
        <v>6631</v>
      </c>
      <c r="AB1545" t="s">
        <v>7972</v>
      </c>
      <c r="AD1545" t="s">
        <v>10318</v>
      </c>
      <c r="AE1545">
        <v>7</v>
      </c>
      <c r="AF1545" t="s">
        <v>11005</v>
      </c>
      <c r="AH1545">
        <v>17</v>
      </c>
      <c r="AI1545">
        <v>1</v>
      </c>
      <c r="AJ1545">
        <v>0</v>
      </c>
      <c r="AK1545">
        <v>39.8</v>
      </c>
      <c r="AN1545" t="s">
        <v>11049</v>
      </c>
      <c r="AO1545">
        <v>4800</v>
      </c>
      <c r="AR1545" t="s">
        <v>11225</v>
      </c>
      <c r="AU1545">
        <v>0.1</v>
      </c>
      <c r="AV1545" t="s">
        <v>707</v>
      </c>
      <c r="AW1545" t="s">
        <v>11512</v>
      </c>
    </row>
    <row r="1546" spans="1:49">
      <c r="A1546" s="1">
        <f>HYPERLINK("https://cms.ls-nyc.org/matter/dynamic-profile/view/1843736","17-1843736")</f>
        <v>0</v>
      </c>
      <c r="B1546" t="s">
        <v>109</v>
      </c>
      <c r="C1546" t="s">
        <v>234</v>
      </c>
      <c r="D1546" t="s">
        <v>576</v>
      </c>
      <c r="E1546" t="s">
        <v>736</v>
      </c>
      <c r="F1546" t="s">
        <v>1715</v>
      </c>
      <c r="G1546" t="s">
        <v>3027</v>
      </c>
      <c r="H1546" t="s">
        <v>4247</v>
      </c>
      <c r="I1546" t="s">
        <v>4758</v>
      </c>
      <c r="J1546" t="s">
        <v>5346</v>
      </c>
      <c r="K1546">
        <v>11233</v>
      </c>
      <c r="L1546" t="s">
        <v>5355</v>
      </c>
      <c r="M1546" t="s">
        <v>5355</v>
      </c>
      <c r="N1546" t="s">
        <v>5809</v>
      </c>
      <c r="O1546" t="s">
        <v>6491</v>
      </c>
      <c r="P1546" t="s">
        <v>6530</v>
      </c>
      <c r="Q1546" t="s">
        <v>6535</v>
      </c>
      <c r="R1546" t="s">
        <v>6539</v>
      </c>
      <c r="U1546" t="s">
        <v>6557</v>
      </c>
      <c r="W1546" t="s">
        <v>576</v>
      </c>
      <c r="X1546">
        <v>300</v>
      </c>
      <c r="Y1546" t="s">
        <v>6605</v>
      </c>
      <c r="AA1546" t="s">
        <v>6637</v>
      </c>
      <c r="AB1546" t="s">
        <v>7973</v>
      </c>
      <c r="AD1546" t="s">
        <v>10319</v>
      </c>
      <c r="AE1546">
        <v>6</v>
      </c>
      <c r="AF1546" t="s">
        <v>11005</v>
      </c>
      <c r="AH1546">
        <v>9</v>
      </c>
      <c r="AI1546">
        <v>2</v>
      </c>
      <c r="AJ1546">
        <v>0</v>
      </c>
      <c r="AK1546">
        <v>40.02</v>
      </c>
      <c r="AN1546" t="s">
        <v>11050</v>
      </c>
      <c r="AO1546">
        <v>6500</v>
      </c>
      <c r="AQ1546" t="s">
        <v>11192</v>
      </c>
      <c r="AR1546" t="s">
        <v>11210</v>
      </c>
      <c r="AS1546" t="s">
        <v>11253</v>
      </c>
      <c r="AT1546" t="s">
        <v>11326</v>
      </c>
      <c r="AU1546">
        <v>9.449999999999999</v>
      </c>
      <c r="AV1546" t="s">
        <v>402</v>
      </c>
      <c r="AW1546" t="s">
        <v>11489</v>
      </c>
    </row>
    <row r="1547" spans="1:49">
      <c r="A1547" s="1">
        <f>HYPERLINK("https://cms.ls-nyc.org/matter/dynamic-profile/view/1852016","17-1852016")</f>
        <v>0</v>
      </c>
      <c r="B1547" t="s">
        <v>81</v>
      </c>
      <c r="C1547" t="s">
        <v>234</v>
      </c>
      <c r="D1547" t="s">
        <v>481</v>
      </c>
      <c r="E1547" t="s">
        <v>677</v>
      </c>
      <c r="F1547" t="s">
        <v>1716</v>
      </c>
      <c r="G1547" t="s">
        <v>3028</v>
      </c>
      <c r="H1547" t="s">
        <v>4248</v>
      </c>
      <c r="I1547">
        <v>203</v>
      </c>
      <c r="J1547" t="s">
        <v>5324</v>
      </c>
      <c r="K1547">
        <v>11355</v>
      </c>
      <c r="L1547" t="s">
        <v>5357</v>
      </c>
      <c r="M1547" t="s">
        <v>5355</v>
      </c>
      <c r="N1547" t="s">
        <v>5810</v>
      </c>
      <c r="O1547" t="s">
        <v>6491</v>
      </c>
      <c r="P1547" t="s">
        <v>6530</v>
      </c>
      <c r="Q1547" t="s">
        <v>6533</v>
      </c>
      <c r="R1547" t="s">
        <v>6539</v>
      </c>
      <c r="S1547" t="s">
        <v>5357</v>
      </c>
      <c r="U1547" t="s">
        <v>6557</v>
      </c>
      <c r="V1547" t="s">
        <v>6566</v>
      </c>
      <c r="W1547" t="s">
        <v>481</v>
      </c>
      <c r="X1547">
        <v>650</v>
      </c>
      <c r="Y1547" t="s">
        <v>6604</v>
      </c>
      <c r="Z1547" t="s">
        <v>6615</v>
      </c>
      <c r="AA1547" t="s">
        <v>6633</v>
      </c>
      <c r="AB1547" t="s">
        <v>7974</v>
      </c>
      <c r="AC1547" t="s">
        <v>5406</v>
      </c>
      <c r="AD1547" t="s">
        <v>10320</v>
      </c>
      <c r="AE1547">
        <v>60</v>
      </c>
      <c r="AF1547" t="s">
        <v>11005</v>
      </c>
      <c r="AG1547" t="s">
        <v>5406</v>
      </c>
      <c r="AH1547">
        <v>1</v>
      </c>
      <c r="AI1547">
        <v>2</v>
      </c>
      <c r="AJ1547">
        <v>0</v>
      </c>
      <c r="AK1547">
        <v>40.18</v>
      </c>
      <c r="AN1547" t="s">
        <v>11050</v>
      </c>
      <c r="AO1547">
        <v>6525</v>
      </c>
      <c r="AR1547" t="s">
        <v>6493</v>
      </c>
      <c r="AS1547" t="s">
        <v>11252</v>
      </c>
      <c r="AT1547" t="s">
        <v>11327</v>
      </c>
      <c r="AU1547">
        <v>1.3</v>
      </c>
      <c r="AV1547" t="s">
        <v>677</v>
      </c>
      <c r="AW1547" t="s">
        <v>11506</v>
      </c>
    </row>
    <row r="1548" spans="1:49">
      <c r="A1548" s="1">
        <f>HYPERLINK("https://cms.ls-nyc.org/matter/dynamic-profile/view/1842993","17-1842993")</f>
        <v>0</v>
      </c>
      <c r="B1548" t="s">
        <v>148</v>
      </c>
      <c r="C1548" t="s">
        <v>234</v>
      </c>
      <c r="D1548" t="s">
        <v>421</v>
      </c>
      <c r="E1548" t="s">
        <v>695</v>
      </c>
      <c r="F1548" t="s">
        <v>1413</v>
      </c>
      <c r="G1548" t="s">
        <v>2804</v>
      </c>
      <c r="H1548" t="s">
        <v>4249</v>
      </c>
      <c r="I1548" t="s">
        <v>4778</v>
      </c>
      <c r="J1548" t="s">
        <v>5322</v>
      </c>
      <c r="K1548">
        <v>10301</v>
      </c>
      <c r="L1548" t="s">
        <v>5355</v>
      </c>
      <c r="M1548" t="s">
        <v>5356</v>
      </c>
      <c r="N1548" t="s">
        <v>5811</v>
      </c>
      <c r="O1548" t="s">
        <v>6492</v>
      </c>
      <c r="P1548" t="s">
        <v>6530</v>
      </c>
      <c r="Q1548" t="s">
        <v>6534</v>
      </c>
      <c r="R1548" t="s">
        <v>6539</v>
      </c>
      <c r="S1548" t="s">
        <v>5357</v>
      </c>
      <c r="U1548" t="s">
        <v>6557</v>
      </c>
      <c r="W1548" t="s">
        <v>6588</v>
      </c>
      <c r="X1548">
        <v>1515</v>
      </c>
      <c r="Y1548" t="s">
        <v>6607</v>
      </c>
      <c r="Z1548" t="s">
        <v>6622</v>
      </c>
      <c r="AA1548" t="s">
        <v>6637</v>
      </c>
      <c r="AB1548" t="s">
        <v>7975</v>
      </c>
      <c r="AC1548" t="s">
        <v>8930</v>
      </c>
      <c r="AD1548" t="s">
        <v>10321</v>
      </c>
      <c r="AE1548">
        <v>4</v>
      </c>
      <c r="AF1548" t="s">
        <v>11004</v>
      </c>
      <c r="AG1548" t="s">
        <v>11019</v>
      </c>
      <c r="AH1548">
        <v>3</v>
      </c>
      <c r="AI1548">
        <v>3</v>
      </c>
      <c r="AJ1548">
        <v>1</v>
      </c>
      <c r="AK1548">
        <v>40.24</v>
      </c>
      <c r="AN1548" t="s">
        <v>11050</v>
      </c>
      <c r="AO1548">
        <v>9900</v>
      </c>
      <c r="AU1548">
        <v>41.15</v>
      </c>
      <c r="AV1548" t="s">
        <v>695</v>
      </c>
      <c r="AW1548" t="s">
        <v>148</v>
      </c>
    </row>
    <row r="1549" spans="1:49">
      <c r="A1549" s="1">
        <f>HYPERLINK("https://cms.ls-nyc.org/matter/dynamic-profile/view/1868629","18-1868629")</f>
        <v>0</v>
      </c>
      <c r="B1549" t="s">
        <v>175</v>
      </c>
      <c r="C1549" t="s">
        <v>234</v>
      </c>
      <c r="D1549" t="s">
        <v>267</v>
      </c>
      <c r="E1549" t="s">
        <v>600</v>
      </c>
      <c r="F1549" t="s">
        <v>1717</v>
      </c>
      <c r="G1549" t="s">
        <v>2144</v>
      </c>
      <c r="H1549" t="s">
        <v>4250</v>
      </c>
      <c r="I1549" t="s">
        <v>4775</v>
      </c>
      <c r="J1549" t="s">
        <v>5320</v>
      </c>
      <c r="K1549">
        <v>11207</v>
      </c>
      <c r="L1549" t="s">
        <v>5355</v>
      </c>
      <c r="M1549" t="s">
        <v>5355</v>
      </c>
      <c r="N1549" t="s">
        <v>5812</v>
      </c>
      <c r="O1549" t="s">
        <v>6492</v>
      </c>
      <c r="P1549" t="s">
        <v>6530</v>
      </c>
      <c r="Q1549" t="s">
        <v>6534</v>
      </c>
      <c r="R1549" t="s">
        <v>6539</v>
      </c>
      <c r="S1549" t="s">
        <v>5357</v>
      </c>
      <c r="U1549" t="s">
        <v>6557</v>
      </c>
      <c r="W1549" t="s">
        <v>516</v>
      </c>
      <c r="X1549">
        <v>930</v>
      </c>
      <c r="Y1549" t="s">
        <v>6605</v>
      </c>
      <c r="Z1549" t="s">
        <v>6615</v>
      </c>
      <c r="AA1549" t="s">
        <v>6637</v>
      </c>
      <c r="AB1549" t="s">
        <v>7976</v>
      </c>
      <c r="AC1549" t="s">
        <v>8931</v>
      </c>
      <c r="AD1549" t="s">
        <v>10322</v>
      </c>
      <c r="AE1549">
        <v>6</v>
      </c>
      <c r="AF1549" t="s">
        <v>11005</v>
      </c>
      <c r="AH1549">
        <v>4</v>
      </c>
      <c r="AI1549">
        <v>1</v>
      </c>
      <c r="AJ1549">
        <v>0</v>
      </c>
      <c r="AK1549">
        <v>40.26</v>
      </c>
      <c r="AN1549" t="s">
        <v>11050</v>
      </c>
      <c r="AO1549">
        <v>4888</v>
      </c>
      <c r="AR1549" t="s">
        <v>11210</v>
      </c>
      <c r="AS1549" t="s">
        <v>11253</v>
      </c>
      <c r="AT1549" t="s">
        <v>11323</v>
      </c>
      <c r="AU1549">
        <v>3.7</v>
      </c>
      <c r="AV1549" t="s">
        <v>600</v>
      </c>
      <c r="AW1549" t="s">
        <v>11541</v>
      </c>
    </row>
    <row r="1550" spans="1:49">
      <c r="A1550" s="1">
        <f>HYPERLINK("https://cms.ls-nyc.org/matter/dynamic-profile/view/1851588","17-1851588")</f>
        <v>0</v>
      </c>
      <c r="B1550" t="s">
        <v>141</v>
      </c>
      <c r="C1550" t="s">
        <v>234</v>
      </c>
      <c r="D1550" t="s">
        <v>577</v>
      </c>
      <c r="E1550" t="s">
        <v>702</v>
      </c>
      <c r="F1550" t="s">
        <v>863</v>
      </c>
      <c r="G1550" t="s">
        <v>3029</v>
      </c>
      <c r="H1550" t="s">
        <v>4251</v>
      </c>
      <c r="I1550" t="s">
        <v>4770</v>
      </c>
      <c r="J1550" t="s">
        <v>5320</v>
      </c>
      <c r="K1550">
        <v>11208</v>
      </c>
      <c r="L1550" t="s">
        <v>5355</v>
      </c>
      <c r="M1550" t="s">
        <v>5356</v>
      </c>
      <c r="N1550" t="s">
        <v>5813</v>
      </c>
      <c r="O1550" t="s">
        <v>6491</v>
      </c>
      <c r="P1550" t="s">
        <v>6530</v>
      </c>
      <c r="Q1550" t="s">
        <v>6531</v>
      </c>
      <c r="R1550" t="s">
        <v>6539</v>
      </c>
      <c r="S1550" t="s">
        <v>5355</v>
      </c>
      <c r="U1550" t="s">
        <v>6557</v>
      </c>
      <c r="W1550" t="s">
        <v>262</v>
      </c>
      <c r="X1550">
        <v>0</v>
      </c>
      <c r="Y1550" t="s">
        <v>6605</v>
      </c>
      <c r="AA1550" t="s">
        <v>6637</v>
      </c>
      <c r="AB1550" t="s">
        <v>7977</v>
      </c>
      <c r="AC1550" t="s">
        <v>8762</v>
      </c>
      <c r="AD1550" t="s">
        <v>10323</v>
      </c>
      <c r="AE1550">
        <v>3</v>
      </c>
      <c r="AF1550" t="s">
        <v>8722</v>
      </c>
      <c r="AG1550" t="s">
        <v>5406</v>
      </c>
      <c r="AH1550">
        <v>5</v>
      </c>
      <c r="AI1550">
        <v>1</v>
      </c>
      <c r="AJ1550">
        <v>1</v>
      </c>
      <c r="AK1550">
        <v>40.27</v>
      </c>
      <c r="AN1550" t="s">
        <v>11050</v>
      </c>
      <c r="AO1550">
        <v>6540</v>
      </c>
      <c r="AU1550">
        <v>16.5</v>
      </c>
      <c r="AV1550" t="s">
        <v>428</v>
      </c>
      <c r="AW1550" t="s">
        <v>11512</v>
      </c>
    </row>
    <row r="1551" spans="1:49">
      <c r="A1551" s="1">
        <f>HYPERLINK("https://cms.ls-nyc.org/matter/dynamic-profile/view/1864381","18-1864381")</f>
        <v>0</v>
      </c>
      <c r="B1551" t="s">
        <v>87</v>
      </c>
      <c r="C1551" t="s">
        <v>234</v>
      </c>
      <c r="D1551" t="s">
        <v>342</v>
      </c>
      <c r="E1551" t="s">
        <v>282</v>
      </c>
      <c r="F1551" t="s">
        <v>1096</v>
      </c>
      <c r="G1551" t="s">
        <v>3030</v>
      </c>
      <c r="H1551" t="s">
        <v>4252</v>
      </c>
      <c r="I1551" t="s">
        <v>4748</v>
      </c>
      <c r="J1551" t="s">
        <v>5322</v>
      </c>
      <c r="K1551">
        <v>10301</v>
      </c>
      <c r="L1551" t="s">
        <v>5355</v>
      </c>
      <c r="M1551" t="s">
        <v>5356</v>
      </c>
      <c r="N1551" t="s">
        <v>5814</v>
      </c>
      <c r="O1551" t="s">
        <v>6491</v>
      </c>
      <c r="P1551" t="s">
        <v>6530</v>
      </c>
      <c r="Q1551" t="s">
        <v>6534</v>
      </c>
      <c r="R1551" t="s">
        <v>6539</v>
      </c>
      <c r="S1551" t="s">
        <v>5357</v>
      </c>
      <c r="U1551" t="s">
        <v>6557</v>
      </c>
      <c r="W1551" t="s">
        <v>342</v>
      </c>
      <c r="X1551">
        <v>1800</v>
      </c>
      <c r="Y1551" t="s">
        <v>6607</v>
      </c>
      <c r="Z1551" t="s">
        <v>6614</v>
      </c>
      <c r="AA1551" t="s">
        <v>6633</v>
      </c>
      <c r="AB1551" t="s">
        <v>7978</v>
      </c>
      <c r="AC1551" t="s">
        <v>8932</v>
      </c>
      <c r="AD1551" t="s">
        <v>10324</v>
      </c>
      <c r="AE1551">
        <v>3</v>
      </c>
      <c r="AG1551" t="s">
        <v>5406</v>
      </c>
      <c r="AH1551">
        <v>2</v>
      </c>
      <c r="AI1551">
        <v>2</v>
      </c>
      <c r="AJ1551">
        <v>1</v>
      </c>
      <c r="AK1551">
        <v>40.42</v>
      </c>
      <c r="AN1551" t="s">
        <v>11050</v>
      </c>
      <c r="AO1551">
        <v>8400</v>
      </c>
      <c r="AU1551">
        <v>5.5</v>
      </c>
      <c r="AV1551" t="s">
        <v>11433</v>
      </c>
      <c r="AW1551" t="s">
        <v>209</v>
      </c>
    </row>
    <row r="1552" spans="1:49">
      <c r="A1552" s="1">
        <f>HYPERLINK("https://cms.ls-nyc.org/matter/dynamic-profile/view/1843614","17-1843614")</f>
        <v>0</v>
      </c>
      <c r="B1552" t="s">
        <v>201</v>
      </c>
      <c r="C1552" t="s">
        <v>234</v>
      </c>
      <c r="D1552" t="s">
        <v>503</v>
      </c>
      <c r="E1552" t="s">
        <v>703</v>
      </c>
      <c r="F1552" t="s">
        <v>1231</v>
      </c>
      <c r="G1552" t="s">
        <v>3031</v>
      </c>
      <c r="H1552" t="s">
        <v>4253</v>
      </c>
      <c r="I1552" t="s">
        <v>5082</v>
      </c>
      <c r="J1552" t="s">
        <v>5320</v>
      </c>
      <c r="K1552">
        <v>11208</v>
      </c>
      <c r="L1552" t="s">
        <v>5355</v>
      </c>
      <c r="M1552" t="s">
        <v>5356</v>
      </c>
      <c r="N1552" t="s">
        <v>5815</v>
      </c>
      <c r="O1552" t="s">
        <v>6492</v>
      </c>
      <c r="P1552" t="s">
        <v>6530</v>
      </c>
      <c r="Q1552" t="s">
        <v>6534</v>
      </c>
      <c r="R1552" t="s">
        <v>6539</v>
      </c>
      <c r="S1552" t="s">
        <v>5355</v>
      </c>
      <c r="U1552" t="s">
        <v>6557</v>
      </c>
      <c r="W1552" t="s">
        <v>419</v>
      </c>
      <c r="X1552">
        <v>1643.7</v>
      </c>
      <c r="Y1552" t="s">
        <v>6605</v>
      </c>
      <c r="Z1552" t="s">
        <v>6615</v>
      </c>
      <c r="AA1552" t="s">
        <v>6637</v>
      </c>
      <c r="AB1552" t="s">
        <v>7979</v>
      </c>
      <c r="AC1552" t="s">
        <v>8933</v>
      </c>
      <c r="AD1552" t="s">
        <v>10325</v>
      </c>
      <c r="AE1552">
        <v>97</v>
      </c>
      <c r="AF1552" t="s">
        <v>11005</v>
      </c>
      <c r="AH1552">
        <v>3</v>
      </c>
      <c r="AI1552">
        <v>1</v>
      </c>
      <c r="AJ1552">
        <v>0</v>
      </c>
      <c r="AK1552">
        <v>40.53</v>
      </c>
      <c r="AN1552" t="s">
        <v>11050</v>
      </c>
      <c r="AO1552">
        <v>4888</v>
      </c>
      <c r="AU1552">
        <v>4.25</v>
      </c>
      <c r="AV1552" t="s">
        <v>291</v>
      </c>
      <c r="AW1552" t="s">
        <v>11541</v>
      </c>
    </row>
    <row r="1553" spans="1:50">
      <c r="A1553" s="1">
        <f>HYPERLINK("https://cms.ls-nyc.org/matter/dynamic-profile/view/1846774","17-1846774")</f>
        <v>0</v>
      </c>
      <c r="B1553" t="s">
        <v>92</v>
      </c>
      <c r="C1553" t="s">
        <v>235</v>
      </c>
      <c r="D1553" t="s">
        <v>356</v>
      </c>
      <c r="F1553" t="s">
        <v>843</v>
      </c>
      <c r="G1553" t="s">
        <v>3032</v>
      </c>
      <c r="H1553" t="s">
        <v>3842</v>
      </c>
      <c r="I1553" t="s">
        <v>4768</v>
      </c>
      <c r="J1553" t="s">
        <v>5323</v>
      </c>
      <c r="K1553">
        <v>10035</v>
      </c>
      <c r="L1553" t="s">
        <v>5355</v>
      </c>
      <c r="M1553" t="s">
        <v>5355</v>
      </c>
      <c r="N1553" t="s">
        <v>5816</v>
      </c>
      <c r="O1553" t="s">
        <v>6494</v>
      </c>
      <c r="P1553" t="s">
        <v>6530</v>
      </c>
      <c r="R1553" t="s">
        <v>6539</v>
      </c>
      <c r="S1553" t="s">
        <v>5355</v>
      </c>
      <c r="U1553" t="s">
        <v>6557</v>
      </c>
      <c r="V1553" t="s">
        <v>6566</v>
      </c>
      <c r="W1553" t="s">
        <v>419</v>
      </c>
      <c r="X1553">
        <v>858.95</v>
      </c>
      <c r="Y1553" t="s">
        <v>6608</v>
      </c>
      <c r="Z1553" t="s">
        <v>6614</v>
      </c>
      <c r="AB1553" t="s">
        <v>7980</v>
      </c>
      <c r="AD1553" t="s">
        <v>10326</v>
      </c>
      <c r="AE1553">
        <v>35</v>
      </c>
      <c r="AF1553" t="s">
        <v>11005</v>
      </c>
      <c r="AG1553" t="s">
        <v>5406</v>
      </c>
      <c r="AH1553">
        <v>23</v>
      </c>
      <c r="AI1553">
        <v>3</v>
      </c>
      <c r="AJ1553">
        <v>1</v>
      </c>
      <c r="AK1553">
        <v>40.65</v>
      </c>
      <c r="AN1553" t="s">
        <v>11049</v>
      </c>
      <c r="AO1553">
        <v>10000</v>
      </c>
      <c r="AU1553">
        <v>7.55</v>
      </c>
      <c r="AV1553" t="s">
        <v>778</v>
      </c>
      <c r="AW1553" t="s">
        <v>11497</v>
      </c>
      <c r="AX1553" t="s">
        <v>11564</v>
      </c>
    </row>
    <row r="1554" spans="1:50">
      <c r="A1554" s="1">
        <f>HYPERLINK("https://cms.ls-nyc.org/matter/dynamic-profile/view/1840381","17-1840381")</f>
        <v>0</v>
      </c>
      <c r="B1554" t="s">
        <v>84</v>
      </c>
      <c r="C1554" t="s">
        <v>234</v>
      </c>
      <c r="D1554" t="s">
        <v>387</v>
      </c>
      <c r="E1554" t="s">
        <v>702</v>
      </c>
      <c r="F1554" t="s">
        <v>1718</v>
      </c>
      <c r="G1554" t="s">
        <v>3033</v>
      </c>
      <c r="H1554" t="s">
        <v>4254</v>
      </c>
      <c r="I1554" t="s">
        <v>4754</v>
      </c>
      <c r="J1554" t="s">
        <v>5320</v>
      </c>
      <c r="K1554">
        <v>11212</v>
      </c>
      <c r="L1554" t="s">
        <v>5355</v>
      </c>
      <c r="M1554" t="s">
        <v>5356</v>
      </c>
      <c r="N1554" t="s">
        <v>5817</v>
      </c>
      <c r="O1554" t="s">
        <v>6491</v>
      </c>
      <c r="P1554" t="s">
        <v>6530</v>
      </c>
      <c r="Q1554" t="s">
        <v>6534</v>
      </c>
      <c r="R1554" t="s">
        <v>6539</v>
      </c>
      <c r="S1554" t="s">
        <v>5357</v>
      </c>
      <c r="U1554" t="s">
        <v>6557</v>
      </c>
      <c r="V1554" t="s">
        <v>6566</v>
      </c>
      <c r="W1554" t="s">
        <v>387</v>
      </c>
      <c r="X1554">
        <v>484.48</v>
      </c>
      <c r="Y1554" t="s">
        <v>6605</v>
      </c>
      <c r="Z1554" t="s">
        <v>6613</v>
      </c>
      <c r="AA1554" t="s">
        <v>6637</v>
      </c>
      <c r="AB1554" t="s">
        <v>7981</v>
      </c>
      <c r="AC1554" t="s">
        <v>5392</v>
      </c>
      <c r="AD1554" t="s">
        <v>10327</v>
      </c>
      <c r="AE1554">
        <v>23</v>
      </c>
      <c r="AF1554" t="s">
        <v>11005</v>
      </c>
      <c r="AG1554" t="s">
        <v>5406</v>
      </c>
      <c r="AH1554">
        <v>30</v>
      </c>
      <c r="AI1554">
        <v>4</v>
      </c>
      <c r="AJ1554">
        <v>0</v>
      </c>
      <c r="AK1554">
        <v>40.98</v>
      </c>
      <c r="AN1554" t="s">
        <v>11050</v>
      </c>
      <c r="AO1554">
        <v>10080</v>
      </c>
      <c r="AQ1554" t="s">
        <v>11190</v>
      </c>
      <c r="AR1554" t="s">
        <v>11213</v>
      </c>
      <c r="AS1554" t="s">
        <v>11253</v>
      </c>
      <c r="AT1554" t="s">
        <v>11328</v>
      </c>
      <c r="AU1554">
        <v>82.95</v>
      </c>
      <c r="AV1554" t="s">
        <v>11453</v>
      </c>
      <c r="AW1554" t="s">
        <v>11489</v>
      </c>
      <c r="AX1554" t="s">
        <v>11564</v>
      </c>
    </row>
    <row r="1555" spans="1:50">
      <c r="A1555" s="1">
        <f>HYPERLINK("https://cms.ls-nyc.org/matter/dynamic-profile/view/0832556","17-0832556")</f>
        <v>0</v>
      </c>
      <c r="B1555" t="s">
        <v>175</v>
      </c>
      <c r="C1555" t="s">
        <v>234</v>
      </c>
      <c r="D1555" t="s">
        <v>578</v>
      </c>
      <c r="E1555" t="s">
        <v>802</v>
      </c>
      <c r="F1555" t="s">
        <v>1719</v>
      </c>
      <c r="G1555" t="s">
        <v>2970</v>
      </c>
      <c r="H1555" t="s">
        <v>4255</v>
      </c>
      <c r="I1555" t="s">
        <v>5164</v>
      </c>
      <c r="J1555" t="s">
        <v>5347</v>
      </c>
      <c r="K1555">
        <v>11207</v>
      </c>
      <c r="L1555" t="s">
        <v>5357</v>
      </c>
      <c r="M1555" t="s">
        <v>5356</v>
      </c>
      <c r="P1555" t="s">
        <v>6530</v>
      </c>
      <c r="Q1555" t="s">
        <v>6533</v>
      </c>
      <c r="R1555" t="s">
        <v>6539</v>
      </c>
      <c r="U1555" t="s">
        <v>6557</v>
      </c>
      <c r="W1555" t="s">
        <v>294</v>
      </c>
      <c r="X1555">
        <v>0</v>
      </c>
      <c r="Y1555" t="s">
        <v>6605</v>
      </c>
      <c r="AA1555" t="s">
        <v>6633</v>
      </c>
      <c r="AB1555" t="s">
        <v>7982</v>
      </c>
      <c r="AD1555" t="s">
        <v>10328</v>
      </c>
      <c r="AE1555">
        <v>16</v>
      </c>
      <c r="AH1555">
        <v>0</v>
      </c>
      <c r="AI1555">
        <v>2</v>
      </c>
      <c r="AJ1555">
        <v>1</v>
      </c>
      <c r="AK1555">
        <v>41.43</v>
      </c>
      <c r="AN1555" t="s">
        <v>11050</v>
      </c>
      <c r="AO1555">
        <v>8460</v>
      </c>
      <c r="AR1555" t="s">
        <v>6493</v>
      </c>
      <c r="AS1555" t="s">
        <v>11252</v>
      </c>
      <c r="AT1555" t="s">
        <v>11329</v>
      </c>
      <c r="AU1555">
        <v>53.6</v>
      </c>
      <c r="AV1555" t="s">
        <v>600</v>
      </c>
      <c r="AW1555" t="s">
        <v>11542</v>
      </c>
    </row>
    <row r="1556" spans="1:50">
      <c r="A1556" s="1">
        <f>HYPERLINK("https://cms.ls-nyc.org/matter/dynamic-profile/view/1853883","17-1853883")</f>
        <v>0</v>
      </c>
      <c r="B1556" t="s">
        <v>202</v>
      </c>
      <c r="C1556" t="s">
        <v>234</v>
      </c>
      <c r="D1556" t="s">
        <v>579</v>
      </c>
      <c r="E1556" t="s">
        <v>445</v>
      </c>
      <c r="F1556" t="s">
        <v>1720</v>
      </c>
      <c r="G1556" t="s">
        <v>2416</v>
      </c>
      <c r="H1556" t="s">
        <v>3749</v>
      </c>
      <c r="I1556" t="s">
        <v>5165</v>
      </c>
      <c r="J1556" t="s">
        <v>5321</v>
      </c>
      <c r="K1556">
        <v>10453</v>
      </c>
      <c r="L1556" t="s">
        <v>5355</v>
      </c>
      <c r="M1556" t="s">
        <v>5356</v>
      </c>
      <c r="N1556" t="s">
        <v>5818</v>
      </c>
      <c r="O1556" t="s">
        <v>6492</v>
      </c>
      <c r="P1556" t="s">
        <v>6530</v>
      </c>
      <c r="Q1556" t="s">
        <v>6534</v>
      </c>
      <c r="R1556" t="s">
        <v>6539</v>
      </c>
      <c r="S1556" t="s">
        <v>5357</v>
      </c>
      <c r="U1556" t="s">
        <v>6557</v>
      </c>
      <c r="W1556" t="s">
        <v>579</v>
      </c>
      <c r="X1556">
        <v>1302.61</v>
      </c>
      <c r="Y1556" t="s">
        <v>6606</v>
      </c>
      <c r="Z1556" t="s">
        <v>6616</v>
      </c>
      <c r="AA1556" t="s">
        <v>6637</v>
      </c>
      <c r="AB1556" t="s">
        <v>7983</v>
      </c>
      <c r="AC1556" t="s">
        <v>8934</v>
      </c>
      <c r="AD1556" t="s">
        <v>10329</v>
      </c>
      <c r="AE1556">
        <v>278</v>
      </c>
      <c r="AF1556" t="s">
        <v>11008</v>
      </c>
      <c r="AG1556" t="s">
        <v>11020</v>
      </c>
      <c r="AH1556">
        <v>25</v>
      </c>
      <c r="AI1556">
        <v>2</v>
      </c>
      <c r="AJ1556">
        <v>0</v>
      </c>
      <c r="AK1556">
        <v>41.91</v>
      </c>
      <c r="AN1556" t="s">
        <v>11050</v>
      </c>
      <c r="AO1556">
        <v>6806</v>
      </c>
      <c r="AP1556" t="s">
        <v>11075</v>
      </c>
      <c r="AT1556" t="s">
        <v>11324</v>
      </c>
      <c r="AU1556">
        <v>10</v>
      </c>
      <c r="AV1556" t="s">
        <v>238</v>
      </c>
      <c r="AW1556" t="s">
        <v>11499</v>
      </c>
    </row>
    <row r="1557" spans="1:50">
      <c r="A1557" s="1">
        <f>HYPERLINK("https://cms.ls-nyc.org/matter/dynamic-profile/view/1864862","18-1864862")</f>
        <v>0</v>
      </c>
      <c r="B1557" t="s">
        <v>96</v>
      </c>
      <c r="C1557" t="s">
        <v>234</v>
      </c>
      <c r="D1557" t="s">
        <v>395</v>
      </c>
      <c r="E1557" t="s">
        <v>665</v>
      </c>
      <c r="F1557" t="s">
        <v>973</v>
      </c>
      <c r="G1557" t="s">
        <v>3034</v>
      </c>
      <c r="H1557" t="s">
        <v>4256</v>
      </c>
      <c r="I1557" t="s">
        <v>4866</v>
      </c>
      <c r="J1557" t="s">
        <v>5326</v>
      </c>
      <c r="K1557">
        <v>11691</v>
      </c>
      <c r="L1557" t="s">
        <v>5355</v>
      </c>
      <c r="M1557" t="s">
        <v>5355</v>
      </c>
      <c r="N1557" t="s">
        <v>5819</v>
      </c>
      <c r="O1557" t="s">
        <v>6492</v>
      </c>
      <c r="P1557" t="s">
        <v>6530</v>
      </c>
      <c r="Q1557" t="s">
        <v>6534</v>
      </c>
      <c r="R1557" t="s">
        <v>6539</v>
      </c>
      <c r="S1557" t="s">
        <v>5357</v>
      </c>
      <c r="U1557" t="s">
        <v>6557</v>
      </c>
      <c r="V1557" t="s">
        <v>6567</v>
      </c>
      <c r="W1557" t="s">
        <v>395</v>
      </c>
      <c r="X1557">
        <v>1800</v>
      </c>
      <c r="Y1557" t="s">
        <v>6604</v>
      </c>
      <c r="Z1557" t="s">
        <v>6615</v>
      </c>
      <c r="AA1557" t="s">
        <v>6637</v>
      </c>
      <c r="AB1557" t="s">
        <v>7984</v>
      </c>
      <c r="AC1557" t="s">
        <v>8935</v>
      </c>
      <c r="AD1557" t="s">
        <v>10330</v>
      </c>
      <c r="AE1557">
        <v>2</v>
      </c>
      <c r="AF1557" t="s">
        <v>11004</v>
      </c>
      <c r="AG1557" t="s">
        <v>5406</v>
      </c>
      <c r="AH1557">
        <v>3</v>
      </c>
      <c r="AI1557">
        <v>1</v>
      </c>
      <c r="AJ1557">
        <v>2</v>
      </c>
      <c r="AK1557">
        <v>41.92</v>
      </c>
      <c r="AN1557" t="s">
        <v>11050</v>
      </c>
      <c r="AO1557">
        <v>8710</v>
      </c>
      <c r="AR1557" t="s">
        <v>11213</v>
      </c>
      <c r="AS1557" t="s">
        <v>11253</v>
      </c>
      <c r="AT1557" t="s">
        <v>11330</v>
      </c>
      <c r="AU1557">
        <v>1.45</v>
      </c>
      <c r="AV1557" t="s">
        <v>315</v>
      </c>
      <c r="AW1557" t="s">
        <v>11506</v>
      </c>
    </row>
    <row r="1558" spans="1:50">
      <c r="A1558" s="1">
        <f>HYPERLINK("https://cms.ls-nyc.org/matter/dynamic-profile/view/1863922","18-1863922")</f>
        <v>0</v>
      </c>
      <c r="B1558" t="s">
        <v>101</v>
      </c>
      <c r="C1558" t="s">
        <v>234</v>
      </c>
      <c r="D1558" t="s">
        <v>425</v>
      </c>
      <c r="E1558" t="s">
        <v>664</v>
      </c>
      <c r="F1558" t="s">
        <v>986</v>
      </c>
      <c r="G1558" t="s">
        <v>2657</v>
      </c>
      <c r="H1558" t="s">
        <v>4257</v>
      </c>
      <c r="I1558" t="s">
        <v>5166</v>
      </c>
      <c r="J1558" t="s">
        <v>5320</v>
      </c>
      <c r="K1558">
        <v>11212</v>
      </c>
      <c r="L1558" t="s">
        <v>5355</v>
      </c>
      <c r="M1558" t="s">
        <v>5356</v>
      </c>
      <c r="N1558" t="s">
        <v>5820</v>
      </c>
      <c r="O1558" t="s">
        <v>6492</v>
      </c>
      <c r="P1558" t="s">
        <v>6530</v>
      </c>
      <c r="Q1558" t="s">
        <v>6534</v>
      </c>
      <c r="R1558" t="s">
        <v>6539</v>
      </c>
      <c r="S1558" t="s">
        <v>5357</v>
      </c>
      <c r="U1558" t="s">
        <v>6557</v>
      </c>
      <c r="W1558" t="s">
        <v>298</v>
      </c>
      <c r="X1558">
        <v>1956</v>
      </c>
      <c r="Y1558" t="s">
        <v>6605</v>
      </c>
      <c r="Z1558" t="s">
        <v>6613</v>
      </c>
      <c r="AA1558" t="s">
        <v>6633</v>
      </c>
      <c r="AB1558" t="s">
        <v>7985</v>
      </c>
      <c r="AC1558">
        <v>2073558</v>
      </c>
      <c r="AD1558" t="s">
        <v>10331</v>
      </c>
      <c r="AE1558">
        <v>45</v>
      </c>
      <c r="AF1558" t="s">
        <v>11005</v>
      </c>
      <c r="AG1558" t="s">
        <v>11022</v>
      </c>
      <c r="AH1558">
        <v>1</v>
      </c>
      <c r="AI1558">
        <v>1</v>
      </c>
      <c r="AJ1558">
        <v>5</v>
      </c>
      <c r="AK1558">
        <v>42.09</v>
      </c>
      <c r="AN1558" t="s">
        <v>11049</v>
      </c>
      <c r="AO1558">
        <v>14200</v>
      </c>
      <c r="AU1558">
        <v>13.75</v>
      </c>
      <c r="AV1558" t="s">
        <v>394</v>
      </c>
      <c r="AW1558" t="s">
        <v>11512</v>
      </c>
    </row>
    <row r="1559" spans="1:50">
      <c r="A1559" s="1">
        <f>HYPERLINK("https://cms.ls-nyc.org/matter/dynamic-profile/view/1850022","17-1850022")</f>
        <v>0</v>
      </c>
      <c r="B1559" t="s">
        <v>177</v>
      </c>
      <c r="C1559" t="s">
        <v>235</v>
      </c>
      <c r="D1559" t="s">
        <v>341</v>
      </c>
      <c r="F1559" t="s">
        <v>1132</v>
      </c>
      <c r="G1559" t="s">
        <v>2380</v>
      </c>
      <c r="H1559" t="s">
        <v>3739</v>
      </c>
      <c r="I1559" t="s">
        <v>4852</v>
      </c>
      <c r="J1559" t="s">
        <v>5320</v>
      </c>
      <c r="K1559">
        <v>11212</v>
      </c>
      <c r="L1559" t="s">
        <v>5355</v>
      </c>
      <c r="M1559" t="s">
        <v>5356</v>
      </c>
      <c r="O1559" t="s">
        <v>6491</v>
      </c>
      <c r="P1559" t="s">
        <v>6530</v>
      </c>
      <c r="R1559" t="s">
        <v>6539</v>
      </c>
      <c r="U1559" t="s">
        <v>6557</v>
      </c>
      <c r="W1559" t="s">
        <v>341</v>
      </c>
      <c r="X1559">
        <v>1180.14</v>
      </c>
      <c r="Y1559" t="s">
        <v>6605</v>
      </c>
      <c r="Z1559" t="s">
        <v>6614</v>
      </c>
      <c r="AB1559" t="s">
        <v>7000</v>
      </c>
      <c r="AD1559" t="s">
        <v>9407</v>
      </c>
      <c r="AE1559">
        <v>32</v>
      </c>
      <c r="AF1559" t="s">
        <v>11005</v>
      </c>
      <c r="AH1559">
        <v>16</v>
      </c>
      <c r="AI1559">
        <v>1</v>
      </c>
      <c r="AJ1559">
        <v>0</v>
      </c>
      <c r="AK1559">
        <v>42.26</v>
      </c>
      <c r="AN1559" t="s">
        <v>11050</v>
      </c>
      <c r="AO1559">
        <v>5096</v>
      </c>
      <c r="AP1559" t="s">
        <v>11160</v>
      </c>
      <c r="AU1559">
        <v>56.2</v>
      </c>
      <c r="AV1559" t="s">
        <v>818</v>
      </c>
      <c r="AW1559" t="s">
        <v>11512</v>
      </c>
    </row>
    <row r="1560" spans="1:50">
      <c r="A1560" s="1">
        <f>HYPERLINK("https://cms.ls-nyc.org/matter/dynamic-profile/view/1853768","17-1853768")</f>
        <v>0</v>
      </c>
      <c r="B1560" t="s">
        <v>52</v>
      </c>
      <c r="C1560" t="s">
        <v>234</v>
      </c>
      <c r="D1560" t="s">
        <v>332</v>
      </c>
      <c r="E1560" t="s">
        <v>733</v>
      </c>
      <c r="F1560" t="s">
        <v>854</v>
      </c>
      <c r="G1560" t="s">
        <v>2423</v>
      </c>
      <c r="H1560" t="s">
        <v>4258</v>
      </c>
      <c r="I1560">
        <v>2</v>
      </c>
      <c r="J1560" t="s">
        <v>5336</v>
      </c>
      <c r="K1560">
        <v>11416</v>
      </c>
      <c r="L1560" t="s">
        <v>5355</v>
      </c>
      <c r="M1560" t="s">
        <v>5355</v>
      </c>
      <c r="N1560" t="s">
        <v>5821</v>
      </c>
      <c r="O1560" t="s">
        <v>6492</v>
      </c>
      <c r="P1560" t="s">
        <v>6530</v>
      </c>
      <c r="Q1560" t="s">
        <v>6534</v>
      </c>
      <c r="R1560" t="s">
        <v>6539</v>
      </c>
      <c r="S1560" t="s">
        <v>5357</v>
      </c>
      <c r="U1560" t="s">
        <v>6557</v>
      </c>
      <c r="V1560" t="s">
        <v>6566</v>
      </c>
      <c r="W1560" t="s">
        <v>399</v>
      </c>
      <c r="X1560">
        <v>1500</v>
      </c>
      <c r="Y1560" t="s">
        <v>6604</v>
      </c>
      <c r="Z1560" t="s">
        <v>6615</v>
      </c>
      <c r="AA1560" t="s">
        <v>6633</v>
      </c>
      <c r="AB1560" t="s">
        <v>7986</v>
      </c>
      <c r="AC1560" t="s">
        <v>8936</v>
      </c>
      <c r="AD1560" t="s">
        <v>10332</v>
      </c>
      <c r="AE1560">
        <v>3</v>
      </c>
      <c r="AF1560" t="s">
        <v>11004</v>
      </c>
      <c r="AG1560" t="s">
        <v>5406</v>
      </c>
      <c r="AH1560">
        <v>1</v>
      </c>
      <c r="AI1560">
        <v>1</v>
      </c>
      <c r="AJ1560">
        <v>3</v>
      </c>
      <c r="AK1560">
        <v>42.28</v>
      </c>
      <c r="AN1560" t="s">
        <v>11050</v>
      </c>
      <c r="AO1560">
        <v>10400</v>
      </c>
      <c r="AQ1560" t="s">
        <v>11194</v>
      </c>
      <c r="AR1560" t="s">
        <v>11214</v>
      </c>
      <c r="AS1560" t="s">
        <v>11252</v>
      </c>
      <c r="AT1560" t="s">
        <v>11261</v>
      </c>
      <c r="AU1560">
        <v>34.39</v>
      </c>
      <c r="AV1560" t="s">
        <v>814</v>
      </c>
      <c r="AW1560" t="s">
        <v>11506</v>
      </c>
    </row>
    <row r="1561" spans="1:50">
      <c r="A1561" s="1">
        <f>HYPERLINK("https://cms.ls-nyc.org/matter/dynamic-profile/view/1854569","17-1854569")</f>
        <v>0</v>
      </c>
      <c r="B1561" t="s">
        <v>94</v>
      </c>
      <c r="C1561" t="s">
        <v>234</v>
      </c>
      <c r="D1561" t="s">
        <v>308</v>
      </c>
      <c r="E1561" t="s">
        <v>803</v>
      </c>
      <c r="F1561" t="s">
        <v>1131</v>
      </c>
      <c r="G1561" t="s">
        <v>3035</v>
      </c>
      <c r="H1561" t="s">
        <v>4259</v>
      </c>
      <c r="I1561" t="s">
        <v>4758</v>
      </c>
      <c r="J1561" t="s">
        <v>5320</v>
      </c>
      <c r="K1561">
        <v>11207</v>
      </c>
      <c r="L1561" t="s">
        <v>5355</v>
      </c>
      <c r="M1561" t="s">
        <v>5356</v>
      </c>
      <c r="N1561" t="s">
        <v>5822</v>
      </c>
      <c r="O1561" t="s">
        <v>6492</v>
      </c>
      <c r="P1561" t="s">
        <v>6530</v>
      </c>
      <c r="Q1561" t="s">
        <v>6537</v>
      </c>
      <c r="R1561" t="s">
        <v>6539</v>
      </c>
      <c r="S1561" t="s">
        <v>5355</v>
      </c>
      <c r="U1561" t="s">
        <v>6557</v>
      </c>
      <c r="W1561" t="s">
        <v>262</v>
      </c>
      <c r="X1561">
        <v>0</v>
      </c>
      <c r="Y1561" t="s">
        <v>6605</v>
      </c>
      <c r="Z1561" t="s">
        <v>6614</v>
      </c>
      <c r="AA1561" t="s">
        <v>6637</v>
      </c>
      <c r="AB1561" t="s">
        <v>7987</v>
      </c>
      <c r="AE1561">
        <v>6</v>
      </c>
      <c r="AF1561" t="s">
        <v>11005</v>
      </c>
      <c r="AH1561">
        <v>0</v>
      </c>
      <c r="AI1561">
        <v>1</v>
      </c>
      <c r="AJ1561">
        <v>3</v>
      </c>
      <c r="AK1561">
        <v>42.28</v>
      </c>
      <c r="AN1561" t="s">
        <v>11050</v>
      </c>
      <c r="AO1561">
        <v>10400</v>
      </c>
      <c r="AU1561">
        <v>47.95</v>
      </c>
      <c r="AV1561" t="s">
        <v>474</v>
      </c>
      <c r="AW1561" t="s">
        <v>228</v>
      </c>
    </row>
    <row r="1562" spans="1:50">
      <c r="A1562" s="1">
        <f>HYPERLINK("https://cms.ls-nyc.org/matter/dynamic-profile/view/1849675","17-1849675")</f>
        <v>0</v>
      </c>
      <c r="B1562" t="s">
        <v>52</v>
      </c>
      <c r="C1562" t="s">
        <v>234</v>
      </c>
      <c r="D1562" t="s">
        <v>324</v>
      </c>
      <c r="E1562" t="s">
        <v>517</v>
      </c>
      <c r="F1562" t="s">
        <v>1170</v>
      </c>
      <c r="G1562" t="s">
        <v>2420</v>
      </c>
      <c r="H1562" t="s">
        <v>3777</v>
      </c>
      <c r="I1562">
        <v>620</v>
      </c>
      <c r="J1562" t="s">
        <v>5324</v>
      </c>
      <c r="K1562">
        <v>11355</v>
      </c>
      <c r="L1562" t="s">
        <v>5355</v>
      </c>
      <c r="M1562" t="s">
        <v>5355</v>
      </c>
      <c r="N1562" t="s">
        <v>5823</v>
      </c>
      <c r="O1562" t="s">
        <v>6493</v>
      </c>
      <c r="P1562" t="s">
        <v>6530</v>
      </c>
      <c r="Q1562" t="s">
        <v>6538</v>
      </c>
      <c r="R1562" t="s">
        <v>6539</v>
      </c>
      <c r="S1562" t="s">
        <v>5357</v>
      </c>
      <c r="U1562" t="s">
        <v>6557</v>
      </c>
      <c r="V1562" t="s">
        <v>6566</v>
      </c>
      <c r="W1562" t="s">
        <v>324</v>
      </c>
      <c r="X1562">
        <v>945.9</v>
      </c>
      <c r="Y1562" t="s">
        <v>6604</v>
      </c>
      <c r="Z1562" t="s">
        <v>6614</v>
      </c>
      <c r="AA1562" t="s">
        <v>6637</v>
      </c>
      <c r="AB1562" t="s">
        <v>7054</v>
      </c>
      <c r="AC1562" t="s">
        <v>8754</v>
      </c>
      <c r="AD1562" t="s">
        <v>9166</v>
      </c>
      <c r="AE1562">
        <v>50</v>
      </c>
      <c r="AF1562" t="s">
        <v>11005</v>
      </c>
      <c r="AG1562" t="s">
        <v>11023</v>
      </c>
      <c r="AH1562">
        <v>22</v>
      </c>
      <c r="AI1562">
        <v>3</v>
      </c>
      <c r="AJ1562">
        <v>2</v>
      </c>
      <c r="AK1562">
        <v>42.57</v>
      </c>
      <c r="AL1562" t="s">
        <v>266</v>
      </c>
      <c r="AN1562" t="s">
        <v>11049</v>
      </c>
      <c r="AO1562">
        <v>12252.5</v>
      </c>
      <c r="AQ1562" t="s">
        <v>11196</v>
      </c>
      <c r="AR1562" t="s">
        <v>11211</v>
      </c>
      <c r="AS1562" t="s">
        <v>11253</v>
      </c>
      <c r="AT1562" t="s">
        <v>11331</v>
      </c>
      <c r="AU1562">
        <v>23.48</v>
      </c>
      <c r="AV1562" t="s">
        <v>733</v>
      </c>
      <c r="AW1562" t="s">
        <v>93</v>
      </c>
    </row>
    <row r="1563" spans="1:50">
      <c r="A1563" s="1">
        <f>HYPERLINK("https://cms.ls-nyc.org/matter/dynamic-profile/view/1870597","18-1870597")</f>
        <v>0</v>
      </c>
      <c r="B1563" t="s">
        <v>88</v>
      </c>
      <c r="C1563" t="s">
        <v>235</v>
      </c>
      <c r="D1563" t="s">
        <v>474</v>
      </c>
      <c r="F1563" t="s">
        <v>1721</v>
      </c>
      <c r="G1563" t="s">
        <v>3036</v>
      </c>
      <c r="H1563" t="s">
        <v>4260</v>
      </c>
      <c r="I1563" t="s">
        <v>4911</v>
      </c>
      <c r="J1563" t="s">
        <v>5320</v>
      </c>
      <c r="K1563">
        <v>11233</v>
      </c>
      <c r="L1563" t="s">
        <v>5355</v>
      </c>
      <c r="M1563" t="s">
        <v>5356</v>
      </c>
      <c r="N1563" t="s">
        <v>5824</v>
      </c>
      <c r="O1563" t="s">
        <v>6491</v>
      </c>
      <c r="P1563" t="s">
        <v>6530</v>
      </c>
      <c r="R1563" t="s">
        <v>6539</v>
      </c>
      <c r="S1563" t="s">
        <v>5357</v>
      </c>
      <c r="U1563" t="s">
        <v>6557</v>
      </c>
      <c r="W1563" t="s">
        <v>474</v>
      </c>
      <c r="X1563">
        <v>0</v>
      </c>
      <c r="Y1563" t="s">
        <v>6605</v>
      </c>
      <c r="Z1563" t="s">
        <v>6614</v>
      </c>
      <c r="AB1563" t="s">
        <v>7988</v>
      </c>
      <c r="AD1563" t="s">
        <v>10333</v>
      </c>
      <c r="AE1563">
        <v>0</v>
      </c>
      <c r="AG1563" t="s">
        <v>11022</v>
      </c>
      <c r="AH1563">
        <v>0</v>
      </c>
      <c r="AI1563">
        <v>3</v>
      </c>
      <c r="AJ1563">
        <v>1</v>
      </c>
      <c r="AK1563">
        <v>42.62</v>
      </c>
      <c r="AN1563" t="s">
        <v>11050</v>
      </c>
      <c r="AO1563">
        <v>10698.84</v>
      </c>
      <c r="AU1563">
        <v>50.4</v>
      </c>
      <c r="AV1563" t="s">
        <v>821</v>
      </c>
      <c r="AW1563" t="s">
        <v>88</v>
      </c>
    </row>
    <row r="1564" spans="1:50">
      <c r="A1564" s="1">
        <f>HYPERLINK("https://cms.ls-nyc.org/matter/dynamic-profile/view/0822906","16-0822906")</f>
        <v>0</v>
      </c>
      <c r="B1564" t="s">
        <v>94</v>
      </c>
      <c r="C1564" t="s">
        <v>235</v>
      </c>
      <c r="D1564" t="s">
        <v>423</v>
      </c>
      <c r="F1564" t="s">
        <v>1131</v>
      </c>
      <c r="G1564" t="s">
        <v>3035</v>
      </c>
      <c r="H1564" t="s">
        <v>4259</v>
      </c>
      <c r="I1564" t="s">
        <v>4758</v>
      </c>
      <c r="J1564" t="s">
        <v>5320</v>
      </c>
      <c r="K1564">
        <v>11207</v>
      </c>
      <c r="L1564" t="s">
        <v>5355</v>
      </c>
      <c r="M1564" t="s">
        <v>5356</v>
      </c>
      <c r="N1564" t="s">
        <v>5825</v>
      </c>
      <c r="O1564" t="s">
        <v>6494</v>
      </c>
      <c r="P1564" t="s">
        <v>6530</v>
      </c>
      <c r="R1564" t="s">
        <v>6539</v>
      </c>
      <c r="S1564" t="s">
        <v>5355</v>
      </c>
      <c r="U1564" t="s">
        <v>6557</v>
      </c>
      <c r="W1564" t="s">
        <v>6578</v>
      </c>
      <c r="X1564">
        <v>1200</v>
      </c>
      <c r="Y1564" t="s">
        <v>6605</v>
      </c>
      <c r="Z1564" t="s">
        <v>6614</v>
      </c>
      <c r="AB1564" t="s">
        <v>7987</v>
      </c>
      <c r="AE1564">
        <v>6</v>
      </c>
      <c r="AF1564" t="s">
        <v>11005</v>
      </c>
      <c r="AH1564">
        <v>7</v>
      </c>
      <c r="AI1564">
        <v>1</v>
      </c>
      <c r="AJ1564">
        <v>3</v>
      </c>
      <c r="AK1564">
        <v>42.8</v>
      </c>
      <c r="AN1564" t="s">
        <v>11050</v>
      </c>
      <c r="AO1564">
        <v>10400</v>
      </c>
      <c r="AU1564">
        <v>1.45</v>
      </c>
      <c r="AV1564" t="s">
        <v>701</v>
      </c>
      <c r="AW1564" t="s">
        <v>228</v>
      </c>
    </row>
    <row r="1565" spans="1:50">
      <c r="A1565" s="1">
        <f>HYPERLINK("https://cms.ls-nyc.org/matter/dynamic-profile/view/1851833","17-1851833")</f>
        <v>0</v>
      </c>
      <c r="B1565" t="s">
        <v>148</v>
      </c>
      <c r="C1565" t="s">
        <v>234</v>
      </c>
      <c r="D1565" t="s">
        <v>269</v>
      </c>
      <c r="E1565" t="s">
        <v>751</v>
      </c>
      <c r="F1565" t="s">
        <v>1164</v>
      </c>
      <c r="G1565" t="s">
        <v>3037</v>
      </c>
      <c r="H1565" t="s">
        <v>4261</v>
      </c>
      <c r="I1565" t="s">
        <v>4868</v>
      </c>
      <c r="J1565" t="s">
        <v>5322</v>
      </c>
      <c r="K1565">
        <v>10304</v>
      </c>
      <c r="L1565" t="s">
        <v>5355</v>
      </c>
      <c r="M1565" t="s">
        <v>5356</v>
      </c>
      <c r="N1565" t="s">
        <v>5826</v>
      </c>
      <c r="O1565" t="s">
        <v>6492</v>
      </c>
      <c r="P1565" t="s">
        <v>6530</v>
      </c>
      <c r="Q1565" t="s">
        <v>6534</v>
      </c>
      <c r="R1565" t="s">
        <v>6539</v>
      </c>
      <c r="S1565" t="s">
        <v>5357</v>
      </c>
      <c r="U1565" t="s">
        <v>6557</v>
      </c>
      <c r="W1565" t="s">
        <v>269</v>
      </c>
      <c r="X1565">
        <v>1250</v>
      </c>
      <c r="Y1565" t="s">
        <v>6607</v>
      </c>
      <c r="Z1565" t="s">
        <v>6614</v>
      </c>
      <c r="AA1565" t="s">
        <v>6637</v>
      </c>
      <c r="AB1565" t="s">
        <v>7839</v>
      </c>
      <c r="AC1565" t="s">
        <v>8937</v>
      </c>
      <c r="AD1565" t="s">
        <v>10334</v>
      </c>
      <c r="AE1565">
        <v>403</v>
      </c>
      <c r="AF1565" t="s">
        <v>11005</v>
      </c>
      <c r="AG1565" t="s">
        <v>11023</v>
      </c>
      <c r="AH1565">
        <v>7</v>
      </c>
      <c r="AI1565">
        <v>2</v>
      </c>
      <c r="AJ1565">
        <v>4</v>
      </c>
      <c r="AK1565">
        <v>42.8</v>
      </c>
      <c r="AN1565" t="s">
        <v>11050</v>
      </c>
      <c r="AO1565">
        <v>16796.4</v>
      </c>
      <c r="AU1565">
        <v>32.35</v>
      </c>
      <c r="AV1565" t="s">
        <v>751</v>
      </c>
      <c r="AW1565" t="s">
        <v>62</v>
      </c>
    </row>
    <row r="1566" spans="1:50">
      <c r="A1566" s="1">
        <f>HYPERLINK("https://cms.ls-nyc.org/matter/dynamic-profile/view/1839683","17-1839683")</f>
        <v>0</v>
      </c>
      <c r="B1566" t="s">
        <v>54</v>
      </c>
      <c r="C1566" t="s">
        <v>234</v>
      </c>
      <c r="D1566" t="s">
        <v>529</v>
      </c>
      <c r="E1566" t="s">
        <v>707</v>
      </c>
      <c r="F1566" t="s">
        <v>1446</v>
      </c>
      <c r="G1566" t="s">
        <v>2326</v>
      </c>
      <c r="H1566" t="s">
        <v>4133</v>
      </c>
      <c r="I1566">
        <v>1</v>
      </c>
      <c r="J1566" t="s">
        <v>5320</v>
      </c>
      <c r="K1566">
        <v>11208</v>
      </c>
      <c r="L1566" t="s">
        <v>5355</v>
      </c>
      <c r="M1566" t="s">
        <v>5355</v>
      </c>
      <c r="N1566" t="s">
        <v>5827</v>
      </c>
      <c r="O1566" t="s">
        <v>6491</v>
      </c>
      <c r="P1566" t="s">
        <v>6530</v>
      </c>
      <c r="Q1566" t="s">
        <v>6538</v>
      </c>
      <c r="R1566" t="s">
        <v>6539</v>
      </c>
      <c r="S1566" t="s">
        <v>5355</v>
      </c>
      <c r="U1566" t="s">
        <v>6557</v>
      </c>
      <c r="W1566" t="s">
        <v>404</v>
      </c>
      <c r="X1566">
        <v>450</v>
      </c>
      <c r="Y1566" t="s">
        <v>6605</v>
      </c>
      <c r="AA1566" t="s">
        <v>6637</v>
      </c>
      <c r="AB1566" t="s">
        <v>7989</v>
      </c>
      <c r="AE1566">
        <v>7</v>
      </c>
      <c r="AF1566" t="s">
        <v>11004</v>
      </c>
      <c r="AG1566" t="s">
        <v>5406</v>
      </c>
      <c r="AH1566">
        <v>5</v>
      </c>
      <c r="AI1566">
        <v>3</v>
      </c>
      <c r="AJ1566">
        <v>1</v>
      </c>
      <c r="AK1566">
        <v>42.93</v>
      </c>
      <c r="AN1566" t="s">
        <v>11049</v>
      </c>
      <c r="AO1566">
        <v>10560</v>
      </c>
      <c r="AQ1566" t="s">
        <v>11192</v>
      </c>
      <c r="AR1566" t="s">
        <v>11210</v>
      </c>
      <c r="AS1566" t="s">
        <v>11253</v>
      </c>
      <c r="AT1566" t="s">
        <v>11261</v>
      </c>
      <c r="AU1566">
        <v>1.52</v>
      </c>
      <c r="AV1566" t="s">
        <v>755</v>
      </c>
      <c r="AW1566" t="s">
        <v>219</v>
      </c>
    </row>
    <row r="1567" spans="1:50">
      <c r="A1567" s="1">
        <f>HYPERLINK("https://cms.ls-nyc.org/matter/dynamic-profile/view/1867199","18-1867199")</f>
        <v>0</v>
      </c>
      <c r="B1567" t="s">
        <v>142</v>
      </c>
      <c r="C1567" t="s">
        <v>234</v>
      </c>
      <c r="D1567" t="s">
        <v>391</v>
      </c>
      <c r="E1567" t="s">
        <v>804</v>
      </c>
      <c r="F1567" t="s">
        <v>893</v>
      </c>
      <c r="G1567" t="s">
        <v>2259</v>
      </c>
      <c r="H1567" t="s">
        <v>4262</v>
      </c>
      <c r="I1567" t="s">
        <v>4781</v>
      </c>
      <c r="J1567" t="s">
        <v>5320</v>
      </c>
      <c r="K1567">
        <v>11208</v>
      </c>
      <c r="L1567" t="s">
        <v>5355</v>
      </c>
      <c r="M1567" t="s">
        <v>5355</v>
      </c>
      <c r="N1567" t="s">
        <v>5828</v>
      </c>
      <c r="O1567" t="s">
        <v>6491</v>
      </c>
      <c r="P1567" t="s">
        <v>6530</v>
      </c>
      <c r="Q1567" t="s">
        <v>6531</v>
      </c>
      <c r="R1567" t="s">
        <v>6539</v>
      </c>
      <c r="S1567" t="s">
        <v>5357</v>
      </c>
      <c r="U1567" t="s">
        <v>6557</v>
      </c>
      <c r="V1567" t="s">
        <v>6566</v>
      </c>
      <c r="W1567" t="s">
        <v>315</v>
      </c>
      <c r="X1567">
        <v>2100</v>
      </c>
      <c r="Y1567" t="s">
        <v>6605</v>
      </c>
      <c r="Z1567" t="s">
        <v>6617</v>
      </c>
      <c r="AA1567" t="s">
        <v>6633</v>
      </c>
      <c r="AB1567" t="s">
        <v>7990</v>
      </c>
      <c r="AC1567" t="s">
        <v>8938</v>
      </c>
      <c r="AD1567" t="s">
        <v>10335</v>
      </c>
      <c r="AE1567">
        <v>4</v>
      </c>
      <c r="AF1567" t="s">
        <v>11004</v>
      </c>
      <c r="AG1567" t="s">
        <v>11023</v>
      </c>
      <c r="AH1567">
        <v>3</v>
      </c>
      <c r="AI1567">
        <v>1</v>
      </c>
      <c r="AJ1567">
        <v>4</v>
      </c>
      <c r="AK1567">
        <v>43.17</v>
      </c>
      <c r="AN1567" t="s">
        <v>11050</v>
      </c>
      <c r="AO1567">
        <v>12700</v>
      </c>
      <c r="AU1567">
        <v>18.5</v>
      </c>
      <c r="AV1567" t="s">
        <v>11471</v>
      </c>
      <c r="AW1567" t="s">
        <v>11512</v>
      </c>
    </row>
    <row r="1568" spans="1:50">
      <c r="A1568" s="1">
        <f>HYPERLINK("https://cms.ls-nyc.org/matter/dynamic-profile/view/1868524","18-1868524")</f>
        <v>0</v>
      </c>
      <c r="B1568" t="s">
        <v>87</v>
      </c>
      <c r="C1568" t="s">
        <v>234</v>
      </c>
      <c r="D1568" t="s">
        <v>267</v>
      </c>
      <c r="E1568" t="s">
        <v>749</v>
      </c>
      <c r="F1568" t="s">
        <v>1722</v>
      </c>
      <c r="G1568" t="s">
        <v>3038</v>
      </c>
      <c r="H1568" t="s">
        <v>4263</v>
      </c>
      <c r="I1568" t="s">
        <v>5167</v>
      </c>
      <c r="J1568" t="s">
        <v>5322</v>
      </c>
      <c r="K1568">
        <v>10305</v>
      </c>
      <c r="L1568" t="s">
        <v>5355</v>
      </c>
      <c r="M1568" t="s">
        <v>5356</v>
      </c>
      <c r="N1568" t="s">
        <v>5829</v>
      </c>
      <c r="O1568" t="s">
        <v>6495</v>
      </c>
      <c r="P1568" t="s">
        <v>6530</v>
      </c>
      <c r="Q1568" t="s">
        <v>6534</v>
      </c>
      <c r="R1568" t="s">
        <v>6540</v>
      </c>
      <c r="S1568" t="s">
        <v>5355</v>
      </c>
      <c r="U1568" t="s">
        <v>6557</v>
      </c>
      <c r="V1568" t="s">
        <v>6566</v>
      </c>
      <c r="W1568" t="s">
        <v>267</v>
      </c>
      <c r="X1568">
        <v>1250</v>
      </c>
      <c r="Y1568" t="s">
        <v>6607</v>
      </c>
      <c r="Z1568" t="s">
        <v>6610</v>
      </c>
      <c r="AA1568" t="s">
        <v>6637</v>
      </c>
      <c r="AB1568" t="s">
        <v>7991</v>
      </c>
      <c r="AD1568" t="s">
        <v>10336</v>
      </c>
      <c r="AE1568">
        <v>3</v>
      </c>
      <c r="AF1568" t="s">
        <v>11004</v>
      </c>
      <c r="AG1568" t="s">
        <v>11022</v>
      </c>
      <c r="AH1568">
        <v>3</v>
      </c>
      <c r="AI1568">
        <v>1</v>
      </c>
      <c r="AJ1568">
        <v>2</v>
      </c>
      <c r="AK1568">
        <v>43.48</v>
      </c>
      <c r="AL1568" t="s">
        <v>11028</v>
      </c>
      <c r="AO1568">
        <v>9036</v>
      </c>
      <c r="AU1568">
        <v>11.8</v>
      </c>
      <c r="AV1568" t="s">
        <v>684</v>
      </c>
      <c r="AW1568" t="s">
        <v>62</v>
      </c>
    </row>
    <row r="1569" spans="1:49">
      <c r="A1569" s="1">
        <f>HYPERLINK("https://cms.ls-nyc.org/matter/dynamic-profile/view/1852552","17-1852552")</f>
        <v>0</v>
      </c>
      <c r="B1569" t="s">
        <v>100</v>
      </c>
      <c r="C1569" t="s">
        <v>234</v>
      </c>
      <c r="D1569" t="s">
        <v>332</v>
      </c>
      <c r="E1569" t="s">
        <v>703</v>
      </c>
      <c r="F1569" t="s">
        <v>1723</v>
      </c>
      <c r="G1569" t="s">
        <v>2270</v>
      </c>
      <c r="H1569" t="s">
        <v>4244</v>
      </c>
      <c r="I1569" t="s">
        <v>5085</v>
      </c>
      <c r="J1569" t="s">
        <v>5320</v>
      </c>
      <c r="K1569">
        <v>11206</v>
      </c>
      <c r="L1569" t="s">
        <v>5355</v>
      </c>
      <c r="M1569" t="s">
        <v>5355</v>
      </c>
      <c r="N1569" t="s">
        <v>5830</v>
      </c>
      <c r="O1569" t="s">
        <v>6492</v>
      </c>
      <c r="P1569" t="s">
        <v>6530</v>
      </c>
      <c r="Q1569" t="s">
        <v>6535</v>
      </c>
      <c r="R1569" t="s">
        <v>6539</v>
      </c>
      <c r="S1569" t="s">
        <v>5357</v>
      </c>
      <c r="U1569" t="s">
        <v>6557</v>
      </c>
      <c r="W1569" t="s">
        <v>294</v>
      </c>
      <c r="X1569">
        <v>3200</v>
      </c>
      <c r="Y1569" t="s">
        <v>6605</v>
      </c>
      <c r="AA1569" t="s">
        <v>6637</v>
      </c>
      <c r="AB1569" t="s">
        <v>7992</v>
      </c>
      <c r="AD1569" t="s">
        <v>10337</v>
      </c>
      <c r="AE1569">
        <v>6</v>
      </c>
      <c r="AF1569" t="s">
        <v>11014</v>
      </c>
      <c r="AH1569">
        <v>36</v>
      </c>
      <c r="AI1569">
        <v>2</v>
      </c>
      <c r="AJ1569">
        <v>4</v>
      </c>
      <c r="AK1569">
        <v>43.69</v>
      </c>
      <c r="AO1569">
        <v>14400</v>
      </c>
      <c r="AU1569">
        <v>19.65</v>
      </c>
      <c r="AV1569" t="s">
        <v>11464</v>
      </c>
      <c r="AW1569" t="s">
        <v>11548</v>
      </c>
    </row>
    <row r="1570" spans="1:49">
      <c r="A1570" s="1">
        <f>HYPERLINK("https://cms.ls-nyc.org/matter/dynamic-profile/view/1833344","17-1833344")</f>
        <v>0</v>
      </c>
      <c r="B1570" t="s">
        <v>138</v>
      </c>
      <c r="C1570" t="s">
        <v>235</v>
      </c>
      <c r="D1570" t="s">
        <v>580</v>
      </c>
      <c r="F1570" t="s">
        <v>1161</v>
      </c>
      <c r="G1570" t="s">
        <v>2408</v>
      </c>
      <c r="H1570" t="s">
        <v>3743</v>
      </c>
      <c r="I1570">
        <v>4</v>
      </c>
      <c r="J1570" t="s">
        <v>5320</v>
      </c>
      <c r="K1570">
        <v>11207</v>
      </c>
      <c r="L1570" t="s">
        <v>5355</v>
      </c>
      <c r="M1570" t="s">
        <v>5356</v>
      </c>
      <c r="P1570" t="s">
        <v>6530</v>
      </c>
      <c r="R1570" t="s">
        <v>6539</v>
      </c>
      <c r="S1570" t="s">
        <v>5355</v>
      </c>
      <c r="U1570" t="s">
        <v>6557</v>
      </c>
      <c r="W1570" t="s">
        <v>404</v>
      </c>
      <c r="X1570">
        <v>1100</v>
      </c>
      <c r="Y1570" t="s">
        <v>6605</v>
      </c>
      <c r="Z1570" t="s">
        <v>6622</v>
      </c>
      <c r="AB1570" t="s">
        <v>7036</v>
      </c>
      <c r="AD1570" t="s">
        <v>9437</v>
      </c>
      <c r="AE1570">
        <v>7</v>
      </c>
      <c r="AF1570" t="s">
        <v>11004</v>
      </c>
      <c r="AH1570">
        <v>3</v>
      </c>
      <c r="AI1570">
        <v>3</v>
      </c>
      <c r="AJ1570">
        <v>1</v>
      </c>
      <c r="AK1570">
        <v>43.9</v>
      </c>
      <c r="AN1570" t="s">
        <v>11050</v>
      </c>
      <c r="AO1570">
        <v>10800</v>
      </c>
      <c r="AU1570">
        <v>2.1</v>
      </c>
      <c r="AV1570" t="s">
        <v>804</v>
      </c>
      <c r="AW1570" t="s">
        <v>54</v>
      </c>
    </row>
    <row r="1571" spans="1:49">
      <c r="A1571" s="1">
        <f>HYPERLINK("https://cms.ls-nyc.org/matter/dynamic-profile/view/1854393","17-1854393")</f>
        <v>0</v>
      </c>
      <c r="B1571" t="s">
        <v>128</v>
      </c>
      <c r="C1571" t="s">
        <v>234</v>
      </c>
      <c r="D1571" t="s">
        <v>378</v>
      </c>
      <c r="E1571" t="s">
        <v>740</v>
      </c>
      <c r="F1571" t="s">
        <v>1724</v>
      </c>
      <c r="G1571" t="s">
        <v>3039</v>
      </c>
      <c r="H1571" t="s">
        <v>4264</v>
      </c>
      <c r="I1571" t="s">
        <v>4734</v>
      </c>
      <c r="J1571" t="s">
        <v>5320</v>
      </c>
      <c r="K1571">
        <v>11208</v>
      </c>
      <c r="L1571" t="s">
        <v>5355</v>
      </c>
      <c r="M1571" t="s">
        <v>5355</v>
      </c>
      <c r="N1571" t="s">
        <v>5831</v>
      </c>
      <c r="O1571" t="s">
        <v>6491</v>
      </c>
      <c r="P1571" t="s">
        <v>6530</v>
      </c>
      <c r="Q1571" t="s">
        <v>6535</v>
      </c>
      <c r="R1571" t="s">
        <v>6539</v>
      </c>
      <c r="U1571" t="s">
        <v>6557</v>
      </c>
      <c r="W1571" t="s">
        <v>308</v>
      </c>
      <c r="X1571">
        <v>1053</v>
      </c>
      <c r="Y1571" t="s">
        <v>6605</v>
      </c>
      <c r="Z1571" t="s">
        <v>6611</v>
      </c>
      <c r="AA1571" t="s">
        <v>6633</v>
      </c>
      <c r="AB1571" t="s">
        <v>7993</v>
      </c>
      <c r="AC1571">
        <v>17987709</v>
      </c>
      <c r="AD1571" t="s">
        <v>10338</v>
      </c>
      <c r="AE1571">
        <v>5</v>
      </c>
      <c r="AF1571" t="s">
        <v>11004</v>
      </c>
      <c r="AG1571" t="s">
        <v>5406</v>
      </c>
      <c r="AH1571">
        <v>7</v>
      </c>
      <c r="AI1571">
        <v>2</v>
      </c>
      <c r="AJ1571">
        <v>1</v>
      </c>
      <c r="AK1571">
        <v>44.07</v>
      </c>
      <c r="AN1571" t="s">
        <v>11050</v>
      </c>
      <c r="AO1571">
        <v>9000</v>
      </c>
      <c r="AQ1571" t="s">
        <v>11192</v>
      </c>
      <c r="AR1571" t="s">
        <v>6493</v>
      </c>
      <c r="AS1571" t="s">
        <v>11252</v>
      </c>
      <c r="AT1571" t="s">
        <v>11280</v>
      </c>
      <c r="AU1571">
        <v>14.85</v>
      </c>
      <c r="AV1571" t="s">
        <v>255</v>
      </c>
      <c r="AW1571" t="s">
        <v>11487</v>
      </c>
    </row>
    <row r="1572" spans="1:49">
      <c r="A1572" s="1">
        <f>HYPERLINK("https://cms.ls-nyc.org/matter/dynamic-profile/view/1863759","18-1863759")</f>
        <v>0</v>
      </c>
      <c r="B1572" t="s">
        <v>92</v>
      </c>
      <c r="C1572" t="s">
        <v>235</v>
      </c>
      <c r="D1572" t="s">
        <v>288</v>
      </c>
      <c r="F1572" t="s">
        <v>1725</v>
      </c>
      <c r="G1572" t="s">
        <v>2476</v>
      </c>
      <c r="H1572" t="s">
        <v>3579</v>
      </c>
      <c r="I1572">
        <v>711</v>
      </c>
      <c r="J1572" t="s">
        <v>5323</v>
      </c>
      <c r="K1572">
        <v>10029</v>
      </c>
      <c r="L1572" t="s">
        <v>5355</v>
      </c>
      <c r="M1572" t="s">
        <v>5355</v>
      </c>
      <c r="N1572" t="s">
        <v>5632</v>
      </c>
      <c r="O1572" t="s">
        <v>6494</v>
      </c>
      <c r="P1572" t="s">
        <v>6530</v>
      </c>
      <c r="R1572" t="s">
        <v>6539</v>
      </c>
      <c r="S1572" t="s">
        <v>5355</v>
      </c>
      <c r="U1572" t="s">
        <v>6557</v>
      </c>
      <c r="V1572" t="s">
        <v>6566</v>
      </c>
      <c r="W1572" t="s">
        <v>263</v>
      </c>
      <c r="X1572">
        <v>2760</v>
      </c>
      <c r="Y1572" t="s">
        <v>6608</v>
      </c>
      <c r="Z1572" t="s">
        <v>6622</v>
      </c>
      <c r="AB1572" t="s">
        <v>7994</v>
      </c>
      <c r="AD1572" t="s">
        <v>10339</v>
      </c>
      <c r="AE1572">
        <v>108</v>
      </c>
      <c r="AF1572" t="s">
        <v>11008</v>
      </c>
      <c r="AG1572" t="s">
        <v>11020</v>
      </c>
      <c r="AH1572">
        <v>17</v>
      </c>
      <c r="AI1572">
        <v>2</v>
      </c>
      <c r="AJ1572">
        <v>1</v>
      </c>
      <c r="AK1572">
        <v>44.12</v>
      </c>
      <c r="AN1572" t="s">
        <v>11049</v>
      </c>
      <c r="AO1572">
        <v>9168</v>
      </c>
      <c r="AU1572">
        <v>48.6</v>
      </c>
      <c r="AV1572" t="s">
        <v>11451</v>
      </c>
      <c r="AW1572" t="s">
        <v>11497</v>
      </c>
    </row>
    <row r="1573" spans="1:49">
      <c r="A1573" s="1">
        <f>HYPERLINK("https://cms.ls-nyc.org/matter/dynamic-profile/view/1863837","18-1863837")</f>
        <v>0</v>
      </c>
      <c r="B1573" t="s">
        <v>92</v>
      </c>
      <c r="C1573" t="s">
        <v>235</v>
      </c>
      <c r="D1573" t="s">
        <v>288</v>
      </c>
      <c r="F1573" t="s">
        <v>1468</v>
      </c>
      <c r="G1573" t="s">
        <v>3040</v>
      </c>
      <c r="H1573" t="s">
        <v>3579</v>
      </c>
      <c r="I1573">
        <v>809</v>
      </c>
      <c r="J1573" t="s">
        <v>5323</v>
      </c>
      <c r="K1573">
        <v>10029</v>
      </c>
      <c r="L1573" t="s">
        <v>5355</v>
      </c>
      <c r="M1573" t="s">
        <v>5355</v>
      </c>
      <c r="N1573" t="s">
        <v>5632</v>
      </c>
      <c r="O1573" t="s">
        <v>6494</v>
      </c>
      <c r="P1573" t="s">
        <v>6530</v>
      </c>
      <c r="R1573" t="s">
        <v>6539</v>
      </c>
      <c r="S1573" t="s">
        <v>5355</v>
      </c>
      <c r="U1573" t="s">
        <v>6557</v>
      </c>
      <c r="V1573" t="s">
        <v>6566</v>
      </c>
      <c r="W1573" t="s">
        <v>263</v>
      </c>
      <c r="X1573">
        <v>0</v>
      </c>
      <c r="Y1573" t="s">
        <v>6608</v>
      </c>
      <c r="Z1573" t="s">
        <v>6622</v>
      </c>
      <c r="AB1573" t="s">
        <v>7995</v>
      </c>
      <c r="AE1573">
        <v>108</v>
      </c>
      <c r="AF1573" t="s">
        <v>11008</v>
      </c>
      <c r="AG1573" t="s">
        <v>11020</v>
      </c>
      <c r="AH1573">
        <v>32</v>
      </c>
      <c r="AI1573">
        <v>2</v>
      </c>
      <c r="AJ1573">
        <v>1</v>
      </c>
      <c r="AK1573">
        <v>44.64</v>
      </c>
      <c r="AN1573" t="s">
        <v>11050</v>
      </c>
      <c r="AO1573">
        <v>9276</v>
      </c>
      <c r="AU1573">
        <v>0.25</v>
      </c>
      <c r="AV1573" t="s">
        <v>11451</v>
      </c>
      <c r="AW1573" t="s">
        <v>11497</v>
      </c>
    </row>
    <row r="1574" spans="1:49">
      <c r="A1574" s="1">
        <f>HYPERLINK("https://cms.ls-nyc.org/matter/dynamic-profile/view/1863673","18-1863673")</f>
        <v>0</v>
      </c>
      <c r="B1574" t="s">
        <v>67</v>
      </c>
      <c r="C1574" t="s">
        <v>234</v>
      </c>
      <c r="D1574" t="s">
        <v>263</v>
      </c>
      <c r="E1574" t="s">
        <v>386</v>
      </c>
      <c r="F1574" t="s">
        <v>972</v>
      </c>
      <c r="G1574" t="s">
        <v>2135</v>
      </c>
      <c r="H1574" t="s">
        <v>4265</v>
      </c>
      <c r="I1574">
        <v>307</v>
      </c>
      <c r="J1574" t="s">
        <v>5323</v>
      </c>
      <c r="K1574">
        <v>10029</v>
      </c>
      <c r="L1574" t="s">
        <v>5355</v>
      </c>
      <c r="M1574" t="s">
        <v>5355</v>
      </c>
      <c r="N1574" t="s">
        <v>5832</v>
      </c>
      <c r="O1574" t="s">
        <v>6492</v>
      </c>
      <c r="P1574" t="s">
        <v>6530</v>
      </c>
      <c r="Q1574" t="s">
        <v>6534</v>
      </c>
      <c r="R1574" t="s">
        <v>6539</v>
      </c>
      <c r="S1574" t="s">
        <v>5357</v>
      </c>
      <c r="U1574" t="s">
        <v>6557</v>
      </c>
      <c r="V1574" t="s">
        <v>6566</v>
      </c>
      <c r="W1574" t="s">
        <v>263</v>
      </c>
      <c r="X1574">
        <v>3000</v>
      </c>
      <c r="Y1574" t="s">
        <v>6608</v>
      </c>
      <c r="Z1574" t="s">
        <v>6616</v>
      </c>
      <c r="AA1574" t="s">
        <v>6637</v>
      </c>
      <c r="AB1574" t="s">
        <v>7996</v>
      </c>
      <c r="AD1574" t="s">
        <v>10340</v>
      </c>
      <c r="AE1574">
        <v>83</v>
      </c>
      <c r="AF1574" t="s">
        <v>11008</v>
      </c>
      <c r="AG1574" t="s">
        <v>11020</v>
      </c>
      <c r="AH1574">
        <v>33</v>
      </c>
      <c r="AI1574">
        <v>3</v>
      </c>
      <c r="AJ1574">
        <v>0</v>
      </c>
      <c r="AK1574">
        <v>44.64</v>
      </c>
      <c r="AN1574" t="s">
        <v>11050</v>
      </c>
      <c r="AO1574">
        <v>9276</v>
      </c>
      <c r="AU1574">
        <v>9.199999999999999</v>
      </c>
      <c r="AV1574" t="s">
        <v>401</v>
      </c>
      <c r="AW1574" t="s">
        <v>11497</v>
      </c>
    </row>
    <row r="1575" spans="1:49">
      <c r="A1575" s="1">
        <f>HYPERLINK("https://cms.ls-nyc.org/matter/dynamic-profile/view/1851487","17-1851487")</f>
        <v>0</v>
      </c>
      <c r="B1575" t="s">
        <v>94</v>
      </c>
      <c r="C1575" t="s">
        <v>234</v>
      </c>
      <c r="D1575" t="s">
        <v>277</v>
      </c>
      <c r="E1575" t="s">
        <v>803</v>
      </c>
      <c r="F1575" t="s">
        <v>1726</v>
      </c>
      <c r="G1575" t="s">
        <v>1742</v>
      </c>
      <c r="H1575" t="s">
        <v>4266</v>
      </c>
      <c r="I1575" t="s">
        <v>4796</v>
      </c>
      <c r="J1575" t="s">
        <v>5320</v>
      </c>
      <c r="K1575">
        <v>11212</v>
      </c>
      <c r="L1575" t="s">
        <v>5355</v>
      </c>
      <c r="M1575" t="s">
        <v>5356</v>
      </c>
      <c r="N1575" t="s">
        <v>5833</v>
      </c>
      <c r="O1575" t="s">
        <v>6492</v>
      </c>
      <c r="P1575" t="s">
        <v>6530</v>
      </c>
      <c r="Q1575" t="s">
        <v>6534</v>
      </c>
      <c r="R1575" t="s">
        <v>6539</v>
      </c>
      <c r="S1575" t="s">
        <v>5355</v>
      </c>
      <c r="U1575" t="s">
        <v>6560</v>
      </c>
      <c r="W1575" t="s">
        <v>344</v>
      </c>
      <c r="X1575">
        <v>0</v>
      </c>
      <c r="Y1575" t="s">
        <v>6605</v>
      </c>
      <c r="Z1575" t="s">
        <v>6616</v>
      </c>
      <c r="AA1575" t="s">
        <v>6637</v>
      </c>
      <c r="AB1575" t="s">
        <v>7997</v>
      </c>
      <c r="AC1575" t="s">
        <v>8939</v>
      </c>
      <c r="AD1575" t="s">
        <v>10341</v>
      </c>
      <c r="AE1575">
        <v>45</v>
      </c>
      <c r="AF1575" t="s">
        <v>11005</v>
      </c>
      <c r="AG1575" t="s">
        <v>11027</v>
      </c>
      <c r="AH1575">
        <v>16</v>
      </c>
      <c r="AI1575">
        <v>1</v>
      </c>
      <c r="AJ1575">
        <v>0</v>
      </c>
      <c r="AK1575">
        <v>44.78</v>
      </c>
      <c r="AN1575" t="s">
        <v>11050</v>
      </c>
      <c r="AO1575">
        <v>5400</v>
      </c>
      <c r="AU1575">
        <v>67.09999999999999</v>
      </c>
      <c r="AV1575" t="s">
        <v>803</v>
      </c>
      <c r="AW1575" t="s">
        <v>11519</v>
      </c>
    </row>
    <row r="1576" spans="1:49">
      <c r="A1576" s="1">
        <f>HYPERLINK("https://cms.ls-nyc.org/matter/dynamic-profile/view/1868446","18-1868446")</f>
        <v>0</v>
      </c>
      <c r="B1576" t="s">
        <v>190</v>
      </c>
      <c r="C1576" t="s">
        <v>235</v>
      </c>
      <c r="D1576" t="s">
        <v>352</v>
      </c>
      <c r="F1576" t="s">
        <v>967</v>
      </c>
      <c r="G1576" t="s">
        <v>2218</v>
      </c>
      <c r="H1576" t="s">
        <v>3555</v>
      </c>
      <c r="I1576" t="s">
        <v>4744</v>
      </c>
      <c r="J1576" t="s">
        <v>5323</v>
      </c>
      <c r="K1576">
        <v>10034</v>
      </c>
      <c r="L1576" t="s">
        <v>5355</v>
      </c>
      <c r="M1576" t="s">
        <v>5355</v>
      </c>
      <c r="N1576" t="s">
        <v>5423</v>
      </c>
      <c r="O1576" t="s">
        <v>6492</v>
      </c>
      <c r="P1576" t="s">
        <v>6530</v>
      </c>
      <c r="R1576" t="s">
        <v>6539</v>
      </c>
      <c r="S1576" t="s">
        <v>5357</v>
      </c>
      <c r="U1576" t="s">
        <v>6557</v>
      </c>
      <c r="W1576" t="s">
        <v>352</v>
      </c>
      <c r="X1576">
        <v>1098.91</v>
      </c>
      <c r="Y1576" t="s">
        <v>6608</v>
      </c>
      <c r="Z1576" t="s">
        <v>6616</v>
      </c>
      <c r="AB1576" t="s">
        <v>6791</v>
      </c>
      <c r="AC1576" t="s">
        <v>8940</v>
      </c>
      <c r="AD1576" t="s">
        <v>9220</v>
      </c>
      <c r="AE1576">
        <v>52</v>
      </c>
      <c r="AF1576" t="s">
        <v>11005</v>
      </c>
      <c r="AG1576" t="s">
        <v>5406</v>
      </c>
      <c r="AH1576">
        <v>18</v>
      </c>
      <c r="AI1576">
        <v>1</v>
      </c>
      <c r="AJ1576">
        <v>0</v>
      </c>
      <c r="AK1576">
        <v>45.3</v>
      </c>
      <c r="AN1576" t="s">
        <v>11050</v>
      </c>
      <c r="AO1576">
        <v>5500</v>
      </c>
      <c r="AU1576">
        <v>69.2</v>
      </c>
      <c r="AV1576" t="s">
        <v>727</v>
      </c>
      <c r="AW1576" t="s">
        <v>11495</v>
      </c>
    </row>
    <row r="1577" spans="1:49">
      <c r="A1577" s="1">
        <f>HYPERLINK("https://cms.ls-nyc.org/matter/dynamic-profile/view/1860954","18-1860954")</f>
        <v>0</v>
      </c>
      <c r="B1577" t="s">
        <v>137</v>
      </c>
      <c r="C1577" t="s">
        <v>235</v>
      </c>
      <c r="D1577" t="s">
        <v>259</v>
      </c>
      <c r="F1577" t="s">
        <v>1727</v>
      </c>
      <c r="G1577" t="s">
        <v>2215</v>
      </c>
      <c r="H1577" t="s">
        <v>4267</v>
      </c>
      <c r="I1577" t="s">
        <v>4817</v>
      </c>
      <c r="J1577" t="s">
        <v>5320</v>
      </c>
      <c r="K1577">
        <v>11220</v>
      </c>
      <c r="L1577" t="s">
        <v>5355</v>
      </c>
      <c r="M1577" t="s">
        <v>5355</v>
      </c>
      <c r="N1577" t="s">
        <v>5834</v>
      </c>
      <c r="O1577" t="s">
        <v>6492</v>
      </c>
      <c r="P1577" t="s">
        <v>6530</v>
      </c>
      <c r="R1577" t="s">
        <v>6539</v>
      </c>
      <c r="S1577" t="s">
        <v>5357</v>
      </c>
      <c r="U1577" t="s">
        <v>6557</v>
      </c>
      <c r="W1577" t="s">
        <v>296</v>
      </c>
      <c r="X1577">
        <v>1224</v>
      </c>
      <c r="Y1577" t="s">
        <v>6605</v>
      </c>
      <c r="Z1577" t="s">
        <v>6613</v>
      </c>
      <c r="AB1577" t="s">
        <v>7998</v>
      </c>
      <c r="AD1577" t="s">
        <v>10342</v>
      </c>
      <c r="AE1577">
        <v>30</v>
      </c>
      <c r="AF1577" t="s">
        <v>11005</v>
      </c>
      <c r="AG1577" t="s">
        <v>5406</v>
      </c>
      <c r="AH1577">
        <v>7</v>
      </c>
      <c r="AI1577">
        <v>2</v>
      </c>
      <c r="AJ1577">
        <v>1</v>
      </c>
      <c r="AK1577">
        <v>45.39</v>
      </c>
      <c r="AN1577" t="s">
        <v>11050</v>
      </c>
      <c r="AO1577">
        <v>9432</v>
      </c>
      <c r="AU1577">
        <v>10.3</v>
      </c>
      <c r="AV1577" t="s">
        <v>775</v>
      </c>
      <c r="AW1577" t="s">
        <v>194</v>
      </c>
    </row>
    <row r="1578" spans="1:49">
      <c r="A1578" s="1">
        <f>HYPERLINK("https://cms.ls-nyc.org/matter/dynamic-profile/view/1850393","17-1850393")</f>
        <v>0</v>
      </c>
      <c r="B1578" t="s">
        <v>63</v>
      </c>
      <c r="C1578" t="s">
        <v>234</v>
      </c>
      <c r="D1578" t="s">
        <v>292</v>
      </c>
      <c r="E1578" t="s">
        <v>696</v>
      </c>
      <c r="F1578" t="s">
        <v>1728</v>
      </c>
      <c r="G1578" t="s">
        <v>3041</v>
      </c>
      <c r="H1578" t="s">
        <v>4268</v>
      </c>
      <c r="I1578">
        <v>2</v>
      </c>
      <c r="J1578" t="s">
        <v>5322</v>
      </c>
      <c r="K1578">
        <v>10304</v>
      </c>
      <c r="L1578" t="s">
        <v>5355</v>
      </c>
      <c r="M1578" t="s">
        <v>5355</v>
      </c>
      <c r="N1578" t="s">
        <v>5835</v>
      </c>
      <c r="O1578" t="s">
        <v>6491</v>
      </c>
      <c r="P1578" t="s">
        <v>6530</v>
      </c>
      <c r="Q1578" t="s">
        <v>6534</v>
      </c>
      <c r="R1578" t="s">
        <v>6539</v>
      </c>
      <c r="S1578" t="s">
        <v>5357</v>
      </c>
      <c r="U1578" t="s">
        <v>6557</v>
      </c>
      <c r="V1578" t="s">
        <v>6566</v>
      </c>
      <c r="W1578" t="s">
        <v>6595</v>
      </c>
      <c r="X1578">
        <v>1100</v>
      </c>
      <c r="Y1578" t="s">
        <v>6607</v>
      </c>
      <c r="Z1578" t="s">
        <v>6612</v>
      </c>
      <c r="AA1578" t="s">
        <v>6633</v>
      </c>
      <c r="AB1578" t="s">
        <v>7999</v>
      </c>
      <c r="AD1578" t="s">
        <v>10343</v>
      </c>
      <c r="AE1578">
        <v>6</v>
      </c>
      <c r="AF1578" t="s">
        <v>11004</v>
      </c>
      <c r="AG1578" t="s">
        <v>11020</v>
      </c>
      <c r="AH1578">
        <v>3</v>
      </c>
      <c r="AI1578">
        <v>2</v>
      </c>
      <c r="AJ1578">
        <v>0</v>
      </c>
      <c r="AK1578">
        <v>46.11</v>
      </c>
      <c r="AN1578" t="s">
        <v>11050</v>
      </c>
      <c r="AO1578">
        <v>7488</v>
      </c>
      <c r="AQ1578" t="s">
        <v>11191</v>
      </c>
      <c r="AR1578" t="s">
        <v>11214</v>
      </c>
      <c r="AS1578" t="s">
        <v>11252</v>
      </c>
      <c r="AT1578" t="s">
        <v>11332</v>
      </c>
      <c r="AU1578">
        <v>64.2</v>
      </c>
      <c r="AV1578" t="s">
        <v>666</v>
      </c>
      <c r="AW1578" t="s">
        <v>11510</v>
      </c>
    </row>
    <row r="1579" spans="1:49">
      <c r="A1579" s="1">
        <f>HYPERLINK("https://cms.ls-nyc.org/matter/dynamic-profile/view/1853915","17-1853915")</f>
        <v>0</v>
      </c>
      <c r="B1579" t="s">
        <v>94</v>
      </c>
      <c r="C1579" t="s">
        <v>235</v>
      </c>
      <c r="D1579" t="s">
        <v>579</v>
      </c>
      <c r="F1579" t="s">
        <v>1729</v>
      </c>
      <c r="G1579" t="s">
        <v>2500</v>
      </c>
      <c r="H1579" t="s">
        <v>4259</v>
      </c>
      <c r="I1579" t="s">
        <v>4941</v>
      </c>
      <c r="J1579" t="s">
        <v>5320</v>
      </c>
      <c r="K1579">
        <v>11207</v>
      </c>
      <c r="L1579" t="s">
        <v>5355</v>
      </c>
      <c r="M1579" t="s">
        <v>5355</v>
      </c>
      <c r="N1579" t="s">
        <v>5825</v>
      </c>
      <c r="O1579" t="s">
        <v>6494</v>
      </c>
      <c r="P1579" t="s">
        <v>6530</v>
      </c>
      <c r="R1579" t="s">
        <v>6539</v>
      </c>
      <c r="S1579" t="s">
        <v>5355</v>
      </c>
      <c r="U1579" t="s">
        <v>6557</v>
      </c>
      <c r="W1579" t="s">
        <v>562</v>
      </c>
      <c r="X1579">
        <v>1250</v>
      </c>
      <c r="Y1579" t="s">
        <v>6605</v>
      </c>
      <c r="Z1579" t="s">
        <v>6622</v>
      </c>
      <c r="AB1579" t="s">
        <v>7990</v>
      </c>
      <c r="AD1579" t="s">
        <v>10344</v>
      </c>
      <c r="AE1579">
        <v>6</v>
      </c>
      <c r="AF1579" t="s">
        <v>11005</v>
      </c>
      <c r="AG1579" t="s">
        <v>11026</v>
      </c>
      <c r="AH1579">
        <v>7</v>
      </c>
      <c r="AI1579">
        <v>1</v>
      </c>
      <c r="AJ1579">
        <v>1</v>
      </c>
      <c r="AK1579">
        <v>46.13</v>
      </c>
      <c r="AM1579" t="s">
        <v>11045</v>
      </c>
      <c r="AN1579" t="s">
        <v>11050</v>
      </c>
      <c r="AO1579">
        <v>7492</v>
      </c>
      <c r="AP1579" t="s">
        <v>11094</v>
      </c>
      <c r="AU1579">
        <v>2.45</v>
      </c>
      <c r="AV1579" t="s">
        <v>253</v>
      </c>
      <c r="AW1579" t="s">
        <v>77</v>
      </c>
    </row>
    <row r="1580" spans="1:49">
      <c r="A1580" s="1">
        <f>HYPERLINK("https://cms.ls-nyc.org/matter/dynamic-profile/view/1847633","17-1847633")</f>
        <v>0</v>
      </c>
      <c r="B1580" t="s">
        <v>131</v>
      </c>
      <c r="C1580" t="s">
        <v>235</v>
      </c>
      <c r="D1580" t="s">
        <v>346</v>
      </c>
      <c r="F1580" t="s">
        <v>1033</v>
      </c>
      <c r="G1580" t="s">
        <v>2115</v>
      </c>
      <c r="H1580" t="s">
        <v>4269</v>
      </c>
      <c r="I1580" t="s">
        <v>4830</v>
      </c>
      <c r="J1580" t="s">
        <v>5323</v>
      </c>
      <c r="K1580">
        <v>10034</v>
      </c>
      <c r="L1580" t="s">
        <v>5355</v>
      </c>
      <c r="M1580" t="s">
        <v>5356</v>
      </c>
      <c r="O1580" t="s">
        <v>6494</v>
      </c>
      <c r="P1580" t="s">
        <v>6530</v>
      </c>
      <c r="R1580" t="s">
        <v>6539</v>
      </c>
      <c r="S1580" t="s">
        <v>5355</v>
      </c>
      <c r="U1580" t="s">
        <v>6557</v>
      </c>
      <c r="W1580" t="s">
        <v>390</v>
      </c>
      <c r="X1580">
        <v>822.01</v>
      </c>
      <c r="Y1580" t="s">
        <v>6608</v>
      </c>
      <c r="Z1580" t="s">
        <v>6616</v>
      </c>
      <c r="AB1580" t="s">
        <v>8000</v>
      </c>
      <c r="AD1580" t="s">
        <v>10345</v>
      </c>
      <c r="AE1580">
        <v>50</v>
      </c>
      <c r="AF1580" t="s">
        <v>11005</v>
      </c>
      <c r="AG1580" t="s">
        <v>5406</v>
      </c>
      <c r="AH1580">
        <v>40</v>
      </c>
      <c r="AI1580">
        <v>2</v>
      </c>
      <c r="AJ1580">
        <v>0</v>
      </c>
      <c r="AK1580">
        <v>46.55</v>
      </c>
      <c r="AN1580" t="s">
        <v>11049</v>
      </c>
      <c r="AO1580">
        <v>7560</v>
      </c>
      <c r="AU1580">
        <v>0</v>
      </c>
      <c r="AW1580" t="s">
        <v>11495</v>
      </c>
    </row>
    <row r="1581" spans="1:49">
      <c r="A1581" s="1">
        <f>HYPERLINK("https://cms.ls-nyc.org/matter/dynamic-profile/view/1857220","18-1857220")</f>
        <v>0</v>
      </c>
      <c r="B1581" t="s">
        <v>128</v>
      </c>
      <c r="C1581" t="s">
        <v>234</v>
      </c>
      <c r="D1581" t="s">
        <v>297</v>
      </c>
      <c r="E1581" t="s">
        <v>665</v>
      </c>
      <c r="F1581" t="s">
        <v>972</v>
      </c>
      <c r="G1581" t="s">
        <v>2188</v>
      </c>
      <c r="H1581" t="s">
        <v>3719</v>
      </c>
      <c r="I1581" t="s">
        <v>4825</v>
      </c>
      <c r="J1581" t="s">
        <v>5320</v>
      </c>
      <c r="K1581">
        <v>11213</v>
      </c>
      <c r="L1581" t="s">
        <v>5355</v>
      </c>
      <c r="M1581" t="s">
        <v>5356</v>
      </c>
      <c r="O1581" t="s">
        <v>6492</v>
      </c>
      <c r="P1581" t="s">
        <v>6530</v>
      </c>
      <c r="Q1581" t="s">
        <v>6535</v>
      </c>
      <c r="R1581" t="s">
        <v>6539</v>
      </c>
      <c r="S1581" t="s">
        <v>5357</v>
      </c>
      <c r="U1581" t="s">
        <v>6557</v>
      </c>
      <c r="W1581" t="s">
        <v>408</v>
      </c>
      <c r="X1581">
        <v>742.88</v>
      </c>
      <c r="Y1581" t="s">
        <v>6605</v>
      </c>
      <c r="Z1581" t="s">
        <v>6622</v>
      </c>
      <c r="AA1581" t="s">
        <v>6637</v>
      </c>
      <c r="AB1581" t="s">
        <v>8001</v>
      </c>
      <c r="AC1581" t="s">
        <v>8941</v>
      </c>
      <c r="AD1581" t="s">
        <v>10346</v>
      </c>
      <c r="AE1581">
        <v>23</v>
      </c>
      <c r="AF1581" t="s">
        <v>11005</v>
      </c>
      <c r="AG1581" t="s">
        <v>5406</v>
      </c>
      <c r="AH1581">
        <v>41</v>
      </c>
      <c r="AI1581">
        <v>3</v>
      </c>
      <c r="AJ1581">
        <v>3</v>
      </c>
      <c r="AK1581">
        <v>47.33</v>
      </c>
      <c r="AM1581" t="s">
        <v>11045</v>
      </c>
      <c r="AN1581" t="s">
        <v>11049</v>
      </c>
      <c r="AO1581">
        <v>15600</v>
      </c>
      <c r="AU1581">
        <v>33.05</v>
      </c>
      <c r="AV1581" t="s">
        <v>771</v>
      </c>
      <c r="AW1581" t="s">
        <v>77</v>
      </c>
    </row>
    <row r="1582" spans="1:49">
      <c r="A1582" s="1">
        <f>HYPERLINK("https://cms.ls-nyc.org/matter/dynamic-profile/view/1851049","17-1851049")</f>
        <v>0</v>
      </c>
      <c r="B1582" t="s">
        <v>111</v>
      </c>
      <c r="C1582" t="s">
        <v>234</v>
      </c>
      <c r="D1582" t="s">
        <v>367</v>
      </c>
      <c r="E1582" t="s">
        <v>708</v>
      </c>
      <c r="F1582" t="s">
        <v>1106</v>
      </c>
      <c r="G1582" t="s">
        <v>2590</v>
      </c>
      <c r="H1582" t="s">
        <v>3844</v>
      </c>
      <c r="I1582" t="s">
        <v>4740</v>
      </c>
      <c r="J1582" t="s">
        <v>5323</v>
      </c>
      <c r="K1582">
        <v>10034</v>
      </c>
      <c r="L1582" t="s">
        <v>5355</v>
      </c>
      <c r="M1582" t="s">
        <v>5355</v>
      </c>
      <c r="N1582" t="s">
        <v>5836</v>
      </c>
      <c r="O1582" t="s">
        <v>6492</v>
      </c>
      <c r="P1582" t="s">
        <v>6530</v>
      </c>
      <c r="Q1582" t="s">
        <v>6534</v>
      </c>
      <c r="R1582" t="s">
        <v>6539</v>
      </c>
      <c r="S1582" t="s">
        <v>5357</v>
      </c>
      <c r="U1582" t="s">
        <v>6557</v>
      </c>
      <c r="W1582" t="s">
        <v>367</v>
      </c>
      <c r="X1582">
        <v>980.67</v>
      </c>
      <c r="Y1582" t="s">
        <v>6608</v>
      </c>
      <c r="Z1582" t="s">
        <v>6616</v>
      </c>
      <c r="AA1582" t="s">
        <v>6637</v>
      </c>
      <c r="AB1582" t="s">
        <v>7338</v>
      </c>
      <c r="AD1582" t="s">
        <v>9712</v>
      </c>
      <c r="AE1582">
        <v>26</v>
      </c>
      <c r="AF1582" t="s">
        <v>11005</v>
      </c>
      <c r="AG1582" t="s">
        <v>11024</v>
      </c>
      <c r="AH1582">
        <v>8</v>
      </c>
      <c r="AI1582">
        <v>2</v>
      </c>
      <c r="AJ1582">
        <v>1</v>
      </c>
      <c r="AK1582">
        <v>47.37</v>
      </c>
      <c r="AN1582" t="s">
        <v>11049</v>
      </c>
      <c r="AO1582">
        <v>9672</v>
      </c>
      <c r="AU1582">
        <v>140.9</v>
      </c>
      <c r="AV1582" t="s">
        <v>707</v>
      </c>
      <c r="AW1582" t="s">
        <v>11495</v>
      </c>
    </row>
    <row r="1583" spans="1:49">
      <c r="A1583" s="1">
        <f>HYPERLINK("https://cms.ls-nyc.org/matter/dynamic-profile/view/1866167","18-1866167")</f>
        <v>0</v>
      </c>
      <c r="B1583" t="s">
        <v>92</v>
      </c>
      <c r="C1583" t="s">
        <v>235</v>
      </c>
      <c r="D1583" t="s">
        <v>268</v>
      </c>
      <c r="F1583" t="s">
        <v>1730</v>
      </c>
      <c r="G1583" t="s">
        <v>2411</v>
      </c>
      <c r="H1583" t="s">
        <v>3839</v>
      </c>
      <c r="I1583" t="s">
        <v>4925</v>
      </c>
      <c r="J1583" t="s">
        <v>5348</v>
      </c>
      <c r="K1583">
        <v>10031</v>
      </c>
      <c r="L1583" t="s">
        <v>5355</v>
      </c>
      <c r="M1583" t="s">
        <v>5355</v>
      </c>
      <c r="O1583" t="s">
        <v>6494</v>
      </c>
      <c r="P1583" t="s">
        <v>6530</v>
      </c>
      <c r="R1583" t="s">
        <v>6539</v>
      </c>
      <c r="S1583" t="s">
        <v>5355</v>
      </c>
      <c r="U1583" t="s">
        <v>6557</v>
      </c>
      <c r="V1583" t="s">
        <v>6566</v>
      </c>
      <c r="W1583" t="s">
        <v>268</v>
      </c>
      <c r="X1583">
        <v>2126</v>
      </c>
      <c r="Y1583" t="s">
        <v>6608</v>
      </c>
      <c r="Z1583" t="s">
        <v>6622</v>
      </c>
      <c r="AB1583" t="s">
        <v>8002</v>
      </c>
      <c r="AD1583" t="s">
        <v>10347</v>
      </c>
      <c r="AE1583">
        <v>42</v>
      </c>
      <c r="AF1583" t="s">
        <v>11008</v>
      </c>
      <c r="AG1583" t="s">
        <v>11020</v>
      </c>
      <c r="AH1583">
        <v>11</v>
      </c>
      <c r="AI1583">
        <v>3</v>
      </c>
      <c r="AJ1583">
        <v>1</v>
      </c>
      <c r="AK1583">
        <v>47.81</v>
      </c>
      <c r="AN1583" t="s">
        <v>11049</v>
      </c>
      <c r="AO1583">
        <v>12000</v>
      </c>
      <c r="AU1583">
        <v>4.7</v>
      </c>
      <c r="AV1583" t="s">
        <v>803</v>
      </c>
      <c r="AW1583" t="s">
        <v>11497</v>
      </c>
    </row>
    <row r="1584" spans="1:49">
      <c r="A1584" s="1">
        <f>HYPERLINK("https://cms.ls-nyc.org/matter/dynamic-profile/view/1861928","18-1861928")</f>
        <v>0</v>
      </c>
      <c r="B1584" t="s">
        <v>128</v>
      </c>
      <c r="C1584" t="s">
        <v>235</v>
      </c>
      <c r="D1584" t="s">
        <v>358</v>
      </c>
      <c r="F1584" t="s">
        <v>1158</v>
      </c>
      <c r="G1584" t="s">
        <v>2404</v>
      </c>
      <c r="H1584" t="s">
        <v>3762</v>
      </c>
      <c r="I1584" t="s">
        <v>4825</v>
      </c>
      <c r="J1584" t="s">
        <v>5320</v>
      </c>
      <c r="K1584">
        <v>11206</v>
      </c>
      <c r="L1584" t="s">
        <v>5355</v>
      </c>
      <c r="M1584" t="s">
        <v>5356</v>
      </c>
      <c r="N1584" t="s">
        <v>5837</v>
      </c>
      <c r="O1584" t="s">
        <v>6492</v>
      </c>
      <c r="P1584" t="s">
        <v>6530</v>
      </c>
      <c r="R1584" t="s">
        <v>6539</v>
      </c>
      <c r="U1584" t="s">
        <v>6557</v>
      </c>
      <c r="W1584" t="s">
        <v>331</v>
      </c>
      <c r="X1584">
        <v>1307.59</v>
      </c>
      <c r="Y1584" t="s">
        <v>6605</v>
      </c>
      <c r="AB1584" t="s">
        <v>7032</v>
      </c>
      <c r="AD1584" t="s">
        <v>9434</v>
      </c>
      <c r="AE1584">
        <v>11</v>
      </c>
      <c r="AF1584" t="s">
        <v>11005</v>
      </c>
      <c r="AG1584" t="s">
        <v>11020</v>
      </c>
      <c r="AH1584">
        <v>23</v>
      </c>
      <c r="AI1584">
        <v>2</v>
      </c>
      <c r="AJ1584">
        <v>0</v>
      </c>
      <c r="AK1584">
        <v>48.23</v>
      </c>
      <c r="AN1584" t="s">
        <v>11050</v>
      </c>
      <c r="AO1584">
        <v>7938</v>
      </c>
      <c r="AU1584">
        <v>12.15</v>
      </c>
      <c r="AV1584" t="s">
        <v>783</v>
      </c>
      <c r="AW1584" t="s">
        <v>135</v>
      </c>
    </row>
    <row r="1585" spans="1:50">
      <c r="A1585" s="1">
        <f>HYPERLINK("https://cms.ls-nyc.org/matter/dynamic-profile/view/1851310","17-1851310")</f>
        <v>0</v>
      </c>
      <c r="B1585" t="s">
        <v>183</v>
      </c>
      <c r="C1585" t="s">
        <v>235</v>
      </c>
      <c r="D1585" t="s">
        <v>560</v>
      </c>
      <c r="F1585" t="s">
        <v>1731</v>
      </c>
      <c r="G1585" t="s">
        <v>3042</v>
      </c>
      <c r="H1585" t="s">
        <v>4270</v>
      </c>
      <c r="I1585" t="s">
        <v>4743</v>
      </c>
      <c r="J1585" t="s">
        <v>5320</v>
      </c>
      <c r="K1585">
        <v>11233</v>
      </c>
      <c r="L1585" t="s">
        <v>5355</v>
      </c>
      <c r="M1585" t="s">
        <v>5355</v>
      </c>
      <c r="N1585" t="s">
        <v>5838</v>
      </c>
      <c r="O1585" t="s">
        <v>6492</v>
      </c>
      <c r="P1585" t="s">
        <v>6530</v>
      </c>
      <c r="R1585" t="s">
        <v>6539</v>
      </c>
      <c r="S1585" t="s">
        <v>5357</v>
      </c>
      <c r="U1585" t="s">
        <v>6557</v>
      </c>
      <c r="W1585" t="s">
        <v>6595</v>
      </c>
      <c r="X1585">
        <v>1113</v>
      </c>
      <c r="Y1585" t="s">
        <v>6605</v>
      </c>
      <c r="Z1585" t="s">
        <v>6611</v>
      </c>
      <c r="AB1585" t="s">
        <v>8003</v>
      </c>
      <c r="AC1585" t="s">
        <v>8942</v>
      </c>
      <c r="AD1585" t="s">
        <v>10348</v>
      </c>
      <c r="AE1585">
        <v>66</v>
      </c>
      <c r="AF1585" t="s">
        <v>11013</v>
      </c>
      <c r="AG1585" t="s">
        <v>11022</v>
      </c>
      <c r="AH1585">
        <v>-1</v>
      </c>
      <c r="AI1585">
        <v>1</v>
      </c>
      <c r="AJ1585">
        <v>2</v>
      </c>
      <c r="AK1585">
        <v>48.27</v>
      </c>
      <c r="AN1585" t="s">
        <v>11050</v>
      </c>
      <c r="AO1585">
        <v>9857</v>
      </c>
      <c r="AU1585">
        <v>19.15</v>
      </c>
      <c r="AV1585" t="s">
        <v>583</v>
      </c>
      <c r="AW1585" t="s">
        <v>11487</v>
      </c>
    </row>
    <row r="1586" spans="1:50">
      <c r="A1586" s="1">
        <f>HYPERLINK("https://cms.ls-nyc.org/matter/dynamic-profile/view/1852125","17-1852125")</f>
        <v>0</v>
      </c>
      <c r="B1586" t="s">
        <v>84</v>
      </c>
      <c r="C1586" t="s">
        <v>234</v>
      </c>
      <c r="D1586" t="s">
        <v>463</v>
      </c>
      <c r="E1586" t="s">
        <v>703</v>
      </c>
      <c r="F1586" t="s">
        <v>1545</v>
      </c>
      <c r="G1586" t="s">
        <v>2338</v>
      </c>
      <c r="H1586" t="s">
        <v>4271</v>
      </c>
      <c r="I1586" t="s">
        <v>4791</v>
      </c>
      <c r="J1586" t="s">
        <v>5320</v>
      </c>
      <c r="K1586">
        <v>11210</v>
      </c>
      <c r="L1586" t="s">
        <v>5355</v>
      </c>
      <c r="M1586" t="s">
        <v>5355</v>
      </c>
      <c r="N1586" t="s">
        <v>5839</v>
      </c>
      <c r="O1586" t="s">
        <v>6491</v>
      </c>
      <c r="P1586" t="s">
        <v>6530</v>
      </c>
      <c r="Q1586" t="s">
        <v>6534</v>
      </c>
      <c r="R1586" t="s">
        <v>6539</v>
      </c>
      <c r="U1586" t="s">
        <v>6557</v>
      </c>
      <c r="V1586" t="s">
        <v>6569</v>
      </c>
      <c r="W1586" t="s">
        <v>372</v>
      </c>
      <c r="X1586">
        <v>0</v>
      </c>
      <c r="Y1586" t="s">
        <v>6605</v>
      </c>
      <c r="AA1586" t="s">
        <v>6633</v>
      </c>
      <c r="AB1586" t="s">
        <v>7004</v>
      </c>
      <c r="AE1586">
        <v>90</v>
      </c>
      <c r="AF1586" t="s">
        <v>11005</v>
      </c>
      <c r="AH1586">
        <v>0</v>
      </c>
      <c r="AI1586">
        <v>3</v>
      </c>
      <c r="AJ1586">
        <v>0</v>
      </c>
      <c r="AK1586">
        <v>48.97</v>
      </c>
      <c r="AN1586" t="s">
        <v>11050</v>
      </c>
      <c r="AO1586">
        <v>10000</v>
      </c>
      <c r="AU1586">
        <v>29.9</v>
      </c>
      <c r="AV1586" t="s">
        <v>703</v>
      </c>
      <c r="AW1586" t="s">
        <v>11489</v>
      </c>
    </row>
    <row r="1587" spans="1:50">
      <c r="A1587" s="1">
        <f>HYPERLINK("https://cms.ls-nyc.org/matter/dynamic-profile/view/1861859","18-1861859")</f>
        <v>0</v>
      </c>
      <c r="B1587" t="s">
        <v>84</v>
      </c>
      <c r="C1587" t="s">
        <v>235</v>
      </c>
      <c r="D1587" t="s">
        <v>522</v>
      </c>
      <c r="F1587" t="s">
        <v>1732</v>
      </c>
      <c r="G1587" t="s">
        <v>3043</v>
      </c>
      <c r="H1587" t="s">
        <v>4272</v>
      </c>
      <c r="J1587" t="s">
        <v>5320</v>
      </c>
      <c r="K1587">
        <v>11237</v>
      </c>
      <c r="L1587" t="s">
        <v>5357</v>
      </c>
      <c r="M1587" t="s">
        <v>5356</v>
      </c>
      <c r="N1587" t="s">
        <v>5840</v>
      </c>
      <c r="O1587" t="s">
        <v>6491</v>
      </c>
      <c r="P1587" t="s">
        <v>6530</v>
      </c>
      <c r="R1587" t="s">
        <v>6539</v>
      </c>
      <c r="U1587" t="s">
        <v>6557</v>
      </c>
      <c r="W1587" t="s">
        <v>236</v>
      </c>
      <c r="X1587">
        <v>1421.06</v>
      </c>
      <c r="Y1587" t="s">
        <v>6605</v>
      </c>
      <c r="Z1587" t="s">
        <v>6612</v>
      </c>
      <c r="AB1587" t="s">
        <v>8004</v>
      </c>
      <c r="AE1587">
        <v>6</v>
      </c>
      <c r="AG1587" t="s">
        <v>11020</v>
      </c>
      <c r="AH1587">
        <v>0</v>
      </c>
      <c r="AI1587">
        <v>2</v>
      </c>
      <c r="AJ1587">
        <v>5</v>
      </c>
      <c r="AK1587">
        <v>49.08</v>
      </c>
      <c r="AN1587" t="s">
        <v>11049</v>
      </c>
      <c r="AO1587">
        <v>18680</v>
      </c>
      <c r="AU1587">
        <v>57.1</v>
      </c>
      <c r="AV1587" t="s">
        <v>795</v>
      </c>
      <c r="AW1587" t="s">
        <v>11489</v>
      </c>
    </row>
    <row r="1588" spans="1:50">
      <c r="A1588" s="1">
        <f>HYPERLINK("https://cms.ls-nyc.org/matter/dynamic-profile/view/1861384","18-1861384")</f>
        <v>0</v>
      </c>
      <c r="B1588" t="s">
        <v>80</v>
      </c>
      <c r="C1588" t="s">
        <v>234</v>
      </c>
      <c r="D1588" t="s">
        <v>330</v>
      </c>
      <c r="E1588" t="s">
        <v>652</v>
      </c>
      <c r="F1588" t="s">
        <v>1733</v>
      </c>
      <c r="G1588" t="s">
        <v>2473</v>
      </c>
      <c r="H1588" t="s">
        <v>4273</v>
      </c>
      <c r="I1588" t="s">
        <v>4811</v>
      </c>
      <c r="J1588" t="s">
        <v>5321</v>
      </c>
      <c r="K1588">
        <v>10453</v>
      </c>
      <c r="L1588" t="s">
        <v>5355</v>
      </c>
      <c r="M1588" t="s">
        <v>5356</v>
      </c>
      <c r="N1588" t="s">
        <v>5841</v>
      </c>
      <c r="O1588" t="s">
        <v>6492</v>
      </c>
      <c r="P1588" t="s">
        <v>6530</v>
      </c>
      <c r="Q1588" t="s">
        <v>6534</v>
      </c>
      <c r="R1588" t="s">
        <v>6539</v>
      </c>
      <c r="U1588" t="s">
        <v>6557</v>
      </c>
      <c r="W1588" t="s">
        <v>480</v>
      </c>
      <c r="X1588">
        <v>939.33</v>
      </c>
      <c r="Y1588" t="s">
        <v>6606</v>
      </c>
      <c r="Z1588" t="s">
        <v>6613</v>
      </c>
      <c r="AA1588" t="s">
        <v>6637</v>
      </c>
      <c r="AB1588" t="s">
        <v>8005</v>
      </c>
      <c r="AD1588" t="s">
        <v>10349</v>
      </c>
      <c r="AE1588">
        <v>60</v>
      </c>
      <c r="AF1588" t="s">
        <v>11005</v>
      </c>
      <c r="AG1588" t="s">
        <v>11023</v>
      </c>
      <c r="AH1588">
        <v>9</v>
      </c>
      <c r="AI1588">
        <v>1</v>
      </c>
      <c r="AJ1588">
        <v>3</v>
      </c>
      <c r="AK1588">
        <v>49.2</v>
      </c>
      <c r="AN1588" t="s">
        <v>11049</v>
      </c>
      <c r="AO1588">
        <v>12350</v>
      </c>
      <c r="AP1588" t="s">
        <v>11075</v>
      </c>
      <c r="AQ1588" t="s">
        <v>11192</v>
      </c>
      <c r="AR1588" t="s">
        <v>11217</v>
      </c>
      <c r="AS1588" t="s">
        <v>11253</v>
      </c>
      <c r="AT1588" t="s">
        <v>11333</v>
      </c>
      <c r="AU1588">
        <v>15.5</v>
      </c>
      <c r="AV1588" t="s">
        <v>600</v>
      </c>
      <c r="AW1588" t="s">
        <v>11535</v>
      </c>
    </row>
    <row r="1589" spans="1:50">
      <c r="A1589" s="1">
        <f>HYPERLINK("https://cms.ls-nyc.org/matter/dynamic-profile/view/1863818","18-1863818")</f>
        <v>0</v>
      </c>
      <c r="B1589" t="s">
        <v>92</v>
      </c>
      <c r="C1589" t="s">
        <v>235</v>
      </c>
      <c r="D1589" t="s">
        <v>288</v>
      </c>
      <c r="F1589" t="s">
        <v>914</v>
      </c>
      <c r="G1589" t="s">
        <v>3044</v>
      </c>
      <c r="H1589" t="s">
        <v>3579</v>
      </c>
      <c r="I1589">
        <v>804</v>
      </c>
      <c r="J1589" t="s">
        <v>5323</v>
      </c>
      <c r="K1589">
        <v>10029</v>
      </c>
      <c r="L1589" t="s">
        <v>5355</v>
      </c>
      <c r="M1589" t="s">
        <v>5355</v>
      </c>
      <c r="N1589" t="s">
        <v>5632</v>
      </c>
      <c r="O1589" t="s">
        <v>6494</v>
      </c>
      <c r="P1589" t="s">
        <v>6530</v>
      </c>
      <c r="R1589" t="s">
        <v>6539</v>
      </c>
      <c r="S1589" t="s">
        <v>5355</v>
      </c>
      <c r="U1589" t="s">
        <v>6557</v>
      </c>
      <c r="V1589" t="s">
        <v>6566</v>
      </c>
      <c r="W1589" t="s">
        <v>263</v>
      </c>
      <c r="X1589">
        <v>0</v>
      </c>
      <c r="Y1589" t="s">
        <v>6608</v>
      </c>
      <c r="Z1589" t="s">
        <v>6622</v>
      </c>
      <c r="AB1589" t="s">
        <v>8006</v>
      </c>
      <c r="AC1589" t="s">
        <v>8943</v>
      </c>
      <c r="AE1589">
        <v>108</v>
      </c>
      <c r="AF1589" t="s">
        <v>11008</v>
      </c>
      <c r="AG1589" t="s">
        <v>11020</v>
      </c>
      <c r="AH1589">
        <v>30</v>
      </c>
      <c r="AI1589">
        <v>1</v>
      </c>
      <c r="AJ1589">
        <v>1</v>
      </c>
      <c r="AK1589">
        <v>49.21</v>
      </c>
      <c r="AN1589" t="s">
        <v>11050</v>
      </c>
      <c r="AO1589">
        <v>8100</v>
      </c>
      <c r="AU1589">
        <v>0.85</v>
      </c>
      <c r="AV1589" t="s">
        <v>11438</v>
      </c>
      <c r="AW1589" t="s">
        <v>11497</v>
      </c>
    </row>
    <row r="1590" spans="1:50">
      <c r="A1590" s="1">
        <f>HYPERLINK("https://cms.ls-nyc.org/matter/dynamic-profile/view/1864378","18-1864378")</f>
        <v>0</v>
      </c>
      <c r="B1590" t="s">
        <v>92</v>
      </c>
      <c r="C1590" t="s">
        <v>235</v>
      </c>
      <c r="D1590" t="s">
        <v>342</v>
      </c>
      <c r="F1590" t="s">
        <v>972</v>
      </c>
      <c r="G1590" t="s">
        <v>2133</v>
      </c>
      <c r="H1590" t="s">
        <v>3579</v>
      </c>
      <c r="I1590">
        <v>103</v>
      </c>
      <c r="J1590" t="s">
        <v>5323</v>
      </c>
      <c r="K1590">
        <v>10029</v>
      </c>
      <c r="L1590" t="s">
        <v>5355</v>
      </c>
      <c r="M1590" t="s">
        <v>5356</v>
      </c>
      <c r="N1590" t="s">
        <v>5632</v>
      </c>
      <c r="O1590" t="s">
        <v>6494</v>
      </c>
      <c r="P1590" t="s">
        <v>6530</v>
      </c>
      <c r="R1590" t="s">
        <v>6539</v>
      </c>
      <c r="S1590" t="s">
        <v>5355</v>
      </c>
      <c r="U1590" t="s">
        <v>6557</v>
      </c>
      <c r="V1590" t="s">
        <v>6566</v>
      </c>
      <c r="W1590" t="s">
        <v>342</v>
      </c>
      <c r="X1590">
        <v>0</v>
      </c>
      <c r="Y1590" t="s">
        <v>6608</v>
      </c>
      <c r="Z1590" t="s">
        <v>6622</v>
      </c>
      <c r="AB1590" t="s">
        <v>8007</v>
      </c>
      <c r="AD1590" t="s">
        <v>10350</v>
      </c>
      <c r="AE1590">
        <v>108</v>
      </c>
      <c r="AF1590" t="s">
        <v>11008</v>
      </c>
      <c r="AG1590" t="s">
        <v>11020</v>
      </c>
      <c r="AH1590">
        <v>20</v>
      </c>
      <c r="AI1590">
        <v>1</v>
      </c>
      <c r="AJ1590">
        <v>1</v>
      </c>
      <c r="AK1590">
        <v>49.21</v>
      </c>
      <c r="AN1590" t="s">
        <v>11049</v>
      </c>
      <c r="AO1590">
        <v>8100</v>
      </c>
      <c r="AU1590">
        <v>0.5</v>
      </c>
      <c r="AV1590" t="s">
        <v>11453</v>
      </c>
      <c r="AW1590" t="s">
        <v>11497</v>
      </c>
      <c r="AX1590" t="s">
        <v>11564</v>
      </c>
    </row>
    <row r="1591" spans="1:50">
      <c r="A1591" s="1">
        <f>HYPERLINK("https://cms.ls-nyc.org/matter/dynamic-profile/view/1851670","17-1851670")</f>
        <v>0</v>
      </c>
      <c r="B1591" t="s">
        <v>131</v>
      </c>
      <c r="C1591" t="s">
        <v>235</v>
      </c>
      <c r="D1591" t="s">
        <v>381</v>
      </c>
      <c r="F1591" t="s">
        <v>1165</v>
      </c>
      <c r="G1591" t="s">
        <v>1015</v>
      </c>
      <c r="H1591" t="s">
        <v>3769</v>
      </c>
      <c r="I1591" t="s">
        <v>4895</v>
      </c>
      <c r="J1591" t="s">
        <v>5323</v>
      </c>
      <c r="K1591">
        <v>10034</v>
      </c>
      <c r="L1591" t="s">
        <v>5355</v>
      </c>
      <c r="M1591" t="s">
        <v>5356</v>
      </c>
      <c r="O1591" t="s">
        <v>6494</v>
      </c>
      <c r="P1591" t="s">
        <v>6530</v>
      </c>
      <c r="R1591" t="s">
        <v>6539</v>
      </c>
      <c r="S1591" t="s">
        <v>5355</v>
      </c>
      <c r="U1591" t="s">
        <v>6557</v>
      </c>
      <c r="W1591" t="s">
        <v>381</v>
      </c>
      <c r="X1591">
        <v>715.64</v>
      </c>
      <c r="Y1591" t="s">
        <v>6608</v>
      </c>
      <c r="Z1591" t="s">
        <v>6616</v>
      </c>
      <c r="AB1591" t="s">
        <v>7043</v>
      </c>
      <c r="AD1591" t="s">
        <v>9444</v>
      </c>
      <c r="AE1591">
        <v>49</v>
      </c>
      <c r="AF1591" t="s">
        <v>11005</v>
      </c>
      <c r="AG1591" t="s">
        <v>5406</v>
      </c>
      <c r="AH1591">
        <v>20</v>
      </c>
      <c r="AI1591">
        <v>2</v>
      </c>
      <c r="AJ1591">
        <v>0</v>
      </c>
      <c r="AK1591">
        <v>49.26</v>
      </c>
      <c r="AN1591" t="s">
        <v>11049</v>
      </c>
      <c r="AO1591">
        <v>8000</v>
      </c>
      <c r="AU1591">
        <v>0.65</v>
      </c>
      <c r="AV1591" t="s">
        <v>680</v>
      </c>
      <c r="AW1591" t="s">
        <v>11495</v>
      </c>
    </row>
    <row r="1592" spans="1:50">
      <c r="A1592" s="1">
        <f>HYPERLINK("https://cms.ls-nyc.org/matter/dynamic-profile/view/1863721","18-1863721")</f>
        <v>0</v>
      </c>
      <c r="B1592" t="s">
        <v>138</v>
      </c>
      <c r="C1592" t="s">
        <v>234</v>
      </c>
      <c r="D1592" t="s">
        <v>263</v>
      </c>
      <c r="E1592" t="s">
        <v>674</v>
      </c>
      <c r="F1592" t="s">
        <v>911</v>
      </c>
      <c r="G1592" t="s">
        <v>2167</v>
      </c>
      <c r="H1592" t="s">
        <v>3499</v>
      </c>
      <c r="I1592" t="s">
        <v>4781</v>
      </c>
      <c r="J1592" t="s">
        <v>5320</v>
      </c>
      <c r="K1592">
        <v>11237</v>
      </c>
      <c r="L1592" t="s">
        <v>5355</v>
      </c>
      <c r="M1592" t="s">
        <v>5356</v>
      </c>
      <c r="N1592" t="s">
        <v>5842</v>
      </c>
      <c r="O1592" t="s">
        <v>6492</v>
      </c>
      <c r="P1592" t="s">
        <v>6530</v>
      </c>
      <c r="Q1592" t="s">
        <v>6534</v>
      </c>
      <c r="R1592" t="s">
        <v>6539</v>
      </c>
      <c r="S1592" t="s">
        <v>5357</v>
      </c>
      <c r="U1592" t="s">
        <v>6557</v>
      </c>
      <c r="W1592" t="s">
        <v>297</v>
      </c>
      <c r="X1592">
        <v>1000</v>
      </c>
      <c r="Y1592" t="s">
        <v>6605</v>
      </c>
      <c r="Z1592" t="s">
        <v>6610</v>
      </c>
      <c r="AA1592" t="s">
        <v>6637</v>
      </c>
      <c r="AB1592" t="s">
        <v>6732</v>
      </c>
      <c r="AC1592" t="s">
        <v>8715</v>
      </c>
      <c r="AD1592" t="s">
        <v>9166</v>
      </c>
      <c r="AE1592">
        <v>6</v>
      </c>
      <c r="AF1592" t="s">
        <v>11005</v>
      </c>
      <c r="AG1592" t="s">
        <v>5406</v>
      </c>
      <c r="AH1592">
        <v>12</v>
      </c>
      <c r="AI1592">
        <v>1</v>
      </c>
      <c r="AJ1592">
        <v>3</v>
      </c>
      <c r="AK1592">
        <v>49.72</v>
      </c>
      <c r="AN1592" t="s">
        <v>11049</v>
      </c>
      <c r="AO1592">
        <v>12480</v>
      </c>
      <c r="AU1592">
        <v>51.45</v>
      </c>
      <c r="AV1592" t="s">
        <v>674</v>
      </c>
      <c r="AW1592" t="s">
        <v>11512</v>
      </c>
    </row>
    <row r="1593" spans="1:50">
      <c r="A1593" s="1">
        <f>HYPERLINK("https://cms.ls-nyc.org/matter/dynamic-profile/view/1850454","17-1850454")</f>
        <v>0</v>
      </c>
      <c r="B1593" t="s">
        <v>142</v>
      </c>
      <c r="C1593" t="s">
        <v>234</v>
      </c>
      <c r="D1593" t="s">
        <v>366</v>
      </c>
      <c r="E1593" t="s">
        <v>703</v>
      </c>
      <c r="F1593" t="s">
        <v>1734</v>
      </c>
      <c r="G1593" t="s">
        <v>3045</v>
      </c>
      <c r="H1593" t="s">
        <v>4274</v>
      </c>
      <c r="I1593">
        <v>14</v>
      </c>
      <c r="J1593" t="s">
        <v>5320</v>
      </c>
      <c r="K1593">
        <v>11219</v>
      </c>
      <c r="L1593" t="s">
        <v>5355</v>
      </c>
      <c r="M1593" t="s">
        <v>5356</v>
      </c>
      <c r="N1593" t="s">
        <v>5843</v>
      </c>
      <c r="O1593" t="s">
        <v>6494</v>
      </c>
      <c r="P1593" t="s">
        <v>6530</v>
      </c>
      <c r="Q1593" t="s">
        <v>6531</v>
      </c>
      <c r="R1593" t="s">
        <v>6539</v>
      </c>
      <c r="S1593" t="s">
        <v>5355</v>
      </c>
      <c r="U1593" t="s">
        <v>6557</v>
      </c>
      <c r="W1593" t="s">
        <v>341</v>
      </c>
      <c r="X1593">
        <v>1065.68</v>
      </c>
      <c r="Y1593" t="s">
        <v>6605</v>
      </c>
      <c r="Z1593" t="s">
        <v>6622</v>
      </c>
      <c r="AA1593" t="s">
        <v>6632</v>
      </c>
      <c r="AB1593" t="s">
        <v>8008</v>
      </c>
      <c r="AD1593" t="s">
        <v>10351</v>
      </c>
      <c r="AE1593">
        <v>14</v>
      </c>
      <c r="AF1593" t="s">
        <v>11005</v>
      </c>
      <c r="AH1593">
        <v>12</v>
      </c>
      <c r="AI1593">
        <v>1</v>
      </c>
      <c r="AJ1593">
        <v>0</v>
      </c>
      <c r="AK1593">
        <v>49.75</v>
      </c>
      <c r="AL1593" t="s">
        <v>333</v>
      </c>
      <c r="AN1593" t="s">
        <v>11062</v>
      </c>
      <c r="AO1593">
        <v>6000</v>
      </c>
      <c r="AU1593">
        <v>0.1</v>
      </c>
      <c r="AV1593" t="s">
        <v>302</v>
      </c>
      <c r="AW1593" t="s">
        <v>11489</v>
      </c>
    </row>
    <row r="1594" spans="1:50">
      <c r="A1594" s="1">
        <f>HYPERLINK("https://cms.ls-nyc.org/matter/dynamic-profile/view/1841116","17-1841116")</f>
        <v>0</v>
      </c>
      <c r="B1594" t="s">
        <v>58</v>
      </c>
      <c r="C1594" t="s">
        <v>234</v>
      </c>
      <c r="D1594" t="s">
        <v>276</v>
      </c>
      <c r="E1594" t="s">
        <v>427</v>
      </c>
      <c r="F1594" t="s">
        <v>878</v>
      </c>
      <c r="G1594" t="s">
        <v>2413</v>
      </c>
      <c r="H1594" t="s">
        <v>3754</v>
      </c>
      <c r="I1594" t="s">
        <v>4744</v>
      </c>
      <c r="J1594" t="s">
        <v>5321</v>
      </c>
      <c r="K1594">
        <v>10463</v>
      </c>
      <c r="L1594" t="s">
        <v>5355</v>
      </c>
      <c r="M1594" t="s">
        <v>5356</v>
      </c>
      <c r="N1594" t="s">
        <v>5752</v>
      </c>
      <c r="O1594" t="s">
        <v>6494</v>
      </c>
      <c r="P1594" t="s">
        <v>6530</v>
      </c>
      <c r="Q1594" t="s">
        <v>6534</v>
      </c>
      <c r="R1594" t="s">
        <v>6539</v>
      </c>
      <c r="S1594" t="s">
        <v>5355</v>
      </c>
      <c r="U1594" t="s">
        <v>6557</v>
      </c>
      <c r="W1594" t="s">
        <v>404</v>
      </c>
      <c r="X1594">
        <v>853</v>
      </c>
      <c r="Y1594" t="s">
        <v>6606</v>
      </c>
      <c r="Z1594" t="s">
        <v>6620</v>
      </c>
      <c r="AA1594" t="s">
        <v>6634</v>
      </c>
      <c r="AB1594" t="s">
        <v>7044</v>
      </c>
      <c r="AD1594" t="s">
        <v>9445</v>
      </c>
      <c r="AE1594">
        <v>67</v>
      </c>
      <c r="AF1594" t="s">
        <v>11005</v>
      </c>
      <c r="AH1594">
        <v>24</v>
      </c>
      <c r="AI1594">
        <v>1</v>
      </c>
      <c r="AJ1594">
        <v>0</v>
      </c>
      <c r="AK1594">
        <v>49.75</v>
      </c>
      <c r="AL1594" t="s">
        <v>632</v>
      </c>
      <c r="AN1594" t="s">
        <v>11050</v>
      </c>
      <c r="AO1594">
        <v>6000</v>
      </c>
      <c r="AU1594">
        <v>0.2</v>
      </c>
      <c r="AV1594" t="s">
        <v>427</v>
      </c>
      <c r="AW1594" t="s">
        <v>11537</v>
      </c>
    </row>
    <row r="1595" spans="1:50">
      <c r="A1595" s="1">
        <f>HYPERLINK("https://cms.ls-nyc.org/matter/dynamic-profile/view/1840383","17-1840383")</f>
        <v>0</v>
      </c>
      <c r="B1595" t="s">
        <v>65</v>
      </c>
      <c r="C1595" t="s">
        <v>234</v>
      </c>
      <c r="D1595" t="s">
        <v>387</v>
      </c>
      <c r="E1595" t="s">
        <v>758</v>
      </c>
      <c r="F1595" t="s">
        <v>1735</v>
      </c>
      <c r="G1595" t="s">
        <v>3046</v>
      </c>
      <c r="H1595" t="s">
        <v>3702</v>
      </c>
      <c r="I1595">
        <v>44</v>
      </c>
      <c r="J1595" t="s">
        <v>5323</v>
      </c>
      <c r="K1595">
        <v>10033</v>
      </c>
      <c r="L1595" t="s">
        <v>5355</v>
      </c>
      <c r="M1595" t="s">
        <v>5356</v>
      </c>
      <c r="O1595" t="s">
        <v>6502</v>
      </c>
      <c r="P1595" t="s">
        <v>6530</v>
      </c>
      <c r="Q1595" t="s">
        <v>6534</v>
      </c>
      <c r="R1595" t="s">
        <v>6539</v>
      </c>
      <c r="S1595" t="s">
        <v>5355</v>
      </c>
      <c r="U1595" t="s">
        <v>6557</v>
      </c>
      <c r="W1595" t="s">
        <v>404</v>
      </c>
      <c r="X1595">
        <v>828</v>
      </c>
      <c r="Y1595" t="s">
        <v>6608</v>
      </c>
      <c r="Z1595" t="s">
        <v>6616</v>
      </c>
      <c r="AA1595" t="s">
        <v>6642</v>
      </c>
      <c r="AB1595" t="s">
        <v>8009</v>
      </c>
      <c r="AD1595" t="s">
        <v>10352</v>
      </c>
      <c r="AE1595">
        <v>33</v>
      </c>
      <c r="AF1595" t="s">
        <v>11005</v>
      </c>
      <c r="AG1595" t="s">
        <v>11024</v>
      </c>
      <c r="AH1595">
        <v>30</v>
      </c>
      <c r="AI1595">
        <v>1</v>
      </c>
      <c r="AJ1595">
        <v>1</v>
      </c>
      <c r="AK1595">
        <v>49.88</v>
      </c>
      <c r="AL1595" t="s">
        <v>11030</v>
      </c>
      <c r="AN1595" t="s">
        <v>11049</v>
      </c>
      <c r="AO1595">
        <v>8100</v>
      </c>
      <c r="AU1595">
        <v>22.93</v>
      </c>
      <c r="AV1595" t="s">
        <v>287</v>
      </c>
      <c r="AW1595" t="s">
        <v>11495</v>
      </c>
    </row>
    <row r="1596" spans="1:50">
      <c r="A1596" s="1">
        <f>HYPERLINK("https://cms.ls-nyc.org/matter/dynamic-profile/view/1837302","17-1837302")</f>
        <v>0</v>
      </c>
      <c r="B1596" t="s">
        <v>99</v>
      </c>
      <c r="C1596" t="s">
        <v>234</v>
      </c>
      <c r="D1596" t="s">
        <v>488</v>
      </c>
      <c r="E1596" t="s">
        <v>700</v>
      </c>
      <c r="F1596" t="s">
        <v>1736</v>
      </c>
      <c r="G1596" t="s">
        <v>3047</v>
      </c>
      <c r="H1596" t="s">
        <v>4275</v>
      </c>
      <c r="I1596" t="s">
        <v>5168</v>
      </c>
      <c r="J1596" t="s">
        <v>5320</v>
      </c>
      <c r="K1596">
        <v>11233</v>
      </c>
      <c r="L1596" t="s">
        <v>5355</v>
      </c>
      <c r="M1596" t="s">
        <v>5356</v>
      </c>
      <c r="N1596" t="s">
        <v>5844</v>
      </c>
      <c r="O1596" t="s">
        <v>6491</v>
      </c>
      <c r="P1596" t="s">
        <v>6530</v>
      </c>
      <c r="Q1596" t="s">
        <v>6534</v>
      </c>
      <c r="R1596" t="s">
        <v>6539</v>
      </c>
      <c r="S1596" t="s">
        <v>5355</v>
      </c>
      <c r="U1596" t="s">
        <v>6557</v>
      </c>
      <c r="W1596" t="s">
        <v>6583</v>
      </c>
      <c r="X1596">
        <v>925</v>
      </c>
      <c r="Y1596" t="s">
        <v>6605</v>
      </c>
      <c r="AA1596" t="s">
        <v>6637</v>
      </c>
      <c r="AB1596" t="s">
        <v>8010</v>
      </c>
      <c r="AD1596" t="s">
        <v>10353</v>
      </c>
      <c r="AE1596">
        <v>10</v>
      </c>
      <c r="AF1596" t="s">
        <v>11005</v>
      </c>
      <c r="AG1596" t="s">
        <v>5406</v>
      </c>
      <c r="AH1596">
        <v>3</v>
      </c>
      <c r="AI1596">
        <v>2</v>
      </c>
      <c r="AJ1596">
        <v>3</v>
      </c>
      <c r="AK1596">
        <v>50.03</v>
      </c>
      <c r="AN1596" t="s">
        <v>11050</v>
      </c>
      <c r="AO1596">
        <v>14400</v>
      </c>
      <c r="AU1596">
        <v>157.9</v>
      </c>
      <c r="AV1596" t="s">
        <v>700</v>
      </c>
      <c r="AW1596" t="s">
        <v>11489</v>
      </c>
    </row>
    <row r="1597" spans="1:50">
      <c r="A1597" s="1">
        <f>HYPERLINK("https://cms.ls-nyc.org/matter/dynamic-profile/view/1861728","18-1861728")</f>
        <v>0</v>
      </c>
      <c r="B1597" t="s">
        <v>104</v>
      </c>
      <c r="C1597" t="s">
        <v>234</v>
      </c>
      <c r="D1597" t="s">
        <v>362</v>
      </c>
      <c r="E1597" t="s">
        <v>706</v>
      </c>
      <c r="F1597" t="s">
        <v>1737</v>
      </c>
      <c r="G1597" t="s">
        <v>3048</v>
      </c>
      <c r="H1597" t="s">
        <v>4276</v>
      </c>
      <c r="I1597" t="s">
        <v>5169</v>
      </c>
      <c r="J1597" t="s">
        <v>5321</v>
      </c>
      <c r="K1597">
        <v>10453</v>
      </c>
      <c r="L1597" t="s">
        <v>5355</v>
      </c>
      <c r="M1597" t="s">
        <v>5356</v>
      </c>
      <c r="N1597" t="s">
        <v>5845</v>
      </c>
      <c r="O1597" t="s">
        <v>6492</v>
      </c>
      <c r="P1597" t="s">
        <v>6530</v>
      </c>
      <c r="Q1597" t="s">
        <v>6534</v>
      </c>
      <c r="R1597" t="s">
        <v>6539</v>
      </c>
      <c r="S1597" t="s">
        <v>5357</v>
      </c>
      <c r="U1597" t="s">
        <v>6557</v>
      </c>
      <c r="W1597" t="s">
        <v>6597</v>
      </c>
      <c r="X1597">
        <v>988.37</v>
      </c>
      <c r="Y1597" t="s">
        <v>6606</v>
      </c>
      <c r="Z1597" t="s">
        <v>6616</v>
      </c>
      <c r="AA1597" t="s">
        <v>6637</v>
      </c>
      <c r="AB1597" t="s">
        <v>8011</v>
      </c>
      <c r="AC1597" t="s">
        <v>8944</v>
      </c>
      <c r="AD1597" t="s">
        <v>10354</v>
      </c>
      <c r="AE1597">
        <v>20</v>
      </c>
      <c r="AF1597" t="s">
        <v>11005</v>
      </c>
      <c r="AG1597" t="s">
        <v>5406</v>
      </c>
      <c r="AH1597">
        <v>20</v>
      </c>
      <c r="AI1597">
        <v>2</v>
      </c>
      <c r="AJ1597">
        <v>1</v>
      </c>
      <c r="AK1597">
        <v>50.05</v>
      </c>
      <c r="AN1597" t="s">
        <v>11050</v>
      </c>
      <c r="AO1597">
        <v>10400</v>
      </c>
      <c r="AQ1597" t="s">
        <v>11191</v>
      </c>
      <c r="AR1597" t="s">
        <v>11226</v>
      </c>
      <c r="AS1597" t="s">
        <v>11253</v>
      </c>
      <c r="AT1597" t="s">
        <v>11334</v>
      </c>
      <c r="AU1597">
        <v>80.09999999999999</v>
      </c>
      <c r="AV1597" t="s">
        <v>818</v>
      </c>
      <c r="AW1597" t="s">
        <v>11505</v>
      </c>
    </row>
    <row r="1598" spans="1:50">
      <c r="A1598" s="1">
        <f>HYPERLINK("https://cms.ls-nyc.org/matter/dynamic-profile/view/1870265","18-1870265")</f>
        <v>0</v>
      </c>
      <c r="B1598" t="s">
        <v>104</v>
      </c>
      <c r="C1598" t="s">
        <v>235</v>
      </c>
      <c r="D1598" t="s">
        <v>313</v>
      </c>
      <c r="F1598" t="s">
        <v>1738</v>
      </c>
      <c r="G1598" t="s">
        <v>2231</v>
      </c>
      <c r="H1598" t="s">
        <v>4227</v>
      </c>
      <c r="I1598" t="s">
        <v>5170</v>
      </c>
      <c r="J1598" t="s">
        <v>5321</v>
      </c>
      <c r="K1598">
        <v>10453</v>
      </c>
      <c r="L1598" t="s">
        <v>5355</v>
      </c>
      <c r="M1598" t="s">
        <v>5356</v>
      </c>
      <c r="N1598" t="s">
        <v>5846</v>
      </c>
      <c r="O1598" t="s">
        <v>6492</v>
      </c>
      <c r="P1598" t="s">
        <v>6530</v>
      </c>
      <c r="R1598" t="s">
        <v>6539</v>
      </c>
      <c r="S1598" t="s">
        <v>5357</v>
      </c>
      <c r="U1598" t="s">
        <v>6557</v>
      </c>
      <c r="W1598" t="s">
        <v>516</v>
      </c>
      <c r="X1598">
        <v>1449.16</v>
      </c>
      <c r="Y1598" t="s">
        <v>6606</v>
      </c>
      <c r="Z1598" t="s">
        <v>6611</v>
      </c>
      <c r="AB1598" t="s">
        <v>8012</v>
      </c>
      <c r="AC1598" t="s">
        <v>8945</v>
      </c>
      <c r="AD1598" t="s">
        <v>10355</v>
      </c>
      <c r="AE1598">
        <v>16</v>
      </c>
      <c r="AF1598" t="s">
        <v>11005</v>
      </c>
      <c r="AG1598" t="s">
        <v>5406</v>
      </c>
      <c r="AH1598">
        <v>7</v>
      </c>
      <c r="AI1598">
        <v>1</v>
      </c>
      <c r="AJ1598">
        <v>2</v>
      </c>
      <c r="AK1598">
        <v>50.05</v>
      </c>
      <c r="AN1598" t="s">
        <v>11049</v>
      </c>
      <c r="AO1598">
        <v>10400</v>
      </c>
      <c r="AU1598">
        <v>28.82</v>
      </c>
      <c r="AV1598" t="s">
        <v>774</v>
      </c>
      <c r="AW1598" t="s">
        <v>11492</v>
      </c>
    </row>
    <row r="1599" spans="1:50">
      <c r="A1599" s="1">
        <f>HYPERLINK("https://cms.ls-nyc.org/matter/dynamic-profile/view/1855988","18-1855988")</f>
        <v>0</v>
      </c>
      <c r="B1599" t="s">
        <v>119</v>
      </c>
      <c r="C1599" t="s">
        <v>234</v>
      </c>
      <c r="D1599" t="s">
        <v>525</v>
      </c>
      <c r="E1599" t="s">
        <v>752</v>
      </c>
      <c r="F1599" t="s">
        <v>1739</v>
      </c>
      <c r="G1599" t="s">
        <v>3049</v>
      </c>
      <c r="H1599" t="s">
        <v>4277</v>
      </c>
      <c r="I1599">
        <v>428</v>
      </c>
      <c r="J1599" t="s">
        <v>5324</v>
      </c>
      <c r="K1599">
        <v>11355</v>
      </c>
      <c r="L1599" t="s">
        <v>5355</v>
      </c>
      <c r="M1599" t="s">
        <v>5355</v>
      </c>
      <c r="N1599" t="s">
        <v>5847</v>
      </c>
      <c r="O1599" t="s">
        <v>6492</v>
      </c>
      <c r="P1599" t="s">
        <v>6530</v>
      </c>
      <c r="Q1599" t="s">
        <v>6537</v>
      </c>
      <c r="R1599" t="s">
        <v>6539</v>
      </c>
      <c r="S1599" t="s">
        <v>5357</v>
      </c>
      <c r="U1599" t="s">
        <v>6557</v>
      </c>
      <c r="W1599" t="s">
        <v>525</v>
      </c>
      <c r="X1599">
        <v>2135.47</v>
      </c>
      <c r="Y1599" t="s">
        <v>6604</v>
      </c>
      <c r="Z1599" t="s">
        <v>6615</v>
      </c>
      <c r="AA1599" t="s">
        <v>6637</v>
      </c>
      <c r="AB1599" t="s">
        <v>8013</v>
      </c>
      <c r="AC1599" t="s">
        <v>5406</v>
      </c>
      <c r="AD1599" t="s">
        <v>10356</v>
      </c>
      <c r="AE1599">
        <v>300</v>
      </c>
      <c r="AF1599" t="s">
        <v>11005</v>
      </c>
      <c r="AG1599" t="s">
        <v>11024</v>
      </c>
      <c r="AH1599">
        <v>12</v>
      </c>
      <c r="AI1599">
        <v>4</v>
      </c>
      <c r="AJ1599">
        <v>1</v>
      </c>
      <c r="AK1599">
        <v>50.7</v>
      </c>
      <c r="AN1599" t="s">
        <v>11050</v>
      </c>
      <c r="AO1599">
        <v>14592</v>
      </c>
      <c r="AQ1599" t="s">
        <v>11191</v>
      </c>
      <c r="AR1599" t="s">
        <v>6493</v>
      </c>
      <c r="AS1599" t="s">
        <v>11253</v>
      </c>
      <c r="AT1599" t="s">
        <v>11335</v>
      </c>
      <c r="AU1599">
        <v>40.1</v>
      </c>
      <c r="AV1599" t="s">
        <v>713</v>
      </c>
      <c r="AW1599" t="s">
        <v>11506</v>
      </c>
    </row>
    <row r="1600" spans="1:50">
      <c r="A1600" s="1">
        <f>HYPERLINK("https://cms.ls-nyc.org/matter/dynamic-profile/view/1862587","18-1862587")</f>
        <v>0</v>
      </c>
      <c r="B1600" t="s">
        <v>99</v>
      </c>
      <c r="C1600" t="s">
        <v>234</v>
      </c>
      <c r="D1600" t="s">
        <v>330</v>
      </c>
      <c r="E1600" t="s">
        <v>714</v>
      </c>
      <c r="F1600" t="s">
        <v>1740</v>
      </c>
      <c r="G1600" t="s">
        <v>3050</v>
      </c>
      <c r="H1600" t="s">
        <v>4278</v>
      </c>
      <c r="I1600" t="s">
        <v>4832</v>
      </c>
      <c r="J1600" t="s">
        <v>5320</v>
      </c>
      <c r="K1600">
        <v>11207</v>
      </c>
      <c r="L1600" t="s">
        <v>5355</v>
      </c>
      <c r="M1600" t="s">
        <v>5355</v>
      </c>
      <c r="N1600" t="s">
        <v>5848</v>
      </c>
      <c r="O1600" t="s">
        <v>6492</v>
      </c>
      <c r="P1600" t="s">
        <v>6530</v>
      </c>
      <c r="Q1600" t="s">
        <v>6534</v>
      </c>
      <c r="R1600" t="s">
        <v>6539</v>
      </c>
      <c r="U1600" t="s">
        <v>6560</v>
      </c>
      <c r="W1600" t="s">
        <v>339</v>
      </c>
      <c r="X1600">
        <v>374</v>
      </c>
      <c r="Y1600" t="s">
        <v>6605</v>
      </c>
      <c r="Z1600" t="s">
        <v>6614</v>
      </c>
      <c r="AA1600" t="s">
        <v>6651</v>
      </c>
      <c r="AB1600" t="s">
        <v>8014</v>
      </c>
      <c r="AD1600" t="s">
        <v>10357</v>
      </c>
      <c r="AE1600">
        <v>60</v>
      </c>
      <c r="AF1600" t="s">
        <v>11008</v>
      </c>
      <c r="AG1600" t="s">
        <v>11020</v>
      </c>
      <c r="AH1600">
        <v>4</v>
      </c>
      <c r="AI1600">
        <v>2</v>
      </c>
      <c r="AJ1600">
        <v>0</v>
      </c>
      <c r="AK1600">
        <v>51.03</v>
      </c>
      <c r="AN1600" t="s">
        <v>11050</v>
      </c>
      <c r="AO1600">
        <v>8400</v>
      </c>
      <c r="AR1600" t="s">
        <v>11210</v>
      </c>
      <c r="AS1600" t="s">
        <v>11253</v>
      </c>
      <c r="AT1600" t="s">
        <v>11336</v>
      </c>
      <c r="AU1600">
        <v>11.9</v>
      </c>
      <c r="AV1600" t="s">
        <v>714</v>
      </c>
      <c r="AW1600" t="s">
        <v>99</v>
      </c>
    </row>
    <row r="1601" spans="1:50">
      <c r="A1601" s="1">
        <f>HYPERLINK("https://cms.ls-nyc.org/matter/dynamic-profile/view/1852887","17-1852887")</f>
        <v>0</v>
      </c>
      <c r="B1601" t="s">
        <v>61</v>
      </c>
      <c r="C1601" t="s">
        <v>234</v>
      </c>
      <c r="D1601" t="s">
        <v>353</v>
      </c>
      <c r="E1601" t="s">
        <v>804</v>
      </c>
      <c r="F1601" t="s">
        <v>1741</v>
      </c>
      <c r="G1601" t="s">
        <v>3051</v>
      </c>
      <c r="H1601" t="s">
        <v>4056</v>
      </c>
      <c r="I1601" t="s">
        <v>5171</v>
      </c>
      <c r="J1601" t="s">
        <v>5321</v>
      </c>
      <c r="K1601">
        <v>10457</v>
      </c>
      <c r="L1601" t="s">
        <v>5355</v>
      </c>
      <c r="M1601" t="s">
        <v>5356</v>
      </c>
      <c r="N1601" t="s">
        <v>5849</v>
      </c>
      <c r="O1601" t="s">
        <v>6492</v>
      </c>
      <c r="P1601" t="s">
        <v>6530</v>
      </c>
      <c r="Q1601" t="s">
        <v>6534</v>
      </c>
      <c r="R1601" t="s">
        <v>6539</v>
      </c>
      <c r="S1601" t="s">
        <v>5357</v>
      </c>
      <c r="U1601" t="s">
        <v>6557</v>
      </c>
      <c r="W1601" t="s">
        <v>6572</v>
      </c>
      <c r="X1601">
        <v>1700</v>
      </c>
      <c r="Y1601" t="s">
        <v>6606</v>
      </c>
      <c r="Z1601" t="s">
        <v>6614</v>
      </c>
      <c r="AA1601" t="s">
        <v>6637</v>
      </c>
      <c r="AB1601" t="s">
        <v>8015</v>
      </c>
      <c r="AD1601" t="s">
        <v>10358</v>
      </c>
      <c r="AE1601">
        <v>100</v>
      </c>
      <c r="AF1601" t="s">
        <v>11005</v>
      </c>
      <c r="AG1601" t="s">
        <v>11024</v>
      </c>
      <c r="AH1601">
        <v>30</v>
      </c>
      <c r="AI1601">
        <v>1</v>
      </c>
      <c r="AJ1601">
        <v>0</v>
      </c>
      <c r="AK1601">
        <v>51.04</v>
      </c>
      <c r="AL1601" t="s">
        <v>11036</v>
      </c>
      <c r="AN1601" t="s">
        <v>11049</v>
      </c>
      <c r="AO1601">
        <v>6156</v>
      </c>
      <c r="AU1601">
        <v>24.35</v>
      </c>
      <c r="AV1601" t="s">
        <v>713</v>
      </c>
      <c r="AW1601" t="s">
        <v>11499</v>
      </c>
    </row>
    <row r="1602" spans="1:50">
      <c r="A1602" s="1">
        <f>HYPERLINK("https://cms.ls-nyc.org/matter/dynamic-profile/view/1852216","17-1852216")</f>
        <v>0</v>
      </c>
      <c r="B1602" t="s">
        <v>92</v>
      </c>
      <c r="C1602" t="s">
        <v>234</v>
      </c>
      <c r="D1602" t="s">
        <v>463</v>
      </c>
      <c r="E1602" t="s">
        <v>680</v>
      </c>
      <c r="F1602" t="s">
        <v>1742</v>
      </c>
      <c r="G1602" t="s">
        <v>3052</v>
      </c>
      <c r="H1602" t="s">
        <v>3910</v>
      </c>
      <c r="I1602" t="s">
        <v>5172</v>
      </c>
      <c r="J1602" t="s">
        <v>5323</v>
      </c>
      <c r="K1602">
        <v>10034</v>
      </c>
      <c r="L1602" t="s">
        <v>5355</v>
      </c>
      <c r="M1602" t="s">
        <v>5355</v>
      </c>
      <c r="N1602" t="s">
        <v>5850</v>
      </c>
      <c r="O1602" t="s">
        <v>6494</v>
      </c>
      <c r="P1602" t="s">
        <v>6530</v>
      </c>
      <c r="Q1602" t="s">
        <v>6534</v>
      </c>
      <c r="R1602" t="s">
        <v>6539</v>
      </c>
      <c r="S1602" t="s">
        <v>5357</v>
      </c>
      <c r="U1602" t="s">
        <v>6557</v>
      </c>
      <c r="V1602" t="s">
        <v>6566</v>
      </c>
      <c r="W1602" t="s">
        <v>463</v>
      </c>
      <c r="X1602">
        <v>1429.05</v>
      </c>
      <c r="Y1602" t="s">
        <v>6608</v>
      </c>
      <c r="Z1602" t="s">
        <v>6614</v>
      </c>
      <c r="AA1602" t="s">
        <v>6634</v>
      </c>
      <c r="AB1602" t="s">
        <v>8016</v>
      </c>
      <c r="AD1602" t="s">
        <v>10359</v>
      </c>
      <c r="AE1602">
        <v>26</v>
      </c>
      <c r="AF1602" t="s">
        <v>11005</v>
      </c>
      <c r="AG1602" t="s">
        <v>5406</v>
      </c>
      <c r="AH1602">
        <v>17</v>
      </c>
      <c r="AI1602">
        <v>2</v>
      </c>
      <c r="AJ1602">
        <v>1</v>
      </c>
      <c r="AK1602">
        <v>51.6</v>
      </c>
      <c r="AN1602" t="s">
        <v>11049</v>
      </c>
      <c r="AO1602">
        <v>10536</v>
      </c>
      <c r="AU1602">
        <v>4.15</v>
      </c>
      <c r="AV1602" t="s">
        <v>737</v>
      </c>
      <c r="AW1602" t="s">
        <v>11495</v>
      </c>
    </row>
    <row r="1603" spans="1:50">
      <c r="A1603" s="1">
        <f>HYPERLINK("https://cms.ls-nyc.org/matter/dynamic-profile/view/1860389","18-1860389")</f>
        <v>0</v>
      </c>
      <c r="B1603" t="s">
        <v>202</v>
      </c>
      <c r="C1603" t="s">
        <v>234</v>
      </c>
      <c r="D1603" t="s">
        <v>236</v>
      </c>
      <c r="E1603" t="s">
        <v>665</v>
      </c>
      <c r="F1603" t="s">
        <v>914</v>
      </c>
      <c r="G1603" t="s">
        <v>2280</v>
      </c>
      <c r="H1603" t="s">
        <v>4279</v>
      </c>
      <c r="I1603" t="s">
        <v>4868</v>
      </c>
      <c r="J1603" t="s">
        <v>5321</v>
      </c>
      <c r="K1603">
        <v>10453</v>
      </c>
      <c r="L1603" t="s">
        <v>5355</v>
      </c>
      <c r="M1603" t="s">
        <v>5356</v>
      </c>
      <c r="N1603" t="s">
        <v>5851</v>
      </c>
      <c r="O1603" t="s">
        <v>6492</v>
      </c>
      <c r="P1603" t="s">
        <v>6530</v>
      </c>
      <c r="Q1603" t="s">
        <v>6534</v>
      </c>
      <c r="R1603" t="s">
        <v>6539</v>
      </c>
      <c r="S1603" t="s">
        <v>5357</v>
      </c>
      <c r="U1603" t="s">
        <v>6557</v>
      </c>
      <c r="W1603" t="s">
        <v>433</v>
      </c>
      <c r="X1603">
        <v>1134.09</v>
      </c>
      <c r="Y1603" t="s">
        <v>6606</v>
      </c>
      <c r="Z1603" t="s">
        <v>6616</v>
      </c>
      <c r="AA1603" t="s">
        <v>6637</v>
      </c>
      <c r="AB1603" t="s">
        <v>8017</v>
      </c>
      <c r="AC1603" t="s">
        <v>8946</v>
      </c>
      <c r="AD1603" t="s">
        <v>10360</v>
      </c>
      <c r="AE1603">
        <v>36</v>
      </c>
      <c r="AF1603" t="s">
        <v>11005</v>
      </c>
      <c r="AG1603" t="s">
        <v>11023</v>
      </c>
      <c r="AH1603">
        <v>8</v>
      </c>
      <c r="AI1603">
        <v>1</v>
      </c>
      <c r="AJ1603">
        <v>4</v>
      </c>
      <c r="AK1603">
        <v>52.05</v>
      </c>
      <c r="AN1603" t="s">
        <v>11049</v>
      </c>
      <c r="AO1603">
        <v>14980</v>
      </c>
      <c r="AQ1603" t="s">
        <v>11191</v>
      </c>
      <c r="AR1603" t="s">
        <v>11220</v>
      </c>
      <c r="AS1603" t="s">
        <v>11253</v>
      </c>
      <c r="AT1603" t="s">
        <v>11310</v>
      </c>
      <c r="AU1603">
        <v>17</v>
      </c>
      <c r="AV1603" t="s">
        <v>793</v>
      </c>
      <c r="AW1603" t="s">
        <v>11538</v>
      </c>
    </row>
    <row r="1604" spans="1:50">
      <c r="A1604" s="1">
        <f>HYPERLINK("https://cms.ls-nyc.org/matter/dynamic-profile/view/1864750","18-1864750")</f>
        <v>0</v>
      </c>
      <c r="B1604" t="s">
        <v>92</v>
      </c>
      <c r="C1604" t="s">
        <v>235</v>
      </c>
      <c r="D1604" t="s">
        <v>395</v>
      </c>
      <c r="F1604" t="s">
        <v>1743</v>
      </c>
      <c r="G1604" t="s">
        <v>2326</v>
      </c>
      <c r="H1604" t="s">
        <v>3579</v>
      </c>
      <c r="I1604">
        <v>602</v>
      </c>
      <c r="J1604" t="s">
        <v>5323</v>
      </c>
      <c r="K1604">
        <v>10029</v>
      </c>
      <c r="L1604" t="s">
        <v>5355</v>
      </c>
      <c r="M1604" t="s">
        <v>5355</v>
      </c>
      <c r="N1604" t="s">
        <v>5632</v>
      </c>
      <c r="O1604" t="s">
        <v>6494</v>
      </c>
      <c r="P1604" t="s">
        <v>6530</v>
      </c>
      <c r="R1604" t="s">
        <v>6539</v>
      </c>
      <c r="S1604" t="s">
        <v>5355</v>
      </c>
      <c r="U1604" t="s">
        <v>6557</v>
      </c>
      <c r="V1604" t="s">
        <v>6566</v>
      </c>
      <c r="W1604" t="s">
        <v>395</v>
      </c>
      <c r="X1604">
        <v>0</v>
      </c>
      <c r="Y1604" t="s">
        <v>6608</v>
      </c>
      <c r="Z1604" t="s">
        <v>6622</v>
      </c>
      <c r="AB1604" t="s">
        <v>8018</v>
      </c>
      <c r="AD1604" t="s">
        <v>10361</v>
      </c>
      <c r="AE1604">
        <v>108</v>
      </c>
      <c r="AF1604" t="s">
        <v>11008</v>
      </c>
      <c r="AG1604" t="s">
        <v>11020</v>
      </c>
      <c r="AH1604">
        <v>4</v>
      </c>
      <c r="AI1604">
        <v>2</v>
      </c>
      <c r="AJ1604">
        <v>1</v>
      </c>
      <c r="AK1604">
        <v>52.15</v>
      </c>
      <c r="AN1604" t="s">
        <v>11049</v>
      </c>
      <c r="AO1604">
        <v>10836</v>
      </c>
      <c r="AU1604">
        <v>0.25</v>
      </c>
      <c r="AV1604" t="s">
        <v>11453</v>
      </c>
      <c r="AW1604" t="s">
        <v>11497</v>
      </c>
    </row>
    <row r="1605" spans="1:50">
      <c r="A1605" s="1">
        <f>HYPERLINK("https://cms.ls-nyc.org/matter/dynamic-profile/view/1870667","18-1870667")</f>
        <v>0</v>
      </c>
      <c r="B1605" t="s">
        <v>133</v>
      </c>
      <c r="C1605" t="s">
        <v>234</v>
      </c>
      <c r="D1605" t="s">
        <v>474</v>
      </c>
      <c r="E1605" t="s">
        <v>805</v>
      </c>
      <c r="F1605" t="s">
        <v>878</v>
      </c>
      <c r="G1605" t="s">
        <v>3053</v>
      </c>
      <c r="H1605" t="s">
        <v>4280</v>
      </c>
      <c r="I1605" t="s">
        <v>5173</v>
      </c>
      <c r="J1605" t="s">
        <v>5327</v>
      </c>
      <c r="K1605">
        <v>11101</v>
      </c>
      <c r="L1605" t="s">
        <v>5355</v>
      </c>
      <c r="M1605" t="s">
        <v>5355</v>
      </c>
      <c r="N1605" t="s">
        <v>5852</v>
      </c>
      <c r="O1605" t="s">
        <v>6491</v>
      </c>
      <c r="P1605" t="s">
        <v>6530</v>
      </c>
      <c r="Q1605" t="s">
        <v>6534</v>
      </c>
      <c r="R1605" t="s">
        <v>6539</v>
      </c>
      <c r="S1605" t="s">
        <v>5357</v>
      </c>
      <c r="U1605" t="s">
        <v>6557</v>
      </c>
      <c r="V1605" t="s">
        <v>6566</v>
      </c>
      <c r="W1605" t="s">
        <v>474</v>
      </c>
      <c r="X1605">
        <v>1300</v>
      </c>
      <c r="Y1605" t="s">
        <v>6604</v>
      </c>
      <c r="Z1605" t="s">
        <v>6493</v>
      </c>
      <c r="AA1605" t="s">
        <v>6637</v>
      </c>
      <c r="AB1605" t="s">
        <v>8019</v>
      </c>
      <c r="AC1605" t="s">
        <v>5406</v>
      </c>
      <c r="AD1605" t="s">
        <v>10362</v>
      </c>
      <c r="AE1605">
        <v>2</v>
      </c>
      <c r="AF1605" t="s">
        <v>11004</v>
      </c>
      <c r="AG1605" t="s">
        <v>5406</v>
      </c>
      <c r="AH1605">
        <v>8</v>
      </c>
      <c r="AI1605">
        <v>1</v>
      </c>
      <c r="AJ1605">
        <v>0</v>
      </c>
      <c r="AK1605">
        <v>52.69</v>
      </c>
      <c r="AN1605" t="s">
        <v>11050</v>
      </c>
      <c r="AO1605">
        <v>6396</v>
      </c>
      <c r="AQ1605" t="s">
        <v>11190</v>
      </c>
      <c r="AR1605" t="s">
        <v>11213</v>
      </c>
      <c r="AS1605" t="s">
        <v>11253</v>
      </c>
      <c r="AT1605" t="s">
        <v>11293</v>
      </c>
      <c r="AU1605">
        <v>10.8</v>
      </c>
      <c r="AV1605" t="s">
        <v>675</v>
      </c>
      <c r="AW1605" t="s">
        <v>11506</v>
      </c>
    </row>
    <row r="1606" spans="1:50">
      <c r="A1606" s="1">
        <f>HYPERLINK("https://cms.ls-nyc.org/matter/dynamic-profile/view/1864708","18-1864708")</f>
        <v>0</v>
      </c>
      <c r="B1606" t="s">
        <v>133</v>
      </c>
      <c r="C1606" t="s">
        <v>234</v>
      </c>
      <c r="D1606" t="s">
        <v>361</v>
      </c>
      <c r="E1606" t="s">
        <v>760</v>
      </c>
      <c r="F1606" t="s">
        <v>878</v>
      </c>
      <c r="G1606" t="s">
        <v>3053</v>
      </c>
      <c r="H1606" t="s">
        <v>4280</v>
      </c>
      <c r="I1606" t="s">
        <v>5173</v>
      </c>
      <c r="J1606" t="s">
        <v>5327</v>
      </c>
      <c r="K1606">
        <v>11101</v>
      </c>
      <c r="L1606" t="s">
        <v>5355</v>
      </c>
      <c r="M1606" t="s">
        <v>5355</v>
      </c>
      <c r="N1606" t="s">
        <v>5853</v>
      </c>
      <c r="O1606" t="s">
        <v>6492</v>
      </c>
      <c r="P1606" t="s">
        <v>6530</v>
      </c>
      <c r="Q1606" t="s">
        <v>6534</v>
      </c>
      <c r="R1606" t="s">
        <v>6539</v>
      </c>
      <c r="S1606" t="s">
        <v>5357</v>
      </c>
      <c r="U1606" t="s">
        <v>6557</v>
      </c>
      <c r="V1606" t="s">
        <v>6566</v>
      </c>
      <c r="W1606" t="s">
        <v>268</v>
      </c>
      <c r="X1606">
        <v>1300</v>
      </c>
      <c r="Y1606" t="s">
        <v>6604</v>
      </c>
      <c r="Z1606" t="s">
        <v>6493</v>
      </c>
      <c r="AA1606" t="s">
        <v>6633</v>
      </c>
      <c r="AB1606" t="s">
        <v>8019</v>
      </c>
      <c r="AD1606" t="s">
        <v>10362</v>
      </c>
      <c r="AE1606">
        <v>2</v>
      </c>
      <c r="AF1606" t="s">
        <v>11004</v>
      </c>
      <c r="AG1606" t="s">
        <v>5406</v>
      </c>
      <c r="AH1606">
        <v>8</v>
      </c>
      <c r="AI1606">
        <v>1</v>
      </c>
      <c r="AJ1606">
        <v>0</v>
      </c>
      <c r="AK1606">
        <v>52.69</v>
      </c>
      <c r="AN1606" t="s">
        <v>11050</v>
      </c>
      <c r="AO1606">
        <v>6396</v>
      </c>
      <c r="AQ1606" t="s">
        <v>11196</v>
      </c>
      <c r="AR1606" t="s">
        <v>6493</v>
      </c>
      <c r="AS1606" t="s">
        <v>11252</v>
      </c>
      <c r="AT1606" t="s">
        <v>11337</v>
      </c>
      <c r="AU1606">
        <v>79.05</v>
      </c>
      <c r="AV1606" t="s">
        <v>11446</v>
      </c>
      <c r="AW1606" t="s">
        <v>11500</v>
      </c>
    </row>
    <row r="1607" spans="1:50">
      <c r="A1607" s="1">
        <f>HYPERLINK("https://cms.ls-nyc.org/matter/dynamic-profile/view/1854970","18-1854970")</f>
        <v>0</v>
      </c>
      <c r="B1607" t="s">
        <v>58</v>
      </c>
      <c r="C1607" t="s">
        <v>234</v>
      </c>
      <c r="D1607" t="s">
        <v>521</v>
      </c>
      <c r="E1607" t="s">
        <v>806</v>
      </c>
      <c r="F1607" t="s">
        <v>1744</v>
      </c>
      <c r="G1607" t="s">
        <v>2409</v>
      </c>
      <c r="H1607" t="s">
        <v>3496</v>
      </c>
      <c r="I1607" t="s">
        <v>4834</v>
      </c>
      <c r="J1607" t="s">
        <v>5321</v>
      </c>
      <c r="K1607">
        <v>10453</v>
      </c>
      <c r="L1607" t="s">
        <v>5355</v>
      </c>
      <c r="M1607" t="s">
        <v>5356</v>
      </c>
      <c r="N1607" t="s">
        <v>5854</v>
      </c>
      <c r="O1607" t="s">
        <v>6492</v>
      </c>
      <c r="P1607" t="s">
        <v>6530</v>
      </c>
      <c r="Q1607" t="s">
        <v>6534</v>
      </c>
      <c r="R1607" t="s">
        <v>6539</v>
      </c>
      <c r="S1607" t="s">
        <v>5357</v>
      </c>
      <c r="U1607" t="s">
        <v>6557</v>
      </c>
      <c r="W1607" t="s">
        <v>6584</v>
      </c>
      <c r="X1607">
        <v>344</v>
      </c>
      <c r="Y1607" t="s">
        <v>6606</v>
      </c>
      <c r="Z1607" t="s">
        <v>6614</v>
      </c>
      <c r="AA1607" t="s">
        <v>6637</v>
      </c>
      <c r="AB1607" t="s">
        <v>8020</v>
      </c>
      <c r="AC1607" t="s">
        <v>8947</v>
      </c>
      <c r="AD1607" t="s">
        <v>10363</v>
      </c>
      <c r="AE1607">
        <v>100</v>
      </c>
      <c r="AF1607" t="s">
        <v>11007</v>
      </c>
      <c r="AG1607" t="s">
        <v>6493</v>
      </c>
      <c r="AH1607">
        <v>12</v>
      </c>
      <c r="AI1607">
        <v>1</v>
      </c>
      <c r="AJ1607">
        <v>1</v>
      </c>
      <c r="AK1607">
        <v>52.83</v>
      </c>
      <c r="AN1607" t="s">
        <v>11050</v>
      </c>
      <c r="AO1607">
        <v>8580</v>
      </c>
      <c r="AP1607" t="s">
        <v>11075</v>
      </c>
      <c r="AT1607" t="s">
        <v>11338</v>
      </c>
      <c r="AU1607">
        <v>24.05</v>
      </c>
      <c r="AV1607" t="s">
        <v>740</v>
      </c>
      <c r="AW1607" t="s">
        <v>11507</v>
      </c>
    </row>
    <row r="1608" spans="1:50">
      <c r="A1608" s="1">
        <f>HYPERLINK("https://cms.ls-nyc.org/matter/dynamic-profile/view/1864215","18-1864215")</f>
        <v>0</v>
      </c>
      <c r="B1608" t="s">
        <v>129</v>
      </c>
      <c r="C1608" t="s">
        <v>234</v>
      </c>
      <c r="D1608" t="s">
        <v>303</v>
      </c>
      <c r="E1608" t="s">
        <v>757</v>
      </c>
      <c r="F1608" t="s">
        <v>1482</v>
      </c>
      <c r="G1608" t="s">
        <v>2237</v>
      </c>
      <c r="H1608" t="s">
        <v>3706</v>
      </c>
      <c r="I1608">
        <v>47</v>
      </c>
      <c r="J1608" t="s">
        <v>5321</v>
      </c>
      <c r="K1608">
        <v>10453</v>
      </c>
      <c r="L1608" t="s">
        <v>5355</v>
      </c>
      <c r="M1608" t="s">
        <v>5356</v>
      </c>
      <c r="N1608" t="s">
        <v>5671</v>
      </c>
      <c r="O1608" t="s">
        <v>6494</v>
      </c>
      <c r="P1608" t="s">
        <v>6530</v>
      </c>
      <c r="Q1608" t="s">
        <v>6538</v>
      </c>
      <c r="R1608" t="s">
        <v>6539</v>
      </c>
      <c r="S1608" t="s">
        <v>5355</v>
      </c>
      <c r="U1608" t="s">
        <v>6557</v>
      </c>
      <c r="W1608" t="s">
        <v>326</v>
      </c>
      <c r="X1608">
        <v>1345</v>
      </c>
      <c r="Y1608" t="s">
        <v>6606</v>
      </c>
      <c r="Z1608" t="s">
        <v>6622</v>
      </c>
      <c r="AA1608" t="s">
        <v>6634</v>
      </c>
      <c r="AB1608" t="s">
        <v>7553</v>
      </c>
      <c r="AD1608" t="s">
        <v>9915</v>
      </c>
      <c r="AE1608">
        <v>43</v>
      </c>
      <c r="AF1608" t="s">
        <v>11005</v>
      </c>
      <c r="AG1608" t="s">
        <v>11020</v>
      </c>
      <c r="AH1608">
        <v>18</v>
      </c>
      <c r="AI1608">
        <v>2</v>
      </c>
      <c r="AJ1608">
        <v>1</v>
      </c>
      <c r="AK1608">
        <v>52.94</v>
      </c>
      <c r="AN1608" t="s">
        <v>11049</v>
      </c>
      <c r="AO1608">
        <v>11000</v>
      </c>
      <c r="AU1608">
        <v>143.45</v>
      </c>
      <c r="AV1608" t="s">
        <v>11437</v>
      </c>
      <c r="AW1608" t="s">
        <v>11499</v>
      </c>
    </row>
    <row r="1609" spans="1:50">
      <c r="A1609" s="1">
        <f>HYPERLINK("https://cms.ls-nyc.org/matter/dynamic-profile/view/1861493","18-1861493")</f>
        <v>0</v>
      </c>
      <c r="B1609" t="s">
        <v>142</v>
      </c>
      <c r="C1609" t="s">
        <v>235</v>
      </c>
      <c r="D1609" t="s">
        <v>339</v>
      </c>
      <c r="F1609" t="s">
        <v>961</v>
      </c>
      <c r="G1609" t="s">
        <v>2498</v>
      </c>
      <c r="H1609" t="s">
        <v>3796</v>
      </c>
      <c r="I1609" t="s">
        <v>4758</v>
      </c>
      <c r="J1609" t="s">
        <v>5320</v>
      </c>
      <c r="K1609">
        <v>11233</v>
      </c>
      <c r="L1609" t="s">
        <v>5357</v>
      </c>
      <c r="M1609" t="s">
        <v>5356</v>
      </c>
      <c r="O1609" t="s">
        <v>6492</v>
      </c>
      <c r="P1609" t="s">
        <v>6530</v>
      </c>
      <c r="R1609" t="s">
        <v>6539</v>
      </c>
      <c r="S1609" t="s">
        <v>5357</v>
      </c>
      <c r="U1609" t="s">
        <v>6557</v>
      </c>
      <c r="W1609" t="s">
        <v>409</v>
      </c>
      <c r="X1609">
        <v>867</v>
      </c>
      <c r="Y1609" t="s">
        <v>6605</v>
      </c>
      <c r="Z1609" t="s">
        <v>6614</v>
      </c>
      <c r="AB1609" t="s">
        <v>8021</v>
      </c>
      <c r="AD1609" t="s">
        <v>10364</v>
      </c>
      <c r="AE1609">
        <v>6</v>
      </c>
      <c r="AF1609" t="s">
        <v>11005</v>
      </c>
      <c r="AG1609" t="s">
        <v>5406</v>
      </c>
      <c r="AH1609">
        <v>16</v>
      </c>
      <c r="AI1609">
        <v>2</v>
      </c>
      <c r="AJ1609">
        <v>1</v>
      </c>
      <c r="AK1609">
        <v>52.95</v>
      </c>
      <c r="AN1609" t="s">
        <v>11050</v>
      </c>
      <c r="AO1609">
        <v>11004</v>
      </c>
      <c r="AU1609">
        <v>46.7</v>
      </c>
      <c r="AV1609" t="s">
        <v>678</v>
      </c>
      <c r="AW1609" t="s">
        <v>137</v>
      </c>
    </row>
    <row r="1610" spans="1:50">
      <c r="A1610" s="1">
        <f>HYPERLINK("https://cms.ls-nyc.org/matter/dynamic-profile/view/1840771","17-1840771")</f>
        <v>0</v>
      </c>
      <c r="B1610" t="s">
        <v>83</v>
      </c>
      <c r="C1610" t="s">
        <v>234</v>
      </c>
      <c r="D1610" t="s">
        <v>526</v>
      </c>
      <c r="E1610" t="s">
        <v>716</v>
      </c>
      <c r="F1610" t="s">
        <v>889</v>
      </c>
      <c r="G1610" t="s">
        <v>1742</v>
      </c>
      <c r="H1610" t="s">
        <v>4281</v>
      </c>
      <c r="I1610">
        <v>30</v>
      </c>
      <c r="J1610" t="s">
        <v>5323</v>
      </c>
      <c r="K1610">
        <v>10035</v>
      </c>
      <c r="L1610" t="s">
        <v>5355</v>
      </c>
      <c r="M1610" t="s">
        <v>5355</v>
      </c>
      <c r="N1610" t="s">
        <v>5855</v>
      </c>
      <c r="O1610" t="s">
        <v>6492</v>
      </c>
      <c r="P1610" t="s">
        <v>6530</v>
      </c>
      <c r="Q1610" t="s">
        <v>6534</v>
      </c>
      <c r="R1610" t="s">
        <v>6539</v>
      </c>
      <c r="S1610" t="s">
        <v>5357</v>
      </c>
      <c r="U1610" t="s">
        <v>6557</v>
      </c>
      <c r="V1610" t="s">
        <v>6566</v>
      </c>
      <c r="W1610" t="s">
        <v>526</v>
      </c>
      <c r="X1610">
        <v>580</v>
      </c>
      <c r="Y1610" t="s">
        <v>6608</v>
      </c>
      <c r="Z1610" t="s">
        <v>6493</v>
      </c>
      <c r="AA1610" t="s">
        <v>6637</v>
      </c>
      <c r="AB1610" t="s">
        <v>8022</v>
      </c>
      <c r="AD1610" t="s">
        <v>10365</v>
      </c>
      <c r="AE1610">
        <v>32</v>
      </c>
      <c r="AF1610" t="s">
        <v>11005</v>
      </c>
      <c r="AG1610" t="s">
        <v>5406</v>
      </c>
      <c r="AH1610">
        <v>35</v>
      </c>
      <c r="AI1610">
        <v>2</v>
      </c>
      <c r="AJ1610">
        <v>0</v>
      </c>
      <c r="AK1610">
        <v>53.28</v>
      </c>
      <c r="AN1610" t="s">
        <v>11050</v>
      </c>
      <c r="AO1610">
        <v>8652</v>
      </c>
      <c r="AU1610">
        <v>13.9</v>
      </c>
      <c r="AV1610" t="s">
        <v>409</v>
      </c>
      <c r="AW1610" t="s">
        <v>11497</v>
      </c>
    </row>
    <row r="1611" spans="1:50">
      <c r="A1611" s="1">
        <f>HYPERLINK("https://cms.ls-nyc.org/matter/dynamic-profile/view/1847253","17-1847253")</f>
        <v>0</v>
      </c>
      <c r="B1611" t="s">
        <v>203</v>
      </c>
      <c r="C1611" t="s">
        <v>235</v>
      </c>
      <c r="D1611" t="s">
        <v>415</v>
      </c>
      <c r="F1611" t="s">
        <v>914</v>
      </c>
      <c r="G1611" t="s">
        <v>1742</v>
      </c>
      <c r="H1611" t="s">
        <v>4282</v>
      </c>
      <c r="I1611" t="s">
        <v>4840</v>
      </c>
      <c r="J1611" t="s">
        <v>5321</v>
      </c>
      <c r="K1611">
        <v>10453</v>
      </c>
      <c r="L1611" t="s">
        <v>5355</v>
      </c>
      <c r="M1611" t="s">
        <v>5356</v>
      </c>
      <c r="N1611" t="s">
        <v>5856</v>
      </c>
      <c r="O1611" t="s">
        <v>6492</v>
      </c>
      <c r="P1611" t="s">
        <v>6530</v>
      </c>
      <c r="R1611" t="s">
        <v>6539</v>
      </c>
      <c r="U1611" t="s">
        <v>6557</v>
      </c>
      <c r="W1611" t="s">
        <v>341</v>
      </c>
      <c r="X1611">
        <v>959.5</v>
      </c>
      <c r="Y1611" t="s">
        <v>6606</v>
      </c>
      <c r="Z1611" t="s">
        <v>6614</v>
      </c>
      <c r="AB1611" t="s">
        <v>8023</v>
      </c>
      <c r="AC1611" t="s">
        <v>8948</v>
      </c>
      <c r="AD1611" t="s">
        <v>10366</v>
      </c>
      <c r="AE1611">
        <v>46</v>
      </c>
      <c r="AF1611" t="s">
        <v>11005</v>
      </c>
      <c r="AG1611" t="s">
        <v>5406</v>
      </c>
      <c r="AH1611">
        <v>4</v>
      </c>
      <c r="AI1611">
        <v>2</v>
      </c>
      <c r="AJ1611">
        <v>1</v>
      </c>
      <c r="AK1611">
        <v>53.48</v>
      </c>
      <c r="AN1611" t="s">
        <v>11049</v>
      </c>
      <c r="AO1611">
        <v>10920</v>
      </c>
      <c r="AT1611" t="s">
        <v>11324</v>
      </c>
      <c r="AU1611">
        <v>57.95</v>
      </c>
      <c r="AV1611" t="s">
        <v>794</v>
      </c>
      <c r="AW1611" t="s">
        <v>11523</v>
      </c>
    </row>
    <row r="1612" spans="1:50">
      <c r="A1612" s="1">
        <f>HYPERLINK("https://cms.ls-nyc.org/matter/dynamic-profile/view/1844639","17-1844639")</f>
        <v>0</v>
      </c>
      <c r="B1612" t="s">
        <v>53</v>
      </c>
      <c r="C1612" t="s">
        <v>234</v>
      </c>
      <c r="D1612" t="s">
        <v>453</v>
      </c>
      <c r="E1612" t="s">
        <v>445</v>
      </c>
      <c r="F1612" t="s">
        <v>854</v>
      </c>
      <c r="G1612" t="s">
        <v>2618</v>
      </c>
      <c r="H1612" t="s">
        <v>3961</v>
      </c>
      <c r="I1612" t="s">
        <v>4738</v>
      </c>
      <c r="J1612" t="s">
        <v>5320</v>
      </c>
      <c r="K1612">
        <v>11233</v>
      </c>
      <c r="L1612" t="s">
        <v>5355</v>
      </c>
      <c r="M1612" t="s">
        <v>5355</v>
      </c>
      <c r="N1612" t="s">
        <v>5857</v>
      </c>
      <c r="O1612" t="s">
        <v>6492</v>
      </c>
      <c r="P1612" t="s">
        <v>6530</v>
      </c>
      <c r="Q1612" t="s">
        <v>6534</v>
      </c>
      <c r="R1612" t="s">
        <v>6539</v>
      </c>
      <c r="U1612" t="s">
        <v>6557</v>
      </c>
      <c r="W1612" t="s">
        <v>453</v>
      </c>
      <c r="X1612">
        <v>1851</v>
      </c>
      <c r="Y1612" t="s">
        <v>6605</v>
      </c>
      <c r="Z1612" t="s">
        <v>6611</v>
      </c>
      <c r="AA1612" t="s">
        <v>6637</v>
      </c>
      <c r="AB1612" t="s">
        <v>7344</v>
      </c>
      <c r="AC1612" t="s">
        <v>8949</v>
      </c>
      <c r="AD1612" t="s">
        <v>9716</v>
      </c>
      <c r="AE1612">
        <v>71</v>
      </c>
      <c r="AF1612" t="s">
        <v>11005</v>
      </c>
      <c r="AG1612" t="s">
        <v>11020</v>
      </c>
      <c r="AH1612">
        <v>4</v>
      </c>
      <c r="AI1612">
        <v>1</v>
      </c>
      <c r="AJ1612">
        <v>3</v>
      </c>
      <c r="AK1612">
        <v>53.66</v>
      </c>
      <c r="AN1612" t="s">
        <v>11050</v>
      </c>
      <c r="AO1612">
        <v>13200</v>
      </c>
      <c r="AR1612" t="s">
        <v>11210</v>
      </c>
      <c r="AS1612" t="s">
        <v>11253</v>
      </c>
      <c r="AT1612" t="s">
        <v>11333</v>
      </c>
      <c r="AU1612">
        <v>13.1</v>
      </c>
      <c r="AV1612" t="s">
        <v>445</v>
      </c>
      <c r="AW1612" t="s">
        <v>11487</v>
      </c>
    </row>
    <row r="1613" spans="1:50">
      <c r="A1613" s="1">
        <f>HYPERLINK("https://cms.ls-nyc.org/matter/dynamic-profile/view/1846939","17-1846939")</f>
        <v>0</v>
      </c>
      <c r="B1613" t="s">
        <v>115</v>
      </c>
      <c r="C1613" t="s">
        <v>234</v>
      </c>
      <c r="D1613" t="s">
        <v>533</v>
      </c>
      <c r="E1613" t="s">
        <v>720</v>
      </c>
      <c r="F1613" t="s">
        <v>1745</v>
      </c>
      <c r="G1613" t="s">
        <v>2396</v>
      </c>
      <c r="H1613" t="s">
        <v>4283</v>
      </c>
      <c r="J1613" t="s">
        <v>5320</v>
      </c>
      <c r="K1613">
        <v>11212</v>
      </c>
      <c r="L1613" t="s">
        <v>5355</v>
      </c>
      <c r="M1613" t="s">
        <v>5355</v>
      </c>
      <c r="N1613" t="s">
        <v>5858</v>
      </c>
      <c r="O1613" t="s">
        <v>6492</v>
      </c>
      <c r="P1613" t="s">
        <v>6530</v>
      </c>
      <c r="Q1613" t="s">
        <v>6534</v>
      </c>
      <c r="R1613" t="s">
        <v>6539</v>
      </c>
      <c r="S1613" t="s">
        <v>5357</v>
      </c>
      <c r="U1613" t="s">
        <v>6560</v>
      </c>
      <c r="W1613" t="s">
        <v>6578</v>
      </c>
      <c r="X1613">
        <v>73</v>
      </c>
      <c r="Y1613" t="s">
        <v>6605</v>
      </c>
      <c r="Z1613" t="s">
        <v>6614</v>
      </c>
      <c r="AA1613" t="s">
        <v>6637</v>
      </c>
      <c r="AB1613" t="s">
        <v>6971</v>
      </c>
      <c r="AD1613" t="s">
        <v>10367</v>
      </c>
      <c r="AE1613">
        <v>83</v>
      </c>
      <c r="AF1613" t="s">
        <v>11014</v>
      </c>
      <c r="AG1613" t="s">
        <v>5406</v>
      </c>
      <c r="AH1613">
        <v>34</v>
      </c>
      <c r="AI1613">
        <v>2</v>
      </c>
      <c r="AJ1613">
        <v>0</v>
      </c>
      <c r="AK1613">
        <v>53.79</v>
      </c>
      <c r="AN1613" t="s">
        <v>11050</v>
      </c>
      <c r="AO1613">
        <v>8736</v>
      </c>
      <c r="AR1613" t="s">
        <v>11210</v>
      </c>
      <c r="AS1613" t="s">
        <v>11253</v>
      </c>
      <c r="AT1613" t="s">
        <v>11298</v>
      </c>
      <c r="AU1613">
        <v>1</v>
      </c>
      <c r="AV1613" t="s">
        <v>465</v>
      </c>
      <c r="AW1613" t="s">
        <v>11490</v>
      </c>
    </row>
    <row r="1614" spans="1:50">
      <c r="A1614" s="1">
        <f>HYPERLINK("https://cms.ls-nyc.org/matter/dynamic-profile/view/1852219","17-1852219")</f>
        <v>0</v>
      </c>
      <c r="B1614" t="s">
        <v>58</v>
      </c>
      <c r="C1614" t="s">
        <v>234</v>
      </c>
      <c r="D1614" t="s">
        <v>562</v>
      </c>
      <c r="E1614" t="s">
        <v>394</v>
      </c>
      <c r="F1614" t="s">
        <v>855</v>
      </c>
      <c r="G1614" t="s">
        <v>2174</v>
      </c>
      <c r="H1614" t="s">
        <v>3481</v>
      </c>
      <c r="I1614" t="s">
        <v>4785</v>
      </c>
      <c r="J1614" t="s">
        <v>5321</v>
      </c>
      <c r="K1614">
        <v>10460</v>
      </c>
      <c r="L1614" t="s">
        <v>5355</v>
      </c>
      <c r="M1614" t="s">
        <v>5356</v>
      </c>
      <c r="N1614" t="s">
        <v>5859</v>
      </c>
      <c r="O1614" t="s">
        <v>6492</v>
      </c>
      <c r="P1614" t="s">
        <v>6530</v>
      </c>
      <c r="Q1614" t="s">
        <v>6534</v>
      </c>
      <c r="R1614" t="s">
        <v>6539</v>
      </c>
      <c r="S1614" t="s">
        <v>5357</v>
      </c>
      <c r="U1614" t="s">
        <v>6557</v>
      </c>
      <c r="W1614" t="s">
        <v>6572</v>
      </c>
      <c r="X1614">
        <v>1557</v>
      </c>
      <c r="Y1614" t="s">
        <v>6606</v>
      </c>
      <c r="Z1614" t="s">
        <v>6614</v>
      </c>
      <c r="AA1614" t="s">
        <v>6637</v>
      </c>
      <c r="AB1614" t="s">
        <v>6740</v>
      </c>
      <c r="AC1614" t="s">
        <v>8717</v>
      </c>
      <c r="AD1614" t="s">
        <v>9174</v>
      </c>
      <c r="AE1614">
        <v>160</v>
      </c>
      <c r="AF1614" t="s">
        <v>11008</v>
      </c>
      <c r="AG1614" t="s">
        <v>11020</v>
      </c>
      <c r="AH1614">
        <v>16</v>
      </c>
      <c r="AI1614">
        <v>2</v>
      </c>
      <c r="AJ1614">
        <v>1</v>
      </c>
      <c r="AK1614">
        <v>53.83</v>
      </c>
      <c r="AN1614" t="s">
        <v>11050</v>
      </c>
      <c r="AO1614">
        <v>17965.2</v>
      </c>
      <c r="AU1614">
        <v>18</v>
      </c>
      <c r="AV1614" t="s">
        <v>293</v>
      </c>
      <c r="AW1614" t="s">
        <v>11492</v>
      </c>
    </row>
    <row r="1615" spans="1:50">
      <c r="A1615" s="1">
        <f>HYPERLINK("https://cms.ls-nyc.org/matter/dynamic-profile/view/1841830","17-1841830")</f>
        <v>0</v>
      </c>
      <c r="B1615" t="s">
        <v>65</v>
      </c>
      <c r="C1615" t="s">
        <v>235</v>
      </c>
      <c r="D1615" t="s">
        <v>323</v>
      </c>
      <c r="F1615" t="s">
        <v>1746</v>
      </c>
      <c r="G1615" t="s">
        <v>3054</v>
      </c>
      <c r="H1615" t="s">
        <v>4284</v>
      </c>
      <c r="I1615" t="s">
        <v>4750</v>
      </c>
      <c r="J1615" t="s">
        <v>5323</v>
      </c>
      <c r="K1615">
        <v>10034</v>
      </c>
      <c r="L1615" t="s">
        <v>5355</v>
      </c>
      <c r="M1615" t="s">
        <v>5356</v>
      </c>
      <c r="N1615" t="s">
        <v>5860</v>
      </c>
      <c r="O1615" t="s">
        <v>6491</v>
      </c>
      <c r="P1615" t="s">
        <v>6530</v>
      </c>
      <c r="R1615" t="s">
        <v>6539</v>
      </c>
      <c r="S1615" t="s">
        <v>5357</v>
      </c>
      <c r="U1615" t="s">
        <v>6557</v>
      </c>
      <c r="W1615" t="s">
        <v>404</v>
      </c>
      <c r="X1615">
        <v>1067.3</v>
      </c>
      <c r="Y1615" t="s">
        <v>6608</v>
      </c>
      <c r="Z1615" t="s">
        <v>6616</v>
      </c>
      <c r="AB1615" t="s">
        <v>8024</v>
      </c>
      <c r="AD1615" t="s">
        <v>10368</v>
      </c>
      <c r="AE1615">
        <v>49</v>
      </c>
      <c r="AF1615" t="s">
        <v>11005</v>
      </c>
      <c r="AG1615" t="s">
        <v>5406</v>
      </c>
      <c r="AH1615">
        <v>14</v>
      </c>
      <c r="AI1615">
        <v>1</v>
      </c>
      <c r="AJ1615">
        <v>0</v>
      </c>
      <c r="AK1615">
        <v>53.9</v>
      </c>
      <c r="AN1615" t="s">
        <v>11049</v>
      </c>
      <c r="AO1615">
        <v>6500</v>
      </c>
      <c r="AU1615">
        <v>0</v>
      </c>
      <c r="AW1615" t="s">
        <v>11495</v>
      </c>
    </row>
    <row r="1616" spans="1:50">
      <c r="A1616" s="1">
        <f>HYPERLINK("https://cms.ls-nyc.org/matter/dynamic-profile/view/1864398","18-1864398")</f>
        <v>0</v>
      </c>
      <c r="B1616" t="s">
        <v>92</v>
      </c>
      <c r="C1616" t="s">
        <v>235</v>
      </c>
      <c r="D1616" t="s">
        <v>342</v>
      </c>
      <c r="F1616" t="s">
        <v>1360</v>
      </c>
      <c r="G1616" t="s">
        <v>3054</v>
      </c>
      <c r="H1616" t="s">
        <v>3579</v>
      </c>
      <c r="I1616">
        <v>601</v>
      </c>
      <c r="J1616" t="s">
        <v>5323</v>
      </c>
      <c r="K1616">
        <v>10029</v>
      </c>
      <c r="L1616" t="s">
        <v>5355</v>
      </c>
      <c r="M1616" t="s">
        <v>5355</v>
      </c>
      <c r="N1616" t="s">
        <v>5632</v>
      </c>
      <c r="O1616" t="s">
        <v>6494</v>
      </c>
      <c r="P1616" t="s">
        <v>6530</v>
      </c>
      <c r="R1616" t="s">
        <v>6539</v>
      </c>
      <c r="S1616" t="s">
        <v>5355</v>
      </c>
      <c r="U1616" t="s">
        <v>6557</v>
      </c>
      <c r="V1616" t="s">
        <v>6566</v>
      </c>
      <c r="W1616" t="s">
        <v>342</v>
      </c>
      <c r="X1616">
        <v>0</v>
      </c>
      <c r="Y1616" t="s">
        <v>6608</v>
      </c>
      <c r="Z1616" t="s">
        <v>6622</v>
      </c>
      <c r="AB1616" t="s">
        <v>8025</v>
      </c>
      <c r="AD1616" t="s">
        <v>10369</v>
      </c>
      <c r="AE1616">
        <v>108</v>
      </c>
      <c r="AF1616" t="s">
        <v>11008</v>
      </c>
      <c r="AG1616" t="s">
        <v>11020</v>
      </c>
      <c r="AH1616">
        <v>20</v>
      </c>
      <c r="AI1616">
        <v>1</v>
      </c>
      <c r="AJ1616">
        <v>0</v>
      </c>
      <c r="AK1616">
        <v>53.97</v>
      </c>
      <c r="AN1616" t="s">
        <v>11049</v>
      </c>
      <c r="AO1616">
        <v>6552</v>
      </c>
      <c r="AU1616">
        <v>0.25</v>
      </c>
      <c r="AV1616" t="s">
        <v>11453</v>
      </c>
      <c r="AW1616" t="s">
        <v>11497</v>
      </c>
      <c r="AX1616" t="s">
        <v>11564</v>
      </c>
    </row>
    <row r="1617" spans="1:50">
      <c r="A1617" s="1">
        <f>HYPERLINK("https://cms.ls-nyc.org/matter/dynamic-profile/view/1844065","17-1844065")</f>
        <v>0</v>
      </c>
      <c r="B1617" t="s">
        <v>134</v>
      </c>
      <c r="C1617" t="s">
        <v>235</v>
      </c>
      <c r="D1617" t="s">
        <v>574</v>
      </c>
      <c r="F1617" t="s">
        <v>1747</v>
      </c>
      <c r="G1617" t="s">
        <v>3055</v>
      </c>
      <c r="H1617" t="s">
        <v>4285</v>
      </c>
      <c r="I1617" t="s">
        <v>4972</v>
      </c>
      <c r="J1617" t="s">
        <v>5324</v>
      </c>
      <c r="K1617">
        <v>11367</v>
      </c>
      <c r="L1617" t="s">
        <v>5355</v>
      </c>
      <c r="M1617" t="s">
        <v>5356</v>
      </c>
      <c r="N1617" t="s">
        <v>5861</v>
      </c>
      <c r="O1617" t="s">
        <v>6492</v>
      </c>
      <c r="P1617" t="s">
        <v>6530</v>
      </c>
      <c r="R1617" t="s">
        <v>6539</v>
      </c>
      <c r="S1617" t="s">
        <v>5357</v>
      </c>
      <c r="U1617" t="s">
        <v>6557</v>
      </c>
      <c r="W1617" t="s">
        <v>575</v>
      </c>
      <c r="X1617">
        <v>1029</v>
      </c>
      <c r="Y1617" t="s">
        <v>6604</v>
      </c>
      <c r="Z1617" t="s">
        <v>6614</v>
      </c>
      <c r="AB1617" t="s">
        <v>8026</v>
      </c>
      <c r="AC1617" t="s">
        <v>8950</v>
      </c>
      <c r="AD1617" t="s">
        <v>10370</v>
      </c>
      <c r="AE1617">
        <v>144</v>
      </c>
      <c r="AF1617" t="s">
        <v>11005</v>
      </c>
      <c r="AG1617" t="s">
        <v>5406</v>
      </c>
      <c r="AH1617">
        <v>18</v>
      </c>
      <c r="AI1617">
        <v>2</v>
      </c>
      <c r="AJ1617">
        <v>0</v>
      </c>
      <c r="AK1617">
        <v>54.16</v>
      </c>
      <c r="AM1617" t="s">
        <v>11046</v>
      </c>
      <c r="AN1617" t="s">
        <v>11055</v>
      </c>
      <c r="AO1617">
        <v>10236</v>
      </c>
      <c r="AU1617">
        <v>29.55</v>
      </c>
      <c r="AV1617" t="s">
        <v>521</v>
      </c>
      <c r="AW1617" t="s">
        <v>134</v>
      </c>
    </row>
    <row r="1618" spans="1:50">
      <c r="A1618" s="1">
        <f>HYPERLINK("https://cms.ls-nyc.org/matter/dynamic-profile/view/1857665","18-1857665")</f>
        <v>0</v>
      </c>
      <c r="B1618" t="s">
        <v>88</v>
      </c>
      <c r="C1618" t="s">
        <v>234</v>
      </c>
      <c r="D1618" t="s">
        <v>436</v>
      </c>
      <c r="E1618" t="s">
        <v>665</v>
      </c>
      <c r="F1618" t="s">
        <v>1748</v>
      </c>
      <c r="G1618" t="s">
        <v>2247</v>
      </c>
      <c r="H1618" t="s">
        <v>4286</v>
      </c>
      <c r="I1618" t="s">
        <v>5174</v>
      </c>
      <c r="J1618" t="s">
        <v>5320</v>
      </c>
      <c r="K1618">
        <v>11207</v>
      </c>
      <c r="L1618" t="s">
        <v>5355</v>
      </c>
      <c r="M1618" t="s">
        <v>5355</v>
      </c>
      <c r="N1618" t="s">
        <v>5862</v>
      </c>
      <c r="O1618" t="s">
        <v>6492</v>
      </c>
      <c r="P1618" t="s">
        <v>6530</v>
      </c>
      <c r="Q1618" t="s">
        <v>6534</v>
      </c>
      <c r="R1618" t="s">
        <v>6539</v>
      </c>
      <c r="S1618" t="s">
        <v>6541</v>
      </c>
      <c r="U1618" t="s">
        <v>6557</v>
      </c>
      <c r="W1618" t="s">
        <v>236</v>
      </c>
      <c r="X1618">
        <v>678</v>
      </c>
      <c r="Y1618" t="s">
        <v>6605</v>
      </c>
      <c r="Z1618" t="s">
        <v>6617</v>
      </c>
      <c r="AA1618" t="s">
        <v>6637</v>
      </c>
      <c r="AB1618" t="s">
        <v>8027</v>
      </c>
      <c r="AC1618">
        <v>853989</v>
      </c>
      <c r="AD1618" t="s">
        <v>10371</v>
      </c>
      <c r="AE1618">
        <v>168</v>
      </c>
      <c r="AF1618" t="s">
        <v>11008</v>
      </c>
      <c r="AG1618" t="s">
        <v>11027</v>
      </c>
      <c r="AH1618">
        <v>10</v>
      </c>
      <c r="AI1618">
        <v>1</v>
      </c>
      <c r="AJ1618">
        <v>4</v>
      </c>
      <c r="AK1618">
        <v>54.2</v>
      </c>
      <c r="AN1618" t="s">
        <v>11050</v>
      </c>
      <c r="AO1618">
        <v>15600</v>
      </c>
      <c r="AQ1618" t="s">
        <v>11193</v>
      </c>
      <c r="AR1618" t="s">
        <v>6493</v>
      </c>
      <c r="AS1618" t="s">
        <v>11253</v>
      </c>
      <c r="AT1618" t="s">
        <v>11339</v>
      </c>
      <c r="AU1618">
        <v>56.2</v>
      </c>
      <c r="AV1618" t="s">
        <v>814</v>
      </c>
      <c r="AW1618" t="s">
        <v>11512</v>
      </c>
    </row>
    <row r="1619" spans="1:50">
      <c r="A1619" s="1">
        <f>HYPERLINK("https://cms.ls-nyc.org/matter/dynamic-profile/view/1842373","17-1842373")</f>
        <v>0</v>
      </c>
      <c r="B1619" t="s">
        <v>102</v>
      </c>
      <c r="C1619" t="s">
        <v>234</v>
      </c>
      <c r="D1619" t="s">
        <v>404</v>
      </c>
      <c r="E1619" t="s">
        <v>708</v>
      </c>
      <c r="F1619" t="s">
        <v>1483</v>
      </c>
      <c r="G1619" t="s">
        <v>2753</v>
      </c>
      <c r="H1619" t="s">
        <v>4287</v>
      </c>
      <c r="I1619" t="s">
        <v>5042</v>
      </c>
      <c r="J1619" t="s">
        <v>5321</v>
      </c>
      <c r="K1619">
        <v>10453</v>
      </c>
      <c r="L1619" t="s">
        <v>5355</v>
      </c>
      <c r="M1619" t="s">
        <v>5355</v>
      </c>
      <c r="N1619" t="s">
        <v>5863</v>
      </c>
      <c r="O1619" t="s">
        <v>6491</v>
      </c>
      <c r="P1619" t="s">
        <v>6530</v>
      </c>
      <c r="Q1619" t="s">
        <v>6534</v>
      </c>
      <c r="R1619" t="s">
        <v>6539</v>
      </c>
      <c r="S1619" t="s">
        <v>5357</v>
      </c>
      <c r="U1619" t="s">
        <v>6557</v>
      </c>
      <c r="V1619" t="s">
        <v>6566</v>
      </c>
      <c r="W1619" t="s">
        <v>341</v>
      </c>
      <c r="X1619">
        <v>1400</v>
      </c>
      <c r="Y1619" t="s">
        <v>6606</v>
      </c>
      <c r="Z1619" t="s">
        <v>6625</v>
      </c>
      <c r="AA1619" t="s">
        <v>6637</v>
      </c>
      <c r="AB1619" t="s">
        <v>7554</v>
      </c>
      <c r="AC1619" t="s">
        <v>8826</v>
      </c>
      <c r="AD1619" t="s">
        <v>9916</v>
      </c>
      <c r="AE1619">
        <v>46</v>
      </c>
      <c r="AF1619" t="s">
        <v>11005</v>
      </c>
      <c r="AG1619" t="s">
        <v>5406</v>
      </c>
      <c r="AH1619">
        <v>2</v>
      </c>
      <c r="AI1619">
        <v>1</v>
      </c>
      <c r="AJ1619">
        <v>1</v>
      </c>
      <c r="AK1619">
        <v>54.31</v>
      </c>
      <c r="AN1619" t="s">
        <v>11050</v>
      </c>
      <c r="AO1619">
        <v>17640</v>
      </c>
      <c r="AQ1619" t="s">
        <v>11194</v>
      </c>
      <c r="AS1619" t="s">
        <v>11253</v>
      </c>
      <c r="AT1619" t="s">
        <v>11301</v>
      </c>
      <c r="AU1619">
        <v>87.7</v>
      </c>
      <c r="AV1619" t="s">
        <v>708</v>
      </c>
      <c r="AW1619" t="s">
        <v>11508</v>
      </c>
    </row>
    <row r="1620" spans="1:50">
      <c r="A1620" s="1">
        <f>HYPERLINK("https://cms.ls-nyc.org/matter/dynamic-profile/view/1834291","17-1834291")</f>
        <v>0</v>
      </c>
      <c r="B1620" t="s">
        <v>156</v>
      </c>
      <c r="C1620" t="s">
        <v>235</v>
      </c>
      <c r="D1620" t="s">
        <v>558</v>
      </c>
      <c r="F1620" t="s">
        <v>1749</v>
      </c>
      <c r="G1620" t="s">
        <v>3056</v>
      </c>
      <c r="H1620" t="s">
        <v>4288</v>
      </c>
      <c r="I1620" t="s">
        <v>5175</v>
      </c>
      <c r="J1620" t="s">
        <v>5322</v>
      </c>
      <c r="K1620">
        <v>10304</v>
      </c>
      <c r="L1620" t="s">
        <v>5355</v>
      </c>
      <c r="M1620" t="s">
        <v>5356</v>
      </c>
      <c r="N1620" t="s">
        <v>5864</v>
      </c>
      <c r="O1620" t="s">
        <v>6491</v>
      </c>
      <c r="P1620" t="s">
        <v>6530</v>
      </c>
      <c r="R1620" t="s">
        <v>6539</v>
      </c>
      <c r="S1620" t="s">
        <v>5357</v>
      </c>
      <c r="U1620" t="s">
        <v>6557</v>
      </c>
      <c r="W1620" t="s">
        <v>6583</v>
      </c>
      <c r="X1620">
        <v>950</v>
      </c>
      <c r="Y1620" t="s">
        <v>6607</v>
      </c>
      <c r="Z1620" t="s">
        <v>6613</v>
      </c>
      <c r="AB1620" t="s">
        <v>8028</v>
      </c>
      <c r="AD1620" t="s">
        <v>10372</v>
      </c>
      <c r="AE1620">
        <v>2</v>
      </c>
      <c r="AF1620" t="s">
        <v>11004</v>
      </c>
      <c r="AG1620" t="s">
        <v>5406</v>
      </c>
      <c r="AH1620">
        <v>7</v>
      </c>
      <c r="AI1620">
        <v>2</v>
      </c>
      <c r="AJ1620">
        <v>0</v>
      </c>
      <c r="AK1620">
        <v>54.31</v>
      </c>
      <c r="AN1620" t="s">
        <v>11050</v>
      </c>
      <c r="AO1620">
        <v>8820</v>
      </c>
      <c r="AU1620">
        <v>9.6</v>
      </c>
      <c r="AV1620" t="s">
        <v>362</v>
      </c>
      <c r="AW1620" t="s">
        <v>11510</v>
      </c>
      <c r="AX1620" t="s">
        <v>11564</v>
      </c>
    </row>
    <row r="1621" spans="1:50">
      <c r="A1621" s="1">
        <f>HYPERLINK("https://cms.ls-nyc.org/matter/dynamic-profile/view/1845030","17-1845030")</f>
        <v>0</v>
      </c>
      <c r="B1621" t="s">
        <v>71</v>
      </c>
      <c r="C1621" t="s">
        <v>235</v>
      </c>
      <c r="D1621" t="s">
        <v>406</v>
      </c>
      <c r="F1621" t="s">
        <v>1750</v>
      </c>
      <c r="G1621" t="s">
        <v>3034</v>
      </c>
      <c r="H1621" t="s">
        <v>4289</v>
      </c>
      <c r="I1621" t="s">
        <v>4775</v>
      </c>
      <c r="J1621" t="s">
        <v>5321</v>
      </c>
      <c r="K1621">
        <v>10458</v>
      </c>
      <c r="L1621" t="s">
        <v>5355</v>
      </c>
      <c r="M1621" t="s">
        <v>5356</v>
      </c>
      <c r="N1621" t="s">
        <v>5865</v>
      </c>
      <c r="O1621" t="s">
        <v>6492</v>
      </c>
      <c r="P1621" t="s">
        <v>6530</v>
      </c>
      <c r="R1621" t="s">
        <v>6540</v>
      </c>
      <c r="S1621" t="s">
        <v>5357</v>
      </c>
      <c r="U1621" t="s">
        <v>6557</v>
      </c>
      <c r="W1621" t="s">
        <v>406</v>
      </c>
      <c r="X1621">
        <v>15100</v>
      </c>
      <c r="Y1621" t="s">
        <v>6606</v>
      </c>
      <c r="Z1621" t="s">
        <v>6610</v>
      </c>
      <c r="AB1621" t="s">
        <v>8029</v>
      </c>
      <c r="AC1621" t="s">
        <v>8951</v>
      </c>
      <c r="AD1621" t="s">
        <v>10373</v>
      </c>
      <c r="AE1621">
        <v>3</v>
      </c>
      <c r="AG1621" t="s">
        <v>11022</v>
      </c>
      <c r="AH1621">
        <v>1</v>
      </c>
      <c r="AI1621">
        <v>1</v>
      </c>
      <c r="AJ1621">
        <v>2</v>
      </c>
      <c r="AK1621">
        <v>54.36</v>
      </c>
      <c r="AL1621" t="s">
        <v>11028</v>
      </c>
      <c r="AN1621" t="s">
        <v>11050</v>
      </c>
      <c r="AO1621">
        <v>11100</v>
      </c>
      <c r="AU1621">
        <v>86.63</v>
      </c>
      <c r="AV1621" t="s">
        <v>311</v>
      </c>
      <c r="AW1621" t="s">
        <v>57</v>
      </c>
    </row>
    <row r="1622" spans="1:50">
      <c r="A1622" s="1">
        <f>HYPERLINK("https://cms.ls-nyc.org/matter/dynamic-profile/view/1843367","17-1843367")</f>
        <v>0</v>
      </c>
      <c r="B1622" t="s">
        <v>153</v>
      </c>
      <c r="C1622" t="s">
        <v>234</v>
      </c>
      <c r="D1622" t="s">
        <v>438</v>
      </c>
      <c r="E1622" t="s">
        <v>437</v>
      </c>
      <c r="F1622" t="s">
        <v>1324</v>
      </c>
      <c r="G1622" t="s">
        <v>2617</v>
      </c>
      <c r="H1622" t="s">
        <v>4290</v>
      </c>
      <c r="I1622" t="s">
        <v>5176</v>
      </c>
      <c r="J1622" t="s">
        <v>5321</v>
      </c>
      <c r="K1622">
        <v>10453</v>
      </c>
      <c r="L1622" t="s">
        <v>5355</v>
      </c>
      <c r="M1622" t="s">
        <v>5356</v>
      </c>
      <c r="N1622" t="s">
        <v>5866</v>
      </c>
      <c r="O1622" t="s">
        <v>6491</v>
      </c>
      <c r="P1622" t="s">
        <v>6530</v>
      </c>
      <c r="Q1622" t="s">
        <v>6534</v>
      </c>
      <c r="R1622" t="s">
        <v>6539</v>
      </c>
      <c r="S1622" t="s">
        <v>5357</v>
      </c>
      <c r="U1622" t="s">
        <v>6557</v>
      </c>
      <c r="W1622" t="s">
        <v>346</v>
      </c>
      <c r="X1622">
        <v>1010</v>
      </c>
      <c r="Y1622" t="s">
        <v>6606</v>
      </c>
      <c r="Z1622" t="s">
        <v>6615</v>
      </c>
      <c r="AA1622" t="s">
        <v>6637</v>
      </c>
      <c r="AB1622" t="s">
        <v>8030</v>
      </c>
      <c r="AC1622" t="s">
        <v>8952</v>
      </c>
      <c r="AD1622" t="s">
        <v>10374</v>
      </c>
      <c r="AE1622">
        <v>8270</v>
      </c>
      <c r="AF1622" t="s">
        <v>11014</v>
      </c>
      <c r="AG1622" t="s">
        <v>5406</v>
      </c>
      <c r="AH1622">
        <v>2</v>
      </c>
      <c r="AI1622">
        <v>1</v>
      </c>
      <c r="AJ1622">
        <v>1</v>
      </c>
      <c r="AK1622">
        <v>54.38</v>
      </c>
      <c r="AN1622" t="s">
        <v>11050</v>
      </c>
      <c r="AO1622">
        <v>8832</v>
      </c>
      <c r="AP1622" t="s">
        <v>11075</v>
      </c>
      <c r="AU1622">
        <v>39.6</v>
      </c>
      <c r="AV1622" t="s">
        <v>683</v>
      </c>
      <c r="AW1622" t="s">
        <v>11535</v>
      </c>
    </row>
    <row r="1623" spans="1:50">
      <c r="A1623" s="1">
        <f>HYPERLINK("https://cms.ls-nyc.org/matter/dynamic-profile/view/1841234","17-1841234")</f>
        <v>0</v>
      </c>
      <c r="B1623" t="s">
        <v>109</v>
      </c>
      <c r="C1623" t="s">
        <v>234</v>
      </c>
      <c r="D1623" t="s">
        <v>276</v>
      </c>
      <c r="E1623" t="s">
        <v>709</v>
      </c>
      <c r="F1623" t="s">
        <v>893</v>
      </c>
      <c r="G1623" t="s">
        <v>1820</v>
      </c>
      <c r="H1623" t="s">
        <v>4291</v>
      </c>
      <c r="I1623" t="s">
        <v>4787</v>
      </c>
      <c r="J1623" t="s">
        <v>5320</v>
      </c>
      <c r="K1623">
        <v>11210</v>
      </c>
      <c r="L1623" t="s">
        <v>5355</v>
      </c>
      <c r="M1623" t="s">
        <v>5355</v>
      </c>
      <c r="N1623" t="s">
        <v>5867</v>
      </c>
      <c r="O1623" t="s">
        <v>6492</v>
      </c>
      <c r="P1623" t="s">
        <v>6530</v>
      </c>
      <c r="Q1623" t="s">
        <v>6534</v>
      </c>
      <c r="R1623" t="s">
        <v>6539</v>
      </c>
      <c r="S1623" t="s">
        <v>5357</v>
      </c>
      <c r="U1623" t="s">
        <v>6557</v>
      </c>
      <c r="W1623" t="s">
        <v>276</v>
      </c>
      <c r="X1623">
        <v>962</v>
      </c>
      <c r="Y1623" t="s">
        <v>6605</v>
      </c>
      <c r="Z1623" t="s">
        <v>6620</v>
      </c>
      <c r="AA1623" t="s">
        <v>6633</v>
      </c>
      <c r="AB1623" t="s">
        <v>8031</v>
      </c>
      <c r="AC1623" t="s">
        <v>8953</v>
      </c>
      <c r="AD1623" t="s">
        <v>10375</v>
      </c>
      <c r="AE1623">
        <v>40</v>
      </c>
      <c r="AF1623" t="s">
        <v>11014</v>
      </c>
      <c r="AG1623" t="s">
        <v>11022</v>
      </c>
      <c r="AH1623">
        <v>12</v>
      </c>
      <c r="AI1623">
        <v>1</v>
      </c>
      <c r="AJ1623">
        <v>0</v>
      </c>
      <c r="AK1623">
        <v>54.73</v>
      </c>
      <c r="AL1623" t="s">
        <v>438</v>
      </c>
      <c r="AM1623" t="s">
        <v>11046</v>
      </c>
      <c r="AN1623" t="s">
        <v>11050</v>
      </c>
      <c r="AO1623">
        <v>6600</v>
      </c>
      <c r="AR1623" t="s">
        <v>6493</v>
      </c>
      <c r="AS1623" t="s">
        <v>11252</v>
      </c>
      <c r="AT1623" t="s">
        <v>11266</v>
      </c>
      <c r="AU1623">
        <v>38.95</v>
      </c>
      <c r="AV1623" t="s">
        <v>269</v>
      </c>
      <c r="AW1623" t="s">
        <v>11512</v>
      </c>
    </row>
    <row r="1624" spans="1:50">
      <c r="A1624" s="1">
        <f>HYPERLINK("https://cms.ls-nyc.org/matter/dynamic-profile/view/1860410","18-1860410")</f>
        <v>0</v>
      </c>
      <c r="B1624" t="s">
        <v>58</v>
      </c>
      <c r="C1624" t="s">
        <v>235</v>
      </c>
      <c r="D1624" t="s">
        <v>409</v>
      </c>
      <c r="F1624" t="s">
        <v>1026</v>
      </c>
      <c r="G1624" t="s">
        <v>2217</v>
      </c>
      <c r="H1624" t="s">
        <v>4292</v>
      </c>
      <c r="I1624" t="s">
        <v>5177</v>
      </c>
      <c r="J1624" t="s">
        <v>5321</v>
      </c>
      <c r="K1624">
        <v>10452</v>
      </c>
      <c r="L1624" t="s">
        <v>5355</v>
      </c>
      <c r="M1624" t="s">
        <v>5356</v>
      </c>
      <c r="N1624" t="s">
        <v>5868</v>
      </c>
      <c r="O1624" t="s">
        <v>6492</v>
      </c>
      <c r="P1624" t="s">
        <v>6530</v>
      </c>
      <c r="R1624" t="s">
        <v>6539</v>
      </c>
      <c r="S1624" t="s">
        <v>5357</v>
      </c>
      <c r="U1624" t="s">
        <v>6557</v>
      </c>
      <c r="W1624" t="s">
        <v>254</v>
      </c>
      <c r="X1624">
        <v>877</v>
      </c>
      <c r="Y1624" t="s">
        <v>6606</v>
      </c>
      <c r="Z1624" t="s">
        <v>6612</v>
      </c>
      <c r="AB1624" t="s">
        <v>8032</v>
      </c>
      <c r="AD1624" t="s">
        <v>10376</v>
      </c>
      <c r="AE1624">
        <v>43</v>
      </c>
      <c r="AF1624" t="s">
        <v>11005</v>
      </c>
      <c r="AG1624" t="s">
        <v>5406</v>
      </c>
      <c r="AH1624">
        <v>30</v>
      </c>
      <c r="AI1624">
        <v>2</v>
      </c>
      <c r="AJ1624">
        <v>0</v>
      </c>
      <c r="AK1624">
        <v>55.04</v>
      </c>
      <c r="AN1624" t="s">
        <v>11050</v>
      </c>
      <c r="AO1624">
        <v>9060</v>
      </c>
      <c r="AQ1624" t="s">
        <v>11190</v>
      </c>
      <c r="AR1624" t="s">
        <v>11211</v>
      </c>
      <c r="AS1624" t="s">
        <v>11253</v>
      </c>
      <c r="AT1624" t="s">
        <v>11340</v>
      </c>
      <c r="AU1624">
        <v>36.43</v>
      </c>
      <c r="AV1624" t="s">
        <v>600</v>
      </c>
      <c r="AW1624" t="s">
        <v>11492</v>
      </c>
    </row>
    <row r="1625" spans="1:50">
      <c r="A1625" s="1">
        <f>HYPERLINK("https://cms.ls-nyc.org/matter/dynamic-profile/view/1863825","18-1863825")</f>
        <v>0</v>
      </c>
      <c r="B1625" t="s">
        <v>92</v>
      </c>
      <c r="C1625" t="s">
        <v>235</v>
      </c>
      <c r="D1625" t="s">
        <v>288</v>
      </c>
      <c r="F1625" t="s">
        <v>1751</v>
      </c>
      <c r="G1625" t="s">
        <v>3057</v>
      </c>
      <c r="H1625" t="s">
        <v>3579</v>
      </c>
      <c r="I1625">
        <v>807</v>
      </c>
      <c r="J1625" t="s">
        <v>5323</v>
      </c>
      <c r="K1625">
        <v>10029</v>
      </c>
      <c r="L1625" t="s">
        <v>5355</v>
      </c>
      <c r="M1625" t="s">
        <v>5355</v>
      </c>
      <c r="N1625" t="s">
        <v>5632</v>
      </c>
      <c r="O1625" t="s">
        <v>6494</v>
      </c>
      <c r="P1625" t="s">
        <v>6530</v>
      </c>
      <c r="R1625" t="s">
        <v>6539</v>
      </c>
      <c r="S1625" t="s">
        <v>5355</v>
      </c>
      <c r="U1625" t="s">
        <v>6557</v>
      </c>
      <c r="V1625" t="s">
        <v>6566</v>
      </c>
      <c r="W1625" t="s">
        <v>263</v>
      </c>
      <c r="X1625">
        <v>0</v>
      </c>
      <c r="Y1625" t="s">
        <v>6608</v>
      </c>
      <c r="Z1625" t="s">
        <v>6622</v>
      </c>
      <c r="AB1625" t="s">
        <v>8033</v>
      </c>
      <c r="AD1625" t="s">
        <v>10377</v>
      </c>
      <c r="AE1625">
        <v>108</v>
      </c>
      <c r="AF1625" t="s">
        <v>11008</v>
      </c>
      <c r="AG1625" t="s">
        <v>11020</v>
      </c>
      <c r="AH1625">
        <v>24</v>
      </c>
      <c r="AI1625">
        <v>2</v>
      </c>
      <c r="AJ1625">
        <v>0</v>
      </c>
      <c r="AK1625">
        <v>55.04</v>
      </c>
      <c r="AN1625" t="s">
        <v>11050</v>
      </c>
      <c r="AO1625">
        <v>9060</v>
      </c>
      <c r="AU1625">
        <v>0.25</v>
      </c>
      <c r="AV1625" t="s">
        <v>11453</v>
      </c>
      <c r="AW1625" t="s">
        <v>11497</v>
      </c>
    </row>
    <row r="1626" spans="1:50">
      <c r="A1626" s="1">
        <f>HYPERLINK("https://cms.ls-nyc.org/matter/dynamic-profile/view/1862429","18-1862429")</f>
        <v>0</v>
      </c>
      <c r="B1626" t="s">
        <v>90</v>
      </c>
      <c r="C1626" t="s">
        <v>235</v>
      </c>
      <c r="D1626" t="s">
        <v>285</v>
      </c>
      <c r="F1626" t="s">
        <v>1361</v>
      </c>
      <c r="G1626" t="s">
        <v>2188</v>
      </c>
      <c r="H1626" t="s">
        <v>3589</v>
      </c>
      <c r="I1626" t="s">
        <v>4911</v>
      </c>
      <c r="J1626" t="s">
        <v>5321</v>
      </c>
      <c r="K1626">
        <v>10452</v>
      </c>
      <c r="L1626" t="s">
        <v>5355</v>
      </c>
      <c r="M1626" t="s">
        <v>5356</v>
      </c>
      <c r="N1626" t="s">
        <v>5792</v>
      </c>
      <c r="O1626" t="s">
        <v>6494</v>
      </c>
      <c r="P1626" t="s">
        <v>6530</v>
      </c>
      <c r="R1626" t="s">
        <v>6539</v>
      </c>
      <c r="S1626" t="s">
        <v>5355</v>
      </c>
      <c r="U1626" t="s">
        <v>6557</v>
      </c>
      <c r="W1626" t="s">
        <v>480</v>
      </c>
      <c r="X1626">
        <v>774</v>
      </c>
      <c r="Y1626" t="s">
        <v>6606</v>
      </c>
      <c r="Z1626" t="s">
        <v>6612</v>
      </c>
      <c r="AB1626" t="s">
        <v>7345</v>
      </c>
      <c r="AC1626">
        <v>88211106016</v>
      </c>
      <c r="AD1626" t="s">
        <v>9717</v>
      </c>
      <c r="AE1626">
        <v>60</v>
      </c>
      <c r="AF1626" t="s">
        <v>11005</v>
      </c>
      <c r="AG1626" t="s">
        <v>5406</v>
      </c>
      <c r="AH1626">
        <v>15</v>
      </c>
      <c r="AI1626">
        <v>2</v>
      </c>
      <c r="AJ1626">
        <v>0</v>
      </c>
      <c r="AK1626">
        <v>55.12</v>
      </c>
      <c r="AN1626" t="s">
        <v>11049</v>
      </c>
      <c r="AO1626">
        <v>9072</v>
      </c>
      <c r="AU1626">
        <v>0</v>
      </c>
      <c r="AW1626" t="s">
        <v>11492</v>
      </c>
    </row>
    <row r="1627" spans="1:50">
      <c r="A1627" s="1">
        <f>HYPERLINK("https://cms.ls-nyc.org/matter/dynamic-profile/view/1851698","17-1851698")</f>
        <v>0</v>
      </c>
      <c r="B1627" t="s">
        <v>52</v>
      </c>
      <c r="C1627" t="s">
        <v>234</v>
      </c>
      <c r="D1627" t="s">
        <v>381</v>
      </c>
      <c r="E1627" t="s">
        <v>541</v>
      </c>
      <c r="F1627" t="s">
        <v>1373</v>
      </c>
      <c r="G1627" t="s">
        <v>2779</v>
      </c>
      <c r="H1627" t="s">
        <v>4293</v>
      </c>
      <c r="I1627">
        <v>12</v>
      </c>
      <c r="J1627" t="s">
        <v>5327</v>
      </c>
      <c r="K1627">
        <v>11101</v>
      </c>
      <c r="L1627" t="s">
        <v>5355</v>
      </c>
      <c r="M1627" t="s">
        <v>5356</v>
      </c>
      <c r="N1627" t="s">
        <v>5869</v>
      </c>
      <c r="O1627" t="s">
        <v>6491</v>
      </c>
      <c r="P1627" t="s">
        <v>6530</v>
      </c>
      <c r="Q1627" t="s">
        <v>6534</v>
      </c>
      <c r="R1627" t="s">
        <v>6539</v>
      </c>
      <c r="S1627" t="s">
        <v>5357</v>
      </c>
      <c r="U1627" t="s">
        <v>6557</v>
      </c>
      <c r="W1627" t="s">
        <v>381</v>
      </c>
      <c r="X1627">
        <v>496.53</v>
      </c>
      <c r="Y1627" t="s">
        <v>6604</v>
      </c>
      <c r="Z1627" t="s">
        <v>6493</v>
      </c>
      <c r="AA1627" t="s">
        <v>6637</v>
      </c>
      <c r="AB1627" t="s">
        <v>8034</v>
      </c>
      <c r="AC1627" t="s">
        <v>8954</v>
      </c>
      <c r="AD1627" t="s">
        <v>10378</v>
      </c>
      <c r="AE1627">
        <v>16</v>
      </c>
      <c r="AF1627" t="s">
        <v>11005</v>
      </c>
      <c r="AG1627" t="s">
        <v>5406</v>
      </c>
      <c r="AH1627">
        <v>27</v>
      </c>
      <c r="AI1627">
        <v>1</v>
      </c>
      <c r="AJ1627">
        <v>0</v>
      </c>
      <c r="AK1627">
        <v>55.32</v>
      </c>
      <c r="AN1627" t="s">
        <v>11049</v>
      </c>
      <c r="AO1627">
        <v>6672</v>
      </c>
      <c r="AU1627">
        <v>39.42</v>
      </c>
      <c r="AV1627" t="s">
        <v>541</v>
      </c>
      <c r="AW1627" t="s">
        <v>11506</v>
      </c>
    </row>
    <row r="1628" spans="1:50">
      <c r="A1628" s="1">
        <f>HYPERLINK("https://cms.ls-nyc.org/matter/dynamic-profile/view/1847654","17-1847654")</f>
        <v>0</v>
      </c>
      <c r="B1628" t="s">
        <v>131</v>
      </c>
      <c r="C1628" t="s">
        <v>235</v>
      </c>
      <c r="D1628" t="s">
        <v>346</v>
      </c>
      <c r="F1628" t="s">
        <v>1752</v>
      </c>
      <c r="G1628" t="s">
        <v>2406</v>
      </c>
      <c r="H1628" t="s">
        <v>4269</v>
      </c>
      <c r="I1628" t="s">
        <v>4740</v>
      </c>
      <c r="J1628" t="s">
        <v>5323</v>
      </c>
      <c r="K1628">
        <v>10034</v>
      </c>
      <c r="L1628" t="s">
        <v>5355</v>
      </c>
      <c r="M1628" t="s">
        <v>5356</v>
      </c>
      <c r="O1628" t="s">
        <v>6494</v>
      </c>
      <c r="P1628" t="s">
        <v>6530</v>
      </c>
      <c r="R1628" t="s">
        <v>6539</v>
      </c>
      <c r="S1628" t="s">
        <v>5355</v>
      </c>
      <c r="U1628" t="s">
        <v>6557</v>
      </c>
      <c r="W1628" t="s">
        <v>390</v>
      </c>
      <c r="X1628">
        <v>340</v>
      </c>
      <c r="Y1628" t="s">
        <v>6608</v>
      </c>
      <c r="Z1628" t="s">
        <v>6614</v>
      </c>
      <c r="AB1628" t="s">
        <v>8035</v>
      </c>
      <c r="AD1628" t="s">
        <v>10379</v>
      </c>
      <c r="AE1628">
        <v>50</v>
      </c>
      <c r="AF1628" t="s">
        <v>11005</v>
      </c>
      <c r="AG1628" t="s">
        <v>5406</v>
      </c>
      <c r="AH1628">
        <v>45</v>
      </c>
      <c r="AI1628">
        <v>2</v>
      </c>
      <c r="AJ1628">
        <v>0</v>
      </c>
      <c r="AK1628">
        <v>55.42</v>
      </c>
      <c r="AN1628" t="s">
        <v>11049</v>
      </c>
      <c r="AO1628">
        <v>9000</v>
      </c>
      <c r="AU1628">
        <v>0</v>
      </c>
      <c r="AW1628" t="s">
        <v>11495</v>
      </c>
    </row>
    <row r="1629" spans="1:50">
      <c r="A1629" s="1">
        <f>HYPERLINK("https://cms.ls-nyc.org/matter/dynamic-profile/view/1868559","18-1868559")</f>
        <v>0</v>
      </c>
      <c r="B1629" t="s">
        <v>71</v>
      </c>
      <c r="C1629" t="s">
        <v>235</v>
      </c>
      <c r="D1629" t="s">
        <v>270</v>
      </c>
      <c r="F1629" t="s">
        <v>1753</v>
      </c>
      <c r="G1629" t="s">
        <v>3058</v>
      </c>
      <c r="H1629" t="s">
        <v>4294</v>
      </c>
      <c r="I1629" t="s">
        <v>4823</v>
      </c>
      <c r="J1629" t="s">
        <v>5321</v>
      </c>
      <c r="K1629">
        <v>10453</v>
      </c>
      <c r="L1629" t="s">
        <v>5355</v>
      </c>
      <c r="M1629" t="s">
        <v>5355</v>
      </c>
      <c r="N1629" t="s">
        <v>5870</v>
      </c>
      <c r="O1629" t="s">
        <v>6492</v>
      </c>
      <c r="P1629" t="s">
        <v>6530</v>
      </c>
      <c r="R1629" t="s">
        <v>6539</v>
      </c>
      <c r="S1629" t="s">
        <v>5357</v>
      </c>
      <c r="U1629" t="s">
        <v>6557</v>
      </c>
      <c r="W1629" t="s">
        <v>270</v>
      </c>
      <c r="X1629">
        <v>915</v>
      </c>
      <c r="Y1629" t="s">
        <v>6606</v>
      </c>
      <c r="Z1629" t="s">
        <v>6615</v>
      </c>
      <c r="AB1629" t="s">
        <v>8036</v>
      </c>
      <c r="AC1629" t="s">
        <v>8955</v>
      </c>
      <c r="AD1629" t="s">
        <v>10380</v>
      </c>
      <c r="AE1629">
        <v>36</v>
      </c>
      <c r="AF1629" t="s">
        <v>11005</v>
      </c>
      <c r="AG1629" t="s">
        <v>11020</v>
      </c>
      <c r="AH1629">
        <v>15</v>
      </c>
      <c r="AI1629">
        <v>1</v>
      </c>
      <c r="AJ1629">
        <v>0</v>
      </c>
      <c r="AK1629">
        <v>55.45</v>
      </c>
      <c r="AO1629">
        <v>6732</v>
      </c>
      <c r="AU1629">
        <v>10.35</v>
      </c>
      <c r="AV1629" t="s">
        <v>11441</v>
      </c>
      <c r="AW1629" t="s">
        <v>11499</v>
      </c>
    </row>
    <row r="1630" spans="1:50">
      <c r="A1630" s="1">
        <f>HYPERLINK("https://cms.ls-nyc.org/matter/dynamic-profile/view/1840374","17-1840374")</f>
        <v>0</v>
      </c>
      <c r="B1630" t="s">
        <v>65</v>
      </c>
      <c r="C1630" t="s">
        <v>234</v>
      </c>
      <c r="D1630" t="s">
        <v>387</v>
      </c>
      <c r="E1630" t="s">
        <v>758</v>
      </c>
      <c r="F1630" t="s">
        <v>1754</v>
      </c>
      <c r="G1630" t="s">
        <v>3059</v>
      </c>
      <c r="H1630" t="s">
        <v>3702</v>
      </c>
      <c r="I1630">
        <v>32</v>
      </c>
      <c r="J1630" t="s">
        <v>5323</v>
      </c>
      <c r="K1630">
        <v>10033</v>
      </c>
      <c r="L1630" t="s">
        <v>5355</v>
      </c>
      <c r="M1630" t="s">
        <v>5356</v>
      </c>
      <c r="N1630" t="s">
        <v>5871</v>
      </c>
      <c r="O1630" t="s">
        <v>6502</v>
      </c>
      <c r="P1630" t="s">
        <v>6530</v>
      </c>
      <c r="Q1630" t="s">
        <v>6534</v>
      </c>
      <c r="R1630" t="s">
        <v>6539</v>
      </c>
      <c r="S1630" t="s">
        <v>5355</v>
      </c>
      <c r="U1630" t="s">
        <v>6557</v>
      </c>
      <c r="W1630" t="s">
        <v>404</v>
      </c>
      <c r="X1630">
        <v>1108.2</v>
      </c>
      <c r="Y1630" t="s">
        <v>6608</v>
      </c>
      <c r="Z1630" t="s">
        <v>6616</v>
      </c>
      <c r="AA1630" t="s">
        <v>6642</v>
      </c>
      <c r="AB1630" t="s">
        <v>8037</v>
      </c>
      <c r="AD1630" t="s">
        <v>10381</v>
      </c>
      <c r="AE1630">
        <v>33</v>
      </c>
      <c r="AF1630" t="s">
        <v>11005</v>
      </c>
      <c r="AG1630" t="s">
        <v>11024</v>
      </c>
      <c r="AH1630">
        <v>40</v>
      </c>
      <c r="AI1630">
        <v>1</v>
      </c>
      <c r="AJ1630">
        <v>0</v>
      </c>
      <c r="AK1630">
        <v>55.72</v>
      </c>
      <c r="AL1630" t="s">
        <v>11030</v>
      </c>
      <c r="AN1630" t="s">
        <v>11049</v>
      </c>
      <c r="AO1630">
        <v>6720</v>
      </c>
      <c r="AU1630">
        <v>1.2</v>
      </c>
      <c r="AV1630" t="s">
        <v>377</v>
      </c>
      <c r="AW1630" t="s">
        <v>11495</v>
      </c>
    </row>
    <row r="1631" spans="1:50">
      <c r="A1631" s="1">
        <f>HYPERLINK("https://cms.ls-nyc.org/matter/dynamic-profile/view/1864094","18-1864094")</f>
        <v>0</v>
      </c>
      <c r="B1631" t="s">
        <v>92</v>
      </c>
      <c r="C1631" t="s">
        <v>235</v>
      </c>
      <c r="D1631" t="s">
        <v>357</v>
      </c>
      <c r="F1631" t="s">
        <v>972</v>
      </c>
      <c r="G1631" t="s">
        <v>3060</v>
      </c>
      <c r="H1631" t="s">
        <v>3579</v>
      </c>
      <c r="I1631">
        <v>206</v>
      </c>
      <c r="J1631" t="s">
        <v>5323</v>
      </c>
      <c r="K1631">
        <v>10029</v>
      </c>
      <c r="L1631" t="s">
        <v>5355</v>
      </c>
      <c r="M1631" t="s">
        <v>5355</v>
      </c>
      <c r="N1631" t="s">
        <v>5632</v>
      </c>
      <c r="O1631" t="s">
        <v>6494</v>
      </c>
      <c r="P1631" t="s">
        <v>6530</v>
      </c>
      <c r="R1631" t="s">
        <v>6539</v>
      </c>
      <c r="S1631" t="s">
        <v>5355</v>
      </c>
      <c r="U1631" t="s">
        <v>6557</v>
      </c>
      <c r="V1631" t="s">
        <v>6566</v>
      </c>
      <c r="W1631" t="s">
        <v>357</v>
      </c>
      <c r="X1631">
        <v>0</v>
      </c>
      <c r="Y1631" t="s">
        <v>6608</v>
      </c>
      <c r="Z1631" t="s">
        <v>6622</v>
      </c>
      <c r="AB1631" t="s">
        <v>8038</v>
      </c>
      <c r="AE1631">
        <v>108</v>
      </c>
      <c r="AF1631" t="s">
        <v>11008</v>
      </c>
      <c r="AG1631" t="s">
        <v>11020</v>
      </c>
      <c r="AH1631">
        <v>26</v>
      </c>
      <c r="AI1631">
        <v>1</v>
      </c>
      <c r="AJ1631">
        <v>1</v>
      </c>
      <c r="AK1631">
        <v>55.77</v>
      </c>
      <c r="AN1631" t="s">
        <v>11049</v>
      </c>
      <c r="AO1631">
        <v>9180</v>
      </c>
      <c r="AU1631">
        <v>0.5</v>
      </c>
      <c r="AV1631" t="s">
        <v>11453</v>
      </c>
      <c r="AW1631" t="s">
        <v>11497</v>
      </c>
      <c r="AX1631" t="s">
        <v>11564</v>
      </c>
    </row>
    <row r="1632" spans="1:50">
      <c r="A1632" s="1">
        <f>HYPERLINK("https://cms.ls-nyc.org/matter/dynamic-profile/view/1854568","17-1854568")</f>
        <v>0</v>
      </c>
      <c r="B1632" t="s">
        <v>94</v>
      </c>
      <c r="C1632" t="s">
        <v>234</v>
      </c>
      <c r="D1632" t="s">
        <v>308</v>
      </c>
      <c r="E1632" t="s">
        <v>803</v>
      </c>
      <c r="F1632" t="s">
        <v>914</v>
      </c>
      <c r="G1632" t="s">
        <v>2239</v>
      </c>
      <c r="H1632" t="s">
        <v>4259</v>
      </c>
      <c r="I1632" t="s">
        <v>4739</v>
      </c>
      <c r="J1632" t="s">
        <v>5320</v>
      </c>
      <c r="K1632">
        <v>11207</v>
      </c>
      <c r="L1632" t="s">
        <v>5355</v>
      </c>
      <c r="M1632" t="s">
        <v>5355</v>
      </c>
      <c r="N1632" t="s">
        <v>5872</v>
      </c>
      <c r="O1632" t="s">
        <v>6492</v>
      </c>
      <c r="P1632" t="s">
        <v>6530</v>
      </c>
      <c r="Q1632" t="s">
        <v>6538</v>
      </c>
      <c r="R1632" t="s">
        <v>6539</v>
      </c>
      <c r="S1632" t="s">
        <v>5355</v>
      </c>
      <c r="U1632" t="s">
        <v>6557</v>
      </c>
      <c r="W1632" t="s">
        <v>262</v>
      </c>
      <c r="X1632">
        <v>1365</v>
      </c>
      <c r="Y1632" t="s">
        <v>6605</v>
      </c>
      <c r="Z1632" t="s">
        <v>6614</v>
      </c>
      <c r="AA1632" t="s">
        <v>6637</v>
      </c>
      <c r="AB1632" t="s">
        <v>8039</v>
      </c>
      <c r="AD1632" t="s">
        <v>10382</v>
      </c>
      <c r="AE1632">
        <v>6</v>
      </c>
      <c r="AF1632" t="s">
        <v>11005</v>
      </c>
      <c r="AG1632" t="s">
        <v>11026</v>
      </c>
      <c r="AH1632">
        <v>5</v>
      </c>
      <c r="AI1632">
        <v>2</v>
      </c>
      <c r="AJ1632">
        <v>0</v>
      </c>
      <c r="AK1632">
        <v>55.86</v>
      </c>
      <c r="AN1632" t="s">
        <v>11050</v>
      </c>
      <c r="AO1632">
        <v>9072</v>
      </c>
      <c r="AP1632" t="s">
        <v>11161</v>
      </c>
      <c r="AU1632">
        <v>15.65</v>
      </c>
      <c r="AV1632" t="s">
        <v>402</v>
      </c>
      <c r="AW1632" t="s">
        <v>228</v>
      </c>
    </row>
    <row r="1633" spans="1:49">
      <c r="A1633" s="1">
        <f>HYPERLINK("https://cms.ls-nyc.org/matter/dynamic-profile/view/1856068","18-1856068")</f>
        <v>0</v>
      </c>
      <c r="B1633" t="s">
        <v>115</v>
      </c>
      <c r="C1633" t="s">
        <v>234</v>
      </c>
      <c r="D1633" t="s">
        <v>525</v>
      </c>
      <c r="E1633" t="s">
        <v>720</v>
      </c>
      <c r="F1633" t="s">
        <v>1755</v>
      </c>
      <c r="G1633" t="s">
        <v>3061</v>
      </c>
      <c r="H1633" t="s">
        <v>4295</v>
      </c>
      <c r="I1633" t="s">
        <v>4777</v>
      </c>
      <c r="J1633" t="s">
        <v>5320</v>
      </c>
      <c r="K1633">
        <v>11207</v>
      </c>
      <c r="L1633" t="s">
        <v>5355</v>
      </c>
      <c r="M1633" t="s">
        <v>5355</v>
      </c>
      <c r="N1633" t="s">
        <v>5873</v>
      </c>
      <c r="O1633" t="s">
        <v>6492</v>
      </c>
      <c r="P1633" t="s">
        <v>6530</v>
      </c>
      <c r="Q1633" t="s">
        <v>6534</v>
      </c>
      <c r="R1633" t="s">
        <v>6539</v>
      </c>
      <c r="S1633" t="s">
        <v>5355</v>
      </c>
      <c r="U1633" t="s">
        <v>6557</v>
      </c>
      <c r="W1633" t="s">
        <v>262</v>
      </c>
      <c r="X1633">
        <v>809.76</v>
      </c>
      <c r="Y1633" t="s">
        <v>6605</v>
      </c>
      <c r="AA1633" t="s">
        <v>6637</v>
      </c>
      <c r="AB1633" t="s">
        <v>8040</v>
      </c>
      <c r="AD1633" t="s">
        <v>10383</v>
      </c>
      <c r="AE1633">
        <v>13</v>
      </c>
      <c r="AF1633" t="s">
        <v>11008</v>
      </c>
      <c r="AH1633">
        <v>19</v>
      </c>
      <c r="AI1633">
        <v>2</v>
      </c>
      <c r="AJ1633">
        <v>1</v>
      </c>
      <c r="AK1633">
        <v>56.02</v>
      </c>
      <c r="AN1633" t="s">
        <v>11050</v>
      </c>
      <c r="AO1633">
        <v>11440</v>
      </c>
      <c r="AR1633" t="s">
        <v>11210</v>
      </c>
      <c r="AS1633" t="s">
        <v>11253</v>
      </c>
      <c r="AT1633" t="s">
        <v>11298</v>
      </c>
      <c r="AU1633">
        <v>10.3</v>
      </c>
      <c r="AV1633" t="s">
        <v>361</v>
      </c>
      <c r="AW1633" t="s">
        <v>115</v>
      </c>
    </row>
    <row r="1634" spans="1:49">
      <c r="A1634" s="1">
        <f>HYPERLINK("https://cms.ls-nyc.org/matter/dynamic-profile/view/1839692","17-1839692")</f>
        <v>0</v>
      </c>
      <c r="B1634" t="s">
        <v>177</v>
      </c>
      <c r="C1634" t="s">
        <v>235</v>
      </c>
      <c r="D1634" t="s">
        <v>529</v>
      </c>
      <c r="F1634" t="s">
        <v>1756</v>
      </c>
      <c r="G1634" t="s">
        <v>3062</v>
      </c>
      <c r="H1634" t="s">
        <v>4296</v>
      </c>
      <c r="I1634" t="s">
        <v>4753</v>
      </c>
      <c r="J1634" t="s">
        <v>5320</v>
      </c>
      <c r="K1634">
        <v>11207</v>
      </c>
      <c r="L1634" t="s">
        <v>5355</v>
      </c>
      <c r="M1634" t="s">
        <v>5356</v>
      </c>
      <c r="N1634" t="s">
        <v>5874</v>
      </c>
      <c r="O1634" t="s">
        <v>6492</v>
      </c>
      <c r="P1634" t="s">
        <v>6530</v>
      </c>
      <c r="R1634" t="s">
        <v>6539</v>
      </c>
      <c r="S1634" t="s">
        <v>5357</v>
      </c>
      <c r="U1634" t="s">
        <v>6557</v>
      </c>
      <c r="W1634" t="s">
        <v>404</v>
      </c>
      <c r="X1634">
        <v>2006</v>
      </c>
      <c r="Y1634" t="s">
        <v>6605</v>
      </c>
      <c r="AB1634" t="s">
        <v>8041</v>
      </c>
      <c r="AD1634" t="s">
        <v>10384</v>
      </c>
      <c r="AE1634">
        <v>14</v>
      </c>
      <c r="AF1634" t="s">
        <v>11005</v>
      </c>
      <c r="AG1634" t="s">
        <v>11019</v>
      </c>
      <c r="AH1634">
        <v>3</v>
      </c>
      <c r="AI1634">
        <v>3</v>
      </c>
      <c r="AJ1634">
        <v>3</v>
      </c>
      <c r="AK1634">
        <v>56.48</v>
      </c>
      <c r="AN1634" t="s">
        <v>11050</v>
      </c>
      <c r="AO1634">
        <v>18616</v>
      </c>
      <c r="AU1634">
        <v>1.1</v>
      </c>
      <c r="AV1634" t="s">
        <v>429</v>
      </c>
      <c r="AW1634" t="s">
        <v>11512</v>
      </c>
    </row>
    <row r="1635" spans="1:49">
      <c r="A1635" s="1">
        <f>HYPERLINK("https://cms.ls-nyc.org/matter/dynamic-profile/view/1841623","17-1841623")</f>
        <v>0</v>
      </c>
      <c r="B1635" t="s">
        <v>129</v>
      </c>
      <c r="C1635" t="s">
        <v>234</v>
      </c>
      <c r="D1635" t="s">
        <v>497</v>
      </c>
      <c r="E1635" t="s">
        <v>807</v>
      </c>
      <c r="F1635" t="s">
        <v>1485</v>
      </c>
      <c r="G1635" t="s">
        <v>2472</v>
      </c>
      <c r="H1635" t="s">
        <v>3721</v>
      </c>
      <c r="I1635" t="s">
        <v>5043</v>
      </c>
      <c r="J1635" t="s">
        <v>5321</v>
      </c>
      <c r="K1635">
        <v>10453</v>
      </c>
      <c r="L1635" t="s">
        <v>5355</v>
      </c>
      <c r="M1635" t="s">
        <v>5356</v>
      </c>
      <c r="N1635" t="s">
        <v>5602</v>
      </c>
      <c r="O1635" t="s">
        <v>6494</v>
      </c>
      <c r="P1635" t="s">
        <v>6530</v>
      </c>
      <c r="Q1635" t="s">
        <v>6534</v>
      </c>
      <c r="R1635" t="s">
        <v>6539</v>
      </c>
      <c r="S1635" t="s">
        <v>5355</v>
      </c>
      <c r="U1635" t="s">
        <v>6557</v>
      </c>
      <c r="W1635" t="s">
        <v>404</v>
      </c>
      <c r="X1635">
        <v>1485.71</v>
      </c>
      <c r="Y1635" t="s">
        <v>6606</v>
      </c>
      <c r="Z1635" t="s">
        <v>6612</v>
      </c>
      <c r="AA1635" t="s">
        <v>6634</v>
      </c>
      <c r="AB1635" t="s">
        <v>7556</v>
      </c>
      <c r="AC1635">
        <v>15937401</v>
      </c>
      <c r="AD1635" t="s">
        <v>9918</v>
      </c>
      <c r="AE1635">
        <v>170</v>
      </c>
      <c r="AF1635" t="s">
        <v>11005</v>
      </c>
      <c r="AG1635" t="s">
        <v>11020</v>
      </c>
      <c r="AH1635">
        <v>8</v>
      </c>
      <c r="AI1635">
        <v>1</v>
      </c>
      <c r="AJ1635">
        <v>3</v>
      </c>
      <c r="AK1635">
        <v>56.59</v>
      </c>
      <c r="AN1635" t="s">
        <v>11049</v>
      </c>
      <c r="AO1635">
        <v>13920</v>
      </c>
      <c r="AU1635">
        <v>0.15</v>
      </c>
      <c r="AV1635" t="s">
        <v>807</v>
      </c>
      <c r="AW1635" t="s">
        <v>11509</v>
      </c>
    </row>
    <row r="1636" spans="1:49">
      <c r="A1636" s="1">
        <f>HYPERLINK("https://cms.ls-nyc.org/matter/dynamic-profile/view/0819705","16-0819705")</f>
        <v>0</v>
      </c>
      <c r="B1636" t="s">
        <v>129</v>
      </c>
      <c r="C1636" t="s">
        <v>235</v>
      </c>
      <c r="D1636" t="s">
        <v>581</v>
      </c>
      <c r="F1636" t="s">
        <v>914</v>
      </c>
      <c r="G1636" t="s">
        <v>2188</v>
      </c>
      <c r="H1636" t="s">
        <v>4056</v>
      </c>
      <c r="I1636" t="s">
        <v>4947</v>
      </c>
      <c r="J1636" t="s">
        <v>5321</v>
      </c>
      <c r="K1636">
        <v>10457</v>
      </c>
      <c r="L1636" t="s">
        <v>5355</v>
      </c>
      <c r="M1636" t="s">
        <v>5356</v>
      </c>
      <c r="N1636" t="s">
        <v>5669</v>
      </c>
      <c r="O1636" t="s">
        <v>6502</v>
      </c>
      <c r="P1636" t="s">
        <v>6530</v>
      </c>
      <c r="R1636" t="s">
        <v>6539</v>
      </c>
      <c r="S1636" t="s">
        <v>5355</v>
      </c>
      <c r="U1636" t="s">
        <v>6557</v>
      </c>
      <c r="W1636" t="s">
        <v>516</v>
      </c>
      <c r="X1636">
        <v>803</v>
      </c>
      <c r="Y1636" t="s">
        <v>6606</v>
      </c>
      <c r="Z1636" t="s">
        <v>6621</v>
      </c>
      <c r="AB1636" t="s">
        <v>8042</v>
      </c>
      <c r="AD1636" t="s">
        <v>10385</v>
      </c>
      <c r="AE1636">
        <v>0</v>
      </c>
      <c r="AF1636" t="s">
        <v>8722</v>
      </c>
      <c r="AG1636" t="s">
        <v>5406</v>
      </c>
      <c r="AH1636">
        <v>0</v>
      </c>
      <c r="AI1636">
        <v>2</v>
      </c>
      <c r="AJ1636">
        <v>0</v>
      </c>
      <c r="AK1636">
        <v>56.8</v>
      </c>
      <c r="AN1636" t="s">
        <v>11049</v>
      </c>
      <c r="AO1636">
        <v>9100</v>
      </c>
      <c r="AU1636">
        <v>0</v>
      </c>
      <c r="AW1636" t="s">
        <v>11492</v>
      </c>
    </row>
    <row r="1637" spans="1:49">
      <c r="A1637" s="1">
        <f>HYPERLINK("https://cms.ls-nyc.org/matter/dynamic-profile/view/1840563","17-1840563")</f>
        <v>0</v>
      </c>
      <c r="B1637" t="s">
        <v>84</v>
      </c>
      <c r="C1637" t="s">
        <v>235</v>
      </c>
      <c r="D1637" t="s">
        <v>305</v>
      </c>
      <c r="F1637" t="s">
        <v>1757</v>
      </c>
      <c r="G1637" t="s">
        <v>2338</v>
      </c>
      <c r="H1637" t="s">
        <v>4297</v>
      </c>
      <c r="I1637" t="s">
        <v>4907</v>
      </c>
      <c r="J1637" t="s">
        <v>5320</v>
      </c>
      <c r="K1637">
        <v>11212</v>
      </c>
      <c r="L1637" t="s">
        <v>5355</v>
      </c>
      <c r="M1637" t="s">
        <v>5356</v>
      </c>
      <c r="P1637" t="s">
        <v>6530</v>
      </c>
      <c r="R1637" t="s">
        <v>6539</v>
      </c>
      <c r="S1637" t="s">
        <v>5355</v>
      </c>
      <c r="U1637" t="s">
        <v>6557</v>
      </c>
      <c r="W1637" t="s">
        <v>6600</v>
      </c>
      <c r="X1637">
        <v>1050</v>
      </c>
      <c r="Y1637" t="s">
        <v>6605</v>
      </c>
      <c r="AB1637" t="s">
        <v>8043</v>
      </c>
      <c r="AC1637">
        <v>9407455</v>
      </c>
      <c r="AD1637" t="s">
        <v>10386</v>
      </c>
      <c r="AE1637">
        <v>21</v>
      </c>
      <c r="AF1637" t="s">
        <v>11005</v>
      </c>
      <c r="AG1637" t="s">
        <v>11023</v>
      </c>
      <c r="AH1637">
        <v>7</v>
      </c>
      <c r="AI1637">
        <v>1</v>
      </c>
      <c r="AJ1637">
        <v>2</v>
      </c>
      <c r="AK1637">
        <v>57</v>
      </c>
      <c r="AN1637" t="s">
        <v>11050</v>
      </c>
      <c r="AO1637">
        <v>22968</v>
      </c>
      <c r="AU1637">
        <v>16.4</v>
      </c>
      <c r="AV1637" t="s">
        <v>306</v>
      </c>
      <c r="AW1637" t="s">
        <v>11489</v>
      </c>
    </row>
    <row r="1638" spans="1:49">
      <c r="A1638" s="1">
        <f>HYPERLINK("https://cms.ls-nyc.org/matter/dynamic-profile/view/1859639","18-1859639")</f>
        <v>0</v>
      </c>
      <c r="B1638" t="s">
        <v>166</v>
      </c>
      <c r="C1638" t="s">
        <v>234</v>
      </c>
      <c r="D1638" t="s">
        <v>523</v>
      </c>
      <c r="E1638" t="s">
        <v>799</v>
      </c>
      <c r="F1638" t="s">
        <v>1758</v>
      </c>
      <c r="G1638" t="s">
        <v>3063</v>
      </c>
      <c r="H1638" t="s">
        <v>3937</v>
      </c>
      <c r="I1638" t="s">
        <v>4829</v>
      </c>
      <c r="J1638" t="s">
        <v>5321</v>
      </c>
      <c r="K1638">
        <v>10453</v>
      </c>
      <c r="L1638" t="s">
        <v>5355</v>
      </c>
      <c r="M1638" t="s">
        <v>5356</v>
      </c>
      <c r="N1638" t="s">
        <v>5875</v>
      </c>
      <c r="O1638" t="s">
        <v>6492</v>
      </c>
      <c r="P1638" t="s">
        <v>6530</v>
      </c>
      <c r="Q1638" t="s">
        <v>6534</v>
      </c>
      <c r="R1638" t="s">
        <v>6539</v>
      </c>
      <c r="S1638" t="s">
        <v>5357</v>
      </c>
      <c r="U1638" t="s">
        <v>6557</v>
      </c>
      <c r="W1638" t="s">
        <v>6574</v>
      </c>
      <c r="X1638">
        <v>289</v>
      </c>
      <c r="Y1638" t="s">
        <v>6606</v>
      </c>
      <c r="Z1638" t="s">
        <v>6623</v>
      </c>
      <c r="AA1638" t="s">
        <v>6651</v>
      </c>
      <c r="AB1638" t="s">
        <v>8044</v>
      </c>
      <c r="AD1638" t="s">
        <v>10387</v>
      </c>
      <c r="AE1638">
        <v>315</v>
      </c>
      <c r="AF1638" t="s">
        <v>11008</v>
      </c>
      <c r="AG1638" t="s">
        <v>11020</v>
      </c>
      <c r="AH1638">
        <v>9</v>
      </c>
      <c r="AI1638">
        <v>3</v>
      </c>
      <c r="AJ1638">
        <v>0</v>
      </c>
      <c r="AK1638">
        <v>57.3</v>
      </c>
      <c r="AN1638" t="s">
        <v>11049</v>
      </c>
      <c r="AO1638">
        <v>11700</v>
      </c>
      <c r="AP1638" t="s">
        <v>11075</v>
      </c>
      <c r="AQ1638" t="s">
        <v>11195</v>
      </c>
      <c r="AR1638" t="s">
        <v>11227</v>
      </c>
      <c r="AS1638" t="s">
        <v>11253</v>
      </c>
      <c r="AT1638" t="s">
        <v>11341</v>
      </c>
      <c r="AU1638">
        <v>47.6</v>
      </c>
      <c r="AV1638" t="s">
        <v>784</v>
      </c>
      <c r="AW1638" t="s">
        <v>11538</v>
      </c>
    </row>
    <row r="1639" spans="1:49">
      <c r="A1639" s="1">
        <f>HYPERLINK("https://cms.ls-nyc.org/matter/dynamic-profile/view/1864028","18-1864028")</f>
        <v>0</v>
      </c>
      <c r="B1639" t="s">
        <v>156</v>
      </c>
      <c r="C1639" t="s">
        <v>235</v>
      </c>
      <c r="D1639" t="s">
        <v>250</v>
      </c>
      <c r="F1639" t="s">
        <v>1759</v>
      </c>
      <c r="G1639" t="s">
        <v>3064</v>
      </c>
      <c r="H1639" t="s">
        <v>4298</v>
      </c>
      <c r="I1639" t="s">
        <v>5146</v>
      </c>
      <c r="J1639" t="s">
        <v>5322</v>
      </c>
      <c r="K1639">
        <v>10301</v>
      </c>
      <c r="L1639" t="s">
        <v>5355</v>
      </c>
      <c r="M1639" t="s">
        <v>5356</v>
      </c>
      <c r="N1639" t="s">
        <v>5876</v>
      </c>
      <c r="O1639" t="s">
        <v>6491</v>
      </c>
      <c r="P1639" t="s">
        <v>6530</v>
      </c>
      <c r="R1639" t="s">
        <v>6539</v>
      </c>
      <c r="S1639" t="s">
        <v>5357</v>
      </c>
      <c r="U1639" t="s">
        <v>6557</v>
      </c>
      <c r="W1639" t="s">
        <v>250</v>
      </c>
      <c r="X1639">
        <v>1515</v>
      </c>
      <c r="Y1639" t="s">
        <v>6607</v>
      </c>
      <c r="Z1639" t="s">
        <v>6622</v>
      </c>
      <c r="AB1639" t="s">
        <v>8045</v>
      </c>
      <c r="AC1639" t="s">
        <v>8956</v>
      </c>
      <c r="AD1639" t="s">
        <v>10388</v>
      </c>
      <c r="AE1639">
        <v>2</v>
      </c>
      <c r="AF1639" t="s">
        <v>11004</v>
      </c>
      <c r="AG1639" t="s">
        <v>11022</v>
      </c>
      <c r="AH1639">
        <v>1</v>
      </c>
      <c r="AI1639">
        <v>2</v>
      </c>
      <c r="AJ1639">
        <v>2</v>
      </c>
      <c r="AK1639">
        <v>57.37</v>
      </c>
      <c r="AN1639" t="s">
        <v>11050</v>
      </c>
      <c r="AO1639">
        <v>14400</v>
      </c>
      <c r="AU1639">
        <v>20.4</v>
      </c>
      <c r="AV1639" t="s">
        <v>668</v>
      </c>
      <c r="AW1639" t="s">
        <v>11510</v>
      </c>
    </row>
    <row r="1640" spans="1:49">
      <c r="A1640" s="1">
        <f>HYPERLINK("https://cms.ls-nyc.org/matter/dynamic-profile/view/1845756","17-1845756")</f>
        <v>0</v>
      </c>
      <c r="B1640" t="s">
        <v>80</v>
      </c>
      <c r="C1640" t="s">
        <v>234</v>
      </c>
      <c r="D1640" t="s">
        <v>466</v>
      </c>
      <c r="E1640" t="s">
        <v>652</v>
      </c>
      <c r="F1640" t="s">
        <v>1415</v>
      </c>
      <c r="G1640" t="s">
        <v>2168</v>
      </c>
      <c r="H1640" t="s">
        <v>4299</v>
      </c>
      <c r="I1640" t="s">
        <v>4825</v>
      </c>
      <c r="J1640" t="s">
        <v>5321</v>
      </c>
      <c r="K1640">
        <v>10453</v>
      </c>
      <c r="L1640" t="s">
        <v>5355</v>
      </c>
      <c r="M1640" t="s">
        <v>5356</v>
      </c>
      <c r="N1640" t="s">
        <v>5877</v>
      </c>
      <c r="O1640" t="s">
        <v>6492</v>
      </c>
      <c r="P1640" t="s">
        <v>6530</v>
      </c>
      <c r="Q1640" t="s">
        <v>6534</v>
      </c>
      <c r="R1640" t="s">
        <v>6539</v>
      </c>
      <c r="S1640" t="s">
        <v>5357</v>
      </c>
      <c r="U1640" t="s">
        <v>6557</v>
      </c>
      <c r="W1640" t="s">
        <v>6601</v>
      </c>
      <c r="X1640">
        <v>1400</v>
      </c>
      <c r="Y1640" t="s">
        <v>6606</v>
      </c>
      <c r="Z1640" t="s">
        <v>6493</v>
      </c>
      <c r="AA1640" t="s">
        <v>6637</v>
      </c>
      <c r="AB1640" t="s">
        <v>7990</v>
      </c>
      <c r="AD1640" t="s">
        <v>10389</v>
      </c>
      <c r="AE1640">
        <v>36</v>
      </c>
      <c r="AF1640" t="s">
        <v>8722</v>
      </c>
      <c r="AG1640" t="s">
        <v>5406</v>
      </c>
      <c r="AH1640">
        <v>1</v>
      </c>
      <c r="AI1640">
        <v>1</v>
      </c>
      <c r="AJ1640">
        <v>2</v>
      </c>
      <c r="AK1640">
        <v>58.06</v>
      </c>
      <c r="AN1640" t="s">
        <v>11050</v>
      </c>
      <c r="AO1640">
        <v>11856</v>
      </c>
      <c r="AQ1640" t="s">
        <v>11192</v>
      </c>
      <c r="AR1640" t="s">
        <v>11217</v>
      </c>
      <c r="AS1640" t="s">
        <v>11253</v>
      </c>
      <c r="AT1640" t="s">
        <v>11333</v>
      </c>
      <c r="AU1640">
        <v>32.85</v>
      </c>
      <c r="AV1640" t="s">
        <v>445</v>
      </c>
      <c r="AW1640" t="s">
        <v>11507</v>
      </c>
    </row>
    <row r="1641" spans="1:49">
      <c r="A1641" s="1">
        <f>HYPERLINK("https://cms.ls-nyc.org/matter/dynamic-profile/view/1852033","17-1852033")</f>
        <v>0</v>
      </c>
      <c r="B1641" t="s">
        <v>106</v>
      </c>
      <c r="C1641" t="s">
        <v>234</v>
      </c>
      <c r="D1641" t="s">
        <v>481</v>
      </c>
      <c r="E1641" t="s">
        <v>413</v>
      </c>
      <c r="F1641" t="s">
        <v>1760</v>
      </c>
      <c r="G1641" t="s">
        <v>3065</v>
      </c>
      <c r="H1641" t="s">
        <v>3496</v>
      </c>
      <c r="I1641" t="s">
        <v>5178</v>
      </c>
      <c r="J1641" t="s">
        <v>5321</v>
      </c>
      <c r="K1641">
        <v>10453</v>
      </c>
      <c r="L1641" t="s">
        <v>5355</v>
      </c>
      <c r="M1641" t="s">
        <v>5356</v>
      </c>
      <c r="N1641" t="s">
        <v>5878</v>
      </c>
      <c r="O1641" t="s">
        <v>6492</v>
      </c>
      <c r="P1641" t="s">
        <v>6530</v>
      </c>
      <c r="Q1641" t="s">
        <v>6534</v>
      </c>
      <c r="R1641" t="s">
        <v>6539</v>
      </c>
      <c r="S1641" t="s">
        <v>5357</v>
      </c>
      <c r="U1641" t="s">
        <v>6557</v>
      </c>
      <c r="W1641" t="s">
        <v>424</v>
      </c>
      <c r="X1641">
        <v>1931</v>
      </c>
      <c r="Y1641" t="s">
        <v>6606</v>
      </c>
      <c r="Z1641" t="s">
        <v>6613</v>
      </c>
      <c r="AA1641" t="s">
        <v>6637</v>
      </c>
      <c r="AB1641" t="s">
        <v>8046</v>
      </c>
      <c r="AC1641">
        <v>32013902</v>
      </c>
      <c r="AD1641" t="s">
        <v>10390</v>
      </c>
      <c r="AE1641">
        <v>1654</v>
      </c>
      <c r="AF1641" t="s">
        <v>11014</v>
      </c>
      <c r="AG1641" t="s">
        <v>11020</v>
      </c>
      <c r="AH1641">
        <v>7</v>
      </c>
      <c r="AI1641">
        <v>2</v>
      </c>
      <c r="AJ1641">
        <v>4</v>
      </c>
      <c r="AK1641">
        <v>58.12</v>
      </c>
      <c r="AN1641" t="s">
        <v>11050</v>
      </c>
      <c r="AO1641">
        <v>19156.5</v>
      </c>
      <c r="AP1641" t="s">
        <v>11075</v>
      </c>
      <c r="AT1641" t="s">
        <v>11324</v>
      </c>
      <c r="AU1641">
        <v>32.15</v>
      </c>
      <c r="AV1641" t="s">
        <v>320</v>
      </c>
      <c r="AW1641" t="s">
        <v>11535</v>
      </c>
    </row>
    <row r="1642" spans="1:49">
      <c r="A1642" s="1">
        <f>HYPERLINK("https://cms.ls-nyc.org/matter/dynamic-profile/view/1852250","17-1852250")</f>
        <v>0</v>
      </c>
      <c r="B1642" t="s">
        <v>52</v>
      </c>
      <c r="C1642" t="s">
        <v>234</v>
      </c>
      <c r="D1642" t="s">
        <v>463</v>
      </c>
      <c r="E1642" t="s">
        <v>670</v>
      </c>
      <c r="F1642" t="s">
        <v>914</v>
      </c>
      <c r="G1642" t="s">
        <v>3066</v>
      </c>
      <c r="H1642" t="s">
        <v>4300</v>
      </c>
      <c r="I1642" t="s">
        <v>5179</v>
      </c>
      <c r="J1642" t="s">
        <v>5334</v>
      </c>
      <c r="K1642">
        <v>11368</v>
      </c>
      <c r="L1642" t="s">
        <v>5355</v>
      </c>
      <c r="M1642" t="s">
        <v>5355</v>
      </c>
      <c r="N1642" t="s">
        <v>5879</v>
      </c>
      <c r="O1642" t="s">
        <v>6491</v>
      </c>
      <c r="P1642" t="s">
        <v>6530</v>
      </c>
      <c r="Q1642" t="s">
        <v>6534</v>
      </c>
      <c r="R1642" t="s">
        <v>6540</v>
      </c>
      <c r="S1642" t="s">
        <v>5357</v>
      </c>
      <c r="U1642" t="s">
        <v>6557</v>
      </c>
      <c r="V1642" t="s">
        <v>6566</v>
      </c>
      <c r="W1642" t="s">
        <v>463</v>
      </c>
      <c r="X1642">
        <v>1600</v>
      </c>
      <c r="Y1642" t="s">
        <v>6604</v>
      </c>
      <c r="Z1642" t="s">
        <v>6610</v>
      </c>
      <c r="AA1642" t="s">
        <v>6637</v>
      </c>
      <c r="AB1642" t="s">
        <v>8047</v>
      </c>
      <c r="AD1642" t="s">
        <v>9166</v>
      </c>
      <c r="AE1642">
        <v>6</v>
      </c>
      <c r="AF1642" t="s">
        <v>11004</v>
      </c>
      <c r="AG1642" t="s">
        <v>5406</v>
      </c>
      <c r="AH1642">
        <v>2</v>
      </c>
      <c r="AI1642">
        <v>1</v>
      </c>
      <c r="AJ1642">
        <v>4</v>
      </c>
      <c r="AK1642">
        <v>58.37</v>
      </c>
      <c r="AL1642" t="s">
        <v>11028</v>
      </c>
      <c r="AN1642" t="s">
        <v>11049</v>
      </c>
      <c r="AO1642">
        <v>16800</v>
      </c>
      <c r="AQ1642" t="s">
        <v>11196</v>
      </c>
      <c r="AR1642" t="s">
        <v>11211</v>
      </c>
      <c r="AS1642" t="s">
        <v>11253</v>
      </c>
      <c r="AT1642" t="s">
        <v>11269</v>
      </c>
      <c r="AU1642">
        <v>10.18</v>
      </c>
      <c r="AV1642" t="s">
        <v>694</v>
      </c>
      <c r="AW1642" t="s">
        <v>52</v>
      </c>
    </row>
    <row r="1643" spans="1:49">
      <c r="A1643" s="1">
        <f>HYPERLINK("https://cms.ls-nyc.org/matter/dynamic-profile/view/1842815","17-1842815")</f>
        <v>0</v>
      </c>
      <c r="B1643" t="s">
        <v>78</v>
      </c>
      <c r="C1643" t="s">
        <v>235</v>
      </c>
      <c r="D1643" t="s">
        <v>472</v>
      </c>
      <c r="F1643" t="s">
        <v>1761</v>
      </c>
      <c r="G1643" t="s">
        <v>2338</v>
      </c>
      <c r="H1643" t="s">
        <v>4301</v>
      </c>
      <c r="I1643" t="s">
        <v>5180</v>
      </c>
      <c r="J1643" t="s">
        <v>5323</v>
      </c>
      <c r="K1643">
        <v>10023</v>
      </c>
      <c r="L1643" t="s">
        <v>5356</v>
      </c>
      <c r="M1643" t="s">
        <v>5356</v>
      </c>
      <c r="P1643" t="s">
        <v>6530</v>
      </c>
      <c r="R1643" t="s">
        <v>6539</v>
      </c>
      <c r="T1643" t="s">
        <v>6550</v>
      </c>
      <c r="U1643" t="s">
        <v>6557</v>
      </c>
      <c r="W1643" t="s">
        <v>472</v>
      </c>
      <c r="X1643">
        <v>880</v>
      </c>
      <c r="Y1643" t="s">
        <v>6608</v>
      </c>
      <c r="AB1643" t="s">
        <v>6943</v>
      </c>
      <c r="AD1643" t="s">
        <v>10391</v>
      </c>
      <c r="AE1643">
        <v>188</v>
      </c>
      <c r="AH1643">
        <v>10</v>
      </c>
      <c r="AI1643">
        <v>3</v>
      </c>
      <c r="AJ1643">
        <v>0</v>
      </c>
      <c r="AK1643">
        <v>58.77</v>
      </c>
      <c r="AO1643">
        <v>12000</v>
      </c>
      <c r="AU1643">
        <v>19.25</v>
      </c>
      <c r="AV1643" t="s">
        <v>525</v>
      </c>
      <c r="AW1643" t="s">
        <v>11549</v>
      </c>
    </row>
    <row r="1644" spans="1:49">
      <c r="A1644" s="1">
        <f>HYPERLINK("https://cms.ls-nyc.org/matter/dynamic-profile/view/1855461","18-1855461")</f>
        <v>0</v>
      </c>
      <c r="B1644" t="s">
        <v>142</v>
      </c>
      <c r="C1644" t="s">
        <v>234</v>
      </c>
      <c r="D1644" t="s">
        <v>281</v>
      </c>
      <c r="E1644" t="s">
        <v>727</v>
      </c>
      <c r="F1644" t="s">
        <v>1762</v>
      </c>
      <c r="G1644" t="s">
        <v>2599</v>
      </c>
      <c r="H1644" t="s">
        <v>4302</v>
      </c>
      <c r="I1644" t="s">
        <v>4775</v>
      </c>
      <c r="J1644" t="s">
        <v>5320</v>
      </c>
      <c r="K1644">
        <v>11237</v>
      </c>
      <c r="L1644" t="s">
        <v>5355</v>
      </c>
      <c r="M1644" t="s">
        <v>5356</v>
      </c>
      <c r="N1644" t="s">
        <v>5880</v>
      </c>
      <c r="O1644" t="s">
        <v>6492</v>
      </c>
      <c r="P1644" t="s">
        <v>6530</v>
      </c>
      <c r="Q1644" t="s">
        <v>6531</v>
      </c>
      <c r="R1644" t="s">
        <v>6539</v>
      </c>
      <c r="S1644" t="s">
        <v>5357</v>
      </c>
      <c r="U1644" t="s">
        <v>6557</v>
      </c>
      <c r="W1644" t="s">
        <v>281</v>
      </c>
      <c r="X1644">
        <v>0</v>
      </c>
      <c r="Y1644" t="s">
        <v>6605</v>
      </c>
      <c r="Z1644" t="s">
        <v>6611</v>
      </c>
      <c r="AA1644" t="s">
        <v>6637</v>
      </c>
      <c r="AB1644" t="s">
        <v>8048</v>
      </c>
      <c r="AD1644" t="s">
        <v>10392</v>
      </c>
      <c r="AE1644">
        <v>5</v>
      </c>
      <c r="AF1644" t="s">
        <v>11013</v>
      </c>
      <c r="AG1644" t="s">
        <v>11020</v>
      </c>
      <c r="AH1644">
        <v>11</v>
      </c>
      <c r="AI1644">
        <v>1</v>
      </c>
      <c r="AJ1644">
        <v>4</v>
      </c>
      <c r="AK1644">
        <v>58.93</v>
      </c>
      <c r="AN1644" t="s">
        <v>11050</v>
      </c>
      <c r="AO1644">
        <v>16960</v>
      </c>
      <c r="AU1644">
        <v>50</v>
      </c>
      <c r="AV1644" t="s">
        <v>727</v>
      </c>
      <c r="AW1644" t="s">
        <v>11487</v>
      </c>
    </row>
    <row r="1645" spans="1:49">
      <c r="A1645" s="1">
        <f>HYPERLINK("https://cms.ls-nyc.org/matter/dynamic-profile/view/1845340","17-1845340")</f>
        <v>0</v>
      </c>
      <c r="B1645" t="s">
        <v>137</v>
      </c>
      <c r="C1645" t="s">
        <v>234</v>
      </c>
      <c r="D1645" t="s">
        <v>457</v>
      </c>
      <c r="E1645" t="s">
        <v>727</v>
      </c>
      <c r="F1645" t="s">
        <v>1763</v>
      </c>
      <c r="G1645" t="s">
        <v>3067</v>
      </c>
      <c r="H1645" t="s">
        <v>4303</v>
      </c>
      <c r="I1645" t="s">
        <v>5181</v>
      </c>
      <c r="J1645" t="s">
        <v>5320</v>
      </c>
      <c r="K1645">
        <v>11207</v>
      </c>
      <c r="L1645" t="s">
        <v>5355</v>
      </c>
      <c r="M1645" t="s">
        <v>5356</v>
      </c>
      <c r="N1645" t="s">
        <v>5881</v>
      </c>
      <c r="O1645" t="s">
        <v>6492</v>
      </c>
      <c r="P1645" t="s">
        <v>6530</v>
      </c>
      <c r="Q1645" t="s">
        <v>6534</v>
      </c>
      <c r="R1645" t="s">
        <v>6539</v>
      </c>
      <c r="S1645" t="s">
        <v>5355</v>
      </c>
      <c r="U1645" t="s">
        <v>6557</v>
      </c>
      <c r="W1645" t="s">
        <v>6599</v>
      </c>
      <c r="X1645">
        <v>1070</v>
      </c>
      <c r="Y1645" t="s">
        <v>6605</v>
      </c>
      <c r="Z1645" t="s">
        <v>6617</v>
      </c>
      <c r="AA1645" t="s">
        <v>6633</v>
      </c>
      <c r="AB1645" t="s">
        <v>8049</v>
      </c>
      <c r="AC1645" t="s">
        <v>8957</v>
      </c>
      <c r="AD1645" t="s">
        <v>10393</v>
      </c>
      <c r="AE1645">
        <v>6</v>
      </c>
      <c r="AF1645" t="s">
        <v>11005</v>
      </c>
      <c r="AG1645" t="s">
        <v>11023</v>
      </c>
      <c r="AH1645">
        <v>8</v>
      </c>
      <c r="AI1645">
        <v>2</v>
      </c>
      <c r="AJ1645">
        <v>1</v>
      </c>
      <c r="AK1645">
        <v>58.96</v>
      </c>
      <c r="AN1645" t="s">
        <v>11050</v>
      </c>
      <c r="AO1645">
        <v>12040</v>
      </c>
      <c r="AU1645">
        <v>57.7</v>
      </c>
      <c r="AV1645" t="s">
        <v>11465</v>
      </c>
      <c r="AW1645" t="s">
        <v>11512</v>
      </c>
    </row>
    <row r="1646" spans="1:49">
      <c r="A1646" s="1">
        <f>HYPERLINK("https://cms.ls-nyc.org/matter/dynamic-profile/view/1857958","17-1857958")</f>
        <v>0</v>
      </c>
      <c r="B1646" t="s">
        <v>104</v>
      </c>
      <c r="C1646" t="s">
        <v>234</v>
      </c>
      <c r="D1646" t="s">
        <v>247</v>
      </c>
      <c r="E1646" t="s">
        <v>706</v>
      </c>
      <c r="F1646" t="s">
        <v>1764</v>
      </c>
      <c r="G1646" t="s">
        <v>2247</v>
      </c>
      <c r="H1646" t="s">
        <v>4304</v>
      </c>
      <c r="I1646" t="s">
        <v>4825</v>
      </c>
      <c r="J1646" t="s">
        <v>5321</v>
      </c>
      <c r="K1646">
        <v>10458</v>
      </c>
      <c r="L1646" t="s">
        <v>5355</v>
      </c>
      <c r="M1646" t="s">
        <v>5356</v>
      </c>
      <c r="N1646" t="s">
        <v>5882</v>
      </c>
      <c r="O1646" t="s">
        <v>6492</v>
      </c>
      <c r="P1646" t="s">
        <v>6530</v>
      </c>
      <c r="Q1646" t="s">
        <v>6534</v>
      </c>
      <c r="R1646" t="s">
        <v>6540</v>
      </c>
      <c r="S1646" t="s">
        <v>5357</v>
      </c>
      <c r="U1646" t="s">
        <v>6557</v>
      </c>
      <c r="W1646" t="s">
        <v>319</v>
      </c>
      <c r="X1646">
        <v>1140</v>
      </c>
      <c r="Y1646" t="s">
        <v>6606</v>
      </c>
      <c r="Z1646" t="s">
        <v>6610</v>
      </c>
      <c r="AA1646" t="s">
        <v>6637</v>
      </c>
      <c r="AB1646" t="s">
        <v>8050</v>
      </c>
      <c r="AC1646" t="s">
        <v>8958</v>
      </c>
      <c r="AD1646" t="s">
        <v>10394</v>
      </c>
      <c r="AE1646">
        <v>16</v>
      </c>
      <c r="AF1646" t="s">
        <v>11005</v>
      </c>
      <c r="AG1646" t="s">
        <v>5406</v>
      </c>
      <c r="AH1646">
        <v>5</v>
      </c>
      <c r="AI1646">
        <v>1</v>
      </c>
      <c r="AJ1646">
        <v>1</v>
      </c>
      <c r="AK1646">
        <v>59.11</v>
      </c>
      <c r="AL1646" t="s">
        <v>11028</v>
      </c>
      <c r="AN1646" t="s">
        <v>11049</v>
      </c>
      <c r="AO1646">
        <v>9600</v>
      </c>
      <c r="AQ1646" t="s">
        <v>11193</v>
      </c>
      <c r="AR1646" t="s">
        <v>11220</v>
      </c>
      <c r="AS1646" t="s">
        <v>11253</v>
      </c>
      <c r="AT1646" t="s">
        <v>11333</v>
      </c>
      <c r="AU1646">
        <v>37</v>
      </c>
      <c r="AV1646" t="s">
        <v>445</v>
      </c>
      <c r="AW1646" t="s">
        <v>57</v>
      </c>
    </row>
    <row r="1647" spans="1:49">
      <c r="A1647" s="1">
        <f>HYPERLINK("https://cms.ls-nyc.org/matter/dynamic-profile/view/1856530","18-1856530")</f>
        <v>0</v>
      </c>
      <c r="B1647" t="s">
        <v>102</v>
      </c>
      <c r="C1647" t="s">
        <v>234</v>
      </c>
      <c r="D1647" t="s">
        <v>458</v>
      </c>
      <c r="E1647" t="s">
        <v>744</v>
      </c>
      <c r="F1647" t="s">
        <v>1193</v>
      </c>
      <c r="G1647" t="s">
        <v>2758</v>
      </c>
      <c r="H1647" t="s">
        <v>3526</v>
      </c>
      <c r="I1647">
        <v>120</v>
      </c>
      <c r="J1647" t="s">
        <v>5321</v>
      </c>
      <c r="K1647">
        <v>10453</v>
      </c>
      <c r="L1647" t="s">
        <v>5355</v>
      </c>
      <c r="M1647" t="s">
        <v>5356</v>
      </c>
      <c r="N1647" t="s">
        <v>5883</v>
      </c>
      <c r="O1647" t="s">
        <v>6494</v>
      </c>
      <c r="P1647" t="s">
        <v>6530</v>
      </c>
      <c r="Q1647" t="s">
        <v>6534</v>
      </c>
      <c r="R1647" t="s">
        <v>6539</v>
      </c>
      <c r="S1647" t="s">
        <v>5355</v>
      </c>
      <c r="U1647" t="s">
        <v>6557</v>
      </c>
      <c r="W1647" t="s">
        <v>247</v>
      </c>
      <c r="X1647">
        <v>725.22</v>
      </c>
      <c r="Y1647" t="s">
        <v>6606</v>
      </c>
      <c r="Z1647" t="s">
        <v>6622</v>
      </c>
      <c r="AA1647" t="s">
        <v>6634</v>
      </c>
      <c r="AB1647" t="s">
        <v>7561</v>
      </c>
      <c r="AD1647" t="s">
        <v>9923</v>
      </c>
      <c r="AE1647">
        <v>146</v>
      </c>
      <c r="AF1647" t="s">
        <v>11005</v>
      </c>
      <c r="AG1647" t="s">
        <v>11024</v>
      </c>
      <c r="AH1647">
        <v>34</v>
      </c>
      <c r="AI1647">
        <v>1</v>
      </c>
      <c r="AJ1647">
        <v>1</v>
      </c>
      <c r="AK1647">
        <v>59.11</v>
      </c>
      <c r="AN1647" t="s">
        <v>11050</v>
      </c>
      <c r="AO1647">
        <v>9600</v>
      </c>
      <c r="AU1647">
        <v>1.4</v>
      </c>
      <c r="AV1647" t="s">
        <v>745</v>
      </c>
      <c r="AW1647" t="s">
        <v>11492</v>
      </c>
    </row>
    <row r="1648" spans="1:49">
      <c r="A1648" s="1">
        <f>HYPERLINK("https://cms.ls-nyc.org/matter/dynamic-profile/view/1843041","17-1843041")</f>
        <v>0</v>
      </c>
      <c r="B1648" t="s">
        <v>148</v>
      </c>
      <c r="C1648" t="s">
        <v>234</v>
      </c>
      <c r="D1648" t="s">
        <v>582</v>
      </c>
      <c r="E1648" t="s">
        <v>695</v>
      </c>
      <c r="F1648" t="s">
        <v>1765</v>
      </c>
      <c r="G1648" t="s">
        <v>3068</v>
      </c>
      <c r="H1648" t="s">
        <v>4305</v>
      </c>
      <c r="I1648" t="s">
        <v>5182</v>
      </c>
      <c r="J1648" t="s">
        <v>5322</v>
      </c>
      <c r="K1648">
        <v>10301</v>
      </c>
      <c r="L1648" t="s">
        <v>5355</v>
      </c>
      <c r="M1648" t="s">
        <v>5356</v>
      </c>
      <c r="N1648" t="s">
        <v>5884</v>
      </c>
      <c r="O1648" t="s">
        <v>6492</v>
      </c>
      <c r="P1648" t="s">
        <v>6530</v>
      </c>
      <c r="Q1648" t="s">
        <v>6534</v>
      </c>
      <c r="R1648" t="s">
        <v>6539</v>
      </c>
      <c r="S1648" t="s">
        <v>5357</v>
      </c>
      <c r="U1648" t="s">
        <v>6557</v>
      </c>
      <c r="W1648" t="s">
        <v>503</v>
      </c>
      <c r="X1648">
        <v>1515</v>
      </c>
      <c r="Y1648" t="s">
        <v>6607</v>
      </c>
      <c r="Z1648" t="s">
        <v>6622</v>
      </c>
      <c r="AA1648" t="s">
        <v>6633</v>
      </c>
      <c r="AB1648" t="s">
        <v>8051</v>
      </c>
      <c r="AC1648" t="s">
        <v>8959</v>
      </c>
      <c r="AD1648" t="s">
        <v>10395</v>
      </c>
      <c r="AE1648">
        <v>5</v>
      </c>
      <c r="AF1648" t="s">
        <v>11004</v>
      </c>
      <c r="AG1648" t="s">
        <v>11022</v>
      </c>
      <c r="AH1648">
        <v>2</v>
      </c>
      <c r="AI1648">
        <v>1</v>
      </c>
      <c r="AJ1648">
        <v>2</v>
      </c>
      <c r="AK1648">
        <v>59.25</v>
      </c>
      <c r="AN1648" t="s">
        <v>11050</v>
      </c>
      <c r="AO1648">
        <v>12098</v>
      </c>
      <c r="AU1648">
        <v>14.25</v>
      </c>
      <c r="AV1648" t="s">
        <v>695</v>
      </c>
      <c r="AW1648" t="s">
        <v>11510</v>
      </c>
    </row>
    <row r="1649" spans="1:49">
      <c r="A1649" s="1">
        <f>HYPERLINK("https://cms.ls-nyc.org/matter/dynamic-profile/view/1867423","18-1867423")</f>
        <v>0</v>
      </c>
      <c r="B1649" t="s">
        <v>63</v>
      </c>
      <c r="C1649" t="s">
        <v>234</v>
      </c>
      <c r="D1649" t="s">
        <v>299</v>
      </c>
      <c r="E1649" t="s">
        <v>666</v>
      </c>
      <c r="F1649" t="s">
        <v>1178</v>
      </c>
      <c r="G1649" t="s">
        <v>3069</v>
      </c>
      <c r="H1649" t="s">
        <v>4306</v>
      </c>
      <c r="I1649" t="s">
        <v>5183</v>
      </c>
      <c r="J1649" t="s">
        <v>5322</v>
      </c>
      <c r="K1649">
        <v>10301</v>
      </c>
      <c r="L1649" t="s">
        <v>5355</v>
      </c>
      <c r="M1649" t="s">
        <v>5355</v>
      </c>
      <c r="N1649" t="s">
        <v>5885</v>
      </c>
      <c r="O1649" t="s">
        <v>6491</v>
      </c>
      <c r="P1649" t="s">
        <v>6530</v>
      </c>
      <c r="Q1649" t="s">
        <v>6534</v>
      </c>
      <c r="R1649" t="s">
        <v>6539</v>
      </c>
      <c r="S1649" t="s">
        <v>5357</v>
      </c>
      <c r="U1649" t="s">
        <v>6557</v>
      </c>
      <c r="V1649" t="s">
        <v>6566</v>
      </c>
      <c r="W1649" t="s">
        <v>320</v>
      </c>
      <c r="X1649">
        <v>500</v>
      </c>
      <c r="Y1649" t="s">
        <v>6607</v>
      </c>
      <c r="Z1649" t="s">
        <v>6614</v>
      </c>
      <c r="AA1649" t="s">
        <v>6637</v>
      </c>
      <c r="AB1649" t="s">
        <v>8052</v>
      </c>
      <c r="AD1649" t="s">
        <v>10396</v>
      </c>
      <c r="AE1649">
        <v>10</v>
      </c>
      <c r="AF1649" t="s">
        <v>11004</v>
      </c>
      <c r="AG1649" t="s">
        <v>5406</v>
      </c>
      <c r="AH1649">
        <v>4</v>
      </c>
      <c r="AI1649">
        <v>1</v>
      </c>
      <c r="AJ1649">
        <v>0</v>
      </c>
      <c r="AK1649">
        <v>59.31</v>
      </c>
      <c r="AN1649" t="s">
        <v>11050</v>
      </c>
      <c r="AO1649">
        <v>7200</v>
      </c>
      <c r="AQ1649" t="s">
        <v>11196</v>
      </c>
      <c r="AR1649" t="s">
        <v>11211</v>
      </c>
      <c r="AS1649" t="s">
        <v>11253</v>
      </c>
      <c r="AT1649" t="s">
        <v>11342</v>
      </c>
      <c r="AU1649">
        <v>22.2</v>
      </c>
      <c r="AV1649" t="s">
        <v>666</v>
      </c>
      <c r="AW1649" t="s">
        <v>148</v>
      </c>
    </row>
    <row r="1650" spans="1:49">
      <c r="A1650" s="1">
        <f>HYPERLINK("https://cms.ls-nyc.org/matter/dynamic-profile/view/1870358","18-1870358")</f>
        <v>0</v>
      </c>
      <c r="B1650" t="s">
        <v>124</v>
      </c>
      <c r="C1650" t="s">
        <v>235</v>
      </c>
      <c r="D1650" t="s">
        <v>322</v>
      </c>
      <c r="F1650" t="s">
        <v>1007</v>
      </c>
      <c r="G1650" t="s">
        <v>3070</v>
      </c>
      <c r="H1650" t="s">
        <v>4307</v>
      </c>
      <c r="I1650" t="s">
        <v>4868</v>
      </c>
      <c r="J1650" t="s">
        <v>5323</v>
      </c>
      <c r="K1650">
        <v>10034</v>
      </c>
      <c r="L1650" t="s">
        <v>5355</v>
      </c>
      <c r="M1650" t="s">
        <v>5356</v>
      </c>
      <c r="O1650" t="s">
        <v>6492</v>
      </c>
      <c r="P1650" t="s">
        <v>6530</v>
      </c>
      <c r="R1650" t="s">
        <v>6539</v>
      </c>
      <c r="S1650" t="s">
        <v>5357</v>
      </c>
      <c r="U1650" t="s">
        <v>6557</v>
      </c>
      <c r="W1650" t="s">
        <v>337</v>
      </c>
      <c r="X1650">
        <v>252</v>
      </c>
      <c r="Y1650" t="s">
        <v>6608</v>
      </c>
      <c r="Z1650" t="s">
        <v>6616</v>
      </c>
      <c r="AB1650" t="s">
        <v>8053</v>
      </c>
      <c r="AD1650" t="s">
        <v>10397</v>
      </c>
      <c r="AE1650">
        <v>0</v>
      </c>
      <c r="AF1650" t="s">
        <v>11005</v>
      </c>
      <c r="AG1650" t="s">
        <v>5406</v>
      </c>
      <c r="AH1650">
        <v>16</v>
      </c>
      <c r="AI1650">
        <v>1</v>
      </c>
      <c r="AJ1650">
        <v>0</v>
      </c>
      <c r="AK1650">
        <v>59.31</v>
      </c>
      <c r="AN1650" t="s">
        <v>11050</v>
      </c>
      <c r="AO1650">
        <v>7200</v>
      </c>
      <c r="AU1650">
        <v>120.95</v>
      </c>
      <c r="AV1650" t="s">
        <v>702</v>
      </c>
      <c r="AW1650" t="s">
        <v>11495</v>
      </c>
    </row>
    <row r="1651" spans="1:49">
      <c r="A1651" s="1">
        <f>HYPERLINK("https://cms.ls-nyc.org/matter/dynamic-profile/view/1854344","17-1854344")</f>
        <v>0</v>
      </c>
      <c r="B1651" t="s">
        <v>148</v>
      </c>
      <c r="C1651" t="s">
        <v>234</v>
      </c>
      <c r="D1651" t="s">
        <v>308</v>
      </c>
      <c r="E1651" t="s">
        <v>751</v>
      </c>
      <c r="F1651" t="s">
        <v>1766</v>
      </c>
      <c r="G1651" t="s">
        <v>3071</v>
      </c>
      <c r="H1651" t="s">
        <v>4308</v>
      </c>
      <c r="I1651" t="s">
        <v>4775</v>
      </c>
      <c r="J1651" t="s">
        <v>5322</v>
      </c>
      <c r="K1651">
        <v>10301</v>
      </c>
      <c r="L1651" t="s">
        <v>5355</v>
      </c>
      <c r="M1651" t="s">
        <v>5356</v>
      </c>
      <c r="N1651" t="s">
        <v>5886</v>
      </c>
      <c r="O1651" t="s">
        <v>6491</v>
      </c>
      <c r="P1651" t="s">
        <v>6530</v>
      </c>
      <c r="Q1651" t="s">
        <v>6534</v>
      </c>
      <c r="R1651" t="s">
        <v>6539</v>
      </c>
      <c r="S1651" t="s">
        <v>5357</v>
      </c>
      <c r="U1651" t="s">
        <v>6557</v>
      </c>
      <c r="W1651" t="s">
        <v>308</v>
      </c>
      <c r="X1651">
        <v>1200</v>
      </c>
      <c r="Y1651" t="s">
        <v>6607</v>
      </c>
      <c r="Z1651" t="s">
        <v>6622</v>
      </c>
      <c r="AA1651" t="s">
        <v>6633</v>
      </c>
      <c r="AB1651" t="s">
        <v>8054</v>
      </c>
      <c r="AC1651">
        <v>8594249</v>
      </c>
      <c r="AD1651" t="s">
        <v>10398</v>
      </c>
      <c r="AE1651">
        <v>3</v>
      </c>
      <c r="AF1651" t="s">
        <v>11004</v>
      </c>
      <c r="AG1651" t="s">
        <v>11019</v>
      </c>
      <c r="AH1651">
        <v>2</v>
      </c>
      <c r="AI1651">
        <v>1</v>
      </c>
      <c r="AJ1651">
        <v>0</v>
      </c>
      <c r="AK1651">
        <v>59.7</v>
      </c>
      <c r="AN1651" t="s">
        <v>11050</v>
      </c>
      <c r="AO1651">
        <v>7200</v>
      </c>
      <c r="AU1651">
        <v>6.2</v>
      </c>
      <c r="AV1651" t="s">
        <v>751</v>
      </c>
      <c r="AW1651" t="s">
        <v>11550</v>
      </c>
    </row>
    <row r="1652" spans="1:49">
      <c r="A1652" s="1">
        <f>HYPERLINK("https://cms.ls-nyc.org/matter/dynamic-profile/view/1836954","17-1836954")</f>
        <v>0</v>
      </c>
      <c r="B1652" t="s">
        <v>189</v>
      </c>
      <c r="C1652" t="s">
        <v>234</v>
      </c>
      <c r="D1652" t="s">
        <v>508</v>
      </c>
      <c r="E1652" t="s">
        <v>787</v>
      </c>
      <c r="F1652" t="s">
        <v>1174</v>
      </c>
      <c r="G1652" t="s">
        <v>3072</v>
      </c>
      <c r="H1652" t="s">
        <v>4309</v>
      </c>
      <c r="I1652" t="s">
        <v>4789</v>
      </c>
      <c r="J1652" t="s">
        <v>5322</v>
      </c>
      <c r="K1652">
        <v>10306</v>
      </c>
      <c r="L1652" t="s">
        <v>5355</v>
      </c>
      <c r="M1652" t="s">
        <v>5355</v>
      </c>
      <c r="N1652" t="s">
        <v>5887</v>
      </c>
      <c r="O1652" t="s">
        <v>6491</v>
      </c>
      <c r="P1652" t="s">
        <v>6530</v>
      </c>
      <c r="Q1652" t="s">
        <v>6534</v>
      </c>
      <c r="R1652" t="s">
        <v>6539</v>
      </c>
      <c r="S1652" t="s">
        <v>5357</v>
      </c>
      <c r="U1652" t="s">
        <v>6557</v>
      </c>
      <c r="W1652" t="s">
        <v>6583</v>
      </c>
      <c r="X1652">
        <v>1255</v>
      </c>
      <c r="Y1652" t="s">
        <v>6607</v>
      </c>
      <c r="Z1652" t="s">
        <v>6613</v>
      </c>
      <c r="AA1652" t="s">
        <v>6633</v>
      </c>
      <c r="AB1652" t="s">
        <v>8055</v>
      </c>
      <c r="AC1652">
        <v>128051053</v>
      </c>
      <c r="AD1652" t="s">
        <v>10399</v>
      </c>
      <c r="AE1652">
        <v>254</v>
      </c>
      <c r="AF1652" t="s">
        <v>11005</v>
      </c>
      <c r="AG1652" t="s">
        <v>11020</v>
      </c>
      <c r="AH1652">
        <v>3</v>
      </c>
      <c r="AI1652">
        <v>2</v>
      </c>
      <c r="AJ1652">
        <v>1</v>
      </c>
      <c r="AK1652">
        <v>59.94</v>
      </c>
      <c r="AL1652" t="s">
        <v>466</v>
      </c>
      <c r="AN1652" t="s">
        <v>11050</v>
      </c>
      <c r="AO1652">
        <v>12240</v>
      </c>
      <c r="AQ1652" t="s">
        <v>11190</v>
      </c>
      <c r="AR1652" t="s">
        <v>6493</v>
      </c>
      <c r="AS1652" t="s">
        <v>11252</v>
      </c>
      <c r="AT1652" t="s">
        <v>11343</v>
      </c>
      <c r="AU1652">
        <v>44.7</v>
      </c>
      <c r="AV1652" t="s">
        <v>428</v>
      </c>
      <c r="AW1652" t="s">
        <v>11510</v>
      </c>
    </row>
    <row r="1653" spans="1:49">
      <c r="A1653" s="1">
        <f>HYPERLINK("https://cms.ls-nyc.org/matter/dynamic-profile/view/1849579","17-1849579")</f>
        <v>0</v>
      </c>
      <c r="B1653" t="s">
        <v>106</v>
      </c>
      <c r="C1653" t="s">
        <v>235</v>
      </c>
      <c r="D1653" t="s">
        <v>483</v>
      </c>
      <c r="F1653" t="s">
        <v>1767</v>
      </c>
      <c r="G1653" t="s">
        <v>3050</v>
      </c>
      <c r="H1653" t="s">
        <v>4310</v>
      </c>
      <c r="I1653" t="s">
        <v>4739</v>
      </c>
      <c r="J1653" t="s">
        <v>5321</v>
      </c>
      <c r="K1653">
        <v>10451</v>
      </c>
      <c r="L1653" t="s">
        <v>5355</v>
      </c>
      <c r="M1653" t="s">
        <v>5356</v>
      </c>
      <c r="N1653" t="s">
        <v>5888</v>
      </c>
      <c r="O1653" t="s">
        <v>6492</v>
      </c>
      <c r="P1653" t="s">
        <v>6530</v>
      </c>
      <c r="R1653" t="s">
        <v>6540</v>
      </c>
      <c r="S1653" t="s">
        <v>5357</v>
      </c>
      <c r="U1653" t="s">
        <v>6557</v>
      </c>
      <c r="W1653" t="s">
        <v>341</v>
      </c>
      <c r="X1653">
        <v>1104.48</v>
      </c>
      <c r="Y1653" t="s">
        <v>6606</v>
      </c>
      <c r="Z1653" t="s">
        <v>6610</v>
      </c>
      <c r="AB1653" t="s">
        <v>8056</v>
      </c>
      <c r="AC1653">
        <v>369055911</v>
      </c>
      <c r="AD1653" t="s">
        <v>10400</v>
      </c>
      <c r="AE1653">
        <v>240</v>
      </c>
      <c r="AF1653" t="s">
        <v>11010</v>
      </c>
      <c r="AG1653" t="s">
        <v>5406</v>
      </c>
      <c r="AH1653">
        <v>26</v>
      </c>
      <c r="AI1653">
        <v>2</v>
      </c>
      <c r="AJ1653">
        <v>1</v>
      </c>
      <c r="AK1653">
        <v>60.24</v>
      </c>
      <c r="AL1653" t="s">
        <v>11028</v>
      </c>
      <c r="AN1653" t="s">
        <v>11050</v>
      </c>
      <c r="AO1653">
        <v>12300</v>
      </c>
      <c r="AT1653" t="s">
        <v>11324</v>
      </c>
      <c r="AU1653">
        <v>35.15</v>
      </c>
      <c r="AV1653" t="s">
        <v>274</v>
      </c>
      <c r="AW1653" t="s">
        <v>57</v>
      </c>
    </row>
    <row r="1654" spans="1:49">
      <c r="A1654" s="1">
        <f>HYPERLINK("https://cms.ls-nyc.org/matter/dynamic-profile/view/1844625","17-1844625")</f>
        <v>0</v>
      </c>
      <c r="B1654" t="s">
        <v>54</v>
      </c>
      <c r="C1654" t="s">
        <v>234</v>
      </c>
      <c r="D1654" t="s">
        <v>435</v>
      </c>
      <c r="E1654" t="s">
        <v>784</v>
      </c>
      <c r="F1654" t="s">
        <v>1446</v>
      </c>
      <c r="G1654" t="s">
        <v>2326</v>
      </c>
      <c r="H1654" t="s">
        <v>4133</v>
      </c>
      <c r="I1654">
        <v>1</v>
      </c>
      <c r="J1654" t="s">
        <v>5320</v>
      </c>
      <c r="K1654">
        <v>11208</v>
      </c>
      <c r="L1654" t="s">
        <v>5355</v>
      </c>
      <c r="M1654" t="s">
        <v>5355</v>
      </c>
      <c r="N1654" t="s">
        <v>5889</v>
      </c>
      <c r="O1654" t="s">
        <v>6494</v>
      </c>
      <c r="P1654" t="s">
        <v>6530</v>
      </c>
      <c r="Q1654" t="s">
        <v>6534</v>
      </c>
      <c r="R1654" t="s">
        <v>6539</v>
      </c>
      <c r="S1654" t="s">
        <v>5355</v>
      </c>
      <c r="U1654" t="s">
        <v>6557</v>
      </c>
      <c r="W1654" t="s">
        <v>6572</v>
      </c>
      <c r="X1654">
        <v>450</v>
      </c>
      <c r="Y1654" t="s">
        <v>6605</v>
      </c>
      <c r="AA1654" t="s">
        <v>6631</v>
      </c>
      <c r="AB1654" t="s">
        <v>7989</v>
      </c>
      <c r="AE1654">
        <v>7</v>
      </c>
      <c r="AF1654" t="s">
        <v>11004</v>
      </c>
      <c r="AG1654" t="s">
        <v>5406</v>
      </c>
      <c r="AH1654">
        <v>5</v>
      </c>
      <c r="AI1654">
        <v>2</v>
      </c>
      <c r="AJ1654">
        <v>0</v>
      </c>
      <c r="AK1654">
        <v>60.59</v>
      </c>
      <c r="AN1654" t="s">
        <v>11049</v>
      </c>
      <c r="AO1654">
        <v>9840</v>
      </c>
      <c r="AR1654" t="s">
        <v>11225</v>
      </c>
      <c r="AU1654">
        <v>0.1</v>
      </c>
      <c r="AV1654" t="s">
        <v>707</v>
      </c>
      <c r="AW1654" t="s">
        <v>228</v>
      </c>
    </row>
    <row r="1655" spans="1:49">
      <c r="A1655" s="1">
        <f>HYPERLINK("https://cms.ls-nyc.org/matter/dynamic-profile/view/1841087","17-1841087")</f>
        <v>0</v>
      </c>
      <c r="B1655" t="s">
        <v>58</v>
      </c>
      <c r="C1655" t="s">
        <v>234</v>
      </c>
      <c r="D1655" t="s">
        <v>473</v>
      </c>
      <c r="E1655" t="s">
        <v>427</v>
      </c>
      <c r="F1655" t="s">
        <v>870</v>
      </c>
      <c r="G1655" t="s">
        <v>3073</v>
      </c>
      <c r="H1655" t="s">
        <v>3754</v>
      </c>
      <c r="I1655" t="s">
        <v>5002</v>
      </c>
      <c r="J1655" t="s">
        <v>5321</v>
      </c>
      <c r="K1655">
        <v>10463</v>
      </c>
      <c r="L1655" t="s">
        <v>5355</v>
      </c>
      <c r="M1655" t="s">
        <v>5356</v>
      </c>
      <c r="N1655" t="s">
        <v>5752</v>
      </c>
      <c r="O1655" t="s">
        <v>6494</v>
      </c>
      <c r="P1655" t="s">
        <v>6530</v>
      </c>
      <c r="Q1655" t="s">
        <v>6534</v>
      </c>
      <c r="R1655" t="s">
        <v>6539</v>
      </c>
      <c r="S1655" t="s">
        <v>5355</v>
      </c>
      <c r="U1655" t="s">
        <v>6557</v>
      </c>
      <c r="W1655" t="s">
        <v>404</v>
      </c>
      <c r="X1655">
        <v>211</v>
      </c>
      <c r="Y1655" t="s">
        <v>6606</v>
      </c>
      <c r="Z1655" t="s">
        <v>6620</v>
      </c>
      <c r="AA1655" t="s">
        <v>6634</v>
      </c>
      <c r="AB1655" t="s">
        <v>8057</v>
      </c>
      <c r="AC1655" t="s">
        <v>8960</v>
      </c>
      <c r="AD1655" t="s">
        <v>10401</v>
      </c>
      <c r="AE1655">
        <v>67</v>
      </c>
      <c r="AF1655" t="s">
        <v>11005</v>
      </c>
      <c r="AG1655" t="s">
        <v>11026</v>
      </c>
      <c r="AH1655">
        <v>1</v>
      </c>
      <c r="AI1655">
        <v>1</v>
      </c>
      <c r="AJ1655">
        <v>1</v>
      </c>
      <c r="AK1655">
        <v>60.59</v>
      </c>
      <c r="AL1655" t="s">
        <v>632</v>
      </c>
      <c r="AN1655" t="s">
        <v>11050</v>
      </c>
      <c r="AO1655">
        <v>9840</v>
      </c>
      <c r="AU1655">
        <v>0.9</v>
      </c>
      <c r="AV1655" t="s">
        <v>427</v>
      </c>
      <c r="AW1655" t="s">
        <v>11537</v>
      </c>
    </row>
    <row r="1656" spans="1:49">
      <c r="A1656" s="1">
        <f>HYPERLINK("https://cms.ls-nyc.org/matter/dynamic-profile/view/1859488","18-1859488")</f>
        <v>0</v>
      </c>
      <c r="B1656" t="s">
        <v>153</v>
      </c>
      <c r="C1656" t="s">
        <v>234</v>
      </c>
      <c r="D1656" t="s">
        <v>316</v>
      </c>
      <c r="E1656" t="s">
        <v>454</v>
      </c>
      <c r="F1656" t="s">
        <v>1069</v>
      </c>
      <c r="G1656" t="s">
        <v>3074</v>
      </c>
      <c r="H1656" t="s">
        <v>4311</v>
      </c>
      <c r="I1656" t="s">
        <v>4746</v>
      </c>
      <c r="J1656" t="s">
        <v>5321</v>
      </c>
      <c r="K1656">
        <v>10453</v>
      </c>
      <c r="L1656" t="s">
        <v>5355</v>
      </c>
      <c r="M1656" t="s">
        <v>5356</v>
      </c>
      <c r="N1656" t="s">
        <v>5890</v>
      </c>
      <c r="O1656" t="s">
        <v>6492</v>
      </c>
      <c r="P1656" t="s">
        <v>6530</v>
      </c>
      <c r="Q1656" t="s">
        <v>6534</v>
      </c>
      <c r="R1656" t="s">
        <v>6539</v>
      </c>
      <c r="U1656" t="s">
        <v>6557</v>
      </c>
      <c r="W1656" t="s">
        <v>319</v>
      </c>
      <c r="X1656">
        <v>698.79</v>
      </c>
      <c r="Y1656" t="s">
        <v>6606</v>
      </c>
      <c r="AA1656" t="s">
        <v>6637</v>
      </c>
      <c r="AB1656" t="s">
        <v>8058</v>
      </c>
      <c r="AC1656" t="s">
        <v>8961</v>
      </c>
      <c r="AD1656" t="s">
        <v>10402</v>
      </c>
      <c r="AE1656">
        <v>4</v>
      </c>
      <c r="AH1656">
        <v>17</v>
      </c>
      <c r="AI1656">
        <v>3</v>
      </c>
      <c r="AJ1656">
        <v>3</v>
      </c>
      <c r="AK1656">
        <v>60.83</v>
      </c>
      <c r="AN1656" t="s">
        <v>11050</v>
      </c>
      <c r="AO1656">
        <v>24328</v>
      </c>
      <c r="AU1656">
        <v>10.75</v>
      </c>
      <c r="AV1656" t="s">
        <v>11470</v>
      </c>
      <c r="AW1656" t="s">
        <v>11499</v>
      </c>
    </row>
    <row r="1657" spans="1:49">
      <c r="A1657" s="1">
        <f>HYPERLINK("https://cms.ls-nyc.org/matter/dynamic-profile/view/1861934","18-1861934")</f>
        <v>0</v>
      </c>
      <c r="B1657" t="s">
        <v>90</v>
      </c>
      <c r="C1657" t="s">
        <v>235</v>
      </c>
      <c r="D1657" t="s">
        <v>358</v>
      </c>
      <c r="F1657" t="s">
        <v>973</v>
      </c>
      <c r="G1657" t="s">
        <v>2189</v>
      </c>
      <c r="H1657" t="s">
        <v>4147</v>
      </c>
      <c r="I1657" t="s">
        <v>5184</v>
      </c>
      <c r="J1657" t="s">
        <v>5321</v>
      </c>
      <c r="K1657">
        <v>10453</v>
      </c>
      <c r="L1657" t="s">
        <v>5355</v>
      </c>
      <c r="M1657" t="s">
        <v>5356</v>
      </c>
      <c r="N1657" t="s">
        <v>5670</v>
      </c>
      <c r="O1657" t="s">
        <v>6494</v>
      </c>
      <c r="P1657" t="s">
        <v>6530</v>
      </c>
      <c r="R1657" t="s">
        <v>6539</v>
      </c>
      <c r="S1657" t="s">
        <v>5355</v>
      </c>
      <c r="U1657" t="s">
        <v>6557</v>
      </c>
      <c r="W1657" t="s">
        <v>480</v>
      </c>
      <c r="X1657">
        <v>1999.71</v>
      </c>
      <c r="Y1657" t="s">
        <v>6606</v>
      </c>
      <c r="Z1657" t="s">
        <v>6616</v>
      </c>
      <c r="AB1657" t="s">
        <v>8059</v>
      </c>
      <c r="AC1657" t="s">
        <v>8962</v>
      </c>
      <c r="AD1657" t="s">
        <v>10403</v>
      </c>
      <c r="AE1657">
        <v>46</v>
      </c>
      <c r="AF1657" t="s">
        <v>11005</v>
      </c>
      <c r="AG1657" t="s">
        <v>11020</v>
      </c>
      <c r="AH1657">
        <v>4</v>
      </c>
      <c r="AI1657">
        <v>4</v>
      </c>
      <c r="AJ1657">
        <v>2</v>
      </c>
      <c r="AK1657">
        <v>60.95</v>
      </c>
      <c r="AN1657" t="s">
        <v>11050</v>
      </c>
      <c r="AO1657">
        <v>20566</v>
      </c>
      <c r="AU1657">
        <v>2.4</v>
      </c>
      <c r="AV1657" t="s">
        <v>785</v>
      </c>
      <c r="AW1657" t="s">
        <v>59</v>
      </c>
    </row>
    <row r="1658" spans="1:49">
      <c r="A1658" s="1">
        <f>HYPERLINK("https://cms.ls-nyc.org/matter/dynamic-profile/view/1869751","18-1869751")</f>
        <v>0</v>
      </c>
      <c r="B1658" t="s">
        <v>166</v>
      </c>
      <c r="C1658" t="s">
        <v>234</v>
      </c>
      <c r="D1658" t="s">
        <v>275</v>
      </c>
      <c r="E1658" t="s">
        <v>749</v>
      </c>
      <c r="F1658" t="s">
        <v>1564</v>
      </c>
      <c r="G1658" t="s">
        <v>2168</v>
      </c>
      <c r="H1658" t="s">
        <v>4312</v>
      </c>
      <c r="I1658" t="s">
        <v>4840</v>
      </c>
      <c r="J1658" t="s">
        <v>5321</v>
      </c>
      <c r="K1658">
        <v>10459</v>
      </c>
      <c r="L1658" t="s">
        <v>5355</v>
      </c>
      <c r="M1658" t="s">
        <v>5356</v>
      </c>
      <c r="N1658" t="s">
        <v>5891</v>
      </c>
      <c r="O1658" t="s">
        <v>6491</v>
      </c>
      <c r="P1658" t="s">
        <v>6530</v>
      </c>
      <c r="Q1658" t="s">
        <v>6534</v>
      </c>
      <c r="R1658" t="s">
        <v>6539</v>
      </c>
      <c r="S1658" t="s">
        <v>5357</v>
      </c>
      <c r="U1658" t="s">
        <v>6557</v>
      </c>
      <c r="V1658" t="s">
        <v>6566</v>
      </c>
      <c r="W1658" t="s">
        <v>516</v>
      </c>
      <c r="X1658">
        <v>515</v>
      </c>
      <c r="Y1658" t="s">
        <v>6606</v>
      </c>
      <c r="Z1658" t="s">
        <v>6614</v>
      </c>
      <c r="AA1658" t="s">
        <v>6637</v>
      </c>
      <c r="AB1658" t="s">
        <v>8060</v>
      </c>
      <c r="AC1658" t="s">
        <v>8963</v>
      </c>
      <c r="AD1658" t="s">
        <v>10404</v>
      </c>
      <c r="AE1658">
        <v>20</v>
      </c>
      <c r="AF1658" t="s">
        <v>11005</v>
      </c>
      <c r="AG1658" t="s">
        <v>5406</v>
      </c>
      <c r="AH1658">
        <v>30</v>
      </c>
      <c r="AI1658">
        <v>5</v>
      </c>
      <c r="AJ1658">
        <v>3</v>
      </c>
      <c r="AK1658">
        <v>61.35</v>
      </c>
      <c r="AN1658" t="s">
        <v>11050</v>
      </c>
      <c r="AO1658">
        <v>26000</v>
      </c>
      <c r="AR1658" t="s">
        <v>11228</v>
      </c>
      <c r="AS1658" t="s">
        <v>11253</v>
      </c>
      <c r="AT1658" t="s">
        <v>11344</v>
      </c>
      <c r="AU1658">
        <v>13.4</v>
      </c>
      <c r="AV1658" t="s">
        <v>11449</v>
      </c>
      <c r="AW1658" t="s">
        <v>11513</v>
      </c>
    </row>
    <row r="1659" spans="1:49">
      <c r="A1659" s="1">
        <f>HYPERLINK("https://cms.ls-nyc.org/matter/dynamic-profile/view/1860756","18-1860756")</f>
        <v>0</v>
      </c>
      <c r="B1659" t="s">
        <v>156</v>
      </c>
      <c r="C1659" t="s">
        <v>234</v>
      </c>
      <c r="D1659" t="s">
        <v>362</v>
      </c>
      <c r="E1659" t="s">
        <v>808</v>
      </c>
      <c r="F1659" t="s">
        <v>1768</v>
      </c>
      <c r="G1659" t="s">
        <v>2187</v>
      </c>
      <c r="H1659" t="s">
        <v>4313</v>
      </c>
      <c r="I1659">
        <v>305</v>
      </c>
      <c r="J1659" t="s">
        <v>5322</v>
      </c>
      <c r="K1659">
        <v>10304</v>
      </c>
      <c r="L1659" t="s">
        <v>5355</v>
      </c>
      <c r="M1659" t="s">
        <v>5356</v>
      </c>
      <c r="N1659" t="s">
        <v>5892</v>
      </c>
      <c r="O1659" t="s">
        <v>6492</v>
      </c>
      <c r="P1659" t="s">
        <v>6530</v>
      </c>
      <c r="Q1659" t="s">
        <v>6534</v>
      </c>
      <c r="R1659" t="s">
        <v>6539</v>
      </c>
      <c r="S1659" t="s">
        <v>5357</v>
      </c>
      <c r="U1659" t="s">
        <v>6557</v>
      </c>
      <c r="W1659" t="s">
        <v>395</v>
      </c>
      <c r="X1659">
        <v>1230</v>
      </c>
      <c r="Y1659" t="s">
        <v>6607</v>
      </c>
      <c r="Z1659" t="s">
        <v>6612</v>
      </c>
      <c r="AA1659" t="s">
        <v>6637</v>
      </c>
      <c r="AB1659" t="s">
        <v>8061</v>
      </c>
      <c r="AC1659" t="s">
        <v>8964</v>
      </c>
      <c r="AD1659" t="s">
        <v>10405</v>
      </c>
      <c r="AE1659">
        <v>105</v>
      </c>
      <c r="AF1659" t="s">
        <v>8722</v>
      </c>
      <c r="AG1659" t="s">
        <v>11022</v>
      </c>
      <c r="AH1659">
        <v>1</v>
      </c>
      <c r="AI1659">
        <v>1</v>
      </c>
      <c r="AJ1659">
        <v>2</v>
      </c>
      <c r="AK1659">
        <v>61.45</v>
      </c>
      <c r="AN1659" t="s">
        <v>11050</v>
      </c>
      <c r="AO1659">
        <v>12770</v>
      </c>
      <c r="AU1659">
        <v>26.2</v>
      </c>
      <c r="AV1659" t="s">
        <v>808</v>
      </c>
      <c r="AW1659" t="s">
        <v>11510</v>
      </c>
    </row>
    <row r="1660" spans="1:49">
      <c r="A1660" s="1">
        <f>HYPERLINK("https://cms.ls-nyc.org/matter/dynamic-profile/view/1861923","18-1861923")</f>
        <v>0</v>
      </c>
      <c r="B1660" t="s">
        <v>90</v>
      </c>
      <c r="C1660" t="s">
        <v>235</v>
      </c>
      <c r="D1660" t="s">
        <v>358</v>
      </c>
      <c r="F1660" t="s">
        <v>1769</v>
      </c>
      <c r="G1660" t="s">
        <v>3075</v>
      </c>
      <c r="H1660" t="s">
        <v>4147</v>
      </c>
      <c r="I1660" t="s">
        <v>5185</v>
      </c>
      <c r="J1660" t="s">
        <v>5321</v>
      </c>
      <c r="K1660">
        <v>10453</v>
      </c>
      <c r="L1660" t="s">
        <v>5355</v>
      </c>
      <c r="M1660" t="s">
        <v>5356</v>
      </c>
      <c r="N1660" t="s">
        <v>5670</v>
      </c>
      <c r="O1660" t="s">
        <v>6494</v>
      </c>
      <c r="P1660" t="s">
        <v>6530</v>
      </c>
      <c r="R1660" t="s">
        <v>6539</v>
      </c>
      <c r="S1660" t="s">
        <v>5355</v>
      </c>
      <c r="U1660" t="s">
        <v>6557</v>
      </c>
      <c r="W1660" t="s">
        <v>480</v>
      </c>
      <c r="X1660">
        <v>1126</v>
      </c>
      <c r="Y1660" t="s">
        <v>6606</v>
      </c>
      <c r="Z1660" t="s">
        <v>6616</v>
      </c>
      <c r="AB1660" t="s">
        <v>8062</v>
      </c>
      <c r="AC1660" t="s">
        <v>8965</v>
      </c>
      <c r="AD1660" t="s">
        <v>10406</v>
      </c>
      <c r="AE1660">
        <v>46</v>
      </c>
      <c r="AF1660" t="s">
        <v>11005</v>
      </c>
      <c r="AG1660" t="s">
        <v>11023</v>
      </c>
      <c r="AH1660">
        <v>6</v>
      </c>
      <c r="AI1660">
        <v>2</v>
      </c>
      <c r="AJ1660">
        <v>1</v>
      </c>
      <c r="AK1660">
        <v>61.56</v>
      </c>
      <c r="AN1660" t="s">
        <v>11049</v>
      </c>
      <c r="AO1660">
        <v>12792</v>
      </c>
      <c r="AU1660">
        <v>0.8</v>
      </c>
      <c r="AV1660" t="s">
        <v>358</v>
      </c>
      <c r="AW1660" t="s">
        <v>59</v>
      </c>
    </row>
    <row r="1661" spans="1:49">
      <c r="A1661" s="1">
        <f>HYPERLINK("https://cms.ls-nyc.org/matter/dynamic-profile/view/1895042","19-1895042")</f>
        <v>0</v>
      </c>
      <c r="B1661" t="s">
        <v>142</v>
      </c>
      <c r="C1661" t="s">
        <v>234</v>
      </c>
      <c r="D1661" t="s">
        <v>583</v>
      </c>
      <c r="E1661" t="s">
        <v>583</v>
      </c>
      <c r="F1661" t="s">
        <v>959</v>
      </c>
      <c r="G1661" t="s">
        <v>2174</v>
      </c>
      <c r="H1661" t="s">
        <v>4314</v>
      </c>
      <c r="J1661" t="s">
        <v>5320</v>
      </c>
      <c r="K1661">
        <v>11207</v>
      </c>
      <c r="L1661" t="s">
        <v>5355</v>
      </c>
      <c r="M1661" t="s">
        <v>5355</v>
      </c>
      <c r="N1661" t="s">
        <v>5893</v>
      </c>
      <c r="O1661" t="s">
        <v>6492</v>
      </c>
      <c r="P1661" t="s">
        <v>6530</v>
      </c>
      <c r="Q1661" t="s">
        <v>6531</v>
      </c>
      <c r="R1661" t="s">
        <v>6539</v>
      </c>
      <c r="S1661" t="s">
        <v>5357</v>
      </c>
      <c r="U1661" t="s">
        <v>6557</v>
      </c>
      <c r="V1661" t="s">
        <v>6566</v>
      </c>
      <c r="W1661" t="s">
        <v>6602</v>
      </c>
      <c r="X1661">
        <v>1166.2</v>
      </c>
      <c r="Y1661" t="s">
        <v>6605</v>
      </c>
      <c r="Z1661" t="s">
        <v>6614</v>
      </c>
      <c r="AA1661" t="s">
        <v>6637</v>
      </c>
      <c r="AB1661" t="s">
        <v>8063</v>
      </c>
      <c r="AC1661" t="s">
        <v>8966</v>
      </c>
      <c r="AD1661" t="s">
        <v>10407</v>
      </c>
      <c r="AE1661">
        <v>6</v>
      </c>
      <c r="AF1661" t="s">
        <v>11005</v>
      </c>
      <c r="AG1661" t="s">
        <v>11022</v>
      </c>
      <c r="AH1661">
        <v>8</v>
      </c>
      <c r="AI1661">
        <v>1</v>
      </c>
      <c r="AJ1661">
        <v>0</v>
      </c>
      <c r="AK1661">
        <v>61.59</v>
      </c>
      <c r="AN1661" t="s">
        <v>11050</v>
      </c>
      <c r="AO1661">
        <v>7692</v>
      </c>
      <c r="AU1661">
        <v>0.1</v>
      </c>
      <c r="AV1661" t="s">
        <v>583</v>
      </c>
      <c r="AW1661" t="s">
        <v>142</v>
      </c>
    </row>
    <row r="1662" spans="1:49">
      <c r="A1662" s="1">
        <f>HYPERLINK("https://cms.ls-nyc.org/matter/dynamic-profile/view/1865029","18-1865029")</f>
        <v>0</v>
      </c>
      <c r="B1662" t="s">
        <v>63</v>
      </c>
      <c r="C1662" t="s">
        <v>235</v>
      </c>
      <c r="D1662" t="s">
        <v>251</v>
      </c>
      <c r="F1662" t="s">
        <v>1770</v>
      </c>
      <c r="G1662" t="s">
        <v>3076</v>
      </c>
      <c r="H1662" t="s">
        <v>4315</v>
      </c>
      <c r="I1662" t="s">
        <v>5172</v>
      </c>
      <c r="J1662" t="s">
        <v>5322</v>
      </c>
      <c r="K1662">
        <v>10314</v>
      </c>
      <c r="L1662" t="s">
        <v>5355</v>
      </c>
      <c r="M1662" t="s">
        <v>5355</v>
      </c>
      <c r="N1662" t="s">
        <v>5894</v>
      </c>
      <c r="O1662" t="s">
        <v>6491</v>
      </c>
      <c r="P1662" t="s">
        <v>6530</v>
      </c>
      <c r="R1662" t="s">
        <v>6539</v>
      </c>
      <c r="S1662" t="s">
        <v>5357</v>
      </c>
      <c r="U1662" t="s">
        <v>6557</v>
      </c>
      <c r="V1662" t="s">
        <v>6566</v>
      </c>
      <c r="W1662" t="s">
        <v>251</v>
      </c>
      <c r="X1662">
        <v>800</v>
      </c>
      <c r="Y1662" t="s">
        <v>6607</v>
      </c>
      <c r="Z1662" t="s">
        <v>6493</v>
      </c>
      <c r="AB1662" t="s">
        <v>8064</v>
      </c>
      <c r="AD1662" t="s">
        <v>10408</v>
      </c>
      <c r="AE1662">
        <v>4</v>
      </c>
      <c r="AF1662" t="s">
        <v>11004</v>
      </c>
      <c r="AG1662" t="s">
        <v>11019</v>
      </c>
      <c r="AH1662">
        <v>1</v>
      </c>
      <c r="AI1662">
        <v>1</v>
      </c>
      <c r="AJ1662">
        <v>0</v>
      </c>
      <c r="AK1662">
        <v>61.78</v>
      </c>
      <c r="AN1662" t="s">
        <v>11050</v>
      </c>
      <c r="AO1662">
        <v>7500</v>
      </c>
      <c r="AS1662" t="s">
        <v>11252</v>
      </c>
      <c r="AT1662" t="s">
        <v>11321</v>
      </c>
      <c r="AU1662">
        <v>10.6</v>
      </c>
      <c r="AV1662" t="s">
        <v>820</v>
      </c>
      <c r="AW1662" t="s">
        <v>11504</v>
      </c>
    </row>
    <row r="1663" spans="1:49">
      <c r="A1663" s="1">
        <f>HYPERLINK("https://cms.ls-nyc.org/matter/dynamic-profile/view/1858880","18-1858880")</f>
        <v>0</v>
      </c>
      <c r="B1663" t="s">
        <v>84</v>
      </c>
      <c r="C1663" t="s">
        <v>234</v>
      </c>
      <c r="D1663" t="s">
        <v>240</v>
      </c>
      <c r="E1663" t="s">
        <v>692</v>
      </c>
      <c r="F1663" t="s">
        <v>1771</v>
      </c>
      <c r="G1663" t="s">
        <v>2216</v>
      </c>
      <c r="H1663" t="s">
        <v>4316</v>
      </c>
      <c r="I1663" t="s">
        <v>5121</v>
      </c>
      <c r="J1663" t="s">
        <v>5320</v>
      </c>
      <c r="K1663">
        <v>11239</v>
      </c>
      <c r="L1663" t="s">
        <v>5355</v>
      </c>
      <c r="M1663" t="s">
        <v>5355</v>
      </c>
      <c r="N1663" t="s">
        <v>5895</v>
      </c>
      <c r="O1663" t="s">
        <v>6492</v>
      </c>
      <c r="P1663" t="s">
        <v>6530</v>
      </c>
      <c r="Q1663" t="s">
        <v>6534</v>
      </c>
      <c r="R1663" t="s">
        <v>6539</v>
      </c>
      <c r="U1663" t="s">
        <v>6557</v>
      </c>
      <c r="W1663" t="s">
        <v>240</v>
      </c>
      <c r="X1663">
        <v>722</v>
      </c>
      <c r="Y1663" t="s">
        <v>6605</v>
      </c>
      <c r="Z1663" t="s">
        <v>6611</v>
      </c>
      <c r="AA1663" t="s">
        <v>6637</v>
      </c>
      <c r="AB1663" t="s">
        <v>8065</v>
      </c>
      <c r="AC1663" t="s">
        <v>8967</v>
      </c>
      <c r="AD1663" t="s">
        <v>10409</v>
      </c>
      <c r="AE1663">
        <v>1463</v>
      </c>
      <c r="AG1663" t="s">
        <v>11020</v>
      </c>
      <c r="AH1663">
        <v>43</v>
      </c>
      <c r="AI1663">
        <v>2</v>
      </c>
      <c r="AJ1663">
        <v>0</v>
      </c>
      <c r="AK1663">
        <v>62</v>
      </c>
      <c r="AL1663" t="s">
        <v>555</v>
      </c>
      <c r="AN1663" t="s">
        <v>11050</v>
      </c>
      <c r="AO1663">
        <v>10068</v>
      </c>
      <c r="AR1663" t="s">
        <v>11210</v>
      </c>
      <c r="AS1663" t="s">
        <v>11253</v>
      </c>
      <c r="AT1663" t="s">
        <v>11345</v>
      </c>
      <c r="AU1663">
        <v>5.7</v>
      </c>
      <c r="AV1663" t="s">
        <v>692</v>
      </c>
      <c r="AW1663" t="s">
        <v>11487</v>
      </c>
    </row>
    <row r="1664" spans="1:49">
      <c r="A1664" s="1">
        <f>HYPERLINK("https://cms.ls-nyc.org/matter/dynamic-profile/view/1857222","18-1857222")</f>
        <v>0</v>
      </c>
      <c r="B1664" t="s">
        <v>135</v>
      </c>
      <c r="C1664" t="s">
        <v>235</v>
      </c>
      <c r="D1664" t="s">
        <v>297</v>
      </c>
      <c r="F1664" t="s">
        <v>1179</v>
      </c>
      <c r="G1664" t="s">
        <v>1742</v>
      </c>
      <c r="H1664" t="s">
        <v>3762</v>
      </c>
      <c r="I1664" t="s">
        <v>4746</v>
      </c>
      <c r="J1664" t="s">
        <v>5320</v>
      </c>
      <c r="K1664">
        <v>11206</v>
      </c>
      <c r="L1664" t="s">
        <v>5355</v>
      </c>
      <c r="M1664" t="s">
        <v>5355</v>
      </c>
      <c r="O1664" t="s">
        <v>6494</v>
      </c>
      <c r="P1664" t="s">
        <v>6530</v>
      </c>
      <c r="R1664" t="s">
        <v>6539</v>
      </c>
      <c r="S1664" t="s">
        <v>5355</v>
      </c>
      <c r="U1664" t="s">
        <v>6557</v>
      </c>
      <c r="W1664" t="s">
        <v>290</v>
      </c>
      <c r="X1664">
        <v>1283</v>
      </c>
      <c r="Y1664" t="s">
        <v>6605</v>
      </c>
      <c r="AB1664" t="s">
        <v>7065</v>
      </c>
      <c r="AD1664" t="s">
        <v>9464</v>
      </c>
      <c r="AE1664">
        <v>29</v>
      </c>
      <c r="AF1664" t="s">
        <v>11005</v>
      </c>
      <c r="AG1664" t="s">
        <v>11019</v>
      </c>
      <c r="AH1664">
        <v>2</v>
      </c>
      <c r="AI1664">
        <v>2</v>
      </c>
      <c r="AJ1664">
        <v>0</v>
      </c>
      <c r="AK1664">
        <v>62.11</v>
      </c>
      <c r="AN1664" t="s">
        <v>11050</v>
      </c>
      <c r="AO1664">
        <v>10224</v>
      </c>
      <c r="AP1664" t="s">
        <v>11101</v>
      </c>
      <c r="AU1664">
        <v>0</v>
      </c>
      <c r="AW1664" t="s">
        <v>11512</v>
      </c>
    </row>
    <row r="1665" spans="1:49">
      <c r="A1665" s="1">
        <f>HYPERLINK("https://cms.ls-nyc.org/matter/dynamic-profile/view/1868777","18-1868777")</f>
        <v>0</v>
      </c>
      <c r="B1665" t="s">
        <v>56</v>
      </c>
      <c r="C1665" t="s">
        <v>235</v>
      </c>
      <c r="D1665" t="s">
        <v>315</v>
      </c>
      <c r="F1665" t="s">
        <v>1488</v>
      </c>
      <c r="G1665" t="s">
        <v>2759</v>
      </c>
      <c r="H1665" t="s">
        <v>4069</v>
      </c>
      <c r="I1665" t="s">
        <v>4814</v>
      </c>
      <c r="J1665" t="s">
        <v>5321</v>
      </c>
      <c r="K1665">
        <v>10453</v>
      </c>
      <c r="L1665" t="s">
        <v>5355</v>
      </c>
      <c r="M1665" t="s">
        <v>5355</v>
      </c>
      <c r="N1665" t="s">
        <v>5896</v>
      </c>
      <c r="O1665" t="s">
        <v>6494</v>
      </c>
      <c r="P1665" t="s">
        <v>6530</v>
      </c>
      <c r="R1665" t="s">
        <v>6539</v>
      </c>
      <c r="S1665" t="s">
        <v>5357</v>
      </c>
      <c r="U1665" t="s">
        <v>6557</v>
      </c>
      <c r="W1665" t="s">
        <v>253</v>
      </c>
      <c r="X1665">
        <v>925</v>
      </c>
      <c r="Y1665" t="s">
        <v>6606</v>
      </c>
      <c r="Z1665" t="s">
        <v>6614</v>
      </c>
      <c r="AB1665" t="s">
        <v>7562</v>
      </c>
      <c r="AC1665" t="s">
        <v>8828</v>
      </c>
      <c r="AD1665" t="s">
        <v>9924</v>
      </c>
      <c r="AE1665">
        <v>24</v>
      </c>
      <c r="AF1665" t="s">
        <v>11005</v>
      </c>
      <c r="AG1665" t="s">
        <v>5406</v>
      </c>
      <c r="AH1665">
        <v>12</v>
      </c>
      <c r="AI1665">
        <v>4</v>
      </c>
      <c r="AJ1665">
        <v>0</v>
      </c>
      <c r="AK1665">
        <v>62.15</v>
      </c>
      <c r="AN1665" t="s">
        <v>11049</v>
      </c>
      <c r="AO1665">
        <v>15600</v>
      </c>
      <c r="AU1665">
        <v>48.85</v>
      </c>
      <c r="AV1665" t="s">
        <v>691</v>
      </c>
      <c r="AW1665" t="s">
        <v>11499</v>
      </c>
    </row>
    <row r="1666" spans="1:49">
      <c r="A1666" s="1">
        <f>HYPERLINK("https://cms.ls-nyc.org/matter/dynamic-profile/view/1864457","18-1864457")</f>
        <v>0</v>
      </c>
      <c r="B1666" t="s">
        <v>123</v>
      </c>
      <c r="C1666" t="s">
        <v>234</v>
      </c>
      <c r="D1666" t="s">
        <v>256</v>
      </c>
      <c r="E1666" t="s">
        <v>665</v>
      </c>
      <c r="F1666" t="s">
        <v>1000</v>
      </c>
      <c r="G1666" t="s">
        <v>2133</v>
      </c>
      <c r="H1666" t="s">
        <v>4317</v>
      </c>
      <c r="I1666" t="s">
        <v>4778</v>
      </c>
      <c r="J1666" t="s">
        <v>5323</v>
      </c>
      <c r="K1666">
        <v>10032</v>
      </c>
      <c r="L1666" t="s">
        <v>5355</v>
      </c>
      <c r="M1666" t="s">
        <v>5355</v>
      </c>
      <c r="N1666" t="s">
        <v>5897</v>
      </c>
      <c r="O1666" t="s">
        <v>6492</v>
      </c>
      <c r="P1666" t="s">
        <v>6530</v>
      </c>
      <c r="Q1666" t="s">
        <v>6534</v>
      </c>
      <c r="R1666" t="s">
        <v>6539</v>
      </c>
      <c r="S1666" t="s">
        <v>5357</v>
      </c>
      <c r="U1666" t="s">
        <v>6557</v>
      </c>
      <c r="W1666" t="s">
        <v>256</v>
      </c>
      <c r="X1666">
        <v>1181.02</v>
      </c>
      <c r="Y1666" t="s">
        <v>6608</v>
      </c>
      <c r="Z1666" t="s">
        <v>6616</v>
      </c>
      <c r="AA1666" t="s">
        <v>6637</v>
      </c>
      <c r="AB1666" t="s">
        <v>8066</v>
      </c>
      <c r="AD1666" t="s">
        <v>10410</v>
      </c>
      <c r="AE1666">
        <v>30</v>
      </c>
      <c r="AF1666" t="s">
        <v>11005</v>
      </c>
      <c r="AG1666" t="s">
        <v>5406</v>
      </c>
      <c r="AH1666">
        <v>13</v>
      </c>
      <c r="AI1666">
        <v>3</v>
      </c>
      <c r="AJ1666">
        <v>0</v>
      </c>
      <c r="AK1666">
        <v>62.48</v>
      </c>
      <c r="AN1666" t="s">
        <v>11049</v>
      </c>
      <c r="AO1666">
        <v>12984</v>
      </c>
      <c r="AU1666">
        <v>29.25</v>
      </c>
      <c r="AV1666" t="s">
        <v>736</v>
      </c>
      <c r="AW1666" t="s">
        <v>11495</v>
      </c>
    </row>
    <row r="1667" spans="1:49">
      <c r="A1667" s="1">
        <f>HYPERLINK("https://cms.ls-nyc.org/matter/dynamic-profile/view/1838071","17-1838071")</f>
        <v>0</v>
      </c>
      <c r="B1667" t="s">
        <v>54</v>
      </c>
      <c r="C1667" t="s">
        <v>234</v>
      </c>
      <c r="D1667" t="s">
        <v>529</v>
      </c>
      <c r="E1667" t="s">
        <v>707</v>
      </c>
      <c r="F1667" t="s">
        <v>1772</v>
      </c>
      <c r="G1667" t="s">
        <v>2187</v>
      </c>
      <c r="H1667" t="s">
        <v>4133</v>
      </c>
      <c r="I1667">
        <v>2</v>
      </c>
      <c r="J1667" t="s">
        <v>5320</v>
      </c>
      <c r="K1667">
        <v>11208</v>
      </c>
      <c r="L1667" t="s">
        <v>5355</v>
      </c>
      <c r="M1667" t="s">
        <v>5355</v>
      </c>
      <c r="N1667" t="s">
        <v>5898</v>
      </c>
      <c r="O1667" t="s">
        <v>6491</v>
      </c>
      <c r="P1667" t="s">
        <v>6530</v>
      </c>
      <c r="Q1667" t="s">
        <v>6538</v>
      </c>
      <c r="R1667" t="s">
        <v>6539</v>
      </c>
      <c r="S1667" t="s">
        <v>5355</v>
      </c>
      <c r="U1667" t="s">
        <v>6557</v>
      </c>
      <c r="W1667" t="s">
        <v>359</v>
      </c>
      <c r="X1667">
        <v>900</v>
      </c>
      <c r="Y1667" t="s">
        <v>6605</v>
      </c>
      <c r="AA1667" t="s">
        <v>6637</v>
      </c>
      <c r="AB1667" t="s">
        <v>8067</v>
      </c>
      <c r="AE1667">
        <v>7</v>
      </c>
      <c r="AF1667" t="s">
        <v>11004</v>
      </c>
      <c r="AG1667" t="s">
        <v>5406</v>
      </c>
      <c r="AH1667">
        <v>0</v>
      </c>
      <c r="AI1667">
        <v>2</v>
      </c>
      <c r="AJ1667">
        <v>3</v>
      </c>
      <c r="AK1667">
        <v>62.54</v>
      </c>
      <c r="AN1667" t="s">
        <v>11049</v>
      </c>
      <c r="AO1667">
        <v>18000</v>
      </c>
      <c r="AQ1667" t="s">
        <v>11192</v>
      </c>
      <c r="AR1667" t="s">
        <v>11210</v>
      </c>
      <c r="AS1667" t="s">
        <v>11253</v>
      </c>
      <c r="AT1667" t="s">
        <v>11261</v>
      </c>
      <c r="AU1667">
        <v>41.35</v>
      </c>
      <c r="AV1667" t="s">
        <v>736</v>
      </c>
      <c r="AW1667" t="s">
        <v>219</v>
      </c>
    </row>
    <row r="1668" spans="1:49">
      <c r="A1668" s="1">
        <f>HYPERLINK("https://cms.ls-nyc.org/matter/dynamic-profile/view/1844623","17-1844623")</f>
        <v>0</v>
      </c>
      <c r="B1668" t="s">
        <v>142</v>
      </c>
      <c r="C1668" t="s">
        <v>234</v>
      </c>
      <c r="D1668" t="s">
        <v>435</v>
      </c>
      <c r="E1668" t="s">
        <v>784</v>
      </c>
      <c r="F1668" t="s">
        <v>1772</v>
      </c>
      <c r="G1668" t="s">
        <v>2187</v>
      </c>
      <c r="H1668" t="s">
        <v>4133</v>
      </c>
      <c r="I1668">
        <v>2</v>
      </c>
      <c r="J1668" t="s">
        <v>5320</v>
      </c>
      <c r="K1668">
        <v>11208</v>
      </c>
      <c r="L1668" t="s">
        <v>5355</v>
      </c>
      <c r="M1668" t="s">
        <v>5355</v>
      </c>
      <c r="N1668" t="s">
        <v>5889</v>
      </c>
      <c r="O1668" t="s">
        <v>6494</v>
      </c>
      <c r="P1668" t="s">
        <v>6530</v>
      </c>
      <c r="Q1668" t="s">
        <v>6534</v>
      </c>
      <c r="R1668" t="s">
        <v>6539</v>
      </c>
      <c r="S1668" t="s">
        <v>5355</v>
      </c>
      <c r="U1668" t="s">
        <v>6557</v>
      </c>
      <c r="W1668" t="s">
        <v>481</v>
      </c>
      <c r="X1668">
        <v>900</v>
      </c>
      <c r="Y1668" t="s">
        <v>6605</v>
      </c>
      <c r="AA1668" t="s">
        <v>6631</v>
      </c>
      <c r="AB1668" t="s">
        <v>8067</v>
      </c>
      <c r="AE1668">
        <v>7</v>
      </c>
      <c r="AF1668" t="s">
        <v>11004</v>
      </c>
      <c r="AG1668" t="s">
        <v>5406</v>
      </c>
      <c r="AH1668">
        <v>0</v>
      </c>
      <c r="AI1668">
        <v>2</v>
      </c>
      <c r="AJ1668">
        <v>3</v>
      </c>
      <c r="AK1668">
        <v>62.54</v>
      </c>
      <c r="AN1668" t="s">
        <v>11049</v>
      </c>
      <c r="AO1668">
        <v>18000</v>
      </c>
      <c r="AR1668" t="s">
        <v>11225</v>
      </c>
      <c r="AU1668">
        <v>209.2</v>
      </c>
      <c r="AV1668" t="s">
        <v>784</v>
      </c>
      <c r="AW1668" t="s">
        <v>228</v>
      </c>
    </row>
    <row r="1669" spans="1:49">
      <c r="A1669" s="1">
        <f>HYPERLINK("https://cms.ls-nyc.org/matter/dynamic-profile/view/1860509","18-1860509")</f>
        <v>0</v>
      </c>
      <c r="B1669" t="s">
        <v>115</v>
      </c>
      <c r="C1669" t="s">
        <v>234</v>
      </c>
      <c r="D1669" t="s">
        <v>319</v>
      </c>
      <c r="E1669" t="s">
        <v>420</v>
      </c>
      <c r="F1669" t="s">
        <v>1773</v>
      </c>
      <c r="G1669" t="s">
        <v>2451</v>
      </c>
      <c r="H1669" t="s">
        <v>4318</v>
      </c>
      <c r="I1669" t="s">
        <v>4868</v>
      </c>
      <c r="J1669" t="s">
        <v>5320</v>
      </c>
      <c r="K1669">
        <v>11233</v>
      </c>
      <c r="L1669" t="s">
        <v>5355</v>
      </c>
      <c r="M1669" t="s">
        <v>5355</v>
      </c>
      <c r="N1669" t="s">
        <v>5899</v>
      </c>
      <c r="O1669" t="s">
        <v>6492</v>
      </c>
      <c r="P1669" t="s">
        <v>6530</v>
      </c>
      <c r="Q1669" t="s">
        <v>6534</v>
      </c>
      <c r="R1669" t="s">
        <v>6539</v>
      </c>
      <c r="S1669" t="s">
        <v>5357</v>
      </c>
      <c r="U1669" t="s">
        <v>6557</v>
      </c>
      <c r="W1669" t="s">
        <v>306</v>
      </c>
      <c r="X1669">
        <v>1750</v>
      </c>
      <c r="Y1669" t="s">
        <v>6605</v>
      </c>
      <c r="Z1669" t="s">
        <v>6493</v>
      </c>
      <c r="AA1669" t="s">
        <v>6637</v>
      </c>
      <c r="AB1669" t="s">
        <v>8068</v>
      </c>
      <c r="AD1669" t="s">
        <v>10411</v>
      </c>
      <c r="AE1669">
        <v>97</v>
      </c>
      <c r="AF1669" t="s">
        <v>8722</v>
      </c>
      <c r="AG1669" t="s">
        <v>11020</v>
      </c>
      <c r="AH1669">
        <v>21</v>
      </c>
      <c r="AI1669">
        <v>3</v>
      </c>
      <c r="AJ1669">
        <v>0</v>
      </c>
      <c r="AK1669">
        <v>62.56</v>
      </c>
      <c r="AN1669" t="s">
        <v>11049</v>
      </c>
      <c r="AO1669">
        <v>13000</v>
      </c>
      <c r="AR1669" t="s">
        <v>11210</v>
      </c>
      <c r="AS1669" t="s">
        <v>11253</v>
      </c>
      <c r="AT1669" t="s">
        <v>11346</v>
      </c>
      <c r="AU1669">
        <v>46.35</v>
      </c>
      <c r="AV1669" t="s">
        <v>11441</v>
      </c>
      <c r="AW1669" t="s">
        <v>11512</v>
      </c>
    </row>
    <row r="1670" spans="1:49">
      <c r="A1670" s="1">
        <f>HYPERLINK("https://cms.ls-nyc.org/matter/dynamic-profile/view/1856352","18-1856352")</f>
        <v>0</v>
      </c>
      <c r="B1670" t="s">
        <v>102</v>
      </c>
      <c r="C1670" t="s">
        <v>234</v>
      </c>
      <c r="D1670" t="s">
        <v>261</v>
      </c>
      <c r="E1670" t="s">
        <v>744</v>
      </c>
      <c r="F1670" t="s">
        <v>938</v>
      </c>
      <c r="G1670" t="s">
        <v>2191</v>
      </c>
      <c r="H1670" t="s">
        <v>3526</v>
      </c>
      <c r="I1670">
        <v>306</v>
      </c>
      <c r="J1670" t="s">
        <v>5321</v>
      </c>
      <c r="K1670">
        <v>10453</v>
      </c>
      <c r="L1670" t="s">
        <v>5355</v>
      </c>
      <c r="M1670" t="s">
        <v>5356</v>
      </c>
      <c r="N1670" t="s">
        <v>5883</v>
      </c>
      <c r="O1670" t="s">
        <v>6494</v>
      </c>
      <c r="P1670" t="s">
        <v>6530</v>
      </c>
      <c r="Q1670" t="s">
        <v>6534</v>
      </c>
      <c r="R1670" t="s">
        <v>6539</v>
      </c>
      <c r="S1670" t="s">
        <v>5355</v>
      </c>
      <c r="U1670" t="s">
        <v>6557</v>
      </c>
      <c r="W1670" t="s">
        <v>247</v>
      </c>
      <c r="X1670">
        <v>930.66</v>
      </c>
      <c r="Y1670" t="s">
        <v>6606</v>
      </c>
      <c r="Z1670" t="s">
        <v>6622</v>
      </c>
      <c r="AA1670" t="s">
        <v>6634</v>
      </c>
      <c r="AB1670" t="s">
        <v>6760</v>
      </c>
      <c r="AC1670" t="s">
        <v>8720</v>
      </c>
      <c r="AE1670">
        <v>146</v>
      </c>
      <c r="AF1670" t="s">
        <v>11005</v>
      </c>
      <c r="AG1670" t="s">
        <v>11023</v>
      </c>
      <c r="AH1670">
        <v>9</v>
      </c>
      <c r="AI1670">
        <v>1</v>
      </c>
      <c r="AJ1670">
        <v>2</v>
      </c>
      <c r="AK1670">
        <v>62.68</v>
      </c>
      <c r="AN1670" t="s">
        <v>11049</v>
      </c>
      <c r="AO1670">
        <v>12800</v>
      </c>
      <c r="AU1670">
        <v>0.3</v>
      </c>
      <c r="AV1670" t="s">
        <v>745</v>
      </c>
      <c r="AW1670" t="s">
        <v>11492</v>
      </c>
    </row>
    <row r="1671" spans="1:49">
      <c r="A1671" s="1">
        <f>HYPERLINK("https://cms.ls-nyc.org/matter/dynamic-profile/view/1871292","18-1871292")</f>
        <v>0</v>
      </c>
      <c r="B1671" t="s">
        <v>55</v>
      </c>
      <c r="C1671" t="s">
        <v>234</v>
      </c>
      <c r="D1671" t="s">
        <v>401</v>
      </c>
      <c r="E1671" t="s">
        <v>762</v>
      </c>
      <c r="F1671" t="s">
        <v>1774</v>
      </c>
      <c r="G1671" t="s">
        <v>3077</v>
      </c>
      <c r="H1671" t="s">
        <v>4319</v>
      </c>
      <c r="I1671" t="s">
        <v>5186</v>
      </c>
      <c r="J1671" t="s">
        <v>5320</v>
      </c>
      <c r="K1671">
        <v>11225</v>
      </c>
      <c r="L1671" t="s">
        <v>5355</v>
      </c>
      <c r="M1671" t="s">
        <v>5355</v>
      </c>
      <c r="N1671" t="s">
        <v>5900</v>
      </c>
      <c r="O1671" t="s">
        <v>6492</v>
      </c>
      <c r="P1671" t="s">
        <v>6530</v>
      </c>
      <c r="Q1671" t="s">
        <v>6534</v>
      </c>
      <c r="R1671" t="s">
        <v>6539</v>
      </c>
      <c r="S1671" t="s">
        <v>5357</v>
      </c>
      <c r="U1671" t="s">
        <v>6557</v>
      </c>
      <c r="W1671" t="s">
        <v>516</v>
      </c>
      <c r="X1671">
        <v>1373</v>
      </c>
      <c r="Y1671" t="s">
        <v>6605</v>
      </c>
      <c r="Z1671" t="s">
        <v>6614</v>
      </c>
      <c r="AA1671" t="s">
        <v>6637</v>
      </c>
      <c r="AB1671" t="s">
        <v>8069</v>
      </c>
      <c r="AC1671" t="s">
        <v>8968</v>
      </c>
      <c r="AD1671" t="s">
        <v>10412</v>
      </c>
      <c r="AE1671">
        <v>76</v>
      </c>
      <c r="AF1671" t="s">
        <v>11005</v>
      </c>
      <c r="AG1671" t="s">
        <v>11024</v>
      </c>
      <c r="AH1671">
        <v>20</v>
      </c>
      <c r="AI1671">
        <v>2</v>
      </c>
      <c r="AJ1671">
        <v>0</v>
      </c>
      <c r="AK1671">
        <v>62.92</v>
      </c>
      <c r="AN1671" t="s">
        <v>11050</v>
      </c>
      <c r="AO1671">
        <v>10356</v>
      </c>
      <c r="AQ1671" t="s">
        <v>11196</v>
      </c>
      <c r="AR1671" t="s">
        <v>11210</v>
      </c>
      <c r="AS1671" t="s">
        <v>11253</v>
      </c>
      <c r="AT1671" t="s">
        <v>11347</v>
      </c>
      <c r="AU1671">
        <v>25.2</v>
      </c>
      <c r="AV1671" t="s">
        <v>735</v>
      </c>
      <c r="AW1671" t="s">
        <v>11490</v>
      </c>
    </row>
    <row r="1672" spans="1:49">
      <c r="A1672" s="1">
        <f>HYPERLINK("https://cms.ls-nyc.org/matter/dynamic-profile/view/1838580","17-1838580")</f>
        <v>0</v>
      </c>
      <c r="B1672" t="s">
        <v>131</v>
      </c>
      <c r="C1672" t="s">
        <v>234</v>
      </c>
      <c r="D1672" t="s">
        <v>501</v>
      </c>
      <c r="E1672" t="s">
        <v>809</v>
      </c>
      <c r="F1672" t="s">
        <v>1775</v>
      </c>
      <c r="G1672" t="s">
        <v>3078</v>
      </c>
      <c r="H1672" t="s">
        <v>3769</v>
      </c>
      <c r="I1672" t="s">
        <v>5187</v>
      </c>
      <c r="J1672" t="s">
        <v>5323</v>
      </c>
      <c r="K1672">
        <v>10034</v>
      </c>
      <c r="L1672" t="s">
        <v>5355</v>
      </c>
      <c r="M1672" t="s">
        <v>5356</v>
      </c>
      <c r="O1672" t="s">
        <v>6494</v>
      </c>
      <c r="P1672" t="s">
        <v>6530</v>
      </c>
      <c r="Q1672" t="s">
        <v>6534</v>
      </c>
      <c r="R1672" t="s">
        <v>6539</v>
      </c>
      <c r="S1672" t="s">
        <v>5355</v>
      </c>
      <c r="U1672" t="s">
        <v>6557</v>
      </c>
      <c r="W1672" t="s">
        <v>404</v>
      </c>
      <c r="X1672">
        <v>1060.75</v>
      </c>
      <c r="Y1672" t="s">
        <v>6608</v>
      </c>
      <c r="Z1672" t="s">
        <v>6622</v>
      </c>
      <c r="AA1672" t="s">
        <v>6634</v>
      </c>
      <c r="AB1672" t="s">
        <v>8070</v>
      </c>
      <c r="AD1672" t="s">
        <v>10413</v>
      </c>
      <c r="AE1672">
        <v>49</v>
      </c>
      <c r="AF1672" t="s">
        <v>11005</v>
      </c>
      <c r="AG1672" t="s">
        <v>5406</v>
      </c>
      <c r="AH1672">
        <v>9</v>
      </c>
      <c r="AI1672">
        <v>4</v>
      </c>
      <c r="AJ1672">
        <v>0</v>
      </c>
      <c r="AK1672">
        <v>63.41</v>
      </c>
      <c r="AN1672" t="s">
        <v>11049</v>
      </c>
      <c r="AO1672">
        <v>15600</v>
      </c>
      <c r="AU1672">
        <v>0.55</v>
      </c>
      <c r="AV1672" t="s">
        <v>680</v>
      </c>
      <c r="AW1672" t="s">
        <v>11497</v>
      </c>
    </row>
    <row r="1673" spans="1:49">
      <c r="A1673" s="1">
        <f>HYPERLINK("https://cms.ls-nyc.org/matter/dynamic-profile/view/1850000","17-1850000")</f>
        <v>0</v>
      </c>
      <c r="B1673" t="s">
        <v>65</v>
      </c>
      <c r="C1673" t="s">
        <v>234</v>
      </c>
      <c r="D1673" t="s">
        <v>341</v>
      </c>
      <c r="E1673" t="s">
        <v>720</v>
      </c>
      <c r="F1673" t="s">
        <v>1489</v>
      </c>
      <c r="G1673" t="s">
        <v>2760</v>
      </c>
      <c r="H1673" t="s">
        <v>4320</v>
      </c>
      <c r="I1673" t="s">
        <v>4787</v>
      </c>
      <c r="J1673" t="s">
        <v>5323</v>
      </c>
      <c r="K1673">
        <v>10034</v>
      </c>
      <c r="L1673" t="s">
        <v>5355</v>
      </c>
      <c r="M1673" t="s">
        <v>5356</v>
      </c>
      <c r="N1673" t="s">
        <v>5901</v>
      </c>
      <c r="O1673" t="s">
        <v>6492</v>
      </c>
      <c r="P1673" t="s">
        <v>6530</v>
      </c>
      <c r="Q1673" t="s">
        <v>6534</v>
      </c>
      <c r="R1673" t="s">
        <v>6539</v>
      </c>
      <c r="S1673" t="s">
        <v>5357</v>
      </c>
      <c r="U1673" t="s">
        <v>6557</v>
      </c>
      <c r="W1673" t="s">
        <v>341</v>
      </c>
      <c r="X1673">
        <v>1534</v>
      </c>
      <c r="Y1673" t="s">
        <v>6608</v>
      </c>
      <c r="Z1673" t="s">
        <v>6614</v>
      </c>
      <c r="AA1673" t="s">
        <v>6637</v>
      </c>
      <c r="AB1673" t="s">
        <v>7563</v>
      </c>
      <c r="AC1673" t="s">
        <v>8969</v>
      </c>
      <c r="AD1673" t="s">
        <v>9925</v>
      </c>
      <c r="AE1673">
        <v>48</v>
      </c>
      <c r="AF1673" t="s">
        <v>11005</v>
      </c>
      <c r="AG1673" t="s">
        <v>11023</v>
      </c>
      <c r="AH1673">
        <v>13</v>
      </c>
      <c r="AI1673">
        <v>2</v>
      </c>
      <c r="AJ1673">
        <v>2</v>
      </c>
      <c r="AK1673">
        <v>63.9</v>
      </c>
      <c r="AN1673" t="s">
        <v>11049</v>
      </c>
      <c r="AO1673">
        <v>15720</v>
      </c>
      <c r="AU1673">
        <v>15.3</v>
      </c>
      <c r="AV1673" t="s">
        <v>375</v>
      </c>
      <c r="AW1673" t="s">
        <v>11495</v>
      </c>
    </row>
    <row r="1674" spans="1:49">
      <c r="A1674" s="1">
        <f>HYPERLINK("https://cms.ls-nyc.org/matter/dynamic-profile/view/1856806","18-1856806")</f>
        <v>0</v>
      </c>
      <c r="B1674" t="s">
        <v>94</v>
      </c>
      <c r="C1674" t="s">
        <v>235</v>
      </c>
      <c r="D1674" t="s">
        <v>458</v>
      </c>
      <c r="F1674" t="s">
        <v>1179</v>
      </c>
      <c r="G1674" t="s">
        <v>3079</v>
      </c>
      <c r="H1674" t="s">
        <v>4231</v>
      </c>
      <c r="I1674" t="s">
        <v>4758</v>
      </c>
      <c r="J1674" t="s">
        <v>5320</v>
      </c>
      <c r="K1674">
        <v>11215</v>
      </c>
      <c r="L1674" t="s">
        <v>5355</v>
      </c>
      <c r="M1674" t="s">
        <v>5356</v>
      </c>
      <c r="O1674" t="s">
        <v>6494</v>
      </c>
      <c r="P1674" t="s">
        <v>6530</v>
      </c>
      <c r="R1674" t="s">
        <v>6539</v>
      </c>
      <c r="S1674" t="s">
        <v>5355</v>
      </c>
      <c r="U1674" t="s">
        <v>6557</v>
      </c>
      <c r="W1674" t="s">
        <v>458</v>
      </c>
      <c r="X1674">
        <v>149</v>
      </c>
      <c r="Y1674" t="s">
        <v>6605</v>
      </c>
      <c r="Z1674" t="s">
        <v>6623</v>
      </c>
      <c r="AB1674" t="s">
        <v>8071</v>
      </c>
      <c r="AE1674">
        <v>7</v>
      </c>
      <c r="AF1674" t="s">
        <v>11006</v>
      </c>
      <c r="AH1674">
        <v>42</v>
      </c>
      <c r="AI1674">
        <v>2</v>
      </c>
      <c r="AJ1674">
        <v>0</v>
      </c>
      <c r="AK1674">
        <v>63.92</v>
      </c>
      <c r="AM1674" t="s">
        <v>11045</v>
      </c>
      <c r="AN1674" t="s">
        <v>11050</v>
      </c>
      <c r="AO1674">
        <v>10380</v>
      </c>
      <c r="AU1674">
        <v>6</v>
      </c>
      <c r="AV1674" t="s">
        <v>11461</v>
      </c>
      <c r="AW1674" t="s">
        <v>75</v>
      </c>
    </row>
    <row r="1675" spans="1:49">
      <c r="A1675" s="1">
        <f>HYPERLINK("https://cms.ls-nyc.org/matter/dynamic-profile/view/1858323","18-1858323")</f>
        <v>0</v>
      </c>
      <c r="B1675" t="s">
        <v>142</v>
      </c>
      <c r="C1675" t="s">
        <v>235</v>
      </c>
      <c r="D1675" t="s">
        <v>238</v>
      </c>
      <c r="F1675" t="s">
        <v>1000</v>
      </c>
      <c r="G1675" t="s">
        <v>2215</v>
      </c>
      <c r="H1675" t="s">
        <v>3480</v>
      </c>
      <c r="I1675" t="s">
        <v>4738</v>
      </c>
      <c r="J1675" t="s">
        <v>5320</v>
      </c>
      <c r="K1675">
        <v>11213</v>
      </c>
      <c r="L1675" t="s">
        <v>5355</v>
      </c>
      <c r="M1675" t="s">
        <v>5356</v>
      </c>
      <c r="O1675" t="s">
        <v>6494</v>
      </c>
      <c r="P1675" t="s">
        <v>6530</v>
      </c>
      <c r="R1675" t="s">
        <v>6539</v>
      </c>
      <c r="S1675" t="s">
        <v>5355</v>
      </c>
      <c r="U1675" t="s">
        <v>6557</v>
      </c>
      <c r="W1675" t="s">
        <v>247</v>
      </c>
      <c r="X1675">
        <v>887</v>
      </c>
      <c r="Y1675" t="s">
        <v>6605</v>
      </c>
      <c r="Z1675" t="s">
        <v>6622</v>
      </c>
      <c r="AB1675" t="s">
        <v>7244</v>
      </c>
      <c r="AD1675" t="s">
        <v>9629</v>
      </c>
      <c r="AE1675">
        <v>107</v>
      </c>
      <c r="AF1675" t="s">
        <v>11005</v>
      </c>
      <c r="AG1675" t="s">
        <v>5406</v>
      </c>
      <c r="AH1675">
        <v>25</v>
      </c>
      <c r="AI1675">
        <v>4</v>
      </c>
      <c r="AJ1675">
        <v>2</v>
      </c>
      <c r="AK1675">
        <v>64.15000000000001</v>
      </c>
      <c r="AL1675" t="s">
        <v>266</v>
      </c>
      <c r="AN1675" t="s">
        <v>11050</v>
      </c>
      <c r="AO1675">
        <v>47832</v>
      </c>
      <c r="AU1675">
        <v>5</v>
      </c>
      <c r="AV1675" t="s">
        <v>704</v>
      </c>
      <c r="AW1675" t="s">
        <v>77</v>
      </c>
    </row>
    <row r="1676" spans="1:49">
      <c r="A1676" s="1">
        <f>HYPERLINK("https://cms.ls-nyc.org/matter/dynamic-profile/view/1863994","18-1863994")</f>
        <v>0</v>
      </c>
      <c r="B1676" t="s">
        <v>92</v>
      </c>
      <c r="C1676" t="s">
        <v>235</v>
      </c>
      <c r="D1676" t="s">
        <v>425</v>
      </c>
      <c r="F1676" t="s">
        <v>1776</v>
      </c>
      <c r="G1676" t="s">
        <v>2017</v>
      </c>
      <c r="H1676" t="s">
        <v>3579</v>
      </c>
      <c r="I1676">
        <v>305</v>
      </c>
      <c r="J1676" t="s">
        <v>5323</v>
      </c>
      <c r="K1676">
        <v>10029</v>
      </c>
      <c r="L1676" t="s">
        <v>5355</v>
      </c>
      <c r="M1676" t="s">
        <v>5355</v>
      </c>
      <c r="N1676" t="s">
        <v>5632</v>
      </c>
      <c r="O1676" t="s">
        <v>6494</v>
      </c>
      <c r="P1676" t="s">
        <v>6530</v>
      </c>
      <c r="R1676" t="s">
        <v>6539</v>
      </c>
      <c r="S1676" t="s">
        <v>5355</v>
      </c>
      <c r="U1676" t="s">
        <v>6557</v>
      </c>
      <c r="V1676" t="s">
        <v>6566</v>
      </c>
      <c r="W1676" t="s">
        <v>425</v>
      </c>
      <c r="X1676">
        <v>0</v>
      </c>
      <c r="Y1676" t="s">
        <v>6608</v>
      </c>
      <c r="Z1676" t="s">
        <v>6622</v>
      </c>
      <c r="AB1676" t="s">
        <v>8072</v>
      </c>
      <c r="AD1676" t="s">
        <v>10414</v>
      </c>
      <c r="AE1676">
        <v>108</v>
      </c>
      <c r="AF1676" t="s">
        <v>11008</v>
      </c>
      <c r="AG1676" t="s">
        <v>11020</v>
      </c>
      <c r="AH1676">
        <v>2</v>
      </c>
      <c r="AI1676">
        <v>2</v>
      </c>
      <c r="AJ1676">
        <v>0</v>
      </c>
      <c r="AK1676">
        <v>64.23</v>
      </c>
      <c r="AN1676" t="s">
        <v>11049</v>
      </c>
      <c r="AO1676">
        <v>10572</v>
      </c>
      <c r="AU1676">
        <v>0</v>
      </c>
      <c r="AW1676" t="s">
        <v>11497</v>
      </c>
    </row>
    <row r="1677" spans="1:49">
      <c r="A1677" s="1">
        <f>HYPERLINK("https://cms.ls-nyc.org/matter/dynamic-profile/view/1871002","18-1871002")</f>
        <v>0</v>
      </c>
      <c r="B1677" t="s">
        <v>87</v>
      </c>
      <c r="C1677" t="s">
        <v>234</v>
      </c>
      <c r="D1677" t="s">
        <v>338</v>
      </c>
      <c r="E1677" t="s">
        <v>749</v>
      </c>
      <c r="F1677" t="s">
        <v>1777</v>
      </c>
      <c r="G1677" t="s">
        <v>3080</v>
      </c>
      <c r="H1677" t="s">
        <v>4252</v>
      </c>
      <c r="I1677">
        <v>2</v>
      </c>
      <c r="J1677" t="s">
        <v>5322</v>
      </c>
      <c r="K1677">
        <v>10301</v>
      </c>
      <c r="L1677" t="s">
        <v>5355</v>
      </c>
      <c r="M1677" t="s">
        <v>5355</v>
      </c>
      <c r="N1677" t="s">
        <v>5902</v>
      </c>
      <c r="O1677" t="s">
        <v>6491</v>
      </c>
      <c r="P1677" t="s">
        <v>6530</v>
      </c>
      <c r="Q1677" t="s">
        <v>6533</v>
      </c>
      <c r="R1677" t="s">
        <v>6539</v>
      </c>
      <c r="S1677" t="s">
        <v>5357</v>
      </c>
      <c r="U1677" t="s">
        <v>6557</v>
      </c>
      <c r="V1677" t="s">
        <v>6566</v>
      </c>
      <c r="W1677" t="s">
        <v>338</v>
      </c>
      <c r="X1677">
        <v>700</v>
      </c>
      <c r="Y1677" t="s">
        <v>6607</v>
      </c>
      <c r="Z1677" t="s">
        <v>6609</v>
      </c>
      <c r="AA1677" t="s">
        <v>6633</v>
      </c>
      <c r="AB1677" t="s">
        <v>8073</v>
      </c>
      <c r="AD1677" t="s">
        <v>10415</v>
      </c>
      <c r="AE1677">
        <v>4</v>
      </c>
      <c r="AF1677" t="s">
        <v>11004</v>
      </c>
      <c r="AG1677" t="s">
        <v>11019</v>
      </c>
      <c r="AH1677">
        <v>1</v>
      </c>
      <c r="AI1677">
        <v>1</v>
      </c>
      <c r="AJ1677">
        <v>0</v>
      </c>
      <c r="AK1677">
        <v>64.25</v>
      </c>
      <c r="AN1677" t="s">
        <v>11050</v>
      </c>
      <c r="AO1677">
        <v>7800</v>
      </c>
      <c r="AQ1677" t="s">
        <v>11191</v>
      </c>
      <c r="AR1677" t="s">
        <v>11214</v>
      </c>
      <c r="AS1677" t="s">
        <v>11252</v>
      </c>
      <c r="AT1677" t="s">
        <v>11348</v>
      </c>
      <c r="AU1677">
        <v>11.8</v>
      </c>
      <c r="AV1677" t="s">
        <v>659</v>
      </c>
      <c r="AW1677" t="s">
        <v>11510</v>
      </c>
    </row>
    <row r="1678" spans="1:49">
      <c r="A1678" s="1">
        <f>HYPERLINK("https://cms.ls-nyc.org/matter/dynamic-profile/view/1863798","18-1863798")</f>
        <v>0</v>
      </c>
      <c r="B1678" t="s">
        <v>87</v>
      </c>
      <c r="C1678" t="s">
        <v>234</v>
      </c>
      <c r="D1678" t="s">
        <v>263</v>
      </c>
      <c r="E1678" t="s">
        <v>778</v>
      </c>
      <c r="F1678" t="s">
        <v>1777</v>
      </c>
      <c r="G1678" t="s">
        <v>3080</v>
      </c>
      <c r="H1678" t="s">
        <v>4252</v>
      </c>
      <c r="I1678">
        <v>2</v>
      </c>
      <c r="J1678" t="s">
        <v>5322</v>
      </c>
      <c r="K1678">
        <v>10301</v>
      </c>
      <c r="L1678" t="s">
        <v>5355</v>
      </c>
      <c r="M1678" t="s">
        <v>5355</v>
      </c>
      <c r="N1678" t="s">
        <v>5903</v>
      </c>
      <c r="O1678" t="s">
        <v>6493</v>
      </c>
      <c r="P1678" t="s">
        <v>6530</v>
      </c>
      <c r="Q1678" t="s">
        <v>6537</v>
      </c>
      <c r="R1678" t="s">
        <v>6539</v>
      </c>
      <c r="S1678" t="s">
        <v>5355</v>
      </c>
      <c r="U1678" t="s">
        <v>6559</v>
      </c>
      <c r="W1678" t="s">
        <v>263</v>
      </c>
      <c r="X1678">
        <v>750</v>
      </c>
      <c r="Y1678" t="s">
        <v>6607</v>
      </c>
      <c r="Z1678" t="s">
        <v>6613</v>
      </c>
      <c r="AA1678" t="s">
        <v>6632</v>
      </c>
      <c r="AB1678" t="s">
        <v>8073</v>
      </c>
      <c r="AD1678" t="s">
        <v>10415</v>
      </c>
      <c r="AE1678">
        <v>3</v>
      </c>
      <c r="AF1678" t="s">
        <v>11004</v>
      </c>
      <c r="AG1678" t="s">
        <v>11019</v>
      </c>
      <c r="AH1678">
        <v>1</v>
      </c>
      <c r="AI1678">
        <v>1</v>
      </c>
      <c r="AJ1678">
        <v>0</v>
      </c>
      <c r="AK1678">
        <v>64.25</v>
      </c>
      <c r="AN1678" t="s">
        <v>11050</v>
      </c>
      <c r="AO1678">
        <v>7800</v>
      </c>
      <c r="AQ1678" t="s">
        <v>11197</v>
      </c>
      <c r="AS1678" t="s">
        <v>11253</v>
      </c>
      <c r="AT1678" t="s">
        <v>11318</v>
      </c>
      <c r="AU1678">
        <v>6.6</v>
      </c>
      <c r="AV1678" t="s">
        <v>730</v>
      </c>
      <c r="AW1678" t="s">
        <v>11510</v>
      </c>
    </row>
    <row r="1679" spans="1:49">
      <c r="A1679" s="1">
        <f>HYPERLINK("https://cms.ls-nyc.org/matter/dynamic-profile/view/1855866","18-1855866")</f>
        <v>0</v>
      </c>
      <c r="B1679" t="s">
        <v>101</v>
      </c>
      <c r="C1679" t="s">
        <v>235</v>
      </c>
      <c r="D1679" t="s">
        <v>288</v>
      </c>
      <c r="F1679" t="s">
        <v>1040</v>
      </c>
      <c r="G1679" t="s">
        <v>2746</v>
      </c>
      <c r="H1679" t="s">
        <v>3929</v>
      </c>
      <c r="I1679" t="s">
        <v>4941</v>
      </c>
      <c r="J1679" t="s">
        <v>5320</v>
      </c>
      <c r="K1679">
        <v>11237</v>
      </c>
      <c r="L1679" t="s">
        <v>5355</v>
      </c>
      <c r="M1679" t="s">
        <v>5356</v>
      </c>
      <c r="N1679" t="s">
        <v>5904</v>
      </c>
      <c r="O1679" t="s">
        <v>6492</v>
      </c>
      <c r="P1679" t="s">
        <v>6530</v>
      </c>
      <c r="R1679" t="s">
        <v>6539</v>
      </c>
      <c r="S1679" t="s">
        <v>5357</v>
      </c>
      <c r="U1679" t="s">
        <v>6557</v>
      </c>
      <c r="V1679" t="s">
        <v>6566</v>
      </c>
      <c r="W1679" t="s">
        <v>236</v>
      </c>
      <c r="X1679">
        <v>978</v>
      </c>
      <c r="Y1679" t="s">
        <v>6605</v>
      </c>
      <c r="Z1679" t="s">
        <v>6612</v>
      </c>
      <c r="AB1679" t="s">
        <v>7543</v>
      </c>
      <c r="AC1679" t="s">
        <v>8823</v>
      </c>
      <c r="AD1679" t="s">
        <v>9906</v>
      </c>
      <c r="AE1679">
        <v>8</v>
      </c>
      <c r="AF1679" t="s">
        <v>11005</v>
      </c>
      <c r="AH1679">
        <v>20</v>
      </c>
      <c r="AI1679">
        <v>1</v>
      </c>
      <c r="AJ1679">
        <v>0</v>
      </c>
      <c r="AK1679">
        <v>64.55</v>
      </c>
      <c r="AO1679">
        <v>7836</v>
      </c>
      <c r="AU1679">
        <v>30.5</v>
      </c>
      <c r="AV1679" t="s">
        <v>726</v>
      </c>
      <c r="AW1679" t="s">
        <v>72</v>
      </c>
    </row>
    <row r="1680" spans="1:49">
      <c r="A1680" s="1">
        <f>HYPERLINK("https://cms.ls-nyc.org/matter/dynamic-profile/view/1838948","17-1838948")</f>
        <v>0</v>
      </c>
      <c r="B1680" t="s">
        <v>148</v>
      </c>
      <c r="C1680" t="s">
        <v>234</v>
      </c>
      <c r="D1680" t="s">
        <v>387</v>
      </c>
      <c r="E1680" t="s">
        <v>751</v>
      </c>
      <c r="F1680" t="s">
        <v>1778</v>
      </c>
      <c r="G1680" t="s">
        <v>3081</v>
      </c>
      <c r="H1680" t="s">
        <v>4151</v>
      </c>
      <c r="I1680" t="s">
        <v>5188</v>
      </c>
      <c r="J1680" t="s">
        <v>5322</v>
      </c>
      <c r="K1680">
        <v>10304</v>
      </c>
      <c r="L1680" t="s">
        <v>5355</v>
      </c>
      <c r="M1680" t="s">
        <v>5356</v>
      </c>
      <c r="N1680" t="s">
        <v>5905</v>
      </c>
      <c r="O1680" t="s">
        <v>6492</v>
      </c>
      <c r="P1680" t="s">
        <v>6530</v>
      </c>
      <c r="Q1680" t="s">
        <v>6534</v>
      </c>
      <c r="R1680" t="s">
        <v>6539</v>
      </c>
      <c r="S1680" t="s">
        <v>5357</v>
      </c>
      <c r="U1680" t="s">
        <v>6560</v>
      </c>
      <c r="W1680" t="s">
        <v>387</v>
      </c>
      <c r="X1680">
        <v>1357</v>
      </c>
      <c r="Y1680" t="s">
        <v>6607</v>
      </c>
      <c r="Z1680" t="s">
        <v>6614</v>
      </c>
      <c r="AA1680" t="s">
        <v>6637</v>
      </c>
      <c r="AB1680" t="s">
        <v>8074</v>
      </c>
      <c r="AC1680" t="s">
        <v>5406</v>
      </c>
      <c r="AD1680" t="s">
        <v>9166</v>
      </c>
      <c r="AE1680">
        <v>404</v>
      </c>
      <c r="AF1680" t="s">
        <v>11008</v>
      </c>
      <c r="AG1680" t="s">
        <v>11020</v>
      </c>
      <c r="AH1680">
        <v>4</v>
      </c>
      <c r="AI1680">
        <v>1</v>
      </c>
      <c r="AJ1680">
        <v>2</v>
      </c>
      <c r="AK1680">
        <v>64.64</v>
      </c>
      <c r="AN1680" t="s">
        <v>11050</v>
      </c>
      <c r="AO1680">
        <v>13200</v>
      </c>
      <c r="AU1680">
        <v>5.55</v>
      </c>
      <c r="AV1680" t="s">
        <v>751</v>
      </c>
      <c r="AW1680" t="s">
        <v>148</v>
      </c>
    </row>
    <row r="1681" spans="1:50">
      <c r="A1681" s="1">
        <f>HYPERLINK("https://cms.ls-nyc.org/matter/dynamic-profile/view/1847527","17-1847527")</f>
        <v>0</v>
      </c>
      <c r="B1681" t="s">
        <v>204</v>
      </c>
      <c r="C1681" t="s">
        <v>234</v>
      </c>
      <c r="D1681" t="s">
        <v>340</v>
      </c>
      <c r="E1681" t="s">
        <v>665</v>
      </c>
      <c r="F1681" t="s">
        <v>1779</v>
      </c>
      <c r="G1681" t="s">
        <v>2151</v>
      </c>
      <c r="H1681" t="s">
        <v>4321</v>
      </c>
      <c r="I1681" t="s">
        <v>4885</v>
      </c>
      <c r="J1681" t="s">
        <v>5321</v>
      </c>
      <c r="K1681">
        <v>10452</v>
      </c>
      <c r="L1681" t="s">
        <v>5355</v>
      </c>
      <c r="M1681" t="s">
        <v>5356</v>
      </c>
      <c r="N1681" t="s">
        <v>5906</v>
      </c>
      <c r="O1681" t="s">
        <v>6492</v>
      </c>
      <c r="P1681" t="s">
        <v>6530</v>
      </c>
      <c r="Q1681" t="s">
        <v>6534</v>
      </c>
      <c r="R1681" t="s">
        <v>6539</v>
      </c>
      <c r="U1681" t="s">
        <v>6557</v>
      </c>
      <c r="W1681" t="s">
        <v>340</v>
      </c>
      <c r="X1681">
        <v>918</v>
      </c>
      <c r="Y1681" t="s">
        <v>6606</v>
      </c>
      <c r="AA1681" t="s">
        <v>6637</v>
      </c>
      <c r="AB1681" t="s">
        <v>8075</v>
      </c>
      <c r="AC1681" t="s">
        <v>8970</v>
      </c>
      <c r="AD1681" t="s">
        <v>10416</v>
      </c>
      <c r="AE1681">
        <v>60</v>
      </c>
      <c r="AH1681">
        <v>4</v>
      </c>
      <c r="AI1681">
        <v>1</v>
      </c>
      <c r="AJ1681">
        <v>0</v>
      </c>
      <c r="AK1681">
        <v>64.68000000000001</v>
      </c>
      <c r="AN1681" t="s">
        <v>11050</v>
      </c>
      <c r="AO1681">
        <v>7800</v>
      </c>
      <c r="AT1681" t="s">
        <v>11349</v>
      </c>
      <c r="AU1681">
        <v>0.6</v>
      </c>
      <c r="AV1681" t="s">
        <v>464</v>
      </c>
      <c r="AW1681" t="s">
        <v>11499</v>
      </c>
    </row>
    <row r="1682" spans="1:50">
      <c r="A1682" s="1">
        <f>HYPERLINK("https://cms.ls-nyc.org/matter/dynamic-profile/view/1839599","17-1839599")</f>
        <v>0</v>
      </c>
      <c r="B1682" t="s">
        <v>68</v>
      </c>
      <c r="C1682" t="s">
        <v>235</v>
      </c>
      <c r="D1682" t="s">
        <v>584</v>
      </c>
      <c r="F1682" t="s">
        <v>1780</v>
      </c>
      <c r="G1682" t="s">
        <v>3082</v>
      </c>
      <c r="H1682" t="s">
        <v>4322</v>
      </c>
      <c r="I1682" t="s">
        <v>4775</v>
      </c>
      <c r="J1682" t="s">
        <v>5323</v>
      </c>
      <c r="K1682">
        <v>10128</v>
      </c>
      <c r="L1682" t="s">
        <v>5355</v>
      </c>
      <c r="M1682" t="s">
        <v>5356</v>
      </c>
      <c r="N1682" t="s">
        <v>5907</v>
      </c>
      <c r="O1682" t="s">
        <v>6492</v>
      </c>
      <c r="P1682" t="s">
        <v>6530</v>
      </c>
      <c r="R1682" t="s">
        <v>6540</v>
      </c>
      <c r="S1682" t="s">
        <v>5357</v>
      </c>
      <c r="U1682" t="s">
        <v>6557</v>
      </c>
      <c r="V1682" t="s">
        <v>6566</v>
      </c>
      <c r="W1682" t="s">
        <v>404</v>
      </c>
      <c r="X1682">
        <v>1660.44</v>
      </c>
      <c r="Y1682" t="s">
        <v>6608</v>
      </c>
      <c r="Z1682" t="s">
        <v>6610</v>
      </c>
      <c r="AB1682" t="s">
        <v>8076</v>
      </c>
      <c r="AD1682" t="s">
        <v>10417</v>
      </c>
      <c r="AE1682">
        <v>19</v>
      </c>
      <c r="AF1682" t="s">
        <v>11005</v>
      </c>
      <c r="AG1682" t="s">
        <v>5406</v>
      </c>
      <c r="AH1682">
        <v>3</v>
      </c>
      <c r="AI1682">
        <v>1</v>
      </c>
      <c r="AJ1682">
        <v>0</v>
      </c>
      <c r="AK1682">
        <v>64.68000000000001</v>
      </c>
      <c r="AL1682" t="s">
        <v>11028</v>
      </c>
      <c r="AN1682" t="s">
        <v>11050</v>
      </c>
      <c r="AO1682">
        <v>7800</v>
      </c>
      <c r="AU1682">
        <v>202.78</v>
      </c>
      <c r="AV1682" t="s">
        <v>803</v>
      </c>
      <c r="AW1682" t="s">
        <v>11498</v>
      </c>
      <c r="AX1682" t="s">
        <v>11564</v>
      </c>
    </row>
    <row r="1683" spans="1:50">
      <c r="A1683" s="1">
        <f>HYPERLINK("https://cms.ls-nyc.org/matter/dynamic-profile/view/1848579","17-1848579")</f>
        <v>0</v>
      </c>
      <c r="B1683" t="s">
        <v>205</v>
      </c>
      <c r="C1683" t="s">
        <v>235</v>
      </c>
      <c r="D1683" t="s">
        <v>585</v>
      </c>
      <c r="F1683" t="s">
        <v>1185</v>
      </c>
      <c r="G1683" t="s">
        <v>2432</v>
      </c>
      <c r="H1683" t="s">
        <v>3775</v>
      </c>
      <c r="I1683" t="s">
        <v>4901</v>
      </c>
      <c r="J1683" t="s">
        <v>5320</v>
      </c>
      <c r="K1683">
        <v>11206</v>
      </c>
      <c r="L1683" t="s">
        <v>5355</v>
      </c>
      <c r="M1683" t="s">
        <v>5356</v>
      </c>
      <c r="N1683" t="s">
        <v>5908</v>
      </c>
      <c r="O1683" t="s">
        <v>6492</v>
      </c>
      <c r="P1683" t="s">
        <v>6530</v>
      </c>
      <c r="R1683" t="s">
        <v>6539</v>
      </c>
      <c r="S1683" t="s">
        <v>5355</v>
      </c>
      <c r="U1683" t="s">
        <v>6557</v>
      </c>
      <c r="W1683" t="s">
        <v>575</v>
      </c>
      <c r="X1683">
        <v>1057.68</v>
      </c>
      <c r="Y1683" t="s">
        <v>6605</v>
      </c>
      <c r="AB1683" t="s">
        <v>7071</v>
      </c>
      <c r="AC1683" t="s">
        <v>8971</v>
      </c>
      <c r="AE1683">
        <v>25</v>
      </c>
      <c r="AF1683" t="s">
        <v>11005</v>
      </c>
      <c r="AG1683" t="s">
        <v>11020</v>
      </c>
      <c r="AH1683">
        <v>9</v>
      </c>
      <c r="AI1683">
        <v>2</v>
      </c>
      <c r="AJ1683">
        <v>0</v>
      </c>
      <c r="AK1683">
        <v>64.8</v>
      </c>
      <c r="AN1683" t="s">
        <v>11050</v>
      </c>
      <c r="AO1683">
        <v>10524</v>
      </c>
      <c r="AU1683">
        <v>50.4</v>
      </c>
      <c r="AV1683" t="s">
        <v>664</v>
      </c>
      <c r="AW1683" t="s">
        <v>11489</v>
      </c>
    </row>
    <row r="1684" spans="1:50">
      <c r="A1684" s="1">
        <f>HYPERLINK("https://cms.ls-nyc.org/matter/dynamic-profile/view/1855943","18-1855943")</f>
        <v>0</v>
      </c>
      <c r="B1684" t="s">
        <v>75</v>
      </c>
      <c r="C1684" t="s">
        <v>235</v>
      </c>
      <c r="D1684" t="s">
        <v>380</v>
      </c>
      <c r="F1684" t="s">
        <v>1040</v>
      </c>
      <c r="G1684" t="s">
        <v>2746</v>
      </c>
      <c r="H1684" t="s">
        <v>3929</v>
      </c>
      <c r="I1684" t="s">
        <v>4941</v>
      </c>
      <c r="J1684" t="s">
        <v>5320</v>
      </c>
      <c r="K1684">
        <v>11237</v>
      </c>
      <c r="L1684" t="s">
        <v>5357</v>
      </c>
      <c r="M1684" t="s">
        <v>5356</v>
      </c>
      <c r="O1684" t="s">
        <v>6494</v>
      </c>
      <c r="P1684" t="s">
        <v>6530</v>
      </c>
      <c r="R1684" t="s">
        <v>6539</v>
      </c>
      <c r="S1684" t="s">
        <v>5355</v>
      </c>
      <c r="U1684" t="s">
        <v>6557</v>
      </c>
      <c r="W1684" t="s">
        <v>236</v>
      </c>
      <c r="X1684">
        <v>978</v>
      </c>
      <c r="Y1684" t="s">
        <v>6605</v>
      </c>
      <c r="Z1684" t="s">
        <v>6612</v>
      </c>
      <c r="AB1684" t="s">
        <v>7543</v>
      </c>
      <c r="AC1684" t="s">
        <v>8823</v>
      </c>
      <c r="AD1684" t="s">
        <v>9906</v>
      </c>
      <c r="AE1684">
        <v>8</v>
      </c>
      <c r="AF1684" t="s">
        <v>11005</v>
      </c>
      <c r="AH1684">
        <v>20</v>
      </c>
      <c r="AI1684">
        <v>1</v>
      </c>
      <c r="AJ1684">
        <v>0</v>
      </c>
      <c r="AK1684">
        <v>64.98</v>
      </c>
      <c r="AN1684" t="s">
        <v>11050</v>
      </c>
      <c r="AO1684">
        <v>7836</v>
      </c>
      <c r="AU1684">
        <v>26.7</v>
      </c>
      <c r="AV1684" t="s">
        <v>712</v>
      </c>
      <c r="AW1684" t="s">
        <v>11512</v>
      </c>
    </row>
    <row r="1685" spans="1:50">
      <c r="A1685" s="1">
        <f>HYPERLINK("https://cms.ls-nyc.org/matter/dynamic-profile/view/0809132","16-0809132")</f>
        <v>0</v>
      </c>
      <c r="B1685" t="s">
        <v>84</v>
      </c>
      <c r="C1685" t="s">
        <v>234</v>
      </c>
      <c r="D1685" t="s">
        <v>586</v>
      </c>
      <c r="E1685" t="s">
        <v>749</v>
      </c>
      <c r="F1685" t="s">
        <v>1463</v>
      </c>
      <c r="G1685" t="s">
        <v>3083</v>
      </c>
      <c r="H1685" t="s">
        <v>4323</v>
      </c>
      <c r="I1685" t="s">
        <v>4921</v>
      </c>
      <c r="J1685" t="s">
        <v>5320</v>
      </c>
      <c r="K1685">
        <v>11229</v>
      </c>
      <c r="L1685" t="s">
        <v>5357</v>
      </c>
      <c r="M1685" t="s">
        <v>5356</v>
      </c>
      <c r="N1685" t="s">
        <v>5909</v>
      </c>
      <c r="O1685" t="s">
        <v>6494</v>
      </c>
      <c r="P1685" t="s">
        <v>6530</v>
      </c>
      <c r="Q1685" t="s">
        <v>6534</v>
      </c>
      <c r="R1685" t="s">
        <v>6539</v>
      </c>
      <c r="S1685" t="s">
        <v>5355</v>
      </c>
      <c r="T1685" t="s">
        <v>6544</v>
      </c>
      <c r="U1685" t="s">
        <v>6557</v>
      </c>
      <c r="W1685" t="s">
        <v>6583</v>
      </c>
      <c r="X1685">
        <v>1138.19</v>
      </c>
      <c r="Y1685" t="s">
        <v>6605</v>
      </c>
      <c r="AA1685" t="s">
        <v>6634</v>
      </c>
      <c r="AB1685" t="s">
        <v>8077</v>
      </c>
      <c r="AD1685" t="s">
        <v>10418</v>
      </c>
      <c r="AE1685">
        <v>100</v>
      </c>
      <c r="AF1685" t="s">
        <v>11005</v>
      </c>
      <c r="AG1685" t="s">
        <v>11024</v>
      </c>
      <c r="AH1685">
        <v>30</v>
      </c>
      <c r="AI1685">
        <v>2</v>
      </c>
      <c r="AJ1685">
        <v>0</v>
      </c>
      <c r="AK1685">
        <v>65.19</v>
      </c>
      <c r="AN1685" t="s">
        <v>11050</v>
      </c>
      <c r="AO1685">
        <v>10444</v>
      </c>
      <c r="AU1685">
        <v>188.31</v>
      </c>
      <c r="AV1685" t="s">
        <v>812</v>
      </c>
      <c r="AW1685" t="s">
        <v>11551</v>
      </c>
    </row>
    <row r="1686" spans="1:50">
      <c r="A1686" s="1">
        <f>HYPERLINK("https://cms.ls-nyc.org/matter/dynamic-profile/view/1861974","18-1861974")</f>
        <v>0</v>
      </c>
      <c r="B1686" t="s">
        <v>90</v>
      </c>
      <c r="C1686" t="s">
        <v>235</v>
      </c>
      <c r="D1686" t="s">
        <v>358</v>
      </c>
      <c r="F1686" t="s">
        <v>1781</v>
      </c>
      <c r="G1686" t="s">
        <v>3084</v>
      </c>
      <c r="H1686" t="s">
        <v>4147</v>
      </c>
      <c r="I1686" t="s">
        <v>4868</v>
      </c>
      <c r="J1686" t="s">
        <v>5321</v>
      </c>
      <c r="K1686">
        <v>10453</v>
      </c>
      <c r="L1686" t="s">
        <v>5355</v>
      </c>
      <c r="M1686" t="s">
        <v>5356</v>
      </c>
      <c r="N1686" t="s">
        <v>5670</v>
      </c>
      <c r="O1686" t="s">
        <v>6494</v>
      </c>
      <c r="P1686" t="s">
        <v>6530</v>
      </c>
      <c r="R1686" t="s">
        <v>6539</v>
      </c>
      <c r="S1686" t="s">
        <v>5355</v>
      </c>
      <c r="U1686" t="s">
        <v>6557</v>
      </c>
      <c r="W1686" t="s">
        <v>480</v>
      </c>
      <c r="X1686">
        <v>0</v>
      </c>
      <c r="Y1686" t="s">
        <v>6606</v>
      </c>
      <c r="Z1686" t="s">
        <v>6616</v>
      </c>
      <c r="AB1686" t="s">
        <v>8078</v>
      </c>
      <c r="AC1686">
        <v>4596013</v>
      </c>
      <c r="AE1686">
        <v>46</v>
      </c>
      <c r="AF1686" t="s">
        <v>11005</v>
      </c>
      <c r="AG1686" t="s">
        <v>11020</v>
      </c>
      <c r="AH1686">
        <v>38</v>
      </c>
      <c r="AI1686">
        <v>1</v>
      </c>
      <c r="AJ1686">
        <v>0</v>
      </c>
      <c r="AK1686">
        <v>65.23999999999999</v>
      </c>
      <c r="AN1686" t="s">
        <v>11050</v>
      </c>
      <c r="AO1686">
        <v>7920</v>
      </c>
      <c r="AU1686">
        <v>0</v>
      </c>
      <c r="AW1686" t="s">
        <v>59</v>
      </c>
    </row>
    <row r="1687" spans="1:50">
      <c r="A1687" s="1">
        <f>HYPERLINK("https://cms.ls-nyc.org/matter/dynamic-profile/view/1857562","18-1857562")</f>
        <v>0</v>
      </c>
      <c r="B1687" t="s">
        <v>135</v>
      </c>
      <c r="C1687" t="s">
        <v>235</v>
      </c>
      <c r="D1687" t="s">
        <v>397</v>
      </c>
      <c r="F1687" t="s">
        <v>1185</v>
      </c>
      <c r="G1687" t="s">
        <v>2432</v>
      </c>
      <c r="H1687" t="s">
        <v>3775</v>
      </c>
      <c r="I1687" t="s">
        <v>4901</v>
      </c>
      <c r="J1687" t="s">
        <v>5320</v>
      </c>
      <c r="K1687">
        <v>11206</v>
      </c>
      <c r="L1687" t="s">
        <v>5355</v>
      </c>
      <c r="M1687" t="s">
        <v>5356</v>
      </c>
      <c r="O1687" t="s">
        <v>6494</v>
      </c>
      <c r="P1687" t="s">
        <v>6530</v>
      </c>
      <c r="R1687" t="s">
        <v>6539</v>
      </c>
      <c r="S1687" t="s">
        <v>5355</v>
      </c>
      <c r="U1687" t="s">
        <v>6557</v>
      </c>
      <c r="W1687" t="s">
        <v>310</v>
      </c>
      <c r="X1687">
        <v>1057.68</v>
      </c>
      <c r="Y1687" t="s">
        <v>6605</v>
      </c>
      <c r="Z1687" t="s">
        <v>6493</v>
      </c>
      <c r="AB1687" t="s">
        <v>7071</v>
      </c>
      <c r="AD1687" t="s">
        <v>9469</v>
      </c>
      <c r="AE1687">
        <v>25</v>
      </c>
      <c r="AF1687" t="s">
        <v>11005</v>
      </c>
      <c r="AG1687" t="s">
        <v>11020</v>
      </c>
      <c r="AH1687">
        <v>9</v>
      </c>
      <c r="AI1687">
        <v>2</v>
      </c>
      <c r="AJ1687">
        <v>0</v>
      </c>
      <c r="AK1687">
        <v>65.54000000000001</v>
      </c>
      <c r="AN1687" t="s">
        <v>11050</v>
      </c>
      <c r="AO1687">
        <v>10644</v>
      </c>
      <c r="AU1687">
        <v>3.75</v>
      </c>
      <c r="AV1687" t="s">
        <v>259</v>
      </c>
      <c r="AW1687" t="s">
        <v>11512</v>
      </c>
    </row>
    <row r="1688" spans="1:50">
      <c r="A1688" s="1">
        <f>HYPERLINK("https://cms.ls-nyc.org/matter/dynamic-profile/view/1870252","18-1870252")</f>
        <v>0</v>
      </c>
      <c r="B1688" t="s">
        <v>61</v>
      </c>
      <c r="C1688" t="s">
        <v>234</v>
      </c>
      <c r="D1688" t="s">
        <v>322</v>
      </c>
      <c r="E1688" t="s">
        <v>810</v>
      </c>
      <c r="F1688" t="s">
        <v>1782</v>
      </c>
      <c r="G1688" t="s">
        <v>2882</v>
      </c>
      <c r="H1688" t="s">
        <v>3894</v>
      </c>
      <c r="I1688" t="s">
        <v>4753</v>
      </c>
      <c r="J1688" t="s">
        <v>5321</v>
      </c>
      <c r="K1688">
        <v>10453</v>
      </c>
      <c r="L1688" t="s">
        <v>5355</v>
      </c>
      <c r="M1688" t="s">
        <v>5356</v>
      </c>
      <c r="N1688" t="s">
        <v>5910</v>
      </c>
      <c r="O1688" t="s">
        <v>6492</v>
      </c>
      <c r="P1688" t="s">
        <v>6530</v>
      </c>
      <c r="Q1688" t="s">
        <v>6534</v>
      </c>
      <c r="R1688" t="s">
        <v>6539</v>
      </c>
      <c r="S1688" t="s">
        <v>5357</v>
      </c>
      <c r="U1688" t="s">
        <v>6557</v>
      </c>
      <c r="W1688" t="s">
        <v>322</v>
      </c>
      <c r="X1688">
        <v>972.85</v>
      </c>
      <c r="Y1688" t="s">
        <v>6606</v>
      </c>
      <c r="Z1688" t="s">
        <v>6619</v>
      </c>
      <c r="AA1688" t="s">
        <v>6637</v>
      </c>
      <c r="AB1688" t="s">
        <v>8079</v>
      </c>
      <c r="AC1688" t="s">
        <v>8972</v>
      </c>
      <c r="AD1688" t="s">
        <v>10419</v>
      </c>
      <c r="AE1688">
        <v>55</v>
      </c>
      <c r="AF1688" t="s">
        <v>8722</v>
      </c>
      <c r="AG1688" t="s">
        <v>5406</v>
      </c>
      <c r="AH1688">
        <v>31</v>
      </c>
      <c r="AI1688">
        <v>1</v>
      </c>
      <c r="AJ1688">
        <v>0</v>
      </c>
      <c r="AK1688">
        <v>65.63</v>
      </c>
      <c r="AN1688" t="s">
        <v>11049</v>
      </c>
      <c r="AO1688">
        <v>7968</v>
      </c>
      <c r="AQ1688" t="s">
        <v>11191</v>
      </c>
      <c r="AR1688" t="s">
        <v>11213</v>
      </c>
      <c r="AS1688" t="s">
        <v>11253</v>
      </c>
      <c r="AT1688" t="s">
        <v>11350</v>
      </c>
      <c r="AU1688">
        <v>42.65</v>
      </c>
      <c r="AV1688" t="s">
        <v>734</v>
      </c>
      <c r="AW1688" t="s">
        <v>11511</v>
      </c>
    </row>
    <row r="1689" spans="1:50">
      <c r="A1689" s="1">
        <f>HYPERLINK("https://cms.ls-nyc.org/matter/dynamic-profile/view/1843444","17-1843444")</f>
        <v>0</v>
      </c>
      <c r="B1689" t="s">
        <v>124</v>
      </c>
      <c r="C1689" t="s">
        <v>235</v>
      </c>
      <c r="D1689" t="s">
        <v>460</v>
      </c>
      <c r="F1689" t="s">
        <v>1783</v>
      </c>
      <c r="G1689" t="s">
        <v>2209</v>
      </c>
      <c r="H1689" t="s">
        <v>3994</v>
      </c>
      <c r="I1689" t="s">
        <v>4783</v>
      </c>
      <c r="J1689" t="s">
        <v>5323</v>
      </c>
      <c r="K1689">
        <v>10040</v>
      </c>
      <c r="L1689" t="s">
        <v>5355</v>
      </c>
      <c r="M1689" t="s">
        <v>5356</v>
      </c>
      <c r="O1689" t="s">
        <v>6494</v>
      </c>
      <c r="P1689" t="s">
        <v>6530</v>
      </c>
      <c r="R1689" t="s">
        <v>6539</v>
      </c>
      <c r="S1689" t="s">
        <v>5355</v>
      </c>
      <c r="U1689" t="s">
        <v>6557</v>
      </c>
      <c r="W1689" t="s">
        <v>262</v>
      </c>
      <c r="X1689">
        <v>800</v>
      </c>
      <c r="Y1689" t="s">
        <v>6608</v>
      </c>
      <c r="Z1689" t="s">
        <v>6616</v>
      </c>
      <c r="AB1689" t="s">
        <v>8080</v>
      </c>
      <c r="AD1689" t="s">
        <v>10420</v>
      </c>
      <c r="AE1689">
        <v>42</v>
      </c>
      <c r="AF1689" t="s">
        <v>11005</v>
      </c>
      <c r="AG1689" t="s">
        <v>11020</v>
      </c>
      <c r="AH1689">
        <v>40</v>
      </c>
      <c r="AI1689">
        <v>1</v>
      </c>
      <c r="AJ1689">
        <v>0</v>
      </c>
      <c r="AK1689">
        <v>65.67</v>
      </c>
      <c r="AL1689" t="s">
        <v>301</v>
      </c>
      <c r="AN1689" t="s">
        <v>11049</v>
      </c>
      <c r="AO1689">
        <v>7920</v>
      </c>
      <c r="AU1689">
        <v>0.2</v>
      </c>
      <c r="AV1689" t="s">
        <v>434</v>
      </c>
      <c r="AW1689" t="s">
        <v>11495</v>
      </c>
    </row>
    <row r="1690" spans="1:50">
      <c r="A1690" s="1">
        <f>HYPERLINK("https://cms.ls-nyc.org/matter/dynamic-profile/view/1849475","17-1849475")</f>
        <v>0</v>
      </c>
      <c r="B1690" t="s">
        <v>156</v>
      </c>
      <c r="C1690" t="s">
        <v>235</v>
      </c>
      <c r="D1690" t="s">
        <v>314</v>
      </c>
      <c r="F1690" t="s">
        <v>1241</v>
      </c>
      <c r="G1690" t="s">
        <v>3085</v>
      </c>
      <c r="H1690" t="s">
        <v>4324</v>
      </c>
      <c r="I1690" t="s">
        <v>4777</v>
      </c>
      <c r="J1690" t="s">
        <v>5322</v>
      </c>
      <c r="K1690">
        <v>10301</v>
      </c>
      <c r="L1690" t="s">
        <v>5355</v>
      </c>
      <c r="M1690" t="s">
        <v>5356</v>
      </c>
      <c r="N1690" t="s">
        <v>5911</v>
      </c>
      <c r="O1690" t="s">
        <v>6491</v>
      </c>
      <c r="P1690" t="s">
        <v>6530</v>
      </c>
      <c r="R1690" t="s">
        <v>6539</v>
      </c>
      <c r="S1690" t="s">
        <v>5357</v>
      </c>
      <c r="U1690" t="s">
        <v>6557</v>
      </c>
      <c r="W1690" t="s">
        <v>314</v>
      </c>
      <c r="X1690">
        <v>1024</v>
      </c>
      <c r="Y1690" t="s">
        <v>6607</v>
      </c>
      <c r="Z1690" t="s">
        <v>6610</v>
      </c>
      <c r="AB1690" t="s">
        <v>8081</v>
      </c>
      <c r="AC1690" t="s">
        <v>8973</v>
      </c>
      <c r="AD1690" t="s">
        <v>10421</v>
      </c>
      <c r="AE1690">
        <v>17</v>
      </c>
      <c r="AF1690" t="s">
        <v>11005</v>
      </c>
      <c r="AG1690" t="s">
        <v>11026</v>
      </c>
      <c r="AH1690">
        <v>4</v>
      </c>
      <c r="AI1690">
        <v>1</v>
      </c>
      <c r="AJ1690">
        <v>0</v>
      </c>
      <c r="AK1690">
        <v>65.97</v>
      </c>
      <c r="AN1690" t="s">
        <v>11050</v>
      </c>
      <c r="AO1690">
        <v>7956</v>
      </c>
      <c r="AU1690">
        <v>44.9</v>
      </c>
      <c r="AV1690" t="s">
        <v>311</v>
      </c>
      <c r="AW1690" t="s">
        <v>11510</v>
      </c>
    </row>
    <row r="1691" spans="1:50">
      <c r="A1691" s="1">
        <f>HYPERLINK("https://cms.ls-nyc.org/matter/dynamic-profile/view/0811205","16-0811205")</f>
        <v>0</v>
      </c>
      <c r="B1691" t="s">
        <v>206</v>
      </c>
      <c r="C1691" t="s">
        <v>234</v>
      </c>
      <c r="D1691" t="s">
        <v>587</v>
      </c>
      <c r="E1691" t="s">
        <v>685</v>
      </c>
      <c r="F1691" t="s">
        <v>1324</v>
      </c>
      <c r="G1691" t="s">
        <v>3086</v>
      </c>
      <c r="H1691" t="s">
        <v>4325</v>
      </c>
      <c r="I1691" t="s">
        <v>5189</v>
      </c>
      <c r="J1691" t="s">
        <v>5320</v>
      </c>
      <c r="K1691">
        <v>11220</v>
      </c>
      <c r="L1691" t="s">
        <v>5355</v>
      </c>
      <c r="M1691" t="s">
        <v>5356</v>
      </c>
      <c r="N1691" t="s">
        <v>5912</v>
      </c>
      <c r="O1691" t="s">
        <v>6491</v>
      </c>
      <c r="P1691" t="s">
        <v>6530</v>
      </c>
      <c r="Q1691" t="s">
        <v>6534</v>
      </c>
      <c r="R1691" t="s">
        <v>6539</v>
      </c>
      <c r="T1691" t="s">
        <v>6544</v>
      </c>
      <c r="U1691" t="s">
        <v>6557</v>
      </c>
      <c r="W1691" t="s">
        <v>6583</v>
      </c>
      <c r="X1691">
        <v>855.86</v>
      </c>
      <c r="Y1691" t="s">
        <v>6605</v>
      </c>
      <c r="Z1691" t="s">
        <v>6613</v>
      </c>
      <c r="AA1691" t="s">
        <v>6637</v>
      </c>
      <c r="AB1691" t="s">
        <v>8082</v>
      </c>
      <c r="AC1691" t="s">
        <v>8974</v>
      </c>
      <c r="AD1691" t="s">
        <v>10422</v>
      </c>
      <c r="AE1691">
        <v>60</v>
      </c>
      <c r="AF1691" t="s">
        <v>11005</v>
      </c>
      <c r="AH1691">
        <v>30</v>
      </c>
      <c r="AI1691">
        <v>2</v>
      </c>
      <c r="AJ1691">
        <v>0</v>
      </c>
      <c r="AK1691">
        <v>66.2</v>
      </c>
      <c r="AN1691" t="s">
        <v>11050</v>
      </c>
      <c r="AO1691">
        <v>10606</v>
      </c>
      <c r="AQ1691" t="s">
        <v>11192</v>
      </c>
      <c r="AR1691" t="s">
        <v>11210</v>
      </c>
      <c r="AS1691" t="s">
        <v>11253</v>
      </c>
      <c r="AT1691" t="s">
        <v>11351</v>
      </c>
      <c r="AU1691">
        <v>46</v>
      </c>
      <c r="AV1691" t="s">
        <v>669</v>
      </c>
      <c r="AW1691" t="s">
        <v>11488</v>
      </c>
    </row>
    <row r="1692" spans="1:50">
      <c r="A1692" s="1">
        <f>HYPERLINK("https://cms.ls-nyc.org/matter/dynamic-profile/view/1862564","18-1862564")</f>
        <v>0</v>
      </c>
      <c r="B1692" t="s">
        <v>142</v>
      </c>
      <c r="C1692" t="s">
        <v>234</v>
      </c>
      <c r="D1692" t="s">
        <v>408</v>
      </c>
      <c r="E1692" t="s">
        <v>690</v>
      </c>
      <c r="F1692" t="s">
        <v>1784</v>
      </c>
      <c r="G1692" t="s">
        <v>2949</v>
      </c>
      <c r="H1692" t="s">
        <v>4326</v>
      </c>
      <c r="I1692" t="s">
        <v>5190</v>
      </c>
      <c r="J1692" t="s">
        <v>5320</v>
      </c>
      <c r="K1692">
        <v>11233</v>
      </c>
      <c r="L1692" t="s">
        <v>5355</v>
      </c>
      <c r="M1692" t="s">
        <v>5356</v>
      </c>
      <c r="N1692" t="s">
        <v>5913</v>
      </c>
      <c r="O1692" t="s">
        <v>6492</v>
      </c>
      <c r="P1692" t="s">
        <v>6530</v>
      </c>
      <c r="Q1692" t="s">
        <v>6531</v>
      </c>
      <c r="R1692" t="s">
        <v>6539</v>
      </c>
      <c r="U1692" t="s">
        <v>6560</v>
      </c>
      <c r="W1692" t="s">
        <v>293</v>
      </c>
      <c r="X1692">
        <v>1571</v>
      </c>
      <c r="Y1692" t="s">
        <v>6605</v>
      </c>
      <c r="Z1692" t="s">
        <v>6617</v>
      </c>
      <c r="AA1692" t="s">
        <v>6637</v>
      </c>
      <c r="AB1692" t="s">
        <v>8083</v>
      </c>
      <c r="AC1692">
        <v>35513038</v>
      </c>
      <c r="AD1692" t="s">
        <v>10423</v>
      </c>
      <c r="AE1692">
        <v>8</v>
      </c>
      <c r="AF1692" t="s">
        <v>11005</v>
      </c>
      <c r="AG1692" t="s">
        <v>6493</v>
      </c>
      <c r="AH1692">
        <v>15</v>
      </c>
      <c r="AI1692">
        <v>1</v>
      </c>
      <c r="AJ1692">
        <v>0</v>
      </c>
      <c r="AK1692">
        <v>66.33</v>
      </c>
      <c r="AN1692" t="s">
        <v>11050</v>
      </c>
      <c r="AO1692">
        <v>8052</v>
      </c>
      <c r="AU1692">
        <v>14.5</v>
      </c>
      <c r="AV1692" t="s">
        <v>11472</v>
      </c>
      <c r="AW1692" t="s">
        <v>11504</v>
      </c>
    </row>
    <row r="1693" spans="1:50">
      <c r="A1693" s="1">
        <f>HYPERLINK("https://cms.ls-nyc.org/matter/dynamic-profile/view/1833456","17-1833456")</f>
        <v>0</v>
      </c>
      <c r="B1693" t="s">
        <v>88</v>
      </c>
      <c r="C1693" t="s">
        <v>234</v>
      </c>
      <c r="D1693" t="s">
        <v>278</v>
      </c>
      <c r="E1693" t="s">
        <v>398</v>
      </c>
      <c r="F1693" t="s">
        <v>1721</v>
      </c>
      <c r="G1693" t="s">
        <v>3036</v>
      </c>
      <c r="H1693" t="s">
        <v>4260</v>
      </c>
      <c r="I1693" t="s">
        <v>4911</v>
      </c>
      <c r="J1693" t="s">
        <v>5320</v>
      </c>
      <c r="K1693">
        <v>11233</v>
      </c>
      <c r="L1693" t="s">
        <v>5355</v>
      </c>
      <c r="M1693" t="s">
        <v>5355</v>
      </c>
      <c r="N1693" t="s">
        <v>5914</v>
      </c>
      <c r="O1693" t="s">
        <v>6492</v>
      </c>
      <c r="P1693" t="s">
        <v>6530</v>
      </c>
      <c r="Q1693" t="s">
        <v>6534</v>
      </c>
      <c r="R1693" t="s">
        <v>6539</v>
      </c>
      <c r="U1693" t="s">
        <v>6557</v>
      </c>
      <c r="W1693" t="s">
        <v>499</v>
      </c>
      <c r="X1693">
        <v>1367</v>
      </c>
      <c r="Y1693" t="s">
        <v>6605</v>
      </c>
      <c r="Z1693" t="s">
        <v>6614</v>
      </c>
      <c r="AA1693" t="s">
        <v>6637</v>
      </c>
      <c r="AB1693" t="s">
        <v>7988</v>
      </c>
      <c r="AC1693" t="s">
        <v>8975</v>
      </c>
      <c r="AD1693" t="s">
        <v>10333</v>
      </c>
      <c r="AE1693">
        <v>8</v>
      </c>
      <c r="AF1693" t="s">
        <v>11005</v>
      </c>
      <c r="AG1693" t="s">
        <v>6493</v>
      </c>
      <c r="AH1693">
        <v>7</v>
      </c>
      <c r="AI1693">
        <v>3</v>
      </c>
      <c r="AJ1693">
        <v>1</v>
      </c>
      <c r="AK1693">
        <v>66.5</v>
      </c>
      <c r="AN1693" t="s">
        <v>11050</v>
      </c>
      <c r="AO1693">
        <v>16360</v>
      </c>
      <c r="AR1693" t="s">
        <v>11210</v>
      </c>
      <c r="AS1693" t="s">
        <v>11253</v>
      </c>
      <c r="AT1693" t="s">
        <v>11352</v>
      </c>
      <c r="AU1693">
        <v>41.9</v>
      </c>
      <c r="AV1693" t="s">
        <v>239</v>
      </c>
      <c r="AW1693" t="s">
        <v>11533</v>
      </c>
    </row>
    <row r="1694" spans="1:50">
      <c r="A1694" s="1">
        <f>HYPERLINK("https://cms.ls-nyc.org/matter/dynamic-profile/view/1860899","18-1860899")</f>
        <v>0</v>
      </c>
      <c r="B1694" t="s">
        <v>106</v>
      </c>
      <c r="C1694" t="s">
        <v>235</v>
      </c>
      <c r="D1694" t="s">
        <v>296</v>
      </c>
      <c r="F1694" t="s">
        <v>897</v>
      </c>
      <c r="G1694" t="s">
        <v>2628</v>
      </c>
      <c r="H1694" t="s">
        <v>3973</v>
      </c>
      <c r="I1694" t="s">
        <v>4740</v>
      </c>
      <c r="J1694" t="s">
        <v>5321</v>
      </c>
      <c r="K1694">
        <v>10453</v>
      </c>
      <c r="L1694" t="s">
        <v>5355</v>
      </c>
      <c r="M1694" t="s">
        <v>5356</v>
      </c>
      <c r="N1694" t="s">
        <v>5915</v>
      </c>
      <c r="O1694" t="s">
        <v>6492</v>
      </c>
      <c r="P1694" t="s">
        <v>6530</v>
      </c>
      <c r="R1694" t="s">
        <v>6539</v>
      </c>
      <c r="S1694" t="s">
        <v>5357</v>
      </c>
      <c r="U1694" t="s">
        <v>6557</v>
      </c>
      <c r="W1694" t="s">
        <v>330</v>
      </c>
      <c r="X1694">
        <v>1437.99</v>
      </c>
      <c r="Y1694" t="s">
        <v>6606</v>
      </c>
      <c r="Z1694" t="s">
        <v>6614</v>
      </c>
      <c r="AB1694" t="s">
        <v>7360</v>
      </c>
      <c r="AC1694" t="s">
        <v>8793</v>
      </c>
      <c r="AE1694">
        <v>101</v>
      </c>
      <c r="AF1694" t="s">
        <v>11005</v>
      </c>
      <c r="AG1694" t="s">
        <v>11020</v>
      </c>
      <c r="AH1694">
        <v>13</v>
      </c>
      <c r="AI1694">
        <v>1</v>
      </c>
      <c r="AJ1694">
        <v>3</v>
      </c>
      <c r="AK1694">
        <v>66.5</v>
      </c>
      <c r="AN1694" t="s">
        <v>11050</v>
      </c>
      <c r="AO1694">
        <v>25488</v>
      </c>
      <c r="AU1694">
        <v>137.85</v>
      </c>
      <c r="AV1694" t="s">
        <v>782</v>
      </c>
      <c r="AW1694" t="s">
        <v>11499</v>
      </c>
    </row>
    <row r="1695" spans="1:50">
      <c r="A1695" s="1">
        <f>HYPERLINK("https://cms.ls-nyc.org/matter/dynamic-profile/view/1843381","17-1843381")</f>
        <v>0</v>
      </c>
      <c r="B1695" t="s">
        <v>103</v>
      </c>
      <c r="C1695" t="s">
        <v>234</v>
      </c>
      <c r="D1695" t="s">
        <v>438</v>
      </c>
      <c r="E1695" t="s">
        <v>665</v>
      </c>
      <c r="F1695" t="s">
        <v>1577</v>
      </c>
      <c r="G1695" t="s">
        <v>2355</v>
      </c>
      <c r="H1695" t="s">
        <v>4327</v>
      </c>
      <c r="I1695" t="s">
        <v>5146</v>
      </c>
      <c r="J1695" t="s">
        <v>5321</v>
      </c>
      <c r="K1695">
        <v>10452</v>
      </c>
      <c r="L1695" t="s">
        <v>5355</v>
      </c>
      <c r="M1695" t="s">
        <v>5356</v>
      </c>
      <c r="N1695" t="s">
        <v>5916</v>
      </c>
      <c r="O1695" t="s">
        <v>6491</v>
      </c>
      <c r="P1695" t="s">
        <v>6530</v>
      </c>
      <c r="Q1695" t="s">
        <v>6534</v>
      </c>
      <c r="R1695" t="s">
        <v>6539</v>
      </c>
      <c r="S1695" t="s">
        <v>5357</v>
      </c>
      <c r="U1695" t="s">
        <v>6557</v>
      </c>
      <c r="W1695" t="s">
        <v>438</v>
      </c>
      <c r="X1695">
        <v>1550</v>
      </c>
      <c r="Y1695" t="s">
        <v>6606</v>
      </c>
      <c r="Z1695" t="s">
        <v>6614</v>
      </c>
      <c r="AA1695" t="s">
        <v>6637</v>
      </c>
      <c r="AB1695" t="s">
        <v>8084</v>
      </c>
      <c r="AD1695" t="s">
        <v>10424</v>
      </c>
      <c r="AE1695">
        <v>3</v>
      </c>
      <c r="AF1695" t="s">
        <v>11004</v>
      </c>
      <c r="AG1695" t="s">
        <v>5406</v>
      </c>
      <c r="AH1695">
        <v>3</v>
      </c>
      <c r="AI1695">
        <v>3</v>
      </c>
      <c r="AJ1695">
        <v>2</v>
      </c>
      <c r="AK1695">
        <v>66.7</v>
      </c>
      <c r="AN1695" t="s">
        <v>11049</v>
      </c>
      <c r="AO1695">
        <v>19196</v>
      </c>
      <c r="AU1695">
        <v>37.3</v>
      </c>
      <c r="AV1695" t="s">
        <v>11433</v>
      </c>
      <c r="AW1695" t="s">
        <v>11552</v>
      </c>
    </row>
    <row r="1696" spans="1:50">
      <c r="A1696" s="1">
        <f>HYPERLINK("https://cms.ls-nyc.org/matter/dynamic-profile/view/1845259","17-1845259")</f>
        <v>0</v>
      </c>
      <c r="B1696" t="s">
        <v>75</v>
      </c>
      <c r="C1696" t="s">
        <v>235</v>
      </c>
      <c r="D1696" t="s">
        <v>417</v>
      </c>
      <c r="F1696" t="s">
        <v>878</v>
      </c>
      <c r="G1696" t="s">
        <v>2395</v>
      </c>
      <c r="H1696" t="s">
        <v>4135</v>
      </c>
      <c r="I1696" t="s">
        <v>4879</v>
      </c>
      <c r="J1696" t="s">
        <v>5320</v>
      </c>
      <c r="K1696">
        <v>11208</v>
      </c>
      <c r="L1696" t="s">
        <v>5355</v>
      </c>
      <c r="M1696" t="s">
        <v>5356</v>
      </c>
      <c r="O1696" t="s">
        <v>6494</v>
      </c>
      <c r="P1696" t="s">
        <v>6530</v>
      </c>
      <c r="R1696" t="s">
        <v>6539</v>
      </c>
      <c r="S1696" t="s">
        <v>5355</v>
      </c>
      <c r="U1696" t="s">
        <v>6557</v>
      </c>
      <c r="W1696" t="s">
        <v>6595</v>
      </c>
      <c r="X1696">
        <v>1034.75</v>
      </c>
      <c r="Y1696" t="s">
        <v>6605</v>
      </c>
      <c r="Z1696" t="s">
        <v>6614</v>
      </c>
      <c r="AB1696" t="s">
        <v>8085</v>
      </c>
      <c r="AC1696">
        <v>4312942</v>
      </c>
      <c r="AD1696" t="s">
        <v>10425</v>
      </c>
      <c r="AE1696">
        <v>16</v>
      </c>
      <c r="AF1696" t="s">
        <v>11005</v>
      </c>
      <c r="AG1696" t="s">
        <v>11021</v>
      </c>
      <c r="AH1696">
        <v>6</v>
      </c>
      <c r="AI1696">
        <v>2</v>
      </c>
      <c r="AJ1696">
        <v>0</v>
      </c>
      <c r="AK1696">
        <v>66.72</v>
      </c>
      <c r="AN1696" t="s">
        <v>11050</v>
      </c>
      <c r="AO1696">
        <v>10834.8</v>
      </c>
      <c r="AU1696">
        <v>3.83</v>
      </c>
      <c r="AV1696" t="s">
        <v>525</v>
      </c>
      <c r="AW1696" t="s">
        <v>11512</v>
      </c>
    </row>
    <row r="1697" spans="1:49">
      <c r="A1697" s="1">
        <f>HYPERLINK("https://cms.ls-nyc.org/matter/dynamic-profile/view/1858053","18-1858053")</f>
        <v>0</v>
      </c>
      <c r="B1697" t="s">
        <v>72</v>
      </c>
      <c r="C1697" t="s">
        <v>234</v>
      </c>
      <c r="D1697" t="s">
        <v>272</v>
      </c>
      <c r="E1697" t="s">
        <v>652</v>
      </c>
      <c r="F1697" t="s">
        <v>929</v>
      </c>
      <c r="G1697" t="s">
        <v>2555</v>
      </c>
      <c r="H1697" t="s">
        <v>4328</v>
      </c>
      <c r="I1697" t="s">
        <v>4916</v>
      </c>
      <c r="J1697" t="s">
        <v>5320</v>
      </c>
      <c r="K1697">
        <v>11239</v>
      </c>
      <c r="L1697" t="s">
        <v>5357</v>
      </c>
      <c r="M1697" t="s">
        <v>5355</v>
      </c>
      <c r="N1697" t="s">
        <v>5917</v>
      </c>
      <c r="O1697" t="s">
        <v>6492</v>
      </c>
      <c r="P1697" t="s">
        <v>6530</v>
      </c>
      <c r="Q1697" t="s">
        <v>6534</v>
      </c>
      <c r="R1697" t="s">
        <v>6539</v>
      </c>
      <c r="S1697" t="s">
        <v>5357</v>
      </c>
      <c r="U1697" t="s">
        <v>6557</v>
      </c>
      <c r="W1697" t="s">
        <v>236</v>
      </c>
      <c r="X1697">
        <v>1967</v>
      </c>
      <c r="Y1697" t="s">
        <v>6605</v>
      </c>
      <c r="Z1697" t="s">
        <v>6611</v>
      </c>
      <c r="AA1697" t="s">
        <v>6637</v>
      </c>
      <c r="AB1697" t="s">
        <v>8086</v>
      </c>
      <c r="AE1697">
        <v>1168</v>
      </c>
      <c r="AG1697" t="s">
        <v>11020</v>
      </c>
      <c r="AH1697">
        <v>21</v>
      </c>
      <c r="AI1697">
        <v>1</v>
      </c>
      <c r="AJ1697">
        <v>0</v>
      </c>
      <c r="AK1697">
        <v>66.77</v>
      </c>
      <c r="AN1697" t="s">
        <v>11050</v>
      </c>
      <c r="AO1697">
        <v>8052</v>
      </c>
      <c r="AR1697" t="s">
        <v>11210</v>
      </c>
      <c r="AS1697" t="s">
        <v>11253</v>
      </c>
      <c r="AT1697" t="s">
        <v>11277</v>
      </c>
      <c r="AU1697">
        <v>6.5</v>
      </c>
      <c r="AV1697" t="s">
        <v>285</v>
      </c>
      <c r="AW1697" t="s">
        <v>11487</v>
      </c>
    </row>
    <row r="1698" spans="1:49">
      <c r="A1698" s="1">
        <f>HYPERLINK("https://cms.ls-nyc.org/matter/dynamic-profile/view/1864819","18-1864819")</f>
        <v>0</v>
      </c>
      <c r="B1698" t="s">
        <v>92</v>
      </c>
      <c r="C1698" t="s">
        <v>235</v>
      </c>
      <c r="D1698" t="s">
        <v>395</v>
      </c>
      <c r="F1698" t="s">
        <v>1785</v>
      </c>
      <c r="G1698" t="s">
        <v>2174</v>
      </c>
      <c r="H1698" t="s">
        <v>3579</v>
      </c>
      <c r="I1698">
        <v>707</v>
      </c>
      <c r="J1698" t="s">
        <v>5323</v>
      </c>
      <c r="K1698">
        <v>10029</v>
      </c>
      <c r="L1698" t="s">
        <v>5355</v>
      </c>
      <c r="M1698" t="s">
        <v>5355</v>
      </c>
      <c r="N1698" t="s">
        <v>5632</v>
      </c>
      <c r="O1698" t="s">
        <v>6494</v>
      </c>
      <c r="P1698" t="s">
        <v>6530</v>
      </c>
      <c r="R1698" t="s">
        <v>6539</v>
      </c>
      <c r="S1698" t="s">
        <v>5355</v>
      </c>
      <c r="U1698" t="s">
        <v>6557</v>
      </c>
      <c r="V1698" t="s">
        <v>6566</v>
      </c>
      <c r="W1698" t="s">
        <v>395</v>
      </c>
      <c r="X1698">
        <v>2100</v>
      </c>
      <c r="Y1698" t="s">
        <v>6608</v>
      </c>
      <c r="Z1698" t="s">
        <v>6622</v>
      </c>
      <c r="AB1698" t="s">
        <v>7363</v>
      </c>
      <c r="AD1698" t="s">
        <v>10426</v>
      </c>
      <c r="AE1698">
        <v>108</v>
      </c>
      <c r="AF1698" t="s">
        <v>11008</v>
      </c>
      <c r="AG1698" t="s">
        <v>11020</v>
      </c>
      <c r="AH1698">
        <v>2</v>
      </c>
      <c r="AI1698">
        <v>1</v>
      </c>
      <c r="AJ1698">
        <v>1</v>
      </c>
      <c r="AK1698">
        <v>66.83</v>
      </c>
      <c r="AN1698" t="s">
        <v>11050</v>
      </c>
      <c r="AO1698">
        <v>11000</v>
      </c>
      <c r="AU1698">
        <v>0</v>
      </c>
      <c r="AW1698" t="s">
        <v>11497</v>
      </c>
    </row>
    <row r="1699" spans="1:49">
      <c r="A1699" s="1">
        <f>HYPERLINK("https://cms.ls-nyc.org/matter/dynamic-profile/view/1844479","17-1844479")</f>
        <v>0</v>
      </c>
      <c r="B1699" t="s">
        <v>136</v>
      </c>
      <c r="C1699" t="s">
        <v>235</v>
      </c>
      <c r="D1699" t="s">
        <v>266</v>
      </c>
      <c r="F1699" t="s">
        <v>1786</v>
      </c>
      <c r="G1699" t="s">
        <v>3087</v>
      </c>
      <c r="H1699" t="s">
        <v>4329</v>
      </c>
      <c r="I1699" t="s">
        <v>4734</v>
      </c>
      <c r="J1699" t="s">
        <v>5320</v>
      </c>
      <c r="K1699">
        <v>11212</v>
      </c>
      <c r="L1699" t="s">
        <v>5355</v>
      </c>
      <c r="M1699" t="s">
        <v>5356</v>
      </c>
      <c r="N1699" t="s">
        <v>5918</v>
      </c>
      <c r="O1699" t="s">
        <v>6491</v>
      </c>
      <c r="P1699" t="s">
        <v>6530</v>
      </c>
      <c r="R1699" t="s">
        <v>6539</v>
      </c>
      <c r="U1699" t="s">
        <v>6557</v>
      </c>
      <c r="W1699" t="s">
        <v>266</v>
      </c>
      <c r="X1699">
        <v>1500</v>
      </c>
      <c r="Y1699" t="s">
        <v>6605</v>
      </c>
      <c r="AB1699" t="s">
        <v>8087</v>
      </c>
      <c r="AE1699">
        <v>4</v>
      </c>
      <c r="AF1699" t="s">
        <v>11004</v>
      </c>
      <c r="AH1699">
        <v>0</v>
      </c>
      <c r="AI1699">
        <v>2</v>
      </c>
      <c r="AJ1699">
        <v>0</v>
      </c>
      <c r="AK1699">
        <v>67.12</v>
      </c>
      <c r="AN1699" t="s">
        <v>11050</v>
      </c>
      <c r="AO1699">
        <v>10900</v>
      </c>
      <c r="AU1699">
        <v>3</v>
      </c>
      <c r="AV1699" t="s">
        <v>577</v>
      </c>
      <c r="AW1699" t="s">
        <v>11512</v>
      </c>
    </row>
    <row r="1700" spans="1:49">
      <c r="A1700" s="1">
        <f>HYPERLINK("https://cms.ls-nyc.org/matter/dynamic-profile/view/1848912","17-1848912")</f>
        <v>0</v>
      </c>
      <c r="B1700" t="s">
        <v>207</v>
      </c>
      <c r="C1700" t="s">
        <v>235</v>
      </c>
      <c r="D1700" t="s">
        <v>340</v>
      </c>
      <c r="F1700" t="s">
        <v>1787</v>
      </c>
      <c r="G1700" t="s">
        <v>2332</v>
      </c>
      <c r="H1700" t="s">
        <v>4330</v>
      </c>
      <c r="J1700" t="s">
        <v>5320</v>
      </c>
      <c r="K1700">
        <v>11215</v>
      </c>
      <c r="L1700" t="s">
        <v>5355</v>
      </c>
      <c r="M1700" t="s">
        <v>5356</v>
      </c>
      <c r="N1700" t="s">
        <v>5919</v>
      </c>
      <c r="O1700" t="s">
        <v>6494</v>
      </c>
      <c r="P1700" t="s">
        <v>6530</v>
      </c>
      <c r="R1700" t="s">
        <v>6539</v>
      </c>
      <c r="S1700" t="s">
        <v>5357</v>
      </c>
      <c r="U1700" t="s">
        <v>6557</v>
      </c>
      <c r="W1700" t="s">
        <v>294</v>
      </c>
      <c r="X1700">
        <v>1046</v>
      </c>
      <c r="Y1700" t="s">
        <v>6605</v>
      </c>
      <c r="AB1700" t="s">
        <v>8088</v>
      </c>
      <c r="AE1700">
        <v>8</v>
      </c>
      <c r="AH1700">
        <v>27</v>
      </c>
      <c r="AI1700">
        <v>4</v>
      </c>
      <c r="AJ1700">
        <v>0</v>
      </c>
      <c r="AK1700">
        <v>68.29000000000001</v>
      </c>
      <c r="AN1700" t="s">
        <v>11049</v>
      </c>
      <c r="AO1700">
        <v>16800</v>
      </c>
      <c r="AP1700" t="s">
        <v>11162</v>
      </c>
      <c r="AU1700">
        <v>18.75</v>
      </c>
      <c r="AV1700" t="s">
        <v>408</v>
      </c>
      <c r="AW1700" t="s">
        <v>207</v>
      </c>
    </row>
    <row r="1701" spans="1:49">
      <c r="A1701" s="1">
        <f>HYPERLINK("https://cms.ls-nyc.org/matter/dynamic-profile/view/1871278","18-1871278")</f>
        <v>0</v>
      </c>
      <c r="B1701" t="s">
        <v>63</v>
      </c>
      <c r="C1701" t="s">
        <v>234</v>
      </c>
      <c r="D1701" t="s">
        <v>401</v>
      </c>
      <c r="E1701" t="s">
        <v>449</v>
      </c>
      <c r="F1701" t="s">
        <v>966</v>
      </c>
      <c r="G1701" t="s">
        <v>2629</v>
      </c>
      <c r="H1701" t="s">
        <v>3974</v>
      </c>
      <c r="I1701" t="s">
        <v>4749</v>
      </c>
      <c r="J1701" t="s">
        <v>5322</v>
      </c>
      <c r="K1701">
        <v>10304</v>
      </c>
      <c r="L1701" t="s">
        <v>5355</v>
      </c>
      <c r="M1701" t="s">
        <v>5355</v>
      </c>
      <c r="N1701" t="s">
        <v>5920</v>
      </c>
      <c r="O1701" t="s">
        <v>6492</v>
      </c>
      <c r="P1701" t="s">
        <v>6530</v>
      </c>
      <c r="Q1701" t="s">
        <v>6534</v>
      </c>
      <c r="R1701" t="s">
        <v>6539</v>
      </c>
      <c r="S1701" t="s">
        <v>5357</v>
      </c>
      <c r="U1701" t="s">
        <v>6557</v>
      </c>
      <c r="V1701" t="s">
        <v>6566</v>
      </c>
      <c r="W1701" t="s">
        <v>401</v>
      </c>
      <c r="X1701">
        <v>1388.63</v>
      </c>
      <c r="Y1701" t="s">
        <v>6607</v>
      </c>
      <c r="Z1701" t="s">
        <v>6614</v>
      </c>
      <c r="AA1701" t="s">
        <v>6637</v>
      </c>
      <c r="AB1701" t="s">
        <v>7361</v>
      </c>
      <c r="AC1701" t="s">
        <v>8794</v>
      </c>
      <c r="AD1701" t="s">
        <v>9733</v>
      </c>
      <c r="AE1701">
        <v>92</v>
      </c>
      <c r="AF1701" t="s">
        <v>11005</v>
      </c>
      <c r="AG1701" t="s">
        <v>11021</v>
      </c>
      <c r="AH1701">
        <v>7</v>
      </c>
      <c r="AI1701">
        <v>2</v>
      </c>
      <c r="AJ1701">
        <v>0</v>
      </c>
      <c r="AK1701">
        <v>68.31</v>
      </c>
      <c r="AN1701" t="s">
        <v>11050</v>
      </c>
      <c r="AO1701">
        <v>11244</v>
      </c>
      <c r="AR1701" t="s">
        <v>11210</v>
      </c>
      <c r="AS1701" t="s">
        <v>11253</v>
      </c>
      <c r="AT1701" t="s">
        <v>11353</v>
      </c>
      <c r="AU1701">
        <v>9.6</v>
      </c>
      <c r="AV1701" t="s">
        <v>697</v>
      </c>
      <c r="AW1701" t="s">
        <v>63</v>
      </c>
    </row>
    <row r="1702" spans="1:49">
      <c r="A1702" s="1">
        <f>HYPERLINK("https://cms.ls-nyc.org/matter/dynamic-profile/view/1856376","18-1856376")</f>
        <v>0</v>
      </c>
      <c r="B1702" t="s">
        <v>102</v>
      </c>
      <c r="C1702" t="s">
        <v>234</v>
      </c>
      <c r="D1702" t="s">
        <v>261</v>
      </c>
      <c r="E1702" t="s">
        <v>744</v>
      </c>
      <c r="F1702" t="s">
        <v>940</v>
      </c>
      <c r="G1702" t="s">
        <v>2193</v>
      </c>
      <c r="H1702" t="s">
        <v>3526</v>
      </c>
      <c r="I1702">
        <v>601</v>
      </c>
      <c r="J1702" t="s">
        <v>5321</v>
      </c>
      <c r="K1702">
        <v>10453</v>
      </c>
      <c r="L1702" t="s">
        <v>5355</v>
      </c>
      <c r="M1702" t="s">
        <v>5356</v>
      </c>
      <c r="N1702" t="s">
        <v>5883</v>
      </c>
      <c r="O1702" t="s">
        <v>6494</v>
      </c>
      <c r="P1702" t="s">
        <v>6530</v>
      </c>
      <c r="Q1702" t="s">
        <v>6534</v>
      </c>
      <c r="R1702" t="s">
        <v>6539</v>
      </c>
      <c r="S1702" t="s">
        <v>5355</v>
      </c>
      <c r="U1702" t="s">
        <v>6557</v>
      </c>
      <c r="W1702" t="s">
        <v>247</v>
      </c>
      <c r="X1702">
        <v>981.3099999999999</v>
      </c>
      <c r="Y1702" t="s">
        <v>6606</v>
      </c>
      <c r="Z1702" t="s">
        <v>6622</v>
      </c>
      <c r="AA1702" t="s">
        <v>6634</v>
      </c>
      <c r="AB1702" t="s">
        <v>6762</v>
      </c>
      <c r="AD1702" t="s">
        <v>9191</v>
      </c>
      <c r="AE1702">
        <v>146</v>
      </c>
      <c r="AF1702" t="s">
        <v>11005</v>
      </c>
      <c r="AG1702" t="s">
        <v>11020</v>
      </c>
      <c r="AH1702">
        <v>40</v>
      </c>
      <c r="AI1702">
        <v>1</v>
      </c>
      <c r="AJ1702">
        <v>0</v>
      </c>
      <c r="AK1702">
        <v>68.81</v>
      </c>
      <c r="AN1702" t="s">
        <v>11049</v>
      </c>
      <c r="AO1702">
        <v>8298</v>
      </c>
      <c r="AU1702">
        <v>1.3</v>
      </c>
      <c r="AV1702" t="s">
        <v>745</v>
      </c>
      <c r="AW1702" t="s">
        <v>11492</v>
      </c>
    </row>
    <row r="1703" spans="1:49">
      <c r="A1703" s="1">
        <f>HYPERLINK("https://cms.ls-nyc.org/matter/dynamic-profile/view/1856414","18-1856414")</f>
        <v>0</v>
      </c>
      <c r="B1703" t="s">
        <v>102</v>
      </c>
      <c r="C1703" t="s">
        <v>234</v>
      </c>
      <c r="D1703" t="s">
        <v>261</v>
      </c>
      <c r="E1703" t="s">
        <v>744</v>
      </c>
      <c r="F1703" t="s">
        <v>1494</v>
      </c>
      <c r="G1703" t="s">
        <v>2765</v>
      </c>
      <c r="H1703" t="s">
        <v>3526</v>
      </c>
      <c r="I1703">
        <v>516</v>
      </c>
      <c r="J1703" t="s">
        <v>5321</v>
      </c>
      <c r="K1703">
        <v>10453</v>
      </c>
      <c r="L1703" t="s">
        <v>5355</v>
      </c>
      <c r="M1703" t="s">
        <v>5356</v>
      </c>
      <c r="N1703" t="s">
        <v>5883</v>
      </c>
      <c r="O1703" t="s">
        <v>6494</v>
      </c>
      <c r="P1703" t="s">
        <v>6530</v>
      </c>
      <c r="Q1703" t="s">
        <v>6534</v>
      </c>
      <c r="R1703" t="s">
        <v>6539</v>
      </c>
      <c r="S1703" t="s">
        <v>5355</v>
      </c>
      <c r="U1703" t="s">
        <v>6557</v>
      </c>
      <c r="W1703" t="s">
        <v>247</v>
      </c>
      <c r="X1703">
        <v>965</v>
      </c>
      <c r="Y1703" t="s">
        <v>6606</v>
      </c>
      <c r="Z1703" t="s">
        <v>6622</v>
      </c>
      <c r="AA1703" t="s">
        <v>6634</v>
      </c>
      <c r="AB1703" t="s">
        <v>7568</v>
      </c>
      <c r="AD1703" t="s">
        <v>9929</v>
      </c>
      <c r="AE1703">
        <v>146</v>
      </c>
      <c r="AF1703" t="s">
        <v>11005</v>
      </c>
      <c r="AG1703" t="s">
        <v>11019</v>
      </c>
      <c r="AH1703">
        <v>11</v>
      </c>
      <c r="AI1703">
        <v>1</v>
      </c>
      <c r="AJ1703">
        <v>2</v>
      </c>
      <c r="AK1703">
        <v>69.27</v>
      </c>
      <c r="AN1703" t="s">
        <v>11049</v>
      </c>
      <c r="AO1703">
        <v>14144</v>
      </c>
      <c r="AU1703">
        <v>1.8</v>
      </c>
      <c r="AV1703" t="s">
        <v>745</v>
      </c>
      <c r="AW1703" t="s">
        <v>11492</v>
      </c>
    </row>
    <row r="1704" spans="1:49">
      <c r="A1704" s="1">
        <f>HYPERLINK("https://cms.ls-nyc.org/matter/dynamic-profile/view/1864189","18-1864189")</f>
        <v>0</v>
      </c>
      <c r="B1704" t="s">
        <v>111</v>
      </c>
      <c r="C1704" t="s">
        <v>235</v>
      </c>
      <c r="D1704" t="s">
        <v>357</v>
      </c>
      <c r="F1704" t="s">
        <v>889</v>
      </c>
      <c r="G1704" t="s">
        <v>3088</v>
      </c>
      <c r="H1704" t="s">
        <v>4331</v>
      </c>
      <c r="I1704" t="s">
        <v>4938</v>
      </c>
      <c r="J1704" t="s">
        <v>5323</v>
      </c>
      <c r="K1704">
        <v>10034</v>
      </c>
      <c r="L1704" t="s">
        <v>5355</v>
      </c>
      <c r="M1704" t="s">
        <v>5356</v>
      </c>
      <c r="N1704" t="s">
        <v>5591</v>
      </c>
      <c r="O1704" t="s">
        <v>6494</v>
      </c>
      <c r="P1704" t="s">
        <v>6530</v>
      </c>
      <c r="R1704" t="s">
        <v>6539</v>
      </c>
      <c r="S1704" t="s">
        <v>5355</v>
      </c>
      <c r="U1704" t="s">
        <v>6557</v>
      </c>
      <c r="W1704" t="s">
        <v>357</v>
      </c>
      <c r="X1704">
        <v>1023.97</v>
      </c>
      <c r="Y1704" t="s">
        <v>6608</v>
      </c>
      <c r="Z1704" t="s">
        <v>6614</v>
      </c>
      <c r="AB1704" t="s">
        <v>8089</v>
      </c>
      <c r="AD1704" t="s">
        <v>10427</v>
      </c>
      <c r="AE1704">
        <v>60</v>
      </c>
      <c r="AF1704" t="s">
        <v>11008</v>
      </c>
      <c r="AG1704" t="s">
        <v>11020</v>
      </c>
      <c r="AH1704">
        <v>14</v>
      </c>
      <c r="AI1704">
        <v>1</v>
      </c>
      <c r="AJ1704">
        <v>0</v>
      </c>
      <c r="AK1704">
        <v>69.28</v>
      </c>
      <c r="AN1704" t="s">
        <v>11049</v>
      </c>
      <c r="AO1704">
        <v>8410.440000000001</v>
      </c>
      <c r="AU1704">
        <v>5.5</v>
      </c>
      <c r="AV1704" t="s">
        <v>268</v>
      </c>
      <c r="AW1704" t="s">
        <v>11495</v>
      </c>
    </row>
    <row r="1705" spans="1:49">
      <c r="A1705" s="1">
        <f>HYPERLINK("https://cms.ls-nyc.org/matter/dynamic-profile/view/1864184","18-1864184")</f>
        <v>0</v>
      </c>
      <c r="B1705" t="s">
        <v>111</v>
      </c>
      <c r="C1705" t="s">
        <v>234</v>
      </c>
      <c r="D1705" t="s">
        <v>357</v>
      </c>
      <c r="E1705" t="s">
        <v>517</v>
      </c>
      <c r="F1705" t="s">
        <v>889</v>
      </c>
      <c r="G1705" t="s">
        <v>3088</v>
      </c>
      <c r="H1705" t="s">
        <v>4331</v>
      </c>
      <c r="I1705" t="s">
        <v>4938</v>
      </c>
      <c r="J1705" t="s">
        <v>5323</v>
      </c>
      <c r="K1705">
        <v>10034</v>
      </c>
      <c r="L1705" t="s">
        <v>5355</v>
      </c>
      <c r="M1705" t="s">
        <v>5355</v>
      </c>
      <c r="N1705" t="s">
        <v>5921</v>
      </c>
      <c r="O1705" t="s">
        <v>6492</v>
      </c>
      <c r="P1705" t="s">
        <v>6530</v>
      </c>
      <c r="Q1705" t="s">
        <v>6534</v>
      </c>
      <c r="R1705" t="s">
        <v>6539</v>
      </c>
      <c r="S1705" t="s">
        <v>5357</v>
      </c>
      <c r="U1705" t="s">
        <v>6557</v>
      </c>
      <c r="W1705" t="s">
        <v>357</v>
      </c>
      <c r="X1705">
        <v>1023.97</v>
      </c>
      <c r="Y1705" t="s">
        <v>6608</v>
      </c>
      <c r="Z1705" t="s">
        <v>6614</v>
      </c>
      <c r="AA1705" t="s">
        <v>6651</v>
      </c>
      <c r="AB1705" t="s">
        <v>8089</v>
      </c>
      <c r="AD1705" t="s">
        <v>10427</v>
      </c>
      <c r="AE1705">
        <v>60</v>
      </c>
      <c r="AF1705" t="s">
        <v>11008</v>
      </c>
      <c r="AG1705" t="s">
        <v>11020</v>
      </c>
      <c r="AH1705">
        <v>14</v>
      </c>
      <c r="AI1705">
        <v>1</v>
      </c>
      <c r="AJ1705">
        <v>0</v>
      </c>
      <c r="AK1705">
        <v>69.28</v>
      </c>
      <c r="AN1705" t="s">
        <v>11049</v>
      </c>
      <c r="AO1705">
        <v>8410.440000000001</v>
      </c>
      <c r="AU1705">
        <v>8.6</v>
      </c>
      <c r="AV1705" t="s">
        <v>517</v>
      </c>
      <c r="AW1705" t="s">
        <v>11495</v>
      </c>
    </row>
    <row r="1706" spans="1:49">
      <c r="A1706" s="1">
        <f>HYPERLINK("https://cms.ls-nyc.org/matter/dynamic-profile/view/1845306","17-1845306")</f>
        <v>0</v>
      </c>
      <c r="B1706" t="s">
        <v>99</v>
      </c>
      <c r="C1706" t="s">
        <v>235</v>
      </c>
      <c r="D1706" t="s">
        <v>417</v>
      </c>
      <c r="F1706" t="s">
        <v>1719</v>
      </c>
      <c r="G1706" t="s">
        <v>3089</v>
      </c>
      <c r="H1706" t="s">
        <v>4332</v>
      </c>
      <c r="I1706">
        <v>21</v>
      </c>
      <c r="J1706" t="s">
        <v>5320</v>
      </c>
      <c r="K1706">
        <v>11201</v>
      </c>
      <c r="L1706" t="s">
        <v>5355</v>
      </c>
      <c r="M1706" t="s">
        <v>5356</v>
      </c>
      <c r="N1706" t="s">
        <v>5922</v>
      </c>
      <c r="O1706" t="s">
        <v>6492</v>
      </c>
      <c r="P1706" t="s">
        <v>6530</v>
      </c>
      <c r="R1706" t="s">
        <v>6539</v>
      </c>
      <c r="S1706" t="s">
        <v>5357</v>
      </c>
      <c r="U1706" t="s">
        <v>6557</v>
      </c>
      <c r="W1706" t="s">
        <v>646</v>
      </c>
      <c r="X1706">
        <v>733</v>
      </c>
      <c r="Y1706" t="s">
        <v>6605</v>
      </c>
      <c r="Z1706" t="s">
        <v>6614</v>
      </c>
      <c r="AB1706" t="s">
        <v>8090</v>
      </c>
      <c r="AC1706" t="s">
        <v>8976</v>
      </c>
      <c r="AD1706" t="s">
        <v>10428</v>
      </c>
      <c r="AE1706">
        <v>25</v>
      </c>
      <c r="AF1706" t="s">
        <v>11006</v>
      </c>
      <c r="AG1706" t="s">
        <v>11024</v>
      </c>
      <c r="AH1706">
        <v>48</v>
      </c>
      <c r="AI1706">
        <v>2</v>
      </c>
      <c r="AJ1706">
        <v>0</v>
      </c>
      <c r="AK1706">
        <v>69.31</v>
      </c>
      <c r="AL1706" t="s">
        <v>646</v>
      </c>
      <c r="AN1706" t="s">
        <v>11049</v>
      </c>
      <c r="AO1706">
        <v>11256</v>
      </c>
      <c r="AU1706">
        <v>46</v>
      </c>
      <c r="AV1706" t="s">
        <v>702</v>
      </c>
      <c r="AW1706" t="s">
        <v>11512</v>
      </c>
    </row>
    <row r="1707" spans="1:49">
      <c r="A1707" s="1">
        <f>HYPERLINK("https://cms.ls-nyc.org/matter/dynamic-profile/view/1851951","17-1851951")</f>
        <v>0</v>
      </c>
      <c r="B1707" t="s">
        <v>65</v>
      </c>
      <c r="C1707" t="s">
        <v>234</v>
      </c>
      <c r="D1707" t="s">
        <v>344</v>
      </c>
      <c r="E1707" t="s">
        <v>686</v>
      </c>
      <c r="F1707" t="s">
        <v>1788</v>
      </c>
      <c r="G1707" t="s">
        <v>2393</v>
      </c>
      <c r="H1707" t="s">
        <v>4333</v>
      </c>
      <c r="I1707" t="s">
        <v>4817</v>
      </c>
      <c r="J1707" t="s">
        <v>5323</v>
      </c>
      <c r="K1707">
        <v>10035</v>
      </c>
      <c r="L1707" t="s">
        <v>5355</v>
      </c>
      <c r="M1707" t="s">
        <v>5356</v>
      </c>
      <c r="N1707" t="s">
        <v>5923</v>
      </c>
      <c r="O1707" t="s">
        <v>6492</v>
      </c>
      <c r="P1707" t="s">
        <v>6530</v>
      </c>
      <c r="Q1707" t="s">
        <v>6534</v>
      </c>
      <c r="R1707" t="s">
        <v>6539</v>
      </c>
      <c r="S1707" t="s">
        <v>5357</v>
      </c>
      <c r="U1707" t="s">
        <v>6557</v>
      </c>
      <c r="W1707" t="s">
        <v>344</v>
      </c>
      <c r="X1707">
        <v>331</v>
      </c>
      <c r="Y1707" t="s">
        <v>6608</v>
      </c>
      <c r="Z1707" t="s">
        <v>6616</v>
      </c>
      <c r="AA1707" t="s">
        <v>6637</v>
      </c>
      <c r="AB1707" t="s">
        <v>8091</v>
      </c>
      <c r="AD1707" t="s">
        <v>10429</v>
      </c>
      <c r="AE1707">
        <v>10</v>
      </c>
      <c r="AF1707" t="s">
        <v>11005</v>
      </c>
      <c r="AG1707" t="s">
        <v>11020</v>
      </c>
      <c r="AH1707">
        <v>0</v>
      </c>
      <c r="AI1707">
        <v>2</v>
      </c>
      <c r="AJ1707">
        <v>0</v>
      </c>
      <c r="AK1707">
        <v>69.38</v>
      </c>
      <c r="AN1707" t="s">
        <v>11050</v>
      </c>
      <c r="AO1707">
        <v>11268</v>
      </c>
      <c r="AU1707">
        <v>12.4</v>
      </c>
      <c r="AV1707" t="s">
        <v>254</v>
      </c>
      <c r="AW1707" t="s">
        <v>11495</v>
      </c>
    </row>
    <row r="1708" spans="1:49">
      <c r="A1708" s="1">
        <f>HYPERLINK("https://cms.ls-nyc.org/matter/dynamic-profile/view/1860213","18-1860213")</f>
        <v>0</v>
      </c>
      <c r="B1708" t="s">
        <v>134</v>
      </c>
      <c r="C1708" t="s">
        <v>235</v>
      </c>
      <c r="D1708" t="s">
        <v>428</v>
      </c>
      <c r="F1708" t="s">
        <v>1789</v>
      </c>
      <c r="G1708" t="s">
        <v>2837</v>
      </c>
      <c r="H1708" t="s">
        <v>4334</v>
      </c>
      <c r="I1708" t="s">
        <v>4825</v>
      </c>
      <c r="J1708" t="s">
        <v>5324</v>
      </c>
      <c r="K1708">
        <v>11355</v>
      </c>
      <c r="L1708" t="s">
        <v>5355</v>
      </c>
      <c r="M1708" t="s">
        <v>5356</v>
      </c>
      <c r="N1708" t="s">
        <v>5924</v>
      </c>
      <c r="O1708" t="s">
        <v>6491</v>
      </c>
      <c r="P1708" t="s">
        <v>6530</v>
      </c>
      <c r="R1708" t="s">
        <v>6539</v>
      </c>
      <c r="S1708" t="s">
        <v>5357</v>
      </c>
      <c r="U1708" t="s">
        <v>6557</v>
      </c>
      <c r="W1708" t="s">
        <v>428</v>
      </c>
      <c r="X1708">
        <v>966</v>
      </c>
      <c r="Y1708" t="s">
        <v>6604</v>
      </c>
      <c r="Z1708" t="s">
        <v>6615</v>
      </c>
      <c r="AB1708" t="s">
        <v>8092</v>
      </c>
      <c r="AC1708" t="s">
        <v>8977</v>
      </c>
      <c r="AD1708" t="s">
        <v>10430</v>
      </c>
      <c r="AE1708">
        <v>50</v>
      </c>
      <c r="AF1708" t="s">
        <v>11005</v>
      </c>
      <c r="AG1708" t="s">
        <v>5406</v>
      </c>
      <c r="AH1708">
        <v>31</v>
      </c>
      <c r="AI1708">
        <v>1</v>
      </c>
      <c r="AJ1708">
        <v>1</v>
      </c>
      <c r="AK1708">
        <v>69.45999999999999</v>
      </c>
      <c r="AN1708" t="s">
        <v>11050</v>
      </c>
      <c r="AO1708">
        <v>11280</v>
      </c>
      <c r="AU1708">
        <v>108.55</v>
      </c>
      <c r="AV1708" t="s">
        <v>649</v>
      </c>
      <c r="AW1708" t="s">
        <v>11506</v>
      </c>
    </row>
    <row r="1709" spans="1:49">
      <c r="A1709" s="1">
        <f>HYPERLINK("https://cms.ls-nyc.org/matter/dynamic-profile/view/1845479","17-1845479")</f>
        <v>0</v>
      </c>
      <c r="B1709" t="s">
        <v>137</v>
      </c>
      <c r="C1709" t="s">
        <v>235</v>
      </c>
      <c r="D1709" t="s">
        <v>404</v>
      </c>
      <c r="F1709" t="s">
        <v>1392</v>
      </c>
      <c r="G1709" t="s">
        <v>3090</v>
      </c>
      <c r="H1709" t="s">
        <v>3909</v>
      </c>
      <c r="I1709" t="s">
        <v>5191</v>
      </c>
      <c r="J1709" t="s">
        <v>5320</v>
      </c>
      <c r="K1709">
        <v>11213</v>
      </c>
      <c r="L1709" t="s">
        <v>5355</v>
      </c>
      <c r="M1709" t="s">
        <v>5356</v>
      </c>
      <c r="O1709" t="s">
        <v>6494</v>
      </c>
      <c r="P1709" t="s">
        <v>6530</v>
      </c>
      <c r="R1709" t="s">
        <v>6539</v>
      </c>
      <c r="S1709" t="s">
        <v>5355</v>
      </c>
      <c r="U1709" t="s">
        <v>6559</v>
      </c>
      <c r="W1709" t="s">
        <v>404</v>
      </c>
      <c r="X1709">
        <v>1077.05</v>
      </c>
      <c r="Y1709" t="s">
        <v>6605</v>
      </c>
      <c r="Z1709" t="s">
        <v>6612</v>
      </c>
      <c r="AB1709" t="s">
        <v>8093</v>
      </c>
      <c r="AE1709">
        <v>74</v>
      </c>
      <c r="AF1709" t="s">
        <v>11005</v>
      </c>
      <c r="AH1709">
        <v>19</v>
      </c>
      <c r="AI1709">
        <v>1</v>
      </c>
      <c r="AJ1709">
        <v>0</v>
      </c>
      <c r="AK1709">
        <v>69.65000000000001</v>
      </c>
      <c r="AL1709" t="s">
        <v>511</v>
      </c>
      <c r="AN1709" t="s">
        <v>11050</v>
      </c>
      <c r="AO1709">
        <v>8400</v>
      </c>
      <c r="AU1709">
        <v>0</v>
      </c>
      <c r="AW1709" t="s">
        <v>75</v>
      </c>
    </row>
    <row r="1710" spans="1:49">
      <c r="A1710" s="1">
        <f>HYPERLINK("https://cms.ls-nyc.org/matter/dynamic-profile/view/1840918","17-1840918")</f>
        <v>0</v>
      </c>
      <c r="B1710" t="s">
        <v>71</v>
      </c>
      <c r="C1710" t="s">
        <v>235</v>
      </c>
      <c r="D1710" t="s">
        <v>588</v>
      </c>
      <c r="F1710" t="s">
        <v>1790</v>
      </c>
      <c r="G1710" t="s">
        <v>3091</v>
      </c>
      <c r="H1710" t="s">
        <v>4335</v>
      </c>
      <c r="I1710" t="s">
        <v>4744</v>
      </c>
      <c r="J1710" t="s">
        <v>5321</v>
      </c>
      <c r="K1710">
        <v>10453</v>
      </c>
      <c r="L1710" t="s">
        <v>5355</v>
      </c>
      <c r="M1710" t="s">
        <v>5356</v>
      </c>
      <c r="N1710" t="s">
        <v>5925</v>
      </c>
      <c r="O1710" t="s">
        <v>6491</v>
      </c>
      <c r="P1710" t="s">
        <v>6530</v>
      </c>
      <c r="R1710" t="s">
        <v>6539</v>
      </c>
      <c r="U1710" t="s">
        <v>6557</v>
      </c>
      <c r="W1710" t="s">
        <v>588</v>
      </c>
      <c r="X1710">
        <v>894.7</v>
      </c>
      <c r="Y1710" t="s">
        <v>6606</v>
      </c>
      <c r="Z1710" t="s">
        <v>6619</v>
      </c>
      <c r="AB1710" t="s">
        <v>8094</v>
      </c>
      <c r="AD1710" t="s">
        <v>10431</v>
      </c>
      <c r="AE1710">
        <v>36</v>
      </c>
      <c r="AF1710" t="s">
        <v>11005</v>
      </c>
      <c r="AG1710" t="s">
        <v>11020</v>
      </c>
      <c r="AH1710">
        <v>39</v>
      </c>
      <c r="AI1710">
        <v>1</v>
      </c>
      <c r="AJ1710">
        <v>0</v>
      </c>
      <c r="AK1710">
        <v>69.65000000000001</v>
      </c>
      <c r="AN1710" t="s">
        <v>11049</v>
      </c>
      <c r="AO1710">
        <v>8400</v>
      </c>
      <c r="AU1710">
        <v>63.5</v>
      </c>
      <c r="AV1710" t="s">
        <v>749</v>
      </c>
      <c r="AW1710" t="s">
        <v>11500</v>
      </c>
    </row>
    <row r="1711" spans="1:49">
      <c r="A1711" s="1">
        <f>HYPERLINK("https://cms.ls-nyc.org/matter/dynamic-profile/view/1856538","18-1856538")</f>
        <v>0</v>
      </c>
      <c r="B1711" t="s">
        <v>102</v>
      </c>
      <c r="C1711" t="s">
        <v>234</v>
      </c>
      <c r="D1711" t="s">
        <v>458</v>
      </c>
      <c r="E1711" t="s">
        <v>744</v>
      </c>
      <c r="F1711" t="s">
        <v>1495</v>
      </c>
      <c r="G1711" t="s">
        <v>2766</v>
      </c>
      <c r="H1711" t="s">
        <v>3526</v>
      </c>
      <c r="I1711">
        <v>616</v>
      </c>
      <c r="J1711" t="s">
        <v>5321</v>
      </c>
      <c r="K1711">
        <v>10453</v>
      </c>
      <c r="L1711" t="s">
        <v>5355</v>
      </c>
      <c r="M1711" t="s">
        <v>5356</v>
      </c>
      <c r="N1711" t="s">
        <v>5883</v>
      </c>
      <c r="O1711" t="s">
        <v>6494</v>
      </c>
      <c r="P1711" t="s">
        <v>6530</v>
      </c>
      <c r="Q1711" t="s">
        <v>6534</v>
      </c>
      <c r="R1711" t="s">
        <v>6539</v>
      </c>
      <c r="S1711" t="s">
        <v>5355</v>
      </c>
      <c r="U1711" t="s">
        <v>6557</v>
      </c>
      <c r="W1711" t="s">
        <v>247</v>
      </c>
      <c r="X1711">
        <v>671</v>
      </c>
      <c r="Y1711" t="s">
        <v>6606</v>
      </c>
      <c r="Z1711" t="s">
        <v>6622</v>
      </c>
      <c r="AA1711" t="s">
        <v>6634</v>
      </c>
      <c r="AB1711" t="s">
        <v>7569</v>
      </c>
      <c r="AD1711" t="s">
        <v>9930</v>
      </c>
      <c r="AE1711">
        <v>146</v>
      </c>
      <c r="AF1711" t="s">
        <v>11005</v>
      </c>
      <c r="AG1711" t="s">
        <v>11024</v>
      </c>
      <c r="AH1711">
        <v>30</v>
      </c>
      <c r="AI1711">
        <v>1</v>
      </c>
      <c r="AJ1711">
        <v>0</v>
      </c>
      <c r="AK1711">
        <v>69.65000000000001</v>
      </c>
      <c r="AN1711" t="s">
        <v>11050</v>
      </c>
      <c r="AO1711">
        <v>8400</v>
      </c>
      <c r="AU1711">
        <v>1.3</v>
      </c>
      <c r="AV1711" t="s">
        <v>745</v>
      </c>
      <c r="AW1711" t="s">
        <v>11492</v>
      </c>
    </row>
    <row r="1712" spans="1:49">
      <c r="A1712" s="1">
        <f>HYPERLINK("https://cms.ls-nyc.org/matter/dynamic-profile/view/1853756","17-1853756")</f>
        <v>0</v>
      </c>
      <c r="B1712" t="s">
        <v>148</v>
      </c>
      <c r="C1712" t="s">
        <v>234</v>
      </c>
      <c r="D1712" t="s">
        <v>332</v>
      </c>
      <c r="E1712" t="s">
        <v>737</v>
      </c>
      <c r="F1712" t="s">
        <v>1791</v>
      </c>
      <c r="G1712" t="s">
        <v>3092</v>
      </c>
      <c r="H1712" t="s">
        <v>4336</v>
      </c>
      <c r="I1712" t="s">
        <v>4746</v>
      </c>
      <c r="J1712" t="s">
        <v>5322</v>
      </c>
      <c r="K1712">
        <v>10304</v>
      </c>
      <c r="L1712" t="s">
        <v>5355</v>
      </c>
      <c r="M1712" t="s">
        <v>5356</v>
      </c>
      <c r="N1712" t="s">
        <v>5926</v>
      </c>
      <c r="O1712" t="s">
        <v>6492</v>
      </c>
      <c r="P1712" t="s">
        <v>6530</v>
      </c>
      <c r="Q1712" t="s">
        <v>6534</v>
      </c>
      <c r="R1712" t="s">
        <v>6539</v>
      </c>
      <c r="S1712" t="s">
        <v>5357</v>
      </c>
      <c r="U1712" t="s">
        <v>6557</v>
      </c>
      <c r="W1712" t="s">
        <v>332</v>
      </c>
      <c r="X1712">
        <v>1213</v>
      </c>
      <c r="Y1712" t="s">
        <v>6607</v>
      </c>
      <c r="Z1712" t="s">
        <v>6622</v>
      </c>
      <c r="AA1712" t="s">
        <v>6637</v>
      </c>
      <c r="AB1712" t="s">
        <v>8095</v>
      </c>
      <c r="AC1712" t="s">
        <v>8978</v>
      </c>
      <c r="AD1712" t="s">
        <v>10432</v>
      </c>
      <c r="AE1712">
        <v>30</v>
      </c>
      <c r="AF1712" t="s">
        <v>11005</v>
      </c>
      <c r="AG1712" t="s">
        <v>11019</v>
      </c>
      <c r="AH1712">
        <v>2</v>
      </c>
      <c r="AI1712">
        <v>1</v>
      </c>
      <c r="AJ1712">
        <v>0</v>
      </c>
      <c r="AK1712">
        <v>69.65000000000001</v>
      </c>
      <c r="AN1712" t="s">
        <v>11050</v>
      </c>
      <c r="AO1712">
        <v>8400</v>
      </c>
      <c r="AU1712">
        <v>24.15</v>
      </c>
      <c r="AV1712" t="s">
        <v>737</v>
      </c>
      <c r="AW1712" t="s">
        <v>148</v>
      </c>
    </row>
    <row r="1713" spans="1:50">
      <c r="A1713" s="1">
        <f>HYPERLINK("https://cms.ls-nyc.org/matter/dynamic-profile/view/1838591","17-1838591")</f>
        <v>0</v>
      </c>
      <c r="B1713" t="s">
        <v>131</v>
      </c>
      <c r="C1713" t="s">
        <v>235</v>
      </c>
      <c r="D1713" t="s">
        <v>501</v>
      </c>
      <c r="F1713" t="s">
        <v>1792</v>
      </c>
      <c r="G1713" t="s">
        <v>3093</v>
      </c>
      <c r="H1713" t="s">
        <v>3769</v>
      </c>
      <c r="I1713" t="s">
        <v>5192</v>
      </c>
      <c r="J1713" t="s">
        <v>5323</v>
      </c>
      <c r="K1713">
        <v>10034</v>
      </c>
      <c r="L1713" t="s">
        <v>5355</v>
      </c>
      <c r="M1713" t="s">
        <v>5356</v>
      </c>
      <c r="O1713" t="s">
        <v>6494</v>
      </c>
      <c r="P1713" t="s">
        <v>6530</v>
      </c>
      <c r="R1713" t="s">
        <v>6539</v>
      </c>
      <c r="S1713" t="s">
        <v>5355</v>
      </c>
      <c r="U1713" t="s">
        <v>6557</v>
      </c>
      <c r="W1713" t="s">
        <v>404</v>
      </c>
      <c r="X1713">
        <v>811</v>
      </c>
      <c r="Y1713" t="s">
        <v>6608</v>
      </c>
      <c r="Z1713" t="s">
        <v>6622</v>
      </c>
      <c r="AB1713" t="s">
        <v>8096</v>
      </c>
      <c r="AD1713" t="s">
        <v>10433</v>
      </c>
      <c r="AE1713">
        <v>49</v>
      </c>
      <c r="AF1713" t="s">
        <v>11005</v>
      </c>
      <c r="AG1713" t="s">
        <v>5406</v>
      </c>
      <c r="AH1713">
        <v>8</v>
      </c>
      <c r="AI1713">
        <v>1</v>
      </c>
      <c r="AJ1713">
        <v>3</v>
      </c>
      <c r="AK1713">
        <v>69.76000000000001</v>
      </c>
      <c r="AN1713" t="s">
        <v>11049</v>
      </c>
      <c r="AO1713">
        <v>17160</v>
      </c>
      <c r="AU1713">
        <v>0.6</v>
      </c>
      <c r="AV1713" t="s">
        <v>680</v>
      </c>
      <c r="AW1713" t="s">
        <v>11497</v>
      </c>
    </row>
    <row r="1714" spans="1:50">
      <c r="A1714" s="1">
        <f>HYPERLINK("https://cms.ls-nyc.org/matter/dynamic-profile/view/1869615","18-1869615")</f>
        <v>0</v>
      </c>
      <c r="B1714" t="s">
        <v>71</v>
      </c>
      <c r="C1714" t="s">
        <v>235</v>
      </c>
      <c r="D1714" t="s">
        <v>252</v>
      </c>
      <c r="F1714" t="s">
        <v>1438</v>
      </c>
      <c r="G1714" t="s">
        <v>1173</v>
      </c>
      <c r="H1714" t="s">
        <v>4337</v>
      </c>
      <c r="I1714" t="s">
        <v>4765</v>
      </c>
      <c r="J1714" t="s">
        <v>5321</v>
      </c>
      <c r="K1714">
        <v>10453</v>
      </c>
      <c r="L1714" t="s">
        <v>5355</v>
      </c>
      <c r="M1714" t="s">
        <v>5356</v>
      </c>
      <c r="N1714" t="s">
        <v>5927</v>
      </c>
      <c r="O1714" t="s">
        <v>6491</v>
      </c>
      <c r="P1714" t="s">
        <v>6530</v>
      </c>
      <c r="R1714" t="s">
        <v>6539</v>
      </c>
      <c r="S1714" t="s">
        <v>5357</v>
      </c>
      <c r="U1714" t="s">
        <v>6557</v>
      </c>
      <c r="W1714" t="s">
        <v>245</v>
      </c>
      <c r="X1714">
        <v>1600</v>
      </c>
      <c r="Y1714" t="s">
        <v>6606</v>
      </c>
      <c r="Z1714" t="s">
        <v>6611</v>
      </c>
      <c r="AB1714" t="s">
        <v>8097</v>
      </c>
      <c r="AC1714" t="s">
        <v>8979</v>
      </c>
      <c r="AD1714" t="s">
        <v>10434</v>
      </c>
      <c r="AE1714">
        <v>0</v>
      </c>
      <c r="AF1714" t="s">
        <v>11005</v>
      </c>
      <c r="AG1714" t="s">
        <v>11020</v>
      </c>
      <c r="AH1714">
        <v>3</v>
      </c>
      <c r="AI1714">
        <v>1</v>
      </c>
      <c r="AJ1714">
        <v>3</v>
      </c>
      <c r="AK1714">
        <v>70.09</v>
      </c>
      <c r="AN1714" t="s">
        <v>11050</v>
      </c>
      <c r="AO1714">
        <v>17592</v>
      </c>
      <c r="AU1714">
        <v>41.5</v>
      </c>
      <c r="AV1714" t="s">
        <v>824</v>
      </c>
      <c r="AW1714" t="s">
        <v>11492</v>
      </c>
    </row>
    <row r="1715" spans="1:50">
      <c r="A1715" s="1">
        <f>HYPERLINK("https://cms.ls-nyc.org/matter/dynamic-profile/view/1860553","18-1860553")</f>
        <v>0</v>
      </c>
      <c r="B1715" t="s">
        <v>56</v>
      </c>
      <c r="C1715" t="s">
        <v>234</v>
      </c>
      <c r="D1715" t="s">
        <v>319</v>
      </c>
      <c r="E1715" t="s">
        <v>691</v>
      </c>
      <c r="F1715" t="s">
        <v>972</v>
      </c>
      <c r="G1715" t="s">
        <v>3094</v>
      </c>
      <c r="H1715" t="s">
        <v>4338</v>
      </c>
      <c r="I1715">
        <v>2</v>
      </c>
      <c r="J1715" t="s">
        <v>5321</v>
      </c>
      <c r="K1715">
        <v>10457</v>
      </c>
      <c r="L1715" t="s">
        <v>5355</v>
      </c>
      <c r="M1715" t="s">
        <v>5356</v>
      </c>
      <c r="N1715" t="s">
        <v>5928</v>
      </c>
      <c r="O1715" t="s">
        <v>6492</v>
      </c>
      <c r="P1715" t="s">
        <v>6530</v>
      </c>
      <c r="Q1715" t="s">
        <v>6534</v>
      </c>
      <c r="R1715" t="s">
        <v>6539</v>
      </c>
      <c r="S1715" t="s">
        <v>5357</v>
      </c>
      <c r="U1715" t="s">
        <v>6557</v>
      </c>
      <c r="W1715" t="s">
        <v>319</v>
      </c>
      <c r="X1715">
        <v>1485</v>
      </c>
      <c r="Y1715" t="s">
        <v>6606</v>
      </c>
      <c r="Z1715" t="s">
        <v>6616</v>
      </c>
      <c r="AA1715" t="s">
        <v>6637</v>
      </c>
      <c r="AB1715" t="s">
        <v>8098</v>
      </c>
      <c r="AC1715" t="s">
        <v>8980</v>
      </c>
      <c r="AD1715" t="s">
        <v>10435</v>
      </c>
      <c r="AE1715">
        <v>21</v>
      </c>
      <c r="AF1715" t="s">
        <v>11005</v>
      </c>
      <c r="AG1715" t="s">
        <v>11020</v>
      </c>
      <c r="AH1715">
        <v>3</v>
      </c>
      <c r="AI1715">
        <v>2</v>
      </c>
      <c r="AJ1715">
        <v>0</v>
      </c>
      <c r="AK1715">
        <v>70.20999999999999</v>
      </c>
      <c r="AN1715" t="s">
        <v>11050</v>
      </c>
      <c r="AO1715">
        <v>11556</v>
      </c>
      <c r="AU1715">
        <v>73.7</v>
      </c>
      <c r="AV1715" t="s">
        <v>11435</v>
      </c>
      <c r="AW1715" t="s">
        <v>11538</v>
      </c>
    </row>
    <row r="1716" spans="1:50">
      <c r="A1716" s="1">
        <f>HYPERLINK("https://cms.ls-nyc.org/matter/dynamic-profile/view/1862580","18-1862580")</f>
        <v>0</v>
      </c>
      <c r="B1716" t="s">
        <v>56</v>
      </c>
      <c r="C1716" t="s">
        <v>234</v>
      </c>
      <c r="D1716" t="s">
        <v>293</v>
      </c>
      <c r="E1716" t="s">
        <v>697</v>
      </c>
      <c r="F1716" t="s">
        <v>903</v>
      </c>
      <c r="G1716" t="s">
        <v>2434</v>
      </c>
      <c r="H1716" t="s">
        <v>4339</v>
      </c>
      <c r="I1716" t="s">
        <v>4775</v>
      </c>
      <c r="J1716" t="s">
        <v>5321</v>
      </c>
      <c r="K1716">
        <v>10452</v>
      </c>
      <c r="L1716" t="s">
        <v>5355</v>
      </c>
      <c r="M1716" t="s">
        <v>5356</v>
      </c>
      <c r="N1716" t="s">
        <v>5929</v>
      </c>
      <c r="O1716" t="s">
        <v>6492</v>
      </c>
      <c r="P1716" t="s">
        <v>6530</v>
      </c>
      <c r="Q1716" t="s">
        <v>6534</v>
      </c>
      <c r="R1716" t="s">
        <v>6539</v>
      </c>
      <c r="S1716" t="s">
        <v>5357</v>
      </c>
      <c r="U1716" t="s">
        <v>6557</v>
      </c>
      <c r="W1716" t="s">
        <v>253</v>
      </c>
      <c r="X1716">
        <v>1278</v>
      </c>
      <c r="Y1716" t="s">
        <v>6606</v>
      </c>
      <c r="Z1716" t="s">
        <v>6616</v>
      </c>
      <c r="AA1716" t="s">
        <v>6637</v>
      </c>
      <c r="AB1716" t="s">
        <v>8099</v>
      </c>
      <c r="AC1716" t="s">
        <v>8981</v>
      </c>
      <c r="AD1716" t="s">
        <v>10436</v>
      </c>
      <c r="AE1716">
        <v>20</v>
      </c>
      <c r="AF1716" t="s">
        <v>11005</v>
      </c>
      <c r="AG1716" t="s">
        <v>11020</v>
      </c>
      <c r="AH1716">
        <v>17</v>
      </c>
      <c r="AI1716">
        <v>1</v>
      </c>
      <c r="AJ1716">
        <v>0</v>
      </c>
      <c r="AK1716">
        <v>70.68000000000001</v>
      </c>
      <c r="AN1716" t="s">
        <v>11049</v>
      </c>
      <c r="AO1716">
        <v>8580</v>
      </c>
      <c r="AQ1716" t="s">
        <v>11192</v>
      </c>
      <c r="AR1716" t="s">
        <v>11229</v>
      </c>
      <c r="AS1716" t="s">
        <v>11253</v>
      </c>
      <c r="AT1716" t="s">
        <v>11354</v>
      </c>
      <c r="AU1716">
        <v>18.68</v>
      </c>
      <c r="AV1716" t="s">
        <v>692</v>
      </c>
      <c r="AW1716" t="s">
        <v>11500</v>
      </c>
    </row>
    <row r="1717" spans="1:50">
      <c r="A1717" s="1">
        <f>HYPERLINK("https://cms.ls-nyc.org/matter/dynamic-profile/view/1862086","18-1862086")</f>
        <v>0</v>
      </c>
      <c r="B1717" t="s">
        <v>72</v>
      </c>
      <c r="C1717" t="s">
        <v>234</v>
      </c>
      <c r="D1717" t="s">
        <v>325</v>
      </c>
      <c r="E1717" t="s">
        <v>652</v>
      </c>
      <c r="F1717" t="s">
        <v>1564</v>
      </c>
      <c r="G1717" t="s">
        <v>2737</v>
      </c>
      <c r="H1717" t="s">
        <v>4340</v>
      </c>
      <c r="I1717" t="s">
        <v>4781</v>
      </c>
      <c r="J1717" t="s">
        <v>5320</v>
      </c>
      <c r="K1717">
        <v>11237</v>
      </c>
      <c r="L1717" t="s">
        <v>5355</v>
      </c>
      <c r="M1717" t="s">
        <v>5355</v>
      </c>
      <c r="N1717" t="s">
        <v>5930</v>
      </c>
      <c r="O1717" t="s">
        <v>6492</v>
      </c>
      <c r="P1717" t="s">
        <v>6530</v>
      </c>
      <c r="Q1717" t="s">
        <v>6537</v>
      </c>
      <c r="R1717" t="s">
        <v>6539</v>
      </c>
      <c r="S1717" t="s">
        <v>5357</v>
      </c>
      <c r="U1717" t="s">
        <v>6557</v>
      </c>
      <c r="W1717" t="s">
        <v>257</v>
      </c>
      <c r="X1717">
        <v>1147.48</v>
      </c>
      <c r="Y1717" t="s">
        <v>6605</v>
      </c>
      <c r="Z1717" t="s">
        <v>6611</v>
      </c>
      <c r="AA1717" t="s">
        <v>6644</v>
      </c>
      <c r="AB1717" t="s">
        <v>8100</v>
      </c>
      <c r="AC1717" t="s">
        <v>8982</v>
      </c>
      <c r="AD1717" t="s">
        <v>10437</v>
      </c>
      <c r="AE1717">
        <v>8</v>
      </c>
      <c r="AG1717" t="s">
        <v>11024</v>
      </c>
      <c r="AH1717">
        <v>18</v>
      </c>
      <c r="AI1717">
        <v>1</v>
      </c>
      <c r="AJ1717">
        <v>0</v>
      </c>
      <c r="AK1717">
        <v>71.17</v>
      </c>
      <c r="AN1717" t="s">
        <v>11050</v>
      </c>
      <c r="AO1717">
        <v>8640</v>
      </c>
      <c r="AR1717" t="s">
        <v>11210</v>
      </c>
      <c r="AS1717" t="s">
        <v>11253</v>
      </c>
      <c r="AT1717" t="s">
        <v>11277</v>
      </c>
      <c r="AU1717">
        <v>29.5</v>
      </c>
      <c r="AV1717" t="s">
        <v>322</v>
      </c>
      <c r="AW1717" t="s">
        <v>11487</v>
      </c>
    </row>
    <row r="1718" spans="1:50">
      <c r="A1718" s="1">
        <f>HYPERLINK("https://cms.ls-nyc.org/matter/dynamic-profile/view/1860742","18-1860742")</f>
        <v>0</v>
      </c>
      <c r="B1718" t="s">
        <v>106</v>
      </c>
      <c r="C1718" t="s">
        <v>235</v>
      </c>
      <c r="D1718" t="s">
        <v>306</v>
      </c>
      <c r="F1718" t="s">
        <v>1793</v>
      </c>
      <c r="G1718" t="s">
        <v>2125</v>
      </c>
      <c r="H1718" t="s">
        <v>3716</v>
      </c>
      <c r="I1718" t="s">
        <v>4852</v>
      </c>
      <c r="J1718" t="s">
        <v>5321</v>
      </c>
      <c r="K1718">
        <v>10453</v>
      </c>
      <c r="L1718" t="s">
        <v>5355</v>
      </c>
      <c r="M1718" t="s">
        <v>5356</v>
      </c>
      <c r="N1718" t="s">
        <v>5931</v>
      </c>
      <c r="O1718" t="s">
        <v>6492</v>
      </c>
      <c r="P1718" t="s">
        <v>6530</v>
      </c>
      <c r="R1718" t="s">
        <v>6539</v>
      </c>
      <c r="S1718" t="s">
        <v>5357</v>
      </c>
      <c r="U1718" t="s">
        <v>6557</v>
      </c>
      <c r="W1718" t="s">
        <v>336</v>
      </c>
      <c r="X1718">
        <v>1193</v>
      </c>
      <c r="Y1718" t="s">
        <v>6606</v>
      </c>
      <c r="Z1718" t="s">
        <v>6614</v>
      </c>
      <c r="AB1718" t="s">
        <v>8101</v>
      </c>
      <c r="AC1718" t="s">
        <v>8983</v>
      </c>
      <c r="AD1718" t="s">
        <v>10438</v>
      </c>
      <c r="AE1718">
        <v>101</v>
      </c>
      <c r="AF1718" t="s">
        <v>11005</v>
      </c>
      <c r="AG1718" t="s">
        <v>11020</v>
      </c>
      <c r="AH1718">
        <v>17</v>
      </c>
      <c r="AI1718">
        <v>1</v>
      </c>
      <c r="AJ1718">
        <v>0</v>
      </c>
      <c r="AK1718">
        <v>71.27</v>
      </c>
      <c r="AN1718" t="s">
        <v>11050</v>
      </c>
      <c r="AO1718">
        <v>8652</v>
      </c>
      <c r="AP1718" t="s">
        <v>11075</v>
      </c>
      <c r="AT1718" t="s">
        <v>11324</v>
      </c>
      <c r="AU1718">
        <v>22.6</v>
      </c>
      <c r="AV1718" t="s">
        <v>267</v>
      </c>
      <c r="AW1718" t="s">
        <v>11538</v>
      </c>
    </row>
    <row r="1719" spans="1:50">
      <c r="A1719" s="1">
        <f>HYPERLINK("https://cms.ls-nyc.org/matter/dynamic-profile/view/1855839","18-1855839")</f>
        <v>0</v>
      </c>
      <c r="B1719" t="s">
        <v>83</v>
      </c>
      <c r="C1719" t="s">
        <v>234</v>
      </c>
      <c r="D1719" t="s">
        <v>329</v>
      </c>
      <c r="E1719" t="s">
        <v>688</v>
      </c>
      <c r="F1719" t="s">
        <v>1183</v>
      </c>
      <c r="G1719" t="s">
        <v>3095</v>
      </c>
      <c r="H1719" t="s">
        <v>3761</v>
      </c>
      <c r="I1719" t="s">
        <v>4750</v>
      </c>
      <c r="J1719" t="s">
        <v>5323</v>
      </c>
      <c r="K1719">
        <v>10031</v>
      </c>
      <c r="L1719" t="s">
        <v>5355</v>
      </c>
      <c r="M1719" t="s">
        <v>5355</v>
      </c>
      <c r="N1719" t="s">
        <v>5932</v>
      </c>
      <c r="O1719" t="s">
        <v>6492</v>
      </c>
      <c r="P1719" t="s">
        <v>6530</v>
      </c>
      <c r="Q1719" t="s">
        <v>6534</v>
      </c>
      <c r="R1719" t="s">
        <v>6539</v>
      </c>
      <c r="S1719" t="s">
        <v>5357</v>
      </c>
      <c r="T1719" t="s">
        <v>6551</v>
      </c>
      <c r="U1719" t="s">
        <v>6557</v>
      </c>
      <c r="V1719" t="s">
        <v>6566</v>
      </c>
      <c r="W1719" t="s">
        <v>6575</v>
      </c>
      <c r="X1719">
        <v>2068</v>
      </c>
      <c r="Y1719" t="s">
        <v>6608</v>
      </c>
      <c r="Z1719" t="s">
        <v>6616</v>
      </c>
      <c r="AA1719" t="s">
        <v>6637</v>
      </c>
      <c r="AB1719" t="s">
        <v>7069</v>
      </c>
      <c r="AD1719" t="s">
        <v>10439</v>
      </c>
      <c r="AE1719">
        <v>44</v>
      </c>
      <c r="AF1719" t="s">
        <v>11005</v>
      </c>
      <c r="AG1719" t="s">
        <v>11020</v>
      </c>
      <c r="AH1719">
        <v>22</v>
      </c>
      <c r="AI1719">
        <v>2</v>
      </c>
      <c r="AJ1719">
        <v>0</v>
      </c>
      <c r="AK1719">
        <v>71.69</v>
      </c>
      <c r="AM1719" t="s">
        <v>11043</v>
      </c>
      <c r="AN1719" t="s">
        <v>11049</v>
      </c>
      <c r="AO1719">
        <v>11643</v>
      </c>
      <c r="AU1719">
        <v>20.6</v>
      </c>
      <c r="AV1719" t="s">
        <v>694</v>
      </c>
      <c r="AW1719" t="s">
        <v>11521</v>
      </c>
    </row>
    <row r="1720" spans="1:50">
      <c r="A1720" s="1">
        <f>HYPERLINK("https://cms.ls-nyc.org/matter/dynamic-profile/view/1869789","18-1869789")</f>
        <v>0</v>
      </c>
      <c r="B1720" t="s">
        <v>208</v>
      </c>
      <c r="C1720" t="s">
        <v>235</v>
      </c>
      <c r="D1720" t="s">
        <v>275</v>
      </c>
      <c r="F1720" t="s">
        <v>1794</v>
      </c>
      <c r="G1720" t="s">
        <v>2365</v>
      </c>
      <c r="H1720" t="s">
        <v>4341</v>
      </c>
      <c r="I1720" t="s">
        <v>5193</v>
      </c>
      <c r="J1720" t="s">
        <v>5326</v>
      </c>
      <c r="K1720">
        <v>11691</v>
      </c>
      <c r="L1720" t="s">
        <v>5355</v>
      </c>
      <c r="M1720" t="s">
        <v>5356</v>
      </c>
      <c r="N1720" t="s">
        <v>5933</v>
      </c>
      <c r="O1720" t="s">
        <v>6492</v>
      </c>
      <c r="P1720" t="s">
        <v>6530</v>
      </c>
      <c r="R1720" t="s">
        <v>6539</v>
      </c>
      <c r="S1720" t="s">
        <v>5357</v>
      </c>
      <c r="U1720" t="s">
        <v>6557</v>
      </c>
      <c r="W1720" t="s">
        <v>275</v>
      </c>
      <c r="X1720">
        <v>1515</v>
      </c>
      <c r="Y1720" t="s">
        <v>6604</v>
      </c>
      <c r="Z1720" t="s">
        <v>6615</v>
      </c>
      <c r="AB1720" t="s">
        <v>8102</v>
      </c>
      <c r="AC1720" t="s">
        <v>8984</v>
      </c>
      <c r="AD1720" t="s">
        <v>10440</v>
      </c>
      <c r="AE1720">
        <v>3</v>
      </c>
      <c r="AF1720" t="s">
        <v>8722</v>
      </c>
      <c r="AG1720" t="s">
        <v>5406</v>
      </c>
      <c r="AH1720">
        <v>3</v>
      </c>
      <c r="AI1720">
        <v>2</v>
      </c>
      <c r="AJ1720">
        <v>2</v>
      </c>
      <c r="AK1720">
        <v>71.70999999999999</v>
      </c>
      <c r="AN1720" t="s">
        <v>11050</v>
      </c>
      <c r="AO1720">
        <v>18000</v>
      </c>
      <c r="AU1720">
        <v>29.05</v>
      </c>
      <c r="AV1720" t="s">
        <v>807</v>
      </c>
      <c r="AW1720" t="s">
        <v>93</v>
      </c>
    </row>
    <row r="1721" spans="1:50">
      <c r="A1721" s="1">
        <f>HYPERLINK("https://cms.ls-nyc.org/matter/dynamic-profile/view/1869376","18-1869376")</f>
        <v>0</v>
      </c>
      <c r="B1721" t="s">
        <v>156</v>
      </c>
      <c r="C1721" t="s">
        <v>235</v>
      </c>
      <c r="D1721" t="s">
        <v>245</v>
      </c>
      <c r="F1721" t="s">
        <v>974</v>
      </c>
      <c r="G1721" t="s">
        <v>2385</v>
      </c>
      <c r="H1721" t="s">
        <v>4342</v>
      </c>
      <c r="I1721" t="s">
        <v>4850</v>
      </c>
      <c r="J1721" t="s">
        <v>5322</v>
      </c>
      <c r="K1721">
        <v>10304</v>
      </c>
      <c r="L1721" t="s">
        <v>5355</v>
      </c>
      <c r="M1721" t="s">
        <v>5356</v>
      </c>
      <c r="N1721" t="s">
        <v>5934</v>
      </c>
      <c r="O1721" t="s">
        <v>6492</v>
      </c>
      <c r="P1721" t="s">
        <v>6530</v>
      </c>
      <c r="R1721" t="s">
        <v>6539</v>
      </c>
      <c r="S1721" t="s">
        <v>5357</v>
      </c>
      <c r="U1721" t="s">
        <v>6557</v>
      </c>
      <c r="W1721" t="s">
        <v>245</v>
      </c>
      <c r="X1721">
        <v>412</v>
      </c>
      <c r="Y1721" t="s">
        <v>6607</v>
      </c>
      <c r="Z1721" t="s">
        <v>6614</v>
      </c>
      <c r="AB1721" t="s">
        <v>8103</v>
      </c>
      <c r="AD1721" t="s">
        <v>10441</v>
      </c>
      <c r="AE1721">
        <v>134</v>
      </c>
      <c r="AF1721" t="s">
        <v>11008</v>
      </c>
      <c r="AG1721" t="s">
        <v>11020</v>
      </c>
      <c r="AH1721">
        <v>14</v>
      </c>
      <c r="AI1721">
        <v>2</v>
      </c>
      <c r="AJ1721">
        <v>2</v>
      </c>
      <c r="AK1721">
        <v>71.70999999999999</v>
      </c>
      <c r="AN1721" t="s">
        <v>11050</v>
      </c>
      <c r="AO1721">
        <v>18000</v>
      </c>
      <c r="AU1721">
        <v>31.9</v>
      </c>
      <c r="AV1721" t="s">
        <v>11462</v>
      </c>
      <c r="AW1721" t="s">
        <v>11545</v>
      </c>
    </row>
    <row r="1722" spans="1:50">
      <c r="A1722" s="1">
        <f>HYPERLINK("https://cms.ls-nyc.org/matter/dynamic-profile/view/1862236","18-1862236")</f>
        <v>0</v>
      </c>
      <c r="B1722" t="s">
        <v>92</v>
      </c>
      <c r="C1722" t="s">
        <v>235</v>
      </c>
      <c r="D1722" t="s">
        <v>331</v>
      </c>
      <c r="F1722" t="s">
        <v>1795</v>
      </c>
      <c r="G1722" t="s">
        <v>3096</v>
      </c>
      <c r="H1722" t="s">
        <v>4331</v>
      </c>
      <c r="I1722" t="s">
        <v>4885</v>
      </c>
      <c r="J1722" t="s">
        <v>5323</v>
      </c>
      <c r="K1722">
        <v>10034</v>
      </c>
      <c r="L1722" t="s">
        <v>5355</v>
      </c>
      <c r="M1722" t="s">
        <v>5356</v>
      </c>
      <c r="N1722" t="s">
        <v>5935</v>
      </c>
      <c r="O1722" t="s">
        <v>6494</v>
      </c>
      <c r="P1722" t="s">
        <v>6530</v>
      </c>
      <c r="R1722" t="s">
        <v>6539</v>
      </c>
      <c r="S1722" t="s">
        <v>5355</v>
      </c>
      <c r="U1722" t="s">
        <v>6557</v>
      </c>
      <c r="W1722" t="s">
        <v>331</v>
      </c>
      <c r="X1722">
        <v>820</v>
      </c>
      <c r="Y1722" t="s">
        <v>6608</v>
      </c>
      <c r="Z1722" t="s">
        <v>6616</v>
      </c>
      <c r="AB1722" t="s">
        <v>8104</v>
      </c>
      <c r="AE1722">
        <v>60</v>
      </c>
      <c r="AF1722" t="s">
        <v>11005</v>
      </c>
      <c r="AG1722" t="s">
        <v>5406</v>
      </c>
      <c r="AH1722">
        <v>36</v>
      </c>
      <c r="AI1722">
        <v>2</v>
      </c>
      <c r="AJ1722">
        <v>2</v>
      </c>
      <c r="AK1722">
        <v>71.70999999999999</v>
      </c>
      <c r="AN1722" t="s">
        <v>11050</v>
      </c>
      <c r="AO1722">
        <v>18000</v>
      </c>
      <c r="AP1722" t="s">
        <v>11095</v>
      </c>
      <c r="AU1722">
        <v>62.15</v>
      </c>
      <c r="AV1722" t="s">
        <v>11471</v>
      </c>
      <c r="AW1722" t="s">
        <v>11495</v>
      </c>
    </row>
    <row r="1723" spans="1:50">
      <c r="A1723" s="1">
        <f>HYPERLINK("https://cms.ls-nyc.org/matter/dynamic-profile/view/1864353","18-1864353")</f>
        <v>0</v>
      </c>
      <c r="B1723" t="s">
        <v>92</v>
      </c>
      <c r="C1723" t="s">
        <v>235</v>
      </c>
      <c r="D1723" t="s">
        <v>342</v>
      </c>
      <c r="F1723" t="s">
        <v>1501</v>
      </c>
      <c r="G1723" t="s">
        <v>2294</v>
      </c>
      <c r="H1723" t="s">
        <v>3579</v>
      </c>
      <c r="I1723">
        <v>101</v>
      </c>
      <c r="J1723" t="s">
        <v>5323</v>
      </c>
      <c r="K1723">
        <v>10029</v>
      </c>
      <c r="L1723" t="s">
        <v>5355</v>
      </c>
      <c r="M1723" t="s">
        <v>5355</v>
      </c>
      <c r="N1723" t="s">
        <v>5936</v>
      </c>
      <c r="O1723" t="s">
        <v>6494</v>
      </c>
      <c r="P1723" t="s">
        <v>6530</v>
      </c>
      <c r="R1723" t="s">
        <v>6539</v>
      </c>
      <c r="S1723" t="s">
        <v>5355</v>
      </c>
      <c r="U1723" t="s">
        <v>6557</v>
      </c>
      <c r="V1723" t="s">
        <v>6566</v>
      </c>
      <c r="W1723" t="s">
        <v>342</v>
      </c>
      <c r="X1723">
        <v>0</v>
      </c>
      <c r="Y1723" t="s">
        <v>6608</v>
      </c>
      <c r="Z1723" t="s">
        <v>6622</v>
      </c>
      <c r="AB1723" t="s">
        <v>8105</v>
      </c>
      <c r="AE1723">
        <v>108</v>
      </c>
      <c r="AF1723" t="s">
        <v>11008</v>
      </c>
      <c r="AG1723" t="s">
        <v>11020</v>
      </c>
      <c r="AH1723">
        <v>35</v>
      </c>
      <c r="AI1723">
        <v>1</v>
      </c>
      <c r="AJ1723">
        <v>3</v>
      </c>
      <c r="AK1723">
        <v>71.70999999999999</v>
      </c>
      <c r="AN1723" t="s">
        <v>11049</v>
      </c>
      <c r="AO1723">
        <v>18000</v>
      </c>
      <c r="AU1723">
        <v>0</v>
      </c>
      <c r="AW1723" t="s">
        <v>11497</v>
      </c>
      <c r="AX1723" t="s">
        <v>11564</v>
      </c>
    </row>
    <row r="1724" spans="1:50">
      <c r="A1724" s="1">
        <f>HYPERLINK("https://cms.ls-nyc.org/matter/dynamic-profile/view/1864937","18-1864937")</f>
        <v>0</v>
      </c>
      <c r="B1724" t="s">
        <v>74</v>
      </c>
      <c r="C1724" t="s">
        <v>234</v>
      </c>
      <c r="D1724" t="s">
        <v>239</v>
      </c>
      <c r="E1724" t="s">
        <v>683</v>
      </c>
      <c r="F1724" t="s">
        <v>1796</v>
      </c>
      <c r="G1724" t="s">
        <v>3097</v>
      </c>
      <c r="H1724" t="s">
        <v>4313</v>
      </c>
      <c r="I1724">
        <v>604</v>
      </c>
      <c r="J1724" t="s">
        <v>5322</v>
      </c>
      <c r="K1724">
        <v>10304</v>
      </c>
      <c r="L1724" t="s">
        <v>5355</v>
      </c>
      <c r="M1724" t="s">
        <v>5356</v>
      </c>
      <c r="N1724" t="s">
        <v>5937</v>
      </c>
      <c r="O1724" t="s">
        <v>6492</v>
      </c>
      <c r="P1724" t="s">
        <v>6530</v>
      </c>
      <c r="Q1724" t="s">
        <v>6534</v>
      </c>
      <c r="R1724" t="s">
        <v>6539</v>
      </c>
      <c r="S1724" t="s">
        <v>5357</v>
      </c>
      <c r="U1724" t="s">
        <v>6557</v>
      </c>
      <c r="W1724" t="s">
        <v>239</v>
      </c>
      <c r="X1724">
        <v>1461.32</v>
      </c>
      <c r="Y1724" t="s">
        <v>6607</v>
      </c>
      <c r="AA1724" t="s">
        <v>6637</v>
      </c>
      <c r="AB1724" t="s">
        <v>8106</v>
      </c>
      <c r="AD1724" t="s">
        <v>10442</v>
      </c>
      <c r="AE1724">
        <v>105</v>
      </c>
      <c r="AF1724" t="s">
        <v>11005</v>
      </c>
      <c r="AG1724" t="s">
        <v>11019</v>
      </c>
      <c r="AH1724">
        <v>3</v>
      </c>
      <c r="AI1724">
        <v>1</v>
      </c>
      <c r="AJ1724">
        <v>0</v>
      </c>
      <c r="AK1724">
        <v>71.86</v>
      </c>
      <c r="AL1724" t="s">
        <v>395</v>
      </c>
      <c r="AN1724" t="s">
        <v>11049</v>
      </c>
      <c r="AO1724">
        <v>8724</v>
      </c>
      <c r="AU1724">
        <v>14</v>
      </c>
      <c r="AV1724" t="s">
        <v>683</v>
      </c>
      <c r="AW1724" t="s">
        <v>11510</v>
      </c>
    </row>
    <row r="1725" spans="1:50">
      <c r="A1725" s="1">
        <f>HYPERLINK("https://cms.ls-nyc.org/matter/dynamic-profile/view/1855961","18-1855961")</f>
        <v>0</v>
      </c>
      <c r="B1725" t="s">
        <v>189</v>
      </c>
      <c r="C1725" t="s">
        <v>235</v>
      </c>
      <c r="D1725" t="s">
        <v>272</v>
      </c>
      <c r="F1725" t="s">
        <v>907</v>
      </c>
      <c r="G1725" t="s">
        <v>3098</v>
      </c>
      <c r="H1725" t="s">
        <v>4343</v>
      </c>
      <c r="I1725" t="s">
        <v>4872</v>
      </c>
      <c r="J1725" t="s">
        <v>5322</v>
      </c>
      <c r="K1725">
        <v>10301</v>
      </c>
      <c r="L1725" t="s">
        <v>5355</v>
      </c>
      <c r="M1725" t="s">
        <v>5356</v>
      </c>
      <c r="O1725" t="s">
        <v>6492</v>
      </c>
      <c r="P1725" t="s">
        <v>6530</v>
      </c>
      <c r="R1725" t="s">
        <v>6539</v>
      </c>
      <c r="S1725" t="s">
        <v>5355</v>
      </c>
      <c r="U1725" t="s">
        <v>6557</v>
      </c>
      <c r="W1725" t="s">
        <v>272</v>
      </c>
      <c r="X1725">
        <v>900</v>
      </c>
      <c r="Y1725" t="s">
        <v>6607</v>
      </c>
      <c r="Z1725" t="s">
        <v>6613</v>
      </c>
      <c r="AB1725" t="s">
        <v>8107</v>
      </c>
      <c r="AE1725">
        <v>290</v>
      </c>
      <c r="AF1725" t="s">
        <v>11008</v>
      </c>
      <c r="AG1725" t="s">
        <v>5406</v>
      </c>
      <c r="AH1725">
        <v>15</v>
      </c>
      <c r="AI1725">
        <v>1</v>
      </c>
      <c r="AJ1725">
        <v>1</v>
      </c>
      <c r="AK1725">
        <v>72.04000000000001</v>
      </c>
      <c r="AN1725" t="s">
        <v>11050</v>
      </c>
      <c r="AO1725">
        <v>11700</v>
      </c>
      <c r="AU1725">
        <v>41.91</v>
      </c>
      <c r="AV1725" t="s">
        <v>702</v>
      </c>
      <c r="AW1725" t="s">
        <v>11536</v>
      </c>
    </row>
    <row r="1726" spans="1:50">
      <c r="A1726" s="1">
        <f>HYPERLINK("https://cms.ls-nyc.org/matter/dynamic-profile/view/1847002","17-1847002")</f>
        <v>0</v>
      </c>
      <c r="B1726" t="s">
        <v>72</v>
      </c>
      <c r="C1726" t="s">
        <v>234</v>
      </c>
      <c r="D1726" t="s">
        <v>533</v>
      </c>
      <c r="E1726" t="s">
        <v>427</v>
      </c>
      <c r="F1726" t="s">
        <v>1396</v>
      </c>
      <c r="G1726" t="s">
        <v>2270</v>
      </c>
      <c r="H1726" t="s">
        <v>3861</v>
      </c>
      <c r="I1726" t="s">
        <v>5194</v>
      </c>
      <c r="J1726" t="s">
        <v>5320</v>
      </c>
      <c r="K1726">
        <v>11208</v>
      </c>
      <c r="L1726" t="s">
        <v>5355</v>
      </c>
      <c r="M1726" t="s">
        <v>5355</v>
      </c>
      <c r="N1726" t="s">
        <v>5938</v>
      </c>
      <c r="O1726" t="s">
        <v>6492</v>
      </c>
      <c r="P1726" t="s">
        <v>6530</v>
      </c>
      <c r="Q1726" t="s">
        <v>6537</v>
      </c>
      <c r="R1726" t="s">
        <v>6539</v>
      </c>
      <c r="S1726" t="s">
        <v>6541</v>
      </c>
      <c r="U1726" t="s">
        <v>6557</v>
      </c>
      <c r="W1726" t="s">
        <v>372</v>
      </c>
      <c r="X1726">
        <v>1400</v>
      </c>
      <c r="Y1726" t="s">
        <v>6605</v>
      </c>
      <c r="Z1726" t="s">
        <v>6614</v>
      </c>
      <c r="AA1726" t="s">
        <v>6637</v>
      </c>
      <c r="AB1726" t="s">
        <v>8108</v>
      </c>
      <c r="AC1726" t="s">
        <v>5392</v>
      </c>
      <c r="AD1726" t="s">
        <v>10443</v>
      </c>
      <c r="AE1726">
        <v>400</v>
      </c>
      <c r="AF1726" t="s">
        <v>11005</v>
      </c>
      <c r="AG1726" t="s">
        <v>11020</v>
      </c>
      <c r="AH1726">
        <v>26</v>
      </c>
      <c r="AI1726">
        <v>2</v>
      </c>
      <c r="AJ1726">
        <v>0</v>
      </c>
      <c r="AK1726">
        <v>72.12</v>
      </c>
      <c r="AN1726" t="s">
        <v>11050</v>
      </c>
      <c r="AO1726">
        <v>11712</v>
      </c>
      <c r="AR1726" t="s">
        <v>11210</v>
      </c>
      <c r="AS1726" t="s">
        <v>11253</v>
      </c>
      <c r="AT1726" t="s">
        <v>11293</v>
      </c>
      <c r="AU1726">
        <v>10.75</v>
      </c>
      <c r="AV1726" t="s">
        <v>254</v>
      </c>
      <c r="AW1726" t="s">
        <v>11512</v>
      </c>
    </row>
    <row r="1727" spans="1:50">
      <c r="A1727" s="1">
        <f>HYPERLINK("https://cms.ls-nyc.org/matter/dynamic-profile/view/1846317","17-1846317")</f>
        <v>0</v>
      </c>
      <c r="B1727" t="s">
        <v>111</v>
      </c>
      <c r="C1727" t="s">
        <v>234</v>
      </c>
      <c r="D1727" t="s">
        <v>301</v>
      </c>
      <c r="E1727" t="s">
        <v>517</v>
      </c>
      <c r="F1727" t="s">
        <v>1504</v>
      </c>
      <c r="G1727" t="s">
        <v>2409</v>
      </c>
      <c r="H1727" t="s">
        <v>3939</v>
      </c>
      <c r="I1727" t="s">
        <v>4765</v>
      </c>
      <c r="J1727" t="s">
        <v>5323</v>
      </c>
      <c r="K1727">
        <v>10034</v>
      </c>
      <c r="L1727" t="s">
        <v>5355</v>
      </c>
      <c r="M1727" t="s">
        <v>5355</v>
      </c>
      <c r="N1727" t="s">
        <v>5939</v>
      </c>
      <c r="O1727" t="s">
        <v>6491</v>
      </c>
      <c r="P1727" t="s">
        <v>6530</v>
      </c>
      <c r="Q1727" t="s">
        <v>6534</v>
      </c>
      <c r="R1727" t="s">
        <v>6539</v>
      </c>
      <c r="S1727" t="s">
        <v>5357</v>
      </c>
      <c r="U1727" t="s">
        <v>6557</v>
      </c>
      <c r="W1727" t="s">
        <v>301</v>
      </c>
      <c r="X1727">
        <v>818.66</v>
      </c>
      <c r="Y1727" t="s">
        <v>6608</v>
      </c>
      <c r="Z1727" t="s">
        <v>6616</v>
      </c>
      <c r="AA1727" t="s">
        <v>6651</v>
      </c>
      <c r="AB1727" t="s">
        <v>8109</v>
      </c>
      <c r="AD1727" t="s">
        <v>10444</v>
      </c>
      <c r="AE1727">
        <v>36</v>
      </c>
      <c r="AF1727" t="s">
        <v>11005</v>
      </c>
      <c r="AG1727" t="s">
        <v>11020</v>
      </c>
      <c r="AH1727">
        <v>40</v>
      </c>
      <c r="AI1727">
        <v>1</v>
      </c>
      <c r="AJ1727">
        <v>0</v>
      </c>
      <c r="AK1727">
        <v>72.34</v>
      </c>
      <c r="AN1727" t="s">
        <v>11049</v>
      </c>
      <c r="AO1727">
        <v>8724</v>
      </c>
      <c r="AU1727">
        <v>68.59999999999999</v>
      </c>
      <c r="AV1727" t="s">
        <v>517</v>
      </c>
      <c r="AW1727" t="s">
        <v>11495</v>
      </c>
    </row>
    <row r="1728" spans="1:50">
      <c r="A1728" s="1">
        <f>HYPERLINK("https://cms.ls-nyc.org/matter/dynamic-profile/view/1859170","18-1859170")</f>
        <v>0</v>
      </c>
      <c r="B1728" t="s">
        <v>104</v>
      </c>
      <c r="C1728" t="s">
        <v>234</v>
      </c>
      <c r="D1728" t="s">
        <v>467</v>
      </c>
      <c r="E1728" t="s">
        <v>706</v>
      </c>
      <c r="F1728" t="s">
        <v>1797</v>
      </c>
      <c r="G1728" t="s">
        <v>3099</v>
      </c>
      <c r="H1728" t="s">
        <v>4344</v>
      </c>
      <c r="I1728" t="s">
        <v>5195</v>
      </c>
      <c r="J1728" t="s">
        <v>5321</v>
      </c>
      <c r="K1728">
        <v>10452</v>
      </c>
      <c r="L1728" t="s">
        <v>5355</v>
      </c>
      <c r="M1728" t="s">
        <v>5356</v>
      </c>
      <c r="N1728" t="s">
        <v>5940</v>
      </c>
      <c r="O1728" t="s">
        <v>6492</v>
      </c>
      <c r="P1728" t="s">
        <v>6530</v>
      </c>
      <c r="Q1728" t="s">
        <v>6534</v>
      </c>
      <c r="R1728" t="s">
        <v>6539</v>
      </c>
      <c r="S1728" t="s">
        <v>5357</v>
      </c>
      <c r="U1728" t="s">
        <v>6557</v>
      </c>
      <c r="W1728" t="s">
        <v>319</v>
      </c>
      <c r="X1728">
        <v>1130</v>
      </c>
      <c r="Y1728" t="s">
        <v>6606</v>
      </c>
      <c r="Z1728" t="s">
        <v>6616</v>
      </c>
      <c r="AA1728" t="s">
        <v>6637</v>
      </c>
      <c r="AB1728" t="s">
        <v>8110</v>
      </c>
      <c r="AD1728" t="s">
        <v>10445</v>
      </c>
      <c r="AE1728">
        <v>52</v>
      </c>
      <c r="AF1728" t="s">
        <v>11005</v>
      </c>
      <c r="AG1728" t="s">
        <v>5406</v>
      </c>
      <c r="AH1728">
        <v>8</v>
      </c>
      <c r="AI1728">
        <v>1</v>
      </c>
      <c r="AJ1728">
        <v>1</v>
      </c>
      <c r="AK1728">
        <v>72.36</v>
      </c>
      <c r="AN1728" t="s">
        <v>11049</v>
      </c>
      <c r="AO1728">
        <v>11752</v>
      </c>
      <c r="AQ1728" t="s">
        <v>11191</v>
      </c>
      <c r="AR1728" t="s">
        <v>11213</v>
      </c>
      <c r="AS1728" t="s">
        <v>11253</v>
      </c>
      <c r="AT1728" t="s">
        <v>11355</v>
      </c>
      <c r="AU1728">
        <v>43.4</v>
      </c>
      <c r="AV1728" t="s">
        <v>667</v>
      </c>
      <c r="AW1728" t="s">
        <v>11504</v>
      </c>
    </row>
    <row r="1729" spans="1:49">
      <c r="A1729" s="1">
        <f>HYPERLINK("https://cms.ls-nyc.org/matter/dynamic-profile/view/1863110","18-1863110")</f>
        <v>0</v>
      </c>
      <c r="B1729" t="s">
        <v>58</v>
      </c>
      <c r="C1729" t="s">
        <v>234</v>
      </c>
      <c r="D1729" t="s">
        <v>369</v>
      </c>
      <c r="E1729" t="s">
        <v>665</v>
      </c>
      <c r="F1729" t="s">
        <v>1798</v>
      </c>
      <c r="G1729" t="s">
        <v>3100</v>
      </c>
      <c r="H1729" t="s">
        <v>4345</v>
      </c>
      <c r="I1729" t="s">
        <v>4823</v>
      </c>
      <c r="J1729" t="s">
        <v>5321</v>
      </c>
      <c r="K1729">
        <v>10452</v>
      </c>
      <c r="L1729" t="s">
        <v>5355</v>
      </c>
      <c r="M1729" t="s">
        <v>5356</v>
      </c>
      <c r="N1729" t="s">
        <v>5941</v>
      </c>
      <c r="O1729" t="s">
        <v>6492</v>
      </c>
      <c r="P1729" t="s">
        <v>6530</v>
      </c>
      <c r="Q1729" t="s">
        <v>6534</v>
      </c>
      <c r="R1729" t="s">
        <v>6539</v>
      </c>
      <c r="U1729" t="s">
        <v>6557</v>
      </c>
      <c r="W1729" t="s">
        <v>516</v>
      </c>
      <c r="X1729">
        <v>151</v>
      </c>
      <c r="Y1729" t="s">
        <v>6606</v>
      </c>
      <c r="Z1729" t="s">
        <v>6614</v>
      </c>
      <c r="AA1729" t="s">
        <v>6637</v>
      </c>
      <c r="AB1729" t="s">
        <v>8111</v>
      </c>
      <c r="AC1729" t="s">
        <v>8985</v>
      </c>
      <c r="AD1729" t="s">
        <v>10446</v>
      </c>
      <c r="AE1729">
        <v>0</v>
      </c>
      <c r="AF1729" t="s">
        <v>11008</v>
      </c>
      <c r="AG1729" t="s">
        <v>11020</v>
      </c>
      <c r="AH1729">
        <v>30</v>
      </c>
      <c r="AI1729">
        <v>1</v>
      </c>
      <c r="AJ1729">
        <v>0</v>
      </c>
      <c r="AK1729">
        <v>72.45</v>
      </c>
      <c r="AO1729">
        <v>8796</v>
      </c>
      <c r="AQ1729" t="s">
        <v>11192</v>
      </c>
      <c r="AR1729" t="s">
        <v>11227</v>
      </c>
      <c r="AS1729" t="s">
        <v>11253</v>
      </c>
      <c r="AT1729" t="s">
        <v>11356</v>
      </c>
      <c r="AU1729">
        <v>16.7</v>
      </c>
      <c r="AV1729" t="s">
        <v>697</v>
      </c>
      <c r="AW1729" t="s">
        <v>11505</v>
      </c>
    </row>
    <row r="1730" spans="1:49">
      <c r="A1730" s="1">
        <f>HYPERLINK("https://cms.ls-nyc.org/matter/dynamic-profile/view/1866231","18-1866231")</f>
        <v>0</v>
      </c>
      <c r="B1730" t="s">
        <v>156</v>
      </c>
      <c r="C1730" t="s">
        <v>234</v>
      </c>
      <c r="D1730" t="s">
        <v>335</v>
      </c>
      <c r="E1730" t="s">
        <v>749</v>
      </c>
      <c r="F1730" t="s">
        <v>1249</v>
      </c>
      <c r="G1730" t="s">
        <v>3101</v>
      </c>
      <c r="H1730" t="s">
        <v>4346</v>
      </c>
      <c r="J1730" t="s">
        <v>5322</v>
      </c>
      <c r="K1730">
        <v>10304</v>
      </c>
      <c r="L1730" t="s">
        <v>5355</v>
      </c>
      <c r="M1730" t="s">
        <v>5355</v>
      </c>
      <c r="N1730" t="s">
        <v>5942</v>
      </c>
      <c r="O1730" t="s">
        <v>6491</v>
      </c>
      <c r="P1730" t="s">
        <v>6530</v>
      </c>
      <c r="Q1730" t="s">
        <v>6534</v>
      </c>
      <c r="R1730" t="s">
        <v>6539</v>
      </c>
      <c r="S1730" t="s">
        <v>5357</v>
      </c>
      <c r="U1730" t="s">
        <v>6557</v>
      </c>
      <c r="V1730" t="s">
        <v>6566</v>
      </c>
      <c r="W1730" t="s">
        <v>335</v>
      </c>
      <c r="X1730">
        <v>919</v>
      </c>
      <c r="Y1730" t="s">
        <v>6607</v>
      </c>
      <c r="Z1730" t="s">
        <v>6613</v>
      </c>
      <c r="AA1730" t="s">
        <v>6633</v>
      </c>
      <c r="AB1730" t="s">
        <v>8112</v>
      </c>
      <c r="AD1730" t="s">
        <v>10447</v>
      </c>
      <c r="AE1730">
        <v>2</v>
      </c>
      <c r="AF1730" t="s">
        <v>11004</v>
      </c>
      <c r="AG1730" t="s">
        <v>11020</v>
      </c>
      <c r="AH1730">
        <v>4</v>
      </c>
      <c r="AI1730">
        <v>1</v>
      </c>
      <c r="AJ1730">
        <v>0</v>
      </c>
      <c r="AK1730">
        <v>72.45</v>
      </c>
      <c r="AN1730" t="s">
        <v>11050</v>
      </c>
      <c r="AO1730">
        <v>8796</v>
      </c>
      <c r="AQ1730" t="s">
        <v>11193</v>
      </c>
      <c r="AR1730" t="s">
        <v>11214</v>
      </c>
      <c r="AS1730" t="s">
        <v>11252</v>
      </c>
      <c r="AT1730" t="s">
        <v>11357</v>
      </c>
      <c r="AU1730">
        <v>18.6</v>
      </c>
      <c r="AV1730" t="s">
        <v>749</v>
      </c>
      <c r="AW1730" t="s">
        <v>11510</v>
      </c>
    </row>
    <row r="1731" spans="1:49">
      <c r="A1731" s="1">
        <f>HYPERLINK("https://cms.ls-nyc.org/matter/dynamic-profile/view/1868384","18-1868384")</f>
        <v>0</v>
      </c>
      <c r="B1731" t="s">
        <v>209</v>
      </c>
      <c r="C1731" t="s">
        <v>234</v>
      </c>
      <c r="D1731" t="s">
        <v>352</v>
      </c>
      <c r="E1731" t="s">
        <v>681</v>
      </c>
      <c r="F1731" t="s">
        <v>1465</v>
      </c>
      <c r="G1731" t="s">
        <v>2188</v>
      </c>
      <c r="H1731" t="s">
        <v>4160</v>
      </c>
      <c r="I1731">
        <v>1</v>
      </c>
      <c r="J1731" t="s">
        <v>5323</v>
      </c>
      <c r="K1731">
        <v>10034</v>
      </c>
      <c r="L1731" t="s">
        <v>5355</v>
      </c>
      <c r="M1731" t="s">
        <v>5356</v>
      </c>
      <c r="O1731" t="s">
        <v>6496</v>
      </c>
      <c r="P1731" t="s">
        <v>6530</v>
      </c>
      <c r="Q1731" t="s">
        <v>6532</v>
      </c>
      <c r="R1731" t="s">
        <v>6539</v>
      </c>
      <c r="S1731" t="s">
        <v>5357</v>
      </c>
      <c r="U1731" t="s">
        <v>6557</v>
      </c>
      <c r="W1731" t="s">
        <v>352</v>
      </c>
      <c r="X1731">
        <v>1276.64</v>
      </c>
      <c r="Y1731" t="s">
        <v>6608</v>
      </c>
      <c r="Z1731" t="s">
        <v>6614</v>
      </c>
      <c r="AA1731" t="s">
        <v>6636</v>
      </c>
      <c r="AB1731" t="s">
        <v>8113</v>
      </c>
      <c r="AD1731" t="s">
        <v>10448</v>
      </c>
      <c r="AE1731">
        <v>22</v>
      </c>
      <c r="AF1731" t="s">
        <v>11005</v>
      </c>
      <c r="AG1731" t="s">
        <v>5406</v>
      </c>
      <c r="AH1731">
        <v>19</v>
      </c>
      <c r="AI1731">
        <v>1</v>
      </c>
      <c r="AJ1731">
        <v>0</v>
      </c>
      <c r="AK1731">
        <v>72.45</v>
      </c>
      <c r="AN1731" t="s">
        <v>11049</v>
      </c>
      <c r="AO1731">
        <v>8796</v>
      </c>
      <c r="AU1731">
        <v>2.7</v>
      </c>
      <c r="AV1731" t="s">
        <v>808</v>
      </c>
      <c r="AW1731" t="s">
        <v>11495</v>
      </c>
    </row>
    <row r="1732" spans="1:49">
      <c r="A1732" s="1">
        <f>HYPERLINK("https://cms.ls-nyc.org/matter/dynamic-profile/view/1864426","18-1864426")</f>
        <v>0</v>
      </c>
      <c r="B1732" t="s">
        <v>87</v>
      </c>
      <c r="C1732" t="s">
        <v>234</v>
      </c>
      <c r="D1732" t="s">
        <v>254</v>
      </c>
      <c r="E1732" t="s">
        <v>659</v>
      </c>
      <c r="F1732" t="s">
        <v>1799</v>
      </c>
      <c r="G1732" t="s">
        <v>1247</v>
      </c>
      <c r="H1732" t="s">
        <v>4347</v>
      </c>
      <c r="J1732" t="s">
        <v>5322</v>
      </c>
      <c r="K1732">
        <v>10301</v>
      </c>
      <c r="L1732" t="s">
        <v>5355</v>
      </c>
      <c r="M1732" t="s">
        <v>5356</v>
      </c>
      <c r="N1732" t="s">
        <v>5943</v>
      </c>
      <c r="O1732" t="s">
        <v>6491</v>
      </c>
      <c r="P1732" t="s">
        <v>6530</v>
      </c>
      <c r="Q1732" t="s">
        <v>6537</v>
      </c>
      <c r="R1732" t="s">
        <v>6539</v>
      </c>
      <c r="S1732" t="s">
        <v>5355</v>
      </c>
      <c r="U1732" t="s">
        <v>6557</v>
      </c>
      <c r="W1732" t="s">
        <v>254</v>
      </c>
      <c r="X1732">
        <v>3550</v>
      </c>
      <c r="Y1732" t="s">
        <v>6607</v>
      </c>
      <c r="AA1732" t="s">
        <v>6640</v>
      </c>
      <c r="AB1732" t="s">
        <v>8114</v>
      </c>
      <c r="AD1732" t="s">
        <v>10449</v>
      </c>
      <c r="AE1732">
        <v>1</v>
      </c>
      <c r="AF1732" t="s">
        <v>11004</v>
      </c>
      <c r="AG1732" t="s">
        <v>11020</v>
      </c>
      <c r="AH1732">
        <v>1</v>
      </c>
      <c r="AI1732">
        <v>3</v>
      </c>
      <c r="AJ1732">
        <v>11</v>
      </c>
      <c r="AK1732">
        <v>72.45999999999999</v>
      </c>
      <c r="AN1732" t="s">
        <v>11050</v>
      </c>
      <c r="AO1732">
        <v>49488</v>
      </c>
      <c r="AQ1732" t="s">
        <v>11191</v>
      </c>
      <c r="AR1732" t="s">
        <v>11214</v>
      </c>
      <c r="AS1732" t="s">
        <v>11252</v>
      </c>
      <c r="AT1732" t="s">
        <v>11358</v>
      </c>
      <c r="AU1732">
        <v>18.95</v>
      </c>
      <c r="AV1732" t="s">
        <v>11446</v>
      </c>
      <c r="AW1732" t="s">
        <v>11536</v>
      </c>
    </row>
    <row r="1733" spans="1:49">
      <c r="A1733" s="1">
        <f>HYPERLINK("https://cms.ls-nyc.org/matter/dynamic-profile/view/1841822","17-1841822")</f>
        <v>0</v>
      </c>
      <c r="B1733" t="s">
        <v>65</v>
      </c>
      <c r="C1733" t="s">
        <v>235</v>
      </c>
      <c r="D1733" t="s">
        <v>323</v>
      </c>
      <c r="F1733" t="s">
        <v>959</v>
      </c>
      <c r="G1733" t="s">
        <v>2231</v>
      </c>
      <c r="H1733" t="s">
        <v>4284</v>
      </c>
      <c r="I1733" t="s">
        <v>4750</v>
      </c>
      <c r="J1733" t="s">
        <v>5323</v>
      </c>
      <c r="K1733">
        <v>10034</v>
      </c>
      <c r="L1733" t="s">
        <v>5355</v>
      </c>
      <c r="M1733" t="s">
        <v>5356</v>
      </c>
      <c r="N1733" t="s">
        <v>5944</v>
      </c>
      <c r="O1733" t="s">
        <v>6491</v>
      </c>
      <c r="P1733" t="s">
        <v>6530</v>
      </c>
      <c r="R1733" t="s">
        <v>6539</v>
      </c>
      <c r="S1733" t="s">
        <v>5357</v>
      </c>
      <c r="U1733" t="s">
        <v>6557</v>
      </c>
      <c r="W1733" t="s">
        <v>404</v>
      </c>
      <c r="X1733">
        <v>1067.2</v>
      </c>
      <c r="Y1733" t="s">
        <v>6608</v>
      </c>
      <c r="Z1733" t="s">
        <v>6616</v>
      </c>
      <c r="AB1733" t="s">
        <v>8115</v>
      </c>
      <c r="AD1733" t="s">
        <v>10450</v>
      </c>
      <c r="AE1733">
        <v>49</v>
      </c>
      <c r="AF1733" t="s">
        <v>11005</v>
      </c>
      <c r="AG1733" t="s">
        <v>5406</v>
      </c>
      <c r="AH1733">
        <v>14</v>
      </c>
      <c r="AI1733">
        <v>1</v>
      </c>
      <c r="AJ1733">
        <v>0</v>
      </c>
      <c r="AK1733">
        <v>72.64</v>
      </c>
      <c r="AN1733" t="s">
        <v>11049</v>
      </c>
      <c r="AO1733">
        <v>8760</v>
      </c>
      <c r="AU1733">
        <v>0</v>
      </c>
      <c r="AW1733" t="s">
        <v>11495</v>
      </c>
    </row>
    <row r="1734" spans="1:49">
      <c r="A1734" s="1">
        <f>HYPERLINK("https://cms.ls-nyc.org/matter/dynamic-profile/view/1862146","18-1862146")</f>
        <v>0</v>
      </c>
      <c r="B1734" t="s">
        <v>74</v>
      </c>
      <c r="C1734" t="s">
        <v>234</v>
      </c>
      <c r="D1734" t="s">
        <v>325</v>
      </c>
      <c r="E1734" t="s">
        <v>750</v>
      </c>
      <c r="F1734" t="s">
        <v>1164</v>
      </c>
      <c r="G1734" t="s">
        <v>3102</v>
      </c>
      <c r="H1734" t="s">
        <v>4348</v>
      </c>
      <c r="I1734" t="s">
        <v>5196</v>
      </c>
      <c r="J1734" t="s">
        <v>5322</v>
      </c>
      <c r="K1734">
        <v>10304</v>
      </c>
      <c r="L1734" t="s">
        <v>5355</v>
      </c>
      <c r="M1734" t="s">
        <v>5356</v>
      </c>
      <c r="N1734" t="s">
        <v>5945</v>
      </c>
      <c r="O1734" t="s">
        <v>6492</v>
      </c>
      <c r="P1734" t="s">
        <v>6530</v>
      </c>
      <c r="Q1734" t="s">
        <v>6534</v>
      </c>
      <c r="R1734" t="s">
        <v>6539</v>
      </c>
      <c r="S1734" t="s">
        <v>5357</v>
      </c>
      <c r="U1734" t="s">
        <v>6560</v>
      </c>
      <c r="W1734" t="s">
        <v>325</v>
      </c>
      <c r="X1734">
        <v>211</v>
      </c>
      <c r="Y1734" t="s">
        <v>6607</v>
      </c>
      <c r="Z1734" t="s">
        <v>6614</v>
      </c>
      <c r="AA1734" t="s">
        <v>6644</v>
      </c>
      <c r="AB1734" t="s">
        <v>8116</v>
      </c>
      <c r="AD1734" t="s">
        <v>10451</v>
      </c>
      <c r="AE1734">
        <v>693</v>
      </c>
      <c r="AF1734" t="s">
        <v>11007</v>
      </c>
      <c r="AG1734" t="s">
        <v>5406</v>
      </c>
      <c r="AH1734">
        <v>0</v>
      </c>
      <c r="AI1734">
        <v>1</v>
      </c>
      <c r="AJ1734">
        <v>0</v>
      </c>
      <c r="AK1734">
        <v>72.65000000000001</v>
      </c>
      <c r="AN1734" t="s">
        <v>11050</v>
      </c>
      <c r="AO1734">
        <v>8820</v>
      </c>
      <c r="AU1734">
        <v>4.7</v>
      </c>
      <c r="AV1734" t="s">
        <v>750</v>
      </c>
      <c r="AW1734" t="s">
        <v>62</v>
      </c>
    </row>
    <row r="1735" spans="1:49">
      <c r="A1735" s="1">
        <f>HYPERLINK("https://cms.ls-nyc.org/matter/dynamic-profile/view/1864125","18-1864125")</f>
        <v>0</v>
      </c>
      <c r="B1735" t="s">
        <v>92</v>
      </c>
      <c r="C1735" t="s">
        <v>235</v>
      </c>
      <c r="D1735" t="s">
        <v>357</v>
      </c>
      <c r="F1735" t="s">
        <v>1393</v>
      </c>
      <c r="G1735" t="s">
        <v>2355</v>
      </c>
      <c r="H1735" t="s">
        <v>3579</v>
      </c>
      <c r="I1735">
        <v>603</v>
      </c>
      <c r="J1735" t="s">
        <v>5323</v>
      </c>
      <c r="K1735">
        <v>10029</v>
      </c>
      <c r="L1735" t="s">
        <v>5355</v>
      </c>
      <c r="M1735" t="s">
        <v>5355</v>
      </c>
      <c r="N1735" t="s">
        <v>5632</v>
      </c>
      <c r="O1735" t="s">
        <v>6494</v>
      </c>
      <c r="P1735" t="s">
        <v>6530</v>
      </c>
      <c r="R1735" t="s">
        <v>6539</v>
      </c>
      <c r="S1735" t="s">
        <v>5355</v>
      </c>
      <c r="U1735" t="s">
        <v>6557</v>
      </c>
      <c r="V1735" t="s">
        <v>6566</v>
      </c>
      <c r="W1735" t="s">
        <v>357</v>
      </c>
      <c r="X1735">
        <v>0</v>
      </c>
      <c r="Y1735" t="s">
        <v>6608</v>
      </c>
      <c r="Z1735" t="s">
        <v>6622</v>
      </c>
      <c r="AB1735" t="s">
        <v>8117</v>
      </c>
      <c r="AE1735">
        <v>108</v>
      </c>
      <c r="AF1735" t="s">
        <v>11008</v>
      </c>
      <c r="AG1735" t="s">
        <v>11020</v>
      </c>
      <c r="AH1735">
        <v>24</v>
      </c>
      <c r="AI1735">
        <v>1</v>
      </c>
      <c r="AJ1735">
        <v>0</v>
      </c>
      <c r="AK1735">
        <v>72.65000000000001</v>
      </c>
      <c r="AN1735" t="s">
        <v>11049</v>
      </c>
      <c r="AO1735">
        <v>8820</v>
      </c>
      <c r="AU1735">
        <v>0.35</v>
      </c>
      <c r="AV1735" t="s">
        <v>11453</v>
      </c>
      <c r="AW1735" t="s">
        <v>11497</v>
      </c>
    </row>
    <row r="1736" spans="1:49">
      <c r="A1736" s="1">
        <f>HYPERLINK("https://cms.ls-nyc.org/matter/dynamic-profile/view/1841424","17-1841424")</f>
        <v>0</v>
      </c>
      <c r="B1736" t="s">
        <v>97</v>
      </c>
      <c r="C1736" t="s">
        <v>235</v>
      </c>
      <c r="D1736" t="s">
        <v>499</v>
      </c>
      <c r="F1736" t="s">
        <v>1375</v>
      </c>
      <c r="G1736" t="s">
        <v>2634</v>
      </c>
      <c r="H1736" t="s">
        <v>3980</v>
      </c>
      <c r="I1736" t="s">
        <v>4788</v>
      </c>
      <c r="J1736" t="s">
        <v>5323</v>
      </c>
      <c r="K1736">
        <v>10034</v>
      </c>
      <c r="L1736" t="s">
        <v>5355</v>
      </c>
      <c r="M1736" t="s">
        <v>5356</v>
      </c>
      <c r="N1736" t="s">
        <v>5946</v>
      </c>
      <c r="O1736" t="s">
        <v>6491</v>
      </c>
      <c r="P1736" t="s">
        <v>6530</v>
      </c>
      <c r="R1736" t="s">
        <v>6539</v>
      </c>
      <c r="S1736" t="s">
        <v>5357</v>
      </c>
      <c r="U1736" t="s">
        <v>6557</v>
      </c>
      <c r="W1736" t="s">
        <v>404</v>
      </c>
      <c r="X1736">
        <v>774.26</v>
      </c>
      <c r="Y1736" t="s">
        <v>6608</v>
      </c>
      <c r="Z1736" t="s">
        <v>6616</v>
      </c>
      <c r="AB1736" t="s">
        <v>7367</v>
      </c>
      <c r="AD1736" t="s">
        <v>9739</v>
      </c>
      <c r="AE1736">
        <v>65</v>
      </c>
      <c r="AF1736" t="s">
        <v>11005</v>
      </c>
      <c r="AG1736" t="s">
        <v>5406</v>
      </c>
      <c r="AH1736">
        <v>39</v>
      </c>
      <c r="AI1736">
        <v>3</v>
      </c>
      <c r="AJ1736">
        <v>1</v>
      </c>
      <c r="AK1736">
        <v>72.73</v>
      </c>
      <c r="AN1736" t="s">
        <v>11049</v>
      </c>
      <c r="AO1736">
        <v>17892</v>
      </c>
      <c r="AU1736">
        <v>45.3</v>
      </c>
      <c r="AV1736" t="s">
        <v>814</v>
      </c>
      <c r="AW1736" t="s">
        <v>11495</v>
      </c>
    </row>
    <row r="1737" spans="1:49">
      <c r="A1737" s="1">
        <f>HYPERLINK("https://cms.ls-nyc.org/matter/dynamic-profile/view/1856679","18-1856679")</f>
        <v>0</v>
      </c>
      <c r="B1737" t="s">
        <v>52</v>
      </c>
      <c r="C1737" t="s">
        <v>234</v>
      </c>
      <c r="D1737" t="s">
        <v>389</v>
      </c>
      <c r="E1737" t="s">
        <v>767</v>
      </c>
      <c r="F1737" t="s">
        <v>1800</v>
      </c>
      <c r="G1737" t="s">
        <v>3103</v>
      </c>
      <c r="H1737" t="s">
        <v>4349</v>
      </c>
      <c r="I1737" t="s">
        <v>5197</v>
      </c>
      <c r="J1737" t="s">
        <v>5349</v>
      </c>
      <c r="K1737">
        <v>11412</v>
      </c>
      <c r="L1737" t="s">
        <v>5355</v>
      </c>
      <c r="M1737" t="s">
        <v>5355</v>
      </c>
      <c r="N1737" t="s">
        <v>5947</v>
      </c>
      <c r="O1737" t="s">
        <v>6502</v>
      </c>
      <c r="P1737" t="s">
        <v>6530</v>
      </c>
      <c r="Q1737" t="s">
        <v>6534</v>
      </c>
      <c r="R1737" t="s">
        <v>6539</v>
      </c>
      <c r="S1737" t="s">
        <v>5357</v>
      </c>
      <c r="U1737" t="s">
        <v>6559</v>
      </c>
      <c r="V1737" t="s">
        <v>6566</v>
      </c>
      <c r="W1737" t="s">
        <v>6575</v>
      </c>
      <c r="X1737">
        <v>1500</v>
      </c>
      <c r="Y1737" t="s">
        <v>6604</v>
      </c>
      <c r="Z1737" t="s">
        <v>6617</v>
      </c>
      <c r="AA1737" t="s">
        <v>6637</v>
      </c>
      <c r="AB1737" t="s">
        <v>8118</v>
      </c>
      <c r="AC1737" t="s">
        <v>8986</v>
      </c>
      <c r="AD1737" t="s">
        <v>10452</v>
      </c>
      <c r="AE1737">
        <v>20</v>
      </c>
      <c r="AF1737" t="s">
        <v>11008</v>
      </c>
      <c r="AG1737" t="s">
        <v>11020</v>
      </c>
      <c r="AH1737">
        <v>2</v>
      </c>
      <c r="AI1737">
        <v>1</v>
      </c>
      <c r="AJ1737">
        <v>0</v>
      </c>
      <c r="AK1737">
        <v>72.73999999999999</v>
      </c>
      <c r="AN1737" t="s">
        <v>11050</v>
      </c>
      <c r="AO1737">
        <v>8772</v>
      </c>
      <c r="AQ1737" t="s">
        <v>11190</v>
      </c>
      <c r="AR1737" t="s">
        <v>6493</v>
      </c>
      <c r="AS1737" t="s">
        <v>11253</v>
      </c>
      <c r="AT1737" t="s">
        <v>11326</v>
      </c>
      <c r="AU1737">
        <v>43.51</v>
      </c>
      <c r="AV1737" t="s">
        <v>11456</v>
      </c>
      <c r="AW1737" t="s">
        <v>93</v>
      </c>
    </row>
    <row r="1738" spans="1:49">
      <c r="A1738" s="1">
        <f>HYPERLINK("https://cms.ls-nyc.org/matter/dynamic-profile/view/1844959","17-1844959")</f>
        <v>0</v>
      </c>
      <c r="B1738" t="s">
        <v>60</v>
      </c>
      <c r="C1738" t="s">
        <v>234</v>
      </c>
      <c r="D1738" t="s">
        <v>417</v>
      </c>
      <c r="E1738" t="s">
        <v>672</v>
      </c>
      <c r="F1738" t="s">
        <v>1801</v>
      </c>
      <c r="G1738" t="s">
        <v>2239</v>
      </c>
      <c r="H1738" t="s">
        <v>4350</v>
      </c>
      <c r="I1738" t="s">
        <v>4833</v>
      </c>
      <c r="J1738" t="s">
        <v>5321</v>
      </c>
      <c r="K1738">
        <v>10453</v>
      </c>
      <c r="L1738" t="s">
        <v>5355</v>
      </c>
      <c r="M1738" t="s">
        <v>5356</v>
      </c>
      <c r="N1738" t="s">
        <v>5948</v>
      </c>
      <c r="O1738" t="s">
        <v>6492</v>
      </c>
      <c r="P1738" t="s">
        <v>6530</v>
      </c>
      <c r="Q1738" t="s">
        <v>6534</v>
      </c>
      <c r="R1738" t="s">
        <v>6539</v>
      </c>
      <c r="S1738" t="s">
        <v>5357</v>
      </c>
      <c r="U1738" t="s">
        <v>6557</v>
      </c>
      <c r="W1738" t="s">
        <v>6599</v>
      </c>
      <c r="X1738">
        <v>1150</v>
      </c>
      <c r="Y1738" t="s">
        <v>6606</v>
      </c>
      <c r="Z1738" t="s">
        <v>6615</v>
      </c>
      <c r="AA1738" t="s">
        <v>6633</v>
      </c>
      <c r="AB1738" t="s">
        <v>8119</v>
      </c>
      <c r="AC1738" t="s">
        <v>8987</v>
      </c>
      <c r="AD1738" t="s">
        <v>10453</v>
      </c>
      <c r="AE1738">
        <v>43</v>
      </c>
      <c r="AF1738" t="s">
        <v>11005</v>
      </c>
      <c r="AG1738" t="s">
        <v>11021</v>
      </c>
      <c r="AH1738">
        <v>3</v>
      </c>
      <c r="AI1738">
        <v>1</v>
      </c>
      <c r="AJ1738">
        <v>0</v>
      </c>
      <c r="AK1738">
        <v>72.73999999999999</v>
      </c>
      <c r="AN1738" t="s">
        <v>11049</v>
      </c>
      <c r="AO1738">
        <v>8772</v>
      </c>
      <c r="AT1738" t="s">
        <v>11359</v>
      </c>
      <c r="AU1738">
        <v>45.15</v>
      </c>
      <c r="AV1738" t="s">
        <v>360</v>
      </c>
      <c r="AW1738" t="s">
        <v>11500</v>
      </c>
    </row>
    <row r="1739" spans="1:49">
      <c r="A1739" s="1">
        <f>HYPERLINK("https://cms.ls-nyc.org/matter/dynamic-profile/view/1853934","17-1853934")</f>
        <v>0</v>
      </c>
      <c r="B1739" t="s">
        <v>104</v>
      </c>
      <c r="C1739" t="s">
        <v>235</v>
      </c>
      <c r="D1739" t="s">
        <v>579</v>
      </c>
      <c r="F1739" t="s">
        <v>1207</v>
      </c>
      <c r="G1739" t="s">
        <v>3062</v>
      </c>
      <c r="H1739" t="s">
        <v>4351</v>
      </c>
      <c r="I1739" t="s">
        <v>4776</v>
      </c>
      <c r="J1739" t="s">
        <v>5321</v>
      </c>
      <c r="K1739">
        <v>10453</v>
      </c>
      <c r="L1739" t="s">
        <v>5355</v>
      </c>
      <c r="M1739" t="s">
        <v>5355</v>
      </c>
      <c r="N1739" t="s">
        <v>5949</v>
      </c>
      <c r="O1739" t="s">
        <v>6492</v>
      </c>
      <c r="P1739" t="s">
        <v>6530</v>
      </c>
      <c r="R1739" t="s">
        <v>6539</v>
      </c>
      <c r="S1739" t="s">
        <v>5357</v>
      </c>
      <c r="U1739" t="s">
        <v>6557</v>
      </c>
      <c r="W1739" t="s">
        <v>433</v>
      </c>
      <c r="X1739">
        <v>930.91</v>
      </c>
      <c r="Y1739" t="s">
        <v>6606</v>
      </c>
      <c r="Z1739" t="s">
        <v>6614</v>
      </c>
      <c r="AB1739" t="s">
        <v>8120</v>
      </c>
      <c r="AD1739" t="s">
        <v>10454</v>
      </c>
      <c r="AE1739">
        <v>30</v>
      </c>
      <c r="AF1739" t="s">
        <v>11005</v>
      </c>
      <c r="AG1739" t="s">
        <v>11020</v>
      </c>
      <c r="AH1739">
        <v>18</v>
      </c>
      <c r="AI1739">
        <v>5</v>
      </c>
      <c r="AJ1739">
        <v>1</v>
      </c>
      <c r="AK1739">
        <v>72.81999999999999</v>
      </c>
      <c r="AN1739" t="s">
        <v>11050</v>
      </c>
      <c r="AO1739">
        <v>24000</v>
      </c>
      <c r="AU1739">
        <v>44.3</v>
      </c>
      <c r="AV1739" t="s">
        <v>773</v>
      </c>
      <c r="AW1739" t="s">
        <v>11509</v>
      </c>
    </row>
    <row r="1740" spans="1:49">
      <c r="A1740" s="1">
        <f>HYPERLINK("https://cms.ls-nyc.org/matter/dynamic-profile/view/1864522","18-1864522")</f>
        <v>0</v>
      </c>
      <c r="B1740" t="s">
        <v>67</v>
      </c>
      <c r="C1740" t="s">
        <v>235</v>
      </c>
      <c r="D1740" t="s">
        <v>256</v>
      </c>
      <c r="F1740" t="s">
        <v>1802</v>
      </c>
      <c r="G1740" t="s">
        <v>2422</v>
      </c>
      <c r="H1740" t="s">
        <v>3579</v>
      </c>
      <c r="I1740">
        <v>202</v>
      </c>
      <c r="J1740" t="s">
        <v>5323</v>
      </c>
      <c r="K1740">
        <v>10029</v>
      </c>
      <c r="L1740" t="s">
        <v>5355</v>
      </c>
      <c r="M1740" t="s">
        <v>5355</v>
      </c>
      <c r="N1740" t="s">
        <v>5632</v>
      </c>
      <c r="O1740" t="s">
        <v>6494</v>
      </c>
      <c r="P1740" t="s">
        <v>6530</v>
      </c>
      <c r="R1740" t="s">
        <v>6539</v>
      </c>
      <c r="S1740" t="s">
        <v>5355</v>
      </c>
      <c r="U1740" t="s">
        <v>6557</v>
      </c>
      <c r="V1740" t="s">
        <v>6566</v>
      </c>
      <c r="W1740" t="s">
        <v>256</v>
      </c>
      <c r="X1740">
        <v>0</v>
      </c>
      <c r="Y1740" t="s">
        <v>6608</v>
      </c>
      <c r="Z1740" t="s">
        <v>6622</v>
      </c>
      <c r="AB1740" t="s">
        <v>8121</v>
      </c>
      <c r="AE1740">
        <v>108</v>
      </c>
      <c r="AF1740" t="s">
        <v>11008</v>
      </c>
      <c r="AG1740" t="s">
        <v>11020</v>
      </c>
      <c r="AH1740">
        <v>10</v>
      </c>
      <c r="AI1740">
        <v>1</v>
      </c>
      <c r="AJ1740">
        <v>1</v>
      </c>
      <c r="AK1740">
        <v>72.90000000000001</v>
      </c>
      <c r="AN1740" t="s">
        <v>11049</v>
      </c>
      <c r="AO1740">
        <v>12000</v>
      </c>
      <c r="AU1740">
        <v>0.25</v>
      </c>
      <c r="AV1740" t="s">
        <v>11453</v>
      </c>
      <c r="AW1740" t="s">
        <v>11497</v>
      </c>
    </row>
    <row r="1741" spans="1:49">
      <c r="A1741" s="1">
        <f>HYPERLINK("https://cms.ls-nyc.org/matter/dynamic-profile/view/1847824","17-1847824")</f>
        <v>0</v>
      </c>
      <c r="B1741" t="s">
        <v>136</v>
      </c>
      <c r="C1741" t="s">
        <v>235</v>
      </c>
      <c r="D1741" t="s">
        <v>426</v>
      </c>
      <c r="F1741" t="s">
        <v>1803</v>
      </c>
      <c r="G1741" t="s">
        <v>3104</v>
      </c>
      <c r="H1741" t="s">
        <v>4352</v>
      </c>
      <c r="I1741" t="s">
        <v>4740</v>
      </c>
      <c r="J1741" t="s">
        <v>5320</v>
      </c>
      <c r="K1741">
        <v>11213</v>
      </c>
      <c r="L1741" t="s">
        <v>5357</v>
      </c>
      <c r="M1741" t="s">
        <v>5356</v>
      </c>
      <c r="N1741" t="s">
        <v>5950</v>
      </c>
      <c r="O1741" t="s">
        <v>6492</v>
      </c>
      <c r="P1741" t="s">
        <v>6530</v>
      </c>
      <c r="R1741" t="s">
        <v>6539</v>
      </c>
      <c r="U1741" t="s">
        <v>6557</v>
      </c>
      <c r="W1741" t="s">
        <v>426</v>
      </c>
      <c r="X1741">
        <v>0</v>
      </c>
      <c r="Y1741" t="s">
        <v>6605</v>
      </c>
      <c r="AB1741" t="s">
        <v>8122</v>
      </c>
      <c r="AD1741" t="s">
        <v>10455</v>
      </c>
      <c r="AE1741">
        <v>12</v>
      </c>
      <c r="AF1741" t="s">
        <v>11005</v>
      </c>
      <c r="AH1741">
        <v>0</v>
      </c>
      <c r="AI1741">
        <v>1</v>
      </c>
      <c r="AJ1741">
        <v>0</v>
      </c>
      <c r="AK1741">
        <v>72.94</v>
      </c>
      <c r="AN1741" t="s">
        <v>11050</v>
      </c>
      <c r="AO1741">
        <v>8796</v>
      </c>
      <c r="AU1741">
        <v>6.6</v>
      </c>
      <c r="AV1741" t="s">
        <v>326</v>
      </c>
      <c r="AW1741" t="s">
        <v>11548</v>
      </c>
    </row>
    <row r="1742" spans="1:49">
      <c r="A1742" s="1">
        <f>HYPERLINK("https://cms.ls-nyc.org/matter/dynamic-profile/view/1843916","17-1843916")</f>
        <v>0</v>
      </c>
      <c r="B1742" t="s">
        <v>92</v>
      </c>
      <c r="C1742" t="s">
        <v>234</v>
      </c>
      <c r="D1742" t="s">
        <v>582</v>
      </c>
      <c r="E1742" t="s">
        <v>680</v>
      </c>
      <c r="F1742" t="s">
        <v>874</v>
      </c>
      <c r="G1742" t="s">
        <v>3105</v>
      </c>
      <c r="H1742" t="s">
        <v>3994</v>
      </c>
      <c r="I1742" t="s">
        <v>4778</v>
      </c>
      <c r="J1742" t="s">
        <v>5323</v>
      </c>
      <c r="K1742">
        <v>10040</v>
      </c>
      <c r="L1742" t="s">
        <v>5355</v>
      </c>
      <c r="M1742" t="s">
        <v>5355</v>
      </c>
      <c r="N1742" t="s">
        <v>5951</v>
      </c>
      <c r="O1742" t="s">
        <v>6492</v>
      </c>
      <c r="P1742" t="s">
        <v>6530</v>
      </c>
      <c r="Q1742" t="s">
        <v>6534</v>
      </c>
      <c r="R1742" t="s">
        <v>6539</v>
      </c>
      <c r="S1742" t="s">
        <v>5355</v>
      </c>
      <c r="U1742" t="s">
        <v>6557</v>
      </c>
      <c r="V1742" t="s">
        <v>6566</v>
      </c>
      <c r="W1742" t="s">
        <v>262</v>
      </c>
      <c r="X1742">
        <v>843.6</v>
      </c>
      <c r="Y1742" t="s">
        <v>6608</v>
      </c>
      <c r="Z1742" t="s">
        <v>6616</v>
      </c>
      <c r="AA1742" t="s">
        <v>6637</v>
      </c>
      <c r="AB1742" t="s">
        <v>7420</v>
      </c>
      <c r="AD1742" t="s">
        <v>9792</v>
      </c>
      <c r="AE1742">
        <v>42</v>
      </c>
      <c r="AF1742" t="s">
        <v>11005</v>
      </c>
      <c r="AG1742" t="s">
        <v>11024</v>
      </c>
      <c r="AH1742">
        <v>23</v>
      </c>
      <c r="AI1742">
        <v>1</v>
      </c>
      <c r="AJ1742">
        <v>0</v>
      </c>
      <c r="AK1742">
        <v>72.94</v>
      </c>
      <c r="AL1742" t="s">
        <v>301</v>
      </c>
      <c r="AN1742" t="s">
        <v>11049</v>
      </c>
      <c r="AO1742">
        <v>8796</v>
      </c>
      <c r="AU1742">
        <v>18</v>
      </c>
      <c r="AV1742" t="s">
        <v>318</v>
      </c>
      <c r="AW1742" t="s">
        <v>11495</v>
      </c>
    </row>
    <row r="1743" spans="1:49">
      <c r="A1743" s="1">
        <f>HYPERLINK("https://cms.ls-nyc.org/matter/dynamic-profile/view/1856558","18-1856558")</f>
        <v>0</v>
      </c>
      <c r="B1743" t="s">
        <v>142</v>
      </c>
      <c r="C1743" t="s">
        <v>235</v>
      </c>
      <c r="D1743" t="s">
        <v>458</v>
      </c>
      <c r="F1743" t="s">
        <v>892</v>
      </c>
      <c r="G1743" t="s">
        <v>3106</v>
      </c>
      <c r="H1743" t="s">
        <v>3480</v>
      </c>
      <c r="I1743" t="s">
        <v>4740</v>
      </c>
      <c r="J1743" t="s">
        <v>5320</v>
      </c>
      <c r="K1743">
        <v>11213</v>
      </c>
      <c r="L1743" t="s">
        <v>5355</v>
      </c>
      <c r="M1743" t="s">
        <v>5356</v>
      </c>
      <c r="N1743" t="s">
        <v>5952</v>
      </c>
      <c r="O1743" t="s">
        <v>6491</v>
      </c>
      <c r="P1743" t="s">
        <v>6530</v>
      </c>
      <c r="R1743" t="s">
        <v>6539</v>
      </c>
      <c r="S1743" t="s">
        <v>5355</v>
      </c>
      <c r="U1743" t="s">
        <v>6557</v>
      </c>
      <c r="W1743" t="s">
        <v>262</v>
      </c>
      <c r="X1743">
        <v>973</v>
      </c>
      <c r="Y1743" t="s">
        <v>6605</v>
      </c>
      <c r="Z1743" t="s">
        <v>6613</v>
      </c>
      <c r="AB1743" t="s">
        <v>7084</v>
      </c>
      <c r="AD1743" t="s">
        <v>9481</v>
      </c>
      <c r="AE1743">
        <v>107</v>
      </c>
      <c r="AF1743" t="s">
        <v>11005</v>
      </c>
      <c r="AG1743" t="s">
        <v>11020</v>
      </c>
      <c r="AH1743">
        <v>0</v>
      </c>
      <c r="AI1743">
        <v>1</v>
      </c>
      <c r="AJ1743">
        <v>0</v>
      </c>
      <c r="AK1743">
        <v>73.13</v>
      </c>
      <c r="AL1743" t="s">
        <v>266</v>
      </c>
      <c r="AN1743" t="s">
        <v>11050</v>
      </c>
      <c r="AO1743">
        <v>8820</v>
      </c>
      <c r="AU1743">
        <v>136.65</v>
      </c>
      <c r="AV1743" t="s">
        <v>829</v>
      </c>
      <c r="AW1743" t="s">
        <v>11489</v>
      </c>
    </row>
    <row r="1744" spans="1:49">
      <c r="A1744" s="1">
        <f>HYPERLINK("https://cms.ls-nyc.org/matter/dynamic-profile/view/1858315","18-1858315")</f>
        <v>0</v>
      </c>
      <c r="B1744" t="s">
        <v>142</v>
      </c>
      <c r="C1744" t="s">
        <v>235</v>
      </c>
      <c r="D1744" t="s">
        <v>238</v>
      </c>
      <c r="F1744" t="s">
        <v>892</v>
      </c>
      <c r="G1744" t="s">
        <v>3107</v>
      </c>
      <c r="H1744" t="s">
        <v>3480</v>
      </c>
      <c r="I1744" t="s">
        <v>4740</v>
      </c>
      <c r="J1744" t="s">
        <v>5320</v>
      </c>
      <c r="K1744">
        <v>11213</v>
      </c>
      <c r="L1744" t="s">
        <v>5355</v>
      </c>
      <c r="M1744" t="s">
        <v>5356</v>
      </c>
      <c r="O1744" t="s">
        <v>6494</v>
      </c>
      <c r="P1744" t="s">
        <v>6530</v>
      </c>
      <c r="R1744" t="s">
        <v>6539</v>
      </c>
      <c r="S1744" t="s">
        <v>5355</v>
      </c>
      <c r="U1744" t="s">
        <v>6557</v>
      </c>
      <c r="W1744" t="s">
        <v>436</v>
      </c>
      <c r="X1744">
        <v>793</v>
      </c>
      <c r="Y1744" t="s">
        <v>6605</v>
      </c>
      <c r="Z1744" t="s">
        <v>6614</v>
      </c>
      <c r="AB1744" t="s">
        <v>7084</v>
      </c>
      <c r="AD1744" t="s">
        <v>9481</v>
      </c>
      <c r="AE1744">
        <v>107</v>
      </c>
      <c r="AF1744" t="s">
        <v>11005</v>
      </c>
      <c r="AG1744" t="s">
        <v>5406</v>
      </c>
      <c r="AH1744">
        <v>32</v>
      </c>
      <c r="AI1744">
        <v>1</v>
      </c>
      <c r="AJ1744">
        <v>0</v>
      </c>
      <c r="AK1744">
        <v>73.13</v>
      </c>
      <c r="AL1744" t="s">
        <v>266</v>
      </c>
      <c r="AN1744" t="s">
        <v>11050</v>
      </c>
      <c r="AO1744">
        <v>8820</v>
      </c>
      <c r="AU1744">
        <v>52.05</v>
      </c>
      <c r="AV1744" t="s">
        <v>659</v>
      </c>
      <c r="AW1744" t="s">
        <v>77</v>
      </c>
    </row>
    <row r="1745" spans="1:49">
      <c r="A1745" s="1">
        <f>HYPERLINK("https://cms.ls-nyc.org/matter/dynamic-profile/view/0831617","17-0831617")</f>
        <v>0</v>
      </c>
      <c r="B1745" t="s">
        <v>154</v>
      </c>
      <c r="C1745" t="s">
        <v>234</v>
      </c>
      <c r="D1745" t="s">
        <v>589</v>
      </c>
      <c r="E1745" t="s">
        <v>811</v>
      </c>
      <c r="F1745" t="s">
        <v>1325</v>
      </c>
      <c r="G1745" t="s">
        <v>3108</v>
      </c>
      <c r="H1745" t="s">
        <v>4353</v>
      </c>
      <c r="I1745" t="s">
        <v>5198</v>
      </c>
      <c r="J1745" t="s">
        <v>5320</v>
      </c>
      <c r="K1745">
        <v>11205</v>
      </c>
      <c r="L1745" t="s">
        <v>5355</v>
      </c>
      <c r="M1745" t="s">
        <v>5355</v>
      </c>
      <c r="N1745" t="s">
        <v>5953</v>
      </c>
      <c r="O1745" t="s">
        <v>6492</v>
      </c>
      <c r="P1745" t="s">
        <v>6530</v>
      </c>
      <c r="Q1745" t="s">
        <v>6534</v>
      </c>
      <c r="R1745" t="s">
        <v>6539</v>
      </c>
      <c r="S1745" t="s">
        <v>5355</v>
      </c>
      <c r="T1745" t="s">
        <v>6544</v>
      </c>
      <c r="U1745" t="s">
        <v>6557</v>
      </c>
      <c r="W1745" t="s">
        <v>262</v>
      </c>
      <c r="X1745">
        <v>460</v>
      </c>
      <c r="Y1745" t="s">
        <v>6605</v>
      </c>
      <c r="Z1745" t="s">
        <v>6493</v>
      </c>
      <c r="AA1745" t="s">
        <v>6637</v>
      </c>
      <c r="AB1745" t="s">
        <v>8123</v>
      </c>
      <c r="AD1745" t="s">
        <v>10456</v>
      </c>
      <c r="AE1745">
        <v>8</v>
      </c>
      <c r="AF1745" t="s">
        <v>8722</v>
      </c>
      <c r="AG1745" t="s">
        <v>5406</v>
      </c>
      <c r="AH1745">
        <v>14</v>
      </c>
      <c r="AI1745">
        <v>1</v>
      </c>
      <c r="AJ1745">
        <v>0</v>
      </c>
      <c r="AK1745">
        <v>73.13</v>
      </c>
      <c r="AN1745" t="s">
        <v>11050</v>
      </c>
      <c r="AO1745">
        <v>8820</v>
      </c>
      <c r="AR1745" t="s">
        <v>11210</v>
      </c>
      <c r="AS1745" t="s">
        <v>11253</v>
      </c>
      <c r="AT1745" t="s">
        <v>11360</v>
      </c>
      <c r="AU1745">
        <v>92.23</v>
      </c>
      <c r="AV1745" t="s">
        <v>811</v>
      </c>
      <c r="AW1745" t="s">
        <v>11519</v>
      </c>
    </row>
    <row r="1746" spans="1:49">
      <c r="A1746" s="1">
        <f>HYPERLINK("https://cms.ls-nyc.org/matter/dynamic-profile/view/1852538","17-1852538")</f>
        <v>0</v>
      </c>
      <c r="B1746" t="s">
        <v>56</v>
      </c>
      <c r="C1746" t="s">
        <v>235</v>
      </c>
      <c r="D1746" t="s">
        <v>549</v>
      </c>
      <c r="F1746" t="s">
        <v>1804</v>
      </c>
      <c r="G1746" t="s">
        <v>2106</v>
      </c>
      <c r="H1746" t="s">
        <v>3564</v>
      </c>
      <c r="I1746" t="s">
        <v>4744</v>
      </c>
      <c r="J1746" t="s">
        <v>5321</v>
      </c>
      <c r="K1746">
        <v>10453</v>
      </c>
      <c r="L1746" t="s">
        <v>5355</v>
      </c>
      <c r="M1746" t="s">
        <v>5356</v>
      </c>
      <c r="N1746" t="s">
        <v>5954</v>
      </c>
      <c r="O1746" t="s">
        <v>6494</v>
      </c>
      <c r="P1746" t="s">
        <v>6530</v>
      </c>
      <c r="R1746" t="s">
        <v>6539</v>
      </c>
      <c r="S1746" t="s">
        <v>5355</v>
      </c>
      <c r="U1746" t="s">
        <v>6557</v>
      </c>
      <c r="W1746" t="s">
        <v>6572</v>
      </c>
      <c r="X1746">
        <v>89</v>
      </c>
      <c r="Y1746" t="s">
        <v>6606</v>
      </c>
      <c r="Z1746" t="s">
        <v>6612</v>
      </c>
      <c r="AB1746" t="s">
        <v>8124</v>
      </c>
      <c r="AD1746" t="s">
        <v>10457</v>
      </c>
      <c r="AE1746">
        <v>43</v>
      </c>
      <c r="AF1746" t="s">
        <v>11005</v>
      </c>
      <c r="AG1746" t="s">
        <v>11020</v>
      </c>
      <c r="AH1746">
        <v>31</v>
      </c>
      <c r="AI1746">
        <v>1</v>
      </c>
      <c r="AJ1746">
        <v>0</v>
      </c>
      <c r="AK1746">
        <v>73.13</v>
      </c>
      <c r="AN1746" t="s">
        <v>11050</v>
      </c>
      <c r="AO1746">
        <v>8820</v>
      </c>
      <c r="AU1746">
        <v>3.6</v>
      </c>
      <c r="AV1746" t="s">
        <v>758</v>
      </c>
      <c r="AW1746" t="s">
        <v>11509</v>
      </c>
    </row>
    <row r="1747" spans="1:49">
      <c r="A1747" s="1">
        <f>HYPERLINK("https://cms.ls-nyc.org/matter/dynamic-profile/view/1854064","17-1854064")</f>
        <v>0</v>
      </c>
      <c r="B1747" t="s">
        <v>148</v>
      </c>
      <c r="C1747" t="s">
        <v>234</v>
      </c>
      <c r="D1747" t="s">
        <v>302</v>
      </c>
      <c r="E1747" t="s">
        <v>695</v>
      </c>
      <c r="F1747" t="s">
        <v>1805</v>
      </c>
      <c r="G1747" t="s">
        <v>1994</v>
      </c>
      <c r="H1747" t="s">
        <v>4354</v>
      </c>
      <c r="I1747" t="s">
        <v>5199</v>
      </c>
      <c r="J1747" t="s">
        <v>5322</v>
      </c>
      <c r="K1747">
        <v>10304</v>
      </c>
      <c r="L1747" t="s">
        <v>5355</v>
      </c>
      <c r="M1747" t="s">
        <v>5356</v>
      </c>
      <c r="N1747" t="s">
        <v>5955</v>
      </c>
      <c r="O1747" t="s">
        <v>6492</v>
      </c>
      <c r="P1747" t="s">
        <v>6530</v>
      </c>
      <c r="Q1747" t="s">
        <v>6534</v>
      </c>
      <c r="R1747" t="s">
        <v>6539</v>
      </c>
      <c r="S1747" t="s">
        <v>5357</v>
      </c>
      <c r="U1747" t="s">
        <v>6557</v>
      </c>
      <c r="W1747" t="s">
        <v>302</v>
      </c>
      <c r="X1747">
        <v>1670</v>
      </c>
      <c r="Y1747" t="s">
        <v>6607</v>
      </c>
      <c r="Z1747" t="s">
        <v>6614</v>
      </c>
      <c r="AA1747" t="s">
        <v>6637</v>
      </c>
      <c r="AB1747" t="s">
        <v>8125</v>
      </c>
      <c r="AC1747" t="s">
        <v>8988</v>
      </c>
      <c r="AD1747" t="s">
        <v>10458</v>
      </c>
      <c r="AE1747">
        <v>115</v>
      </c>
      <c r="AF1747" t="s">
        <v>11008</v>
      </c>
      <c r="AG1747" t="s">
        <v>11020</v>
      </c>
      <c r="AH1747">
        <v>33</v>
      </c>
      <c r="AI1747">
        <v>1</v>
      </c>
      <c r="AJ1747">
        <v>0</v>
      </c>
      <c r="AK1747">
        <v>73.13</v>
      </c>
      <c r="AN1747" t="s">
        <v>11050</v>
      </c>
      <c r="AO1747">
        <v>8820</v>
      </c>
      <c r="AU1747">
        <v>9.4</v>
      </c>
      <c r="AV1747" t="s">
        <v>336</v>
      </c>
      <c r="AW1747" t="s">
        <v>11510</v>
      </c>
    </row>
    <row r="1748" spans="1:49">
      <c r="A1748" s="1">
        <f>HYPERLINK("https://cms.ls-nyc.org/matter/dynamic-profile/view/1849320","17-1849320")</f>
        <v>0</v>
      </c>
      <c r="B1748" t="s">
        <v>97</v>
      </c>
      <c r="C1748" t="s">
        <v>235</v>
      </c>
      <c r="D1748" t="s">
        <v>585</v>
      </c>
      <c r="F1748" t="s">
        <v>901</v>
      </c>
      <c r="G1748" t="s">
        <v>2484</v>
      </c>
      <c r="H1748" t="s">
        <v>4355</v>
      </c>
      <c r="I1748" t="s">
        <v>4825</v>
      </c>
      <c r="J1748" t="s">
        <v>5323</v>
      </c>
      <c r="K1748">
        <v>10035</v>
      </c>
      <c r="L1748" t="s">
        <v>5355</v>
      </c>
      <c r="M1748" t="s">
        <v>5355</v>
      </c>
      <c r="N1748" t="s">
        <v>5956</v>
      </c>
      <c r="O1748" t="s">
        <v>6495</v>
      </c>
      <c r="P1748" t="s">
        <v>6530</v>
      </c>
      <c r="R1748" t="s">
        <v>6539</v>
      </c>
      <c r="S1748" t="s">
        <v>5357</v>
      </c>
      <c r="U1748" t="s">
        <v>6557</v>
      </c>
      <c r="W1748" t="s">
        <v>585</v>
      </c>
      <c r="X1748">
        <v>1000</v>
      </c>
      <c r="Y1748" t="s">
        <v>6608</v>
      </c>
      <c r="Z1748" t="s">
        <v>6614</v>
      </c>
      <c r="AB1748" t="s">
        <v>8126</v>
      </c>
      <c r="AD1748" t="s">
        <v>10459</v>
      </c>
      <c r="AE1748">
        <v>7</v>
      </c>
      <c r="AF1748" t="s">
        <v>11005</v>
      </c>
      <c r="AG1748" t="s">
        <v>5406</v>
      </c>
      <c r="AH1748">
        <v>8</v>
      </c>
      <c r="AI1748">
        <v>1</v>
      </c>
      <c r="AJ1748">
        <v>0</v>
      </c>
      <c r="AK1748">
        <v>73.13</v>
      </c>
      <c r="AN1748" t="s">
        <v>11050</v>
      </c>
      <c r="AO1748">
        <v>8820</v>
      </c>
      <c r="AU1748">
        <v>24.1</v>
      </c>
      <c r="AV1748" t="s">
        <v>741</v>
      </c>
      <c r="AW1748" t="s">
        <v>11514</v>
      </c>
    </row>
    <row r="1749" spans="1:49">
      <c r="A1749" s="1">
        <f>HYPERLINK("https://cms.ls-nyc.org/matter/dynamic-profile/view/1850896","17-1850896")</f>
        <v>0</v>
      </c>
      <c r="B1749" t="s">
        <v>92</v>
      </c>
      <c r="C1749" t="s">
        <v>234</v>
      </c>
      <c r="D1749" t="s">
        <v>292</v>
      </c>
      <c r="E1749" t="s">
        <v>695</v>
      </c>
      <c r="F1749" t="s">
        <v>1347</v>
      </c>
      <c r="G1749" t="s">
        <v>2633</v>
      </c>
      <c r="H1749" t="s">
        <v>3979</v>
      </c>
      <c r="I1749" t="s">
        <v>4749</v>
      </c>
      <c r="J1749" t="s">
        <v>5323</v>
      </c>
      <c r="K1749">
        <v>10034</v>
      </c>
      <c r="L1749" t="s">
        <v>5355</v>
      </c>
      <c r="M1749" t="s">
        <v>5356</v>
      </c>
      <c r="N1749" t="s">
        <v>5957</v>
      </c>
      <c r="O1749" t="s">
        <v>6492</v>
      </c>
      <c r="P1749" t="s">
        <v>6530</v>
      </c>
      <c r="Q1749" t="s">
        <v>6534</v>
      </c>
      <c r="R1749" t="s">
        <v>6539</v>
      </c>
      <c r="S1749" t="s">
        <v>5357</v>
      </c>
      <c r="U1749" t="s">
        <v>6557</v>
      </c>
      <c r="W1749" t="s">
        <v>292</v>
      </c>
      <c r="X1749">
        <v>810.92</v>
      </c>
      <c r="Y1749" t="s">
        <v>6608</v>
      </c>
      <c r="Z1749" t="s">
        <v>6616</v>
      </c>
      <c r="AA1749" t="s">
        <v>6637</v>
      </c>
      <c r="AB1749" t="s">
        <v>7366</v>
      </c>
      <c r="AD1749" t="s">
        <v>9738</v>
      </c>
      <c r="AE1749">
        <v>40</v>
      </c>
      <c r="AF1749" t="s">
        <v>11005</v>
      </c>
      <c r="AG1749" t="s">
        <v>11020</v>
      </c>
      <c r="AH1749">
        <v>37</v>
      </c>
      <c r="AI1749">
        <v>1</v>
      </c>
      <c r="AJ1749">
        <v>0</v>
      </c>
      <c r="AK1749">
        <v>73.13</v>
      </c>
      <c r="AN1749" t="s">
        <v>11049</v>
      </c>
      <c r="AO1749">
        <v>8820</v>
      </c>
      <c r="AU1749">
        <v>11.68</v>
      </c>
      <c r="AV1749" t="s">
        <v>811</v>
      </c>
      <c r="AW1749" t="s">
        <v>11495</v>
      </c>
    </row>
    <row r="1750" spans="1:49">
      <c r="A1750" s="1">
        <f>HYPERLINK("https://cms.ls-nyc.org/matter/dynamic-profile/view/1853494","17-1853494")</f>
        <v>0</v>
      </c>
      <c r="B1750" t="s">
        <v>124</v>
      </c>
      <c r="C1750" t="s">
        <v>235</v>
      </c>
      <c r="D1750" t="s">
        <v>562</v>
      </c>
      <c r="F1750" t="s">
        <v>1040</v>
      </c>
      <c r="G1750" t="s">
        <v>3109</v>
      </c>
      <c r="H1750" t="s">
        <v>4356</v>
      </c>
      <c r="I1750">
        <v>21</v>
      </c>
      <c r="J1750" t="s">
        <v>5323</v>
      </c>
      <c r="K1750">
        <v>10034</v>
      </c>
      <c r="L1750" t="s">
        <v>5355</v>
      </c>
      <c r="M1750" t="s">
        <v>5356</v>
      </c>
      <c r="N1750" t="s">
        <v>5958</v>
      </c>
      <c r="O1750" t="s">
        <v>6491</v>
      </c>
      <c r="P1750" t="s">
        <v>6530</v>
      </c>
      <c r="R1750" t="s">
        <v>6539</v>
      </c>
      <c r="S1750" t="s">
        <v>5357</v>
      </c>
      <c r="U1750" t="s">
        <v>6557</v>
      </c>
      <c r="W1750" t="s">
        <v>562</v>
      </c>
      <c r="X1750">
        <v>940</v>
      </c>
      <c r="Y1750" t="s">
        <v>6608</v>
      </c>
      <c r="Z1750" t="s">
        <v>6616</v>
      </c>
      <c r="AB1750" t="s">
        <v>8127</v>
      </c>
      <c r="AE1750">
        <v>25</v>
      </c>
      <c r="AF1750" t="s">
        <v>11005</v>
      </c>
      <c r="AG1750" t="s">
        <v>5406</v>
      </c>
      <c r="AH1750">
        <v>45</v>
      </c>
      <c r="AI1750">
        <v>3</v>
      </c>
      <c r="AJ1750">
        <v>0</v>
      </c>
      <c r="AK1750">
        <v>73.45999999999999</v>
      </c>
      <c r="AN1750" t="s">
        <v>11050</v>
      </c>
      <c r="AO1750">
        <v>15000</v>
      </c>
      <c r="AP1750" t="s">
        <v>11130</v>
      </c>
      <c r="AU1750">
        <v>180.05</v>
      </c>
      <c r="AV1750" t="s">
        <v>702</v>
      </c>
      <c r="AW1750" t="s">
        <v>11495</v>
      </c>
    </row>
    <row r="1751" spans="1:49">
      <c r="A1751" s="1">
        <f>HYPERLINK("https://cms.ls-nyc.org/matter/dynamic-profile/view/1868030","18-1868030")</f>
        <v>0</v>
      </c>
      <c r="B1751" t="s">
        <v>190</v>
      </c>
      <c r="C1751" t="s">
        <v>234</v>
      </c>
      <c r="D1751" t="s">
        <v>270</v>
      </c>
      <c r="E1751" t="s">
        <v>812</v>
      </c>
      <c r="F1751" t="s">
        <v>1386</v>
      </c>
      <c r="G1751" t="s">
        <v>2648</v>
      </c>
      <c r="H1751" t="s">
        <v>3725</v>
      </c>
      <c r="I1751">
        <v>20</v>
      </c>
      <c r="J1751" t="s">
        <v>5323</v>
      </c>
      <c r="K1751">
        <v>10029</v>
      </c>
      <c r="L1751" t="s">
        <v>5355</v>
      </c>
      <c r="M1751" t="s">
        <v>5355</v>
      </c>
      <c r="N1751" t="s">
        <v>5959</v>
      </c>
      <c r="O1751" t="s">
        <v>6492</v>
      </c>
      <c r="P1751" t="s">
        <v>6530</v>
      </c>
      <c r="Q1751" t="s">
        <v>6534</v>
      </c>
      <c r="R1751" t="s">
        <v>6539</v>
      </c>
      <c r="S1751" t="s">
        <v>5357</v>
      </c>
      <c r="U1751" t="s">
        <v>6557</v>
      </c>
      <c r="W1751" t="s">
        <v>270</v>
      </c>
      <c r="X1751">
        <v>812.49</v>
      </c>
      <c r="Y1751" t="s">
        <v>6608</v>
      </c>
      <c r="Z1751" t="s">
        <v>6614</v>
      </c>
      <c r="AA1751" t="s">
        <v>6637</v>
      </c>
      <c r="AB1751" t="s">
        <v>7388</v>
      </c>
      <c r="AD1751" t="s">
        <v>9759</v>
      </c>
      <c r="AE1751">
        <v>0</v>
      </c>
      <c r="AF1751" t="s">
        <v>11006</v>
      </c>
      <c r="AG1751" t="s">
        <v>11024</v>
      </c>
      <c r="AH1751">
        <v>37</v>
      </c>
      <c r="AI1751">
        <v>3</v>
      </c>
      <c r="AJ1751">
        <v>2</v>
      </c>
      <c r="AK1751">
        <v>73.58</v>
      </c>
      <c r="AN1751" t="s">
        <v>11049</v>
      </c>
      <c r="AO1751">
        <v>21648</v>
      </c>
      <c r="AU1751">
        <v>35.8</v>
      </c>
      <c r="AV1751" t="s">
        <v>783</v>
      </c>
      <c r="AW1751" t="s">
        <v>11497</v>
      </c>
    </row>
    <row r="1752" spans="1:49">
      <c r="A1752" s="1">
        <f>HYPERLINK("https://cms.ls-nyc.org/matter/dynamic-profile/view/1865257","18-1865257")</f>
        <v>0</v>
      </c>
      <c r="B1752" t="s">
        <v>58</v>
      </c>
      <c r="C1752" t="s">
        <v>234</v>
      </c>
      <c r="D1752" t="s">
        <v>496</v>
      </c>
      <c r="E1752" t="s">
        <v>728</v>
      </c>
      <c r="F1752" t="s">
        <v>1806</v>
      </c>
      <c r="G1752" t="s">
        <v>2115</v>
      </c>
      <c r="H1752" t="s">
        <v>4357</v>
      </c>
      <c r="I1752" t="s">
        <v>5200</v>
      </c>
      <c r="J1752" t="s">
        <v>5321</v>
      </c>
      <c r="K1752">
        <v>10452</v>
      </c>
      <c r="L1752" t="s">
        <v>5355</v>
      </c>
      <c r="M1752" t="s">
        <v>5356</v>
      </c>
      <c r="N1752" t="s">
        <v>5960</v>
      </c>
      <c r="O1752" t="s">
        <v>6492</v>
      </c>
      <c r="P1752" t="s">
        <v>6530</v>
      </c>
      <c r="Q1752" t="s">
        <v>6534</v>
      </c>
      <c r="R1752" t="s">
        <v>6539</v>
      </c>
      <c r="U1752" t="s">
        <v>6557</v>
      </c>
      <c r="W1752" t="s">
        <v>315</v>
      </c>
      <c r="X1752">
        <v>1011</v>
      </c>
      <c r="Y1752" t="s">
        <v>6606</v>
      </c>
      <c r="Z1752" t="s">
        <v>6614</v>
      </c>
      <c r="AA1752" t="s">
        <v>6637</v>
      </c>
      <c r="AB1752" t="s">
        <v>8128</v>
      </c>
      <c r="AC1752" t="s">
        <v>8989</v>
      </c>
      <c r="AD1752" t="s">
        <v>10460</v>
      </c>
      <c r="AE1752">
        <v>0</v>
      </c>
      <c r="AH1752">
        <v>0</v>
      </c>
      <c r="AI1752">
        <v>2</v>
      </c>
      <c r="AJ1752">
        <v>1</v>
      </c>
      <c r="AK1752">
        <v>73.7</v>
      </c>
      <c r="AN1752" t="s">
        <v>11049</v>
      </c>
      <c r="AO1752">
        <v>15314</v>
      </c>
      <c r="AQ1752" t="s">
        <v>11192</v>
      </c>
      <c r="AR1752" t="s">
        <v>11230</v>
      </c>
      <c r="AS1752" t="s">
        <v>11253</v>
      </c>
      <c r="AT1752" t="s">
        <v>11361</v>
      </c>
      <c r="AU1752">
        <v>21.55</v>
      </c>
      <c r="AV1752" t="s">
        <v>728</v>
      </c>
      <c r="AW1752" t="s">
        <v>11538</v>
      </c>
    </row>
    <row r="1753" spans="1:49">
      <c r="A1753" s="1">
        <f>HYPERLINK("https://cms.ls-nyc.org/matter/dynamic-profile/view/1860683","18-1860683")</f>
        <v>0</v>
      </c>
      <c r="B1753" t="s">
        <v>90</v>
      </c>
      <c r="C1753" t="s">
        <v>235</v>
      </c>
      <c r="D1753" t="s">
        <v>409</v>
      </c>
      <c r="F1753" t="s">
        <v>1377</v>
      </c>
      <c r="G1753" t="s">
        <v>2448</v>
      </c>
      <c r="H1753" t="s">
        <v>3949</v>
      </c>
      <c r="I1753" t="s">
        <v>4814</v>
      </c>
      <c r="J1753" t="s">
        <v>5321</v>
      </c>
      <c r="K1753">
        <v>10452</v>
      </c>
      <c r="L1753" t="s">
        <v>5355</v>
      </c>
      <c r="M1753" t="s">
        <v>5355</v>
      </c>
      <c r="N1753" t="s">
        <v>5792</v>
      </c>
      <c r="O1753" t="s">
        <v>6494</v>
      </c>
      <c r="P1753" t="s">
        <v>6530</v>
      </c>
      <c r="R1753" t="s">
        <v>6539</v>
      </c>
      <c r="S1753" t="s">
        <v>5355</v>
      </c>
      <c r="U1753" t="s">
        <v>6557</v>
      </c>
      <c r="W1753" t="s">
        <v>480</v>
      </c>
      <c r="X1753">
        <v>1005</v>
      </c>
      <c r="Y1753" t="s">
        <v>6606</v>
      </c>
      <c r="Z1753" t="s">
        <v>6612</v>
      </c>
      <c r="AB1753" t="s">
        <v>7370</v>
      </c>
      <c r="AD1753" t="s">
        <v>9742</v>
      </c>
      <c r="AE1753">
        <v>60</v>
      </c>
      <c r="AF1753" t="s">
        <v>11005</v>
      </c>
      <c r="AG1753" t="s">
        <v>11024</v>
      </c>
      <c r="AH1753">
        <v>30</v>
      </c>
      <c r="AI1753">
        <v>1</v>
      </c>
      <c r="AJ1753">
        <v>0</v>
      </c>
      <c r="AK1753">
        <v>73.73999999999999</v>
      </c>
      <c r="AN1753" t="s">
        <v>11049</v>
      </c>
      <c r="AO1753">
        <v>8952</v>
      </c>
      <c r="AU1753">
        <v>0.1</v>
      </c>
      <c r="AV1753" t="s">
        <v>331</v>
      </c>
      <c r="AW1753" t="s">
        <v>11492</v>
      </c>
    </row>
    <row r="1754" spans="1:49">
      <c r="A1754" s="1">
        <f>HYPERLINK("https://cms.ls-nyc.org/matter/dynamic-profile/view/1850821","17-1850821")</f>
        <v>0</v>
      </c>
      <c r="B1754" t="s">
        <v>67</v>
      </c>
      <c r="C1754" t="s">
        <v>234</v>
      </c>
      <c r="D1754" t="s">
        <v>400</v>
      </c>
      <c r="E1754" t="s">
        <v>677</v>
      </c>
      <c r="F1754" t="s">
        <v>1807</v>
      </c>
      <c r="G1754" t="s">
        <v>3110</v>
      </c>
      <c r="H1754" t="s">
        <v>4358</v>
      </c>
      <c r="I1754" t="s">
        <v>4738</v>
      </c>
      <c r="J1754" t="s">
        <v>5323</v>
      </c>
      <c r="K1754">
        <v>10035</v>
      </c>
      <c r="L1754" t="s">
        <v>5355</v>
      </c>
      <c r="M1754" t="s">
        <v>5355</v>
      </c>
      <c r="N1754" t="s">
        <v>5961</v>
      </c>
      <c r="O1754" t="s">
        <v>6492</v>
      </c>
      <c r="P1754" t="s">
        <v>6530</v>
      </c>
      <c r="Q1754" t="s">
        <v>6534</v>
      </c>
      <c r="R1754" t="s">
        <v>6539</v>
      </c>
      <c r="S1754" t="s">
        <v>5357</v>
      </c>
      <c r="U1754" t="s">
        <v>6557</v>
      </c>
      <c r="V1754" t="s">
        <v>6566</v>
      </c>
      <c r="W1754" t="s">
        <v>400</v>
      </c>
      <c r="X1754">
        <v>533.53</v>
      </c>
      <c r="Y1754" t="s">
        <v>6608</v>
      </c>
      <c r="Z1754" t="s">
        <v>6616</v>
      </c>
      <c r="AA1754" t="s">
        <v>6637</v>
      </c>
      <c r="AB1754" t="s">
        <v>8129</v>
      </c>
      <c r="AD1754" t="s">
        <v>10461</v>
      </c>
      <c r="AE1754">
        <v>20</v>
      </c>
      <c r="AF1754" t="s">
        <v>11005</v>
      </c>
      <c r="AG1754" t="s">
        <v>5406</v>
      </c>
      <c r="AH1754">
        <v>40</v>
      </c>
      <c r="AI1754">
        <v>1</v>
      </c>
      <c r="AJ1754">
        <v>0</v>
      </c>
      <c r="AK1754">
        <v>73.83</v>
      </c>
      <c r="AL1754" t="s">
        <v>366</v>
      </c>
      <c r="AN1754" t="s">
        <v>11050</v>
      </c>
      <c r="AO1754">
        <v>8904</v>
      </c>
      <c r="AU1754">
        <v>51.5</v>
      </c>
      <c r="AV1754" t="s">
        <v>335</v>
      </c>
      <c r="AW1754" t="s">
        <v>11497</v>
      </c>
    </row>
    <row r="1755" spans="1:49">
      <c r="A1755" s="1">
        <f>HYPERLINK("https://cms.ls-nyc.org/matter/dynamic-profile/view/1840379","17-1840379")</f>
        <v>0</v>
      </c>
      <c r="B1755" t="s">
        <v>65</v>
      </c>
      <c r="C1755" t="s">
        <v>234</v>
      </c>
      <c r="D1755" t="s">
        <v>387</v>
      </c>
      <c r="E1755" t="s">
        <v>758</v>
      </c>
      <c r="F1755" t="s">
        <v>1808</v>
      </c>
      <c r="G1755" t="s">
        <v>3111</v>
      </c>
      <c r="H1755" t="s">
        <v>3702</v>
      </c>
      <c r="I1755">
        <v>31</v>
      </c>
      <c r="J1755" t="s">
        <v>5323</v>
      </c>
      <c r="K1755">
        <v>10033</v>
      </c>
      <c r="L1755" t="s">
        <v>5355</v>
      </c>
      <c r="M1755" t="s">
        <v>5356</v>
      </c>
      <c r="N1755" t="s">
        <v>5871</v>
      </c>
      <c r="O1755" t="s">
        <v>6502</v>
      </c>
      <c r="P1755" t="s">
        <v>6530</v>
      </c>
      <c r="Q1755" t="s">
        <v>6534</v>
      </c>
      <c r="R1755" t="s">
        <v>6539</v>
      </c>
      <c r="S1755" t="s">
        <v>5355</v>
      </c>
      <c r="U1755" t="s">
        <v>6557</v>
      </c>
      <c r="W1755" t="s">
        <v>404</v>
      </c>
      <c r="X1755">
        <v>935.55</v>
      </c>
      <c r="Y1755" t="s">
        <v>6608</v>
      </c>
      <c r="Z1755" t="s">
        <v>6616</v>
      </c>
      <c r="AA1755" t="s">
        <v>6642</v>
      </c>
      <c r="AB1755" t="s">
        <v>8130</v>
      </c>
      <c r="AD1755" t="s">
        <v>10462</v>
      </c>
      <c r="AE1755">
        <v>33</v>
      </c>
      <c r="AF1755" t="s">
        <v>11005</v>
      </c>
      <c r="AG1755" t="s">
        <v>11024</v>
      </c>
      <c r="AH1755">
        <v>42</v>
      </c>
      <c r="AI1755">
        <v>1</v>
      </c>
      <c r="AJ1755">
        <v>0</v>
      </c>
      <c r="AK1755">
        <v>73.83</v>
      </c>
      <c r="AL1755" t="s">
        <v>11030</v>
      </c>
      <c r="AN1755" t="s">
        <v>11049</v>
      </c>
      <c r="AO1755">
        <v>8904</v>
      </c>
      <c r="AU1755">
        <v>0.53</v>
      </c>
      <c r="AV1755" t="s">
        <v>444</v>
      </c>
      <c r="AW1755" t="s">
        <v>11495</v>
      </c>
    </row>
    <row r="1756" spans="1:49">
      <c r="A1756" s="1">
        <f>HYPERLINK("https://cms.ls-nyc.org/matter/dynamic-profile/view/1853553","17-1853553")</f>
        <v>0</v>
      </c>
      <c r="B1756" t="s">
        <v>115</v>
      </c>
      <c r="C1756" t="s">
        <v>234</v>
      </c>
      <c r="D1756" t="s">
        <v>327</v>
      </c>
      <c r="E1756" t="s">
        <v>720</v>
      </c>
      <c r="F1756" t="s">
        <v>990</v>
      </c>
      <c r="G1756" t="s">
        <v>2244</v>
      </c>
      <c r="H1756" t="s">
        <v>3586</v>
      </c>
      <c r="I1756" t="s">
        <v>4825</v>
      </c>
      <c r="J1756" t="s">
        <v>5320</v>
      </c>
      <c r="K1756">
        <v>11233</v>
      </c>
      <c r="L1756" t="s">
        <v>5355</v>
      </c>
      <c r="M1756" t="s">
        <v>5355</v>
      </c>
      <c r="N1756" t="s">
        <v>5962</v>
      </c>
      <c r="O1756" t="s">
        <v>6492</v>
      </c>
      <c r="P1756" t="s">
        <v>6530</v>
      </c>
      <c r="Q1756" t="s">
        <v>6534</v>
      </c>
      <c r="R1756" t="s">
        <v>6539</v>
      </c>
      <c r="S1756" t="s">
        <v>5355</v>
      </c>
      <c r="U1756" t="s">
        <v>6557</v>
      </c>
      <c r="W1756" t="s">
        <v>6595</v>
      </c>
      <c r="X1756">
        <v>1137</v>
      </c>
      <c r="Y1756" t="s">
        <v>6605</v>
      </c>
      <c r="Z1756" t="s">
        <v>6614</v>
      </c>
      <c r="AA1756" t="s">
        <v>6637</v>
      </c>
      <c r="AB1756" t="s">
        <v>6824</v>
      </c>
      <c r="AC1756" t="s">
        <v>8990</v>
      </c>
      <c r="AD1756" t="s">
        <v>10463</v>
      </c>
      <c r="AE1756">
        <v>32</v>
      </c>
      <c r="AG1756" t="s">
        <v>11020</v>
      </c>
      <c r="AH1756">
        <v>8</v>
      </c>
      <c r="AI1756">
        <v>1</v>
      </c>
      <c r="AJ1756">
        <v>1</v>
      </c>
      <c r="AK1756">
        <v>73.89</v>
      </c>
      <c r="AN1756" t="s">
        <v>11050</v>
      </c>
      <c r="AO1756">
        <v>12000</v>
      </c>
      <c r="AR1756" t="s">
        <v>11210</v>
      </c>
      <c r="AS1756" t="s">
        <v>11253</v>
      </c>
      <c r="AT1756" t="s">
        <v>11298</v>
      </c>
      <c r="AU1756">
        <v>0.1</v>
      </c>
      <c r="AV1756" t="s">
        <v>720</v>
      </c>
      <c r="AW1756" t="s">
        <v>11489</v>
      </c>
    </row>
    <row r="1757" spans="1:49">
      <c r="A1757" s="1">
        <f>HYPERLINK("https://cms.ls-nyc.org/matter/dynamic-profile/view/1851358","17-1851358")</f>
        <v>0</v>
      </c>
      <c r="B1757" t="s">
        <v>76</v>
      </c>
      <c r="C1757" t="s">
        <v>234</v>
      </c>
      <c r="D1757" t="s">
        <v>560</v>
      </c>
      <c r="E1757" t="s">
        <v>684</v>
      </c>
      <c r="F1757" t="s">
        <v>1152</v>
      </c>
      <c r="G1757" t="s">
        <v>3112</v>
      </c>
      <c r="H1757" t="s">
        <v>4359</v>
      </c>
      <c r="I1757" t="s">
        <v>4849</v>
      </c>
      <c r="J1757" t="s">
        <v>5323</v>
      </c>
      <c r="K1757">
        <v>10035</v>
      </c>
      <c r="L1757" t="s">
        <v>5355</v>
      </c>
      <c r="M1757" t="s">
        <v>5355</v>
      </c>
      <c r="N1757" t="s">
        <v>5963</v>
      </c>
      <c r="O1757" t="s">
        <v>6491</v>
      </c>
      <c r="P1757" t="s">
        <v>6530</v>
      </c>
      <c r="Q1757" t="s">
        <v>6534</v>
      </c>
      <c r="R1757" t="s">
        <v>6539</v>
      </c>
      <c r="S1757" t="s">
        <v>5357</v>
      </c>
      <c r="U1757" t="s">
        <v>6557</v>
      </c>
      <c r="V1757" t="s">
        <v>6566</v>
      </c>
      <c r="W1757" t="s">
        <v>560</v>
      </c>
      <c r="X1757">
        <v>0</v>
      </c>
      <c r="Y1757" t="s">
        <v>6608</v>
      </c>
      <c r="Z1757" t="s">
        <v>6616</v>
      </c>
      <c r="AA1757" t="s">
        <v>6637</v>
      </c>
      <c r="AB1757" t="s">
        <v>8131</v>
      </c>
      <c r="AD1757" t="s">
        <v>10464</v>
      </c>
      <c r="AE1757">
        <v>48</v>
      </c>
      <c r="AF1757" t="s">
        <v>8722</v>
      </c>
      <c r="AG1757" t="s">
        <v>11027</v>
      </c>
      <c r="AH1757">
        <v>15</v>
      </c>
      <c r="AI1757">
        <v>1</v>
      </c>
      <c r="AJ1757">
        <v>0</v>
      </c>
      <c r="AK1757">
        <v>74.13</v>
      </c>
      <c r="AN1757" t="s">
        <v>11050</v>
      </c>
      <c r="AO1757">
        <v>8940</v>
      </c>
      <c r="AU1757">
        <v>10.5</v>
      </c>
      <c r="AV1757" t="s">
        <v>833</v>
      </c>
      <c r="AW1757" t="s">
        <v>11497</v>
      </c>
    </row>
    <row r="1758" spans="1:49">
      <c r="A1758" s="1">
        <f>HYPERLINK("https://cms.ls-nyc.org/matter/dynamic-profile/view/1868015","18-1868015")</f>
        <v>0</v>
      </c>
      <c r="B1758" t="s">
        <v>133</v>
      </c>
      <c r="C1758" t="s">
        <v>234</v>
      </c>
      <c r="D1758" t="s">
        <v>452</v>
      </c>
      <c r="E1758" t="s">
        <v>541</v>
      </c>
      <c r="F1758" t="s">
        <v>1809</v>
      </c>
      <c r="G1758" t="s">
        <v>3062</v>
      </c>
      <c r="H1758" t="s">
        <v>4360</v>
      </c>
      <c r="I1758" t="s">
        <v>5201</v>
      </c>
      <c r="J1758" t="s">
        <v>5326</v>
      </c>
      <c r="K1758">
        <v>11691</v>
      </c>
      <c r="L1758" t="s">
        <v>5355</v>
      </c>
      <c r="M1758" t="s">
        <v>5356</v>
      </c>
      <c r="N1758" t="s">
        <v>5964</v>
      </c>
      <c r="O1758" t="s">
        <v>6492</v>
      </c>
      <c r="P1758" t="s">
        <v>6530</v>
      </c>
      <c r="Q1758" t="s">
        <v>6534</v>
      </c>
      <c r="R1758" t="s">
        <v>6539</v>
      </c>
      <c r="S1758" t="s">
        <v>5357</v>
      </c>
      <c r="U1758" t="s">
        <v>6557</v>
      </c>
      <c r="W1758" t="s">
        <v>452</v>
      </c>
      <c r="X1758">
        <v>217</v>
      </c>
      <c r="Y1758" t="s">
        <v>6604</v>
      </c>
      <c r="Z1758" t="s">
        <v>6617</v>
      </c>
      <c r="AA1758" t="s">
        <v>6651</v>
      </c>
      <c r="AB1758" t="s">
        <v>8132</v>
      </c>
      <c r="AC1758" t="s">
        <v>5406</v>
      </c>
      <c r="AD1758" t="s">
        <v>10465</v>
      </c>
      <c r="AE1758">
        <v>160</v>
      </c>
      <c r="AF1758" t="s">
        <v>11008</v>
      </c>
      <c r="AG1758" t="s">
        <v>11020</v>
      </c>
      <c r="AH1758">
        <v>21</v>
      </c>
      <c r="AI1758">
        <v>1</v>
      </c>
      <c r="AJ1758">
        <v>0</v>
      </c>
      <c r="AK1758">
        <v>74.14</v>
      </c>
      <c r="AN1758" t="s">
        <v>11050</v>
      </c>
      <c r="AO1758">
        <v>9000</v>
      </c>
      <c r="AU1758">
        <v>21.6</v>
      </c>
      <c r="AV1758" t="s">
        <v>402</v>
      </c>
      <c r="AW1758" t="s">
        <v>11506</v>
      </c>
    </row>
    <row r="1759" spans="1:49">
      <c r="A1759" s="1">
        <f>HYPERLINK("https://cms.ls-nyc.org/matter/dynamic-profile/view/1862270","18-1862270")</f>
        <v>0</v>
      </c>
      <c r="B1759" t="s">
        <v>104</v>
      </c>
      <c r="C1759" t="s">
        <v>235</v>
      </c>
      <c r="D1759" t="s">
        <v>336</v>
      </c>
      <c r="F1759" t="s">
        <v>1404</v>
      </c>
      <c r="G1759" t="s">
        <v>3113</v>
      </c>
      <c r="H1759" t="s">
        <v>4361</v>
      </c>
      <c r="I1759" t="s">
        <v>4853</v>
      </c>
      <c r="J1759" t="s">
        <v>5321</v>
      </c>
      <c r="K1759">
        <v>10453</v>
      </c>
      <c r="L1759" t="s">
        <v>5355</v>
      </c>
      <c r="M1759" t="s">
        <v>5356</v>
      </c>
      <c r="N1759" t="s">
        <v>5965</v>
      </c>
      <c r="O1759" t="s">
        <v>6491</v>
      </c>
      <c r="P1759" t="s">
        <v>6530</v>
      </c>
      <c r="R1759" t="s">
        <v>6539</v>
      </c>
      <c r="S1759" t="s">
        <v>5357</v>
      </c>
      <c r="U1759" t="s">
        <v>6557</v>
      </c>
      <c r="W1759" t="s">
        <v>371</v>
      </c>
      <c r="X1759">
        <v>944.9</v>
      </c>
      <c r="Y1759" t="s">
        <v>6606</v>
      </c>
      <c r="Z1759" t="s">
        <v>6614</v>
      </c>
      <c r="AB1759" t="s">
        <v>8133</v>
      </c>
      <c r="AD1759" t="s">
        <v>10466</v>
      </c>
      <c r="AE1759">
        <v>111</v>
      </c>
      <c r="AF1759" t="s">
        <v>11005</v>
      </c>
      <c r="AG1759" t="s">
        <v>11020</v>
      </c>
      <c r="AH1759">
        <v>26</v>
      </c>
      <c r="AI1759">
        <v>1</v>
      </c>
      <c r="AJ1759">
        <v>0</v>
      </c>
      <c r="AK1759">
        <v>74.14</v>
      </c>
      <c r="AN1759" t="s">
        <v>11050</v>
      </c>
      <c r="AO1759">
        <v>9000</v>
      </c>
      <c r="AU1759">
        <v>93.09999999999999</v>
      </c>
      <c r="AV1759" t="s">
        <v>693</v>
      </c>
      <c r="AW1759" t="s">
        <v>11505</v>
      </c>
    </row>
    <row r="1760" spans="1:49">
      <c r="A1760" s="1">
        <f>HYPERLINK("https://cms.ls-nyc.org/matter/dynamic-profile/view/1863062","18-1863062")</f>
        <v>0</v>
      </c>
      <c r="B1760" t="s">
        <v>111</v>
      </c>
      <c r="C1760" t="s">
        <v>235</v>
      </c>
      <c r="D1760" t="s">
        <v>369</v>
      </c>
      <c r="F1760" t="s">
        <v>1543</v>
      </c>
      <c r="G1760" t="s">
        <v>3114</v>
      </c>
      <c r="H1760" t="s">
        <v>4331</v>
      </c>
      <c r="I1760" t="s">
        <v>4923</v>
      </c>
      <c r="J1760" t="s">
        <v>5323</v>
      </c>
      <c r="K1760">
        <v>10034</v>
      </c>
      <c r="L1760" t="s">
        <v>5355</v>
      </c>
      <c r="M1760" t="s">
        <v>5356</v>
      </c>
      <c r="O1760" t="s">
        <v>6494</v>
      </c>
      <c r="P1760" t="s">
        <v>6530</v>
      </c>
      <c r="R1760" t="s">
        <v>6539</v>
      </c>
      <c r="S1760" t="s">
        <v>5355</v>
      </c>
      <c r="U1760" t="s">
        <v>6557</v>
      </c>
      <c r="W1760" t="s">
        <v>369</v>
      </c>
      <c r="X1760">
        <v>246</v>
      </c>
      <c r="Y1760" t="s">
        <v>6608</v>
      </c>
      <c r="Z1760" t="s">
        <v>6616</v>
      </c>
      <c r="AB1760" t="s">
        <v>8134</v>
      </c>
      <c r="AD1760" t="s">
        <v>10467</v>
      </c>
      <c r="AE1760">
        <v>60</v>
      </c>
      <c r="AF1760" t="s">
        <v>11005</v>
      </c>
      <c r="AG1760" t="s">
        <v>5406</v>
      </c>
      <c r="AH1760">
        <v>3</v>
      </c>
      <c r="AI1760">
        <v>1</v>
      </c>
      <c r="AJ1760">
        <v>0</v>
      </c>
      <c r="AK1760">
        <v>74.14</v>
      </c>
      <c r="AN1760" t="s">
        <v>11050</v>
      </c>
      <c r="AO1760">
        <v>9000</v>
      </c>
      <c r="AU1760">
        <v>0.25</v>
      </c>
      <c r="AV1760" t="s">
        <v>729</v>
      </c>
      <c r="AW1760" t="s">
        <v>11495</v>
      </c>
    </row>
    <row r="1761" spans="1:49">
      <c r="A1761" s="1">
        <f>HYPERLINK("https://cms.ls-nyc.org/matter/dynamic-profile/view/1862196","18-1862196")</f>
        <v>0</v>
      </c>
      <c r="B1761" t="s">
        <v>90</v>
      </c>
      <c r="C1761" t="s">
        <v>234</v>
      </c>
      <c r="D1761" t="s">
        <v>331</v>
      </c>
      <c r="E1761" t="s">
        <v>713</v>
      </c>
      <c r="F1761" t="s">
        <v>1226</v>
      </c>
      <c r="G1761" t="s">
        <v>2772</v>
      </c>
      <c r="H1761" t="s">
        <v>3549</v>
      </c>
      <c r="I1761" t="s">
        <v>4833</v>
      </c>
      <c r="J1761" t="s">
        <v>5321</v>
      </c>
      <c r="K1761">
        <v>10452</v>
      </c>
      <c r="L1761" t="s">
        <v>5355</v>
      </c>
      <c r="M1761" t="s">
        <v>5355</v>
      </c>
      <c r="N1761" t="s">
        <v>5966</v>
      </c>
      <c r="O1761" t="s">
        <v>6494</v>
      </c>
      <c r="P1761" t="s">
        <v>6530</v>
      </c>
      <c r="Q1761" t="s">
        <v>6534</v>
      </c>
      <c r="R1761" t="s">
        <v>6539</v>
      </c>
      <c r="S1761" t="s">
        <v>5355</v>
      </c>
      <c r="U1761" t="s">
        <v>6557</v>
      </c>
      <c r="W1761" t="s">
        <v>480</v>
      </c>
      <c r="X1761">
        <v>1047</v>
      </c>
      <c r="Y1761" t="s">
        <v>6606</v>
      </c>
      <c r="Z1761" t="s">
        <v>6612</v>
      </c>
      <c r="AA1761" t="s">
        <v>6634</v>
      </c>
      <c r="AB1761" t="s">
        <v>7578</v>
      </c>
      <c r="AD1761" t="s">
        <v>9940</v>
      </c>
      <c r="AE1761">
        <v>52</v>
      </c>
      <c r="AF1761" t="s">
        <v>11005</v>
      </c>
      <c r="AG1761" t="s">
        <v>11020</v>
      </c>
      <c r="AH1761">
        <v>18</v>
      </c>
      <c r="AI1761">
        <v>1</v>
      </c>
      <c r="AJ1761">
        <v>0</v>
      </c>
      <c r="AK1761">
        <v>74.43000000000001</v>
      </c>
      <c r="AN1761" t="s">
        <v>11050</v>
      </c>
      <c r="AO1761">
        <v>9036</v>
      </c>
      <c r="AU1761">
        <v>89.5</v>
      </c>
      <c r="AV1761" t="s">
        <v>664</v>
      </c>
      <c r="AW1761" t="s">
        <v>59</v>
      </c>
    </row>
    <row r="1762" spans="1:49">
      <c r="A1762" s="1">
        <f>HYPERLINK("https://cms.ls-nyc.org/matter/dynamic-profile/view/1861579","18-1861579")</f>
        <v>0</v>
      </c>
      <c r="B1762" t="s">
        <v>124</v>
      </c>
      <c r="C1762" t="s">
        <v>235</v>
      </c>
      <c r="D1762" t="s">
        <v>339</v>
      </c>
      <c r="F1762" t="s">
        <v>903</v>
      </c>
      <c r="G1762" t="s">
        <v>2109</v>
      </c>
      <c r="H1762" t="s">
        <v>3994</v>
      </c>
      <c r="I1762" t="s">
        <v>4800</v>
      </c>
      <c r="J1762" t="s">
        <v>5323</v>
      </c>
      <c r="K1762">
        <v>10040</v>
      </c>
      <c r="L1762" t="s">
        <v>5355</v>
      </c>
      <c r="M1762" t="s">
        <v>5356</v>
      </c>
      <c r="O1762" t="s">
        <v>6494</v>
      </c>
      <c r="P1762" t="s">
        <v>6530</v>
      </c>
      <c r="R1762" t="s">
        <v>6539</v>
      </c>
      <c r="S1762" t="s">
        <v>5355</v>
      </c>
      <c r="U1762" t="s">
        <v>6557</v>
      </c>
      <c r="W1762" t="s">
        <v>339</v>
      </c>
      <c r="X1762">
        <v>400</v>
      </c>
      <c r="Y1762" t="s">
        <v>6608</v>
      </c>
      <c r="Z1762" t="s">
        <v>6616</v>
      </c>
      <c r="AB1762" t="s">
        <v>8135</v>
      </c>
      <c r="AD1762" t="s">
        <v>10468</v>
      </c>
      <c r="AE1762">
        <v>49</v>
      </c>
      <c r="AF1762" t="s">
        <v>11005</v>
      </c>
      <c r="AG1762" t="s">
        <v>5406</v>
      </c>
      <c r="AH1762">
        <v>43</v>
      </c>
      <c r="AI1762">
        <v>2</v>
      </c>
      <c r="AJ1762">
        <v>0</v>
      </c>
      <c r="AK1762">
        <v>74.51000000000001</v>
      </c>
      <c r="AL1762" t="s">
        <v>301</v>
      </c>
      <c r="AN1762" t="s">
        <v>11049</v>
      </c>
      <c r="AO1762">
        <v>12264</v>
      </c>
      <c r="AU1762">
        <v>2.6</v>
      </c>
      <c r="AV1762" t="s">
        <v>434</v>
      </c>
      <c r="AW1762" t="s">
        <v>11495</v>
      </c>
    </row>
    <row r="1763" spans="1:49">
      <c r="A1763" s="1">
        <f>HYPERLINK("https://cms.ls-nyc.org/matter/dynamic-profile/view/1856048","18-1856048")</f>
        <v>0</v>
      </c>
      <c r="B1763" t="s">
        <v>175</v>
      </c>
      <c r="C1763" t="s">
        <v>234</v>
      </c>
      <c r="D1763" t="s">
        <v>525</v>
      </c>
      <c r="E1763" t="s">
        <v>468</v>
      </c>
      <c r="F1763" t="s">
        <v>1272</v>
      </c>
      <c r="G1763" t="s">
        <v>3115</v>
      </c>
      <c r="H1763" t="s">
        <v>4362</v>
      </c>
      <c r="I1763" t="s">
        <v>4777</v>
      </c>
      <c r="J1763" t="s">
        <v>5320</v>
      </c>
      <c r="K1763">
        <v>11208</v>
      </c>
      <c r="L1763" t="s">
        <v>5355</v>
      </c>
      <c r="M1763" t="s">
        <v>5355</v>
      </c>
      <c r="N1763" t="s">
        <v>5967</v>
      </c>
      <c r="O1763" t="s">
        <v>6492</v>
      </c>
      <c r="P1763" t="s">
        <v>6530</v>
      </c>
      <c r="Q1763" t="s">
        <v>6534</v>
      </c>
      <c r="R1763" t="s">
        <v>6539</v>
      </c>
      <c r="U1763" t="s">
        <v>6557</v>
      </c>
      <c r="W1763" t="s">
        <v>516</v>
      </c>
      <c r="X1763">
        <v>859</v>
      </c>
      <c r="Y1763" t="s">
        <v>6605</v>
      </c>
      <c r="Z1763" t="s">
        <v>6613</v>
      </c>
      <c r="AA1763" t="s">
        <v>6637</v>
      </c>
      <c r="AB1763" t="s">
        <v>8136</v>
      </c>
      <c r="AC1763" t="s">
        <v>8991</v>
      </c>
      <c r="AD1763" t="s">
        <v>10469</v>
      </c>
      <c r="AE1763">
        <v>84</v>
      </c>
      <c r="AF1763" t="s">
        <v>11005</v>
      </c>
      <c r="AH1763">
        <v>2</v>
      </c>
      <c r="AI1763">
        <v>1</v>
      </c>
      <c r="AJ1763">
        <v>0</v>
      </c>
      <c r="AK1763">
        <v>74.63</v>
      </c>
      <c r="AN1763" t="s">
        <v>11050</v>
      </c>
      <c r="AO1763">
        <v>9000</v>
      </c>
      <c r="AR1763" t="s">
        <v>11210</v>
      </c>
      <c r="AS1763" t="s">
        <v>11253</v>
      </c>
      <c r="AT1763" t="s">
        <v>11321</v>
      </c>
      <c r="AU1763">
        <v>12.75</v>
      </c>
      <c r="AV1763" t="s">
        <v>468</v>
      </c>
      <c r="AW1763" t="s">
        <v>11541</v>
      </c>
    </row>
    <row r="1764" spans="1:49">
      <c r="A1764" s="1">
        <f>HYPERLINK("https://cms.ls-nyc.org/matter/dynamic-profile/view/1844891","17-1844891")</f>
        <v>0</v>
      </c>
      <c r="B1764" t="s">
        <v>90</v>
      </c>
      <c r="C1764" t="s">
        <v>234</v>
      </c>
      <c r="D1764" t="s">
        <v>383</v>
      </c>
      <c r="E1764" t="s">
        <v>398</v>
      </c>
      <c r="F1764" t="s">
        <v>1404</v>
      </c>
      <c r="G1764" t="s">
        <v>3113</v>
      </c>
      <c r="H1764" t="s">
        <v>4361</v>
      </c>
      <c r="I1764" t="s">
        <v>4853</v>
      </c>
      <c r="J1764" t="s">
        <v>5321</v>
      </c>
      <c r="K1764">
        <v>10453</v>
      </c>
      <c r="L1764" t="s">
        <v>5355</v>
      </c>
      <c r="M1764" t="s">
        <v>5356</v>
      </c>
      <c r="N1764" t="s">
        <v>5968</v>
      </c>
      <c r="O1764" t="s">
        <v>6494</v>
      </c>
      <c r="P1764" t="s">
        <v>6530</v>
      </c>
      <c r="Q1764" t="s">
        <v>6538</v>
      </c>
      <c r="R1764" t="s">
        <v>6539</v>
      </c>
      <c r="S1764" t="s">
        <v>5355</v>
      </c>
      <c r="U1764" t="s">
        <v>6557</v>
      </c>
      <c r="W1764" t="s">
        <v>371</v>
      </c>
      <c r="X1764">
        <v>944.9</v>
      </c>
      <c r="Y1764" t="s">
        <v>6606</v>
      </c>
      <c r="Z1764" t="s">
        <v>6612</v>
      </c>
      <c r="AA1764" t="s">
        <v>6634</v>
      </c>
      <c r="AB1764" t="s">
        <v>8133</v>
      </c>
      <c r="AD1764" t="s">
        <v>10466</v>
      </c>
      <c r="AE1764">
        <v>111</v>
      </c>
      <c r="AF1764" t="s">
        <v>8722</v>
      </c>
      <c r="AG1764" t="s">
        <v>11020</v>
      </c>
      <c r="AH1764">
        <v>26</v>
      </c>
      <c r="AI1764">
        <v>1</v>
      </c>
      <c r="AJ1764">
        <v>0</v>
      </c>
      <c r="AK1764">
        <v>74.63</v>
      </c>
      <c r="AN1764" t="s">
        <v>11050</v>
      </c>
      <c r="AO1764">
        <v>9000</v>
      </c>
      <c r="AU1764">
        <v>0.2</v>
      </c>
      <c r="AV1764" t="s">
        <v>560</v>
      </c>
      <c r="AW1764" t="s">
        <v>11492</v>
      </c>
    </row>
    <row r="1765" spans="1:49">
      <c r="A1765" s="1">
        <f>HYPERLINK("https://cms.ls-nyc.org/matter/dynamic-profile/view/1856360","18-1856360")</f>
        <v>0</v>
      </c>
      <c r="B1765" t="s">
        <v>102</v>
      </c>
      <c r="C1765" t="s">
        <v>234</v>
      </c>
      <c r="D1765" t="s">
        <v>261</v>
      </c>
      <c r="E1765" t="s">
        <v>744</v>
      </c>
      <c r="F1765" t="s">
        <v>955</v>
      </c>
      <c r="G1765" t="s">
        <v>2207</v>
      </c>
      <c r="H1765" t="s">
        <v>3526</v>
      </c>
      <c r="I1765">
        <v>114</v>
      </c>
      <c r="J1765" t="s">
        <v>5321</v>
      </c>
      <c r="K1765">
        <v>10453</v>
      </c>
      <c r="L1765" t="s">
        <v>5355</v>
      </c>
      <c r="M1765" t="s">
        <v>5356</v>
      </c>
      <c r="N1765" t="s">
        <v>5883</v>
      </c>
      <c r="O1765" t="s">
        <v>6494</v>
      </c>
      <c r="P1765" t="s">
        <v>6530</v>
      </c>
      <c r="Q1765" t="s">
        <v>6534</v>
      </c>
      <c r="R1765" t="s">
        <v>6539</v>
      </c>
      <c r="S1765" t="s">
        <v>5355</v>
      </c>
      <c r="U1765" t="s">
        <v>6557</v>
      </c>
      <c r="W1765" t="s">
        <v>247</v>
      </c>
      <c r="X1765">
        <v>1024.41</v>
      </c>
      <c r="Y1765" t="s">
        <v>6606</v>
      </c>
      <c r="Z1765" t="s">
        <v>6622</v>
      </c>
      <c r="AA1765" t="s">
        <v>6634</v>
      </c>
      <c r="AB1765" t="s">
        <v>6779</v>
      </c>
      <c r="AD1765" t="s">
        <v>9208</v>
      </c>
      <c r="AE1765">
        <v>146</v>
      </c>
      <c r="AF1765" t="s">
        <v>11005</v>
      </c>
      <c r="AG1765" t="s">
        <v>5406</v>
      </c>
      <c r="AH1765">
        <v>13</v>
      </c>
      <c r="AI1765">
        <v>1</v>
      </c>
      <c r="AJ1765">
        <v>0</v>
      </c>
      <c r="AK1765">
        <v>74.63</v>
      </c>
      <c r="AN1765" t="s">
        <v>11049</v>
      </c>
      <c r="AO1765">
        <v>9000</v>
      </c>
      <c r="AU1765">
        <v>1.3</v>
      </c>
      <c r="AV1765" t="s">
        <v>745</v>
      </c>
      <c r="AW1765" t="s">
        <v>11492</v>
      </c>
    </row>
    <row r="1766" spans="1:49">
      <c r="A1766" s="1">
        <f>HYPERLINK("https://cms.ls-nyc.org/matter/dynamic-profile/view/1857246","18-1857246")</f>
        <v>0</v>
      </c>
      <c r="B1766" t="s">
        <v>65</v>
      </c>
      <c r="C1766" t="s">
        <v>234</v>
      </c>
      <c r="D1766" t="s">
        <v>297</v>
      </c>
      <c r="E1766" t="s">
        <v>686</v>
      </c>
      <c r="F1766" t="s">
        <v>1810</v>
      </c>
      <c r="G1766" t="s">
        <v>2409</v>
      </c>
      <c r="H1766" t="s">
        <v>3702</v>
      </c>
      <c r="I1766">
        <v>41</v>
      </c>
      <c r="J1766" t="s">
        <v>5323</v>
      </c>
      <c r="K1766">
        <v>10033</v>
      </c>
      <c r="L1766" t="s">
        <v>5355</v>
      </c>
      <c r="M1766" t="s">
        <v>5355</v>
      </c>
      <c r="N1766" t="s">
        <v>5969</v>
      </c>
      <c r="O1766" t="s">
        <v>6492</v>
      </c>
      <c r="P1766" t="s">
        <v>6530</v>
      </c>
      <c r="Q1766" t="s">
        <v>6534</v>
      </c>
      <c r="R1766" t="s">
        <v>6539</v>
      </c>
      <c r="S1766" t="s">
        <v>5357</v>
      </c>
      <c r="U1766" t="s">
        <v>6557</v>
      </c>
      <c r="W1766" t="s">
        <v>297</v>
      </c>
      <c r="X1766">
        <v>817.79</v>
      </c>
      <c r="Y1766" t="s">
        <v>6608</v>
      </c>
      <c r="Z1766" t="s">
        <v>6614</v>
      </c>
      <c r="AA1766" t="s">
        <v>6637</v>
      </c>
      <c r="AB1766" t="s">
        <v>8137</v>
      </c>
      <c r="AD1766" t="s">
        <v>10470</v>
      </c>
      <c r="AE1766">
        <v>33</v>
      </c>
      <c r="AF1766" t="s">
        <v>11005</v>
      </c>
      <c r="AG1766" t="s">
        <v>11020</v>
      </c>
      <c r="AH1766">
        <v>40</v>
      </c>
      <c r="AI1766">
        <v>1</v>
      </c>
      <c r="AJ1766">
        <v>0</v>
      </c>
      <c r="AK1766">
        <v>74.63</v>
      </c>
      <c r="AL1766" t="s">
        <v>11030</v>
      </c>
      <c r="AN1766" t="s">
        <v>11050</v>
      </c>
      <c r="AO1766">
        <v>9000</v>
      </c>
      <c r="AU1766">
        <v>4.5</v>
      </c>
      <c r="AV1766" t="s">
        <v>336</v>
      </c>
      <c r="AW1766" t="s">
        <v>11495</v>
      </c>
    </row>
    <row r="1767" spans="1:49">
      <c r="A1767" s="1">
        <f>HYPERLINK("https://cms.ls-nyc.org/matter/dynamic-profile/view/1844285","17-1844285")</f>
        <v>0</v>
      </c>
      <c r="B1767" t="s">
        <v>71</v>
      </c>
      <c r="C1767" t="s">
        <v>235</v>
      </c>
      <c r="D1767" t="s">
        <v>495</v>
      </c>
      <c r="F1767" t="s">
        <v>1378</v>
      </c>
      <c r="G1767" t="s">
        <v>2239</v>
      </c>
      <c r="H1767" t="s">
        <v>3982</v>
      </c>
      <c r="I1767" t="s">
        <v>4817</v>
      </c>
      <c r="J1767" t="s">
        <v>5321</v>
      </c>
      <c r="K1767">
        <v>10470</v>
      </c>
      <c r="L1767" t="s">
        <v>5355</v>
      </c>
      <c r="M1767" t="s">
        <v>5356</v>
      </c>
      <c r="N1767" t="s">
        <v>5970</v>
      </c>
      <c r="O1767" t="s">
        <v>6492</v>
      </c>
      <c r="P1767" t="s">
        <v>6530</v>
      </c>
      <c r="R1767" t="s">
        <v>6540</v>
      </c>
      <c r="S1767" t="s">
        <v>5357</v>
      </c>
      <c r="U1767" t="s">
        <v>6557</v>
      </c>
      <c r="W1767" t="s">
        <v>6599</v>
      </c>
      <c r="X1767">
        <v>1190.04</v>
      </c>
      <c r="Y1767" t="s">
        <v>6606</v>
      </c>
      <c r="Z1767" t="s">
        <v>6610</v>
      </c>
      <c r="AB1767" t="s">
        <v>7371</v>
      </c>
      <c r="AC1767" t="s">
        <v>8796</v>
      </c>
      <c r="AD1767" t="s">
        <v>9743</v>
      </c>
      <c r="AE1767">
        <v>6</v>
      </c>
      <c r="AF1767" t="s">
        <v>11005</v>
      </c>
      <c r="AG1767" t="s">
        <v>11020</v>
      </c>
      <c r="AH1767">
        <v>5</v>
      </c>
      <c r="AI1767">
        <v>1</v>
      </c>
      <c r="AJ1767">
        <v>0</v>
      </c>
      <c r="AK1767">
        <v>74.73</v>
      </c>
      <c r="AL1767" t="s">
        <v>11028</v>
      </c>
      <c r="AN1767" t="s">
        <v>11050</v>
      </c>
      <c r="AO1767">
        <v>9012</v>
      </c>
      <c r="AU1767">
        <v>47.3</v>
      </c>
      <c r="AV1767" t="s">
        <v>253</v>
      </c>
      <c r="AW1767" t="s">
        <v>57</v>
      </c>
    </row>
    <row r="1768" spans="1:49">
      <c r="A1768" s="1">
        <f>HYPERLINK("https://cms.ls-nyc.org/matter/dynamic-profile/view/1842445","17-1842445")</f>
        <v>0</v>
      </c>
      <c r="B1768" t="s">
        <v>102</v>
      </c>
      <c r="C1768" t="s">
        <v>234</v>
      </c>
      <c r="D1768" t="s">
        <v>388</v>
      </c>
      <c r="E1768" t="s">
        <v>295</v>
      </c>
      <c r="F1768" t="s">
        <v>1330</v>
      </c>
      <c r="G1768" t="s">
        <v>2247</v>
      </c>
      <c r="H1768" t="s">
        <v>4363</v>
      </c>
      <c r="I1768">
        <v>12</v>
      </c>
      <c r="J1768" t="s">
        <v>5321</v>
      </c>
      <c r="K1768">
        <v>10453</v>
      </c>
      <c r="L1768" t="s">
        <v>5355</v>
      </c>
      <c r="M1768" t="s">
        <v>5356</v>
      </c>
      <c r="N1768" t="s">
        <v>5971</v>
      </c>
      <c r="O1768" t="s">
        <v>6494</v>
      </c>
      <c r="P1768" t="s">
        <v>6530</v>
      </c>
      <c r="Q1768" t="s">
        <v>6534</v>
      </c>
      <c r="R1768" t="s">
        <v>6539</v>
      </c>
      <c r="S1768" t="s">
        <v>5357</v>
      </c>
      <c r="U1768" t="s">
        <v>6557</v>
      </c>
      <c r="W1768" t="s">
        <v>418</v>
      </c>
      <c r="X1768">
        <v>975</v>
      </c>
      <c r="Y1768" t="s">
        <v>6606</v>
      </c>
      <c r="Z1768" t="s">
        <v>6493</v>
      </c>
      <c r="AA1768" t="s">
        <v>6634</v>
      </c>
      <c r="AB1768" t="s">
        <v>7040</v>
      </c>
      <c r="AD1768" t="s">
        <v>10471</v>
      </c>
      <c r="AE1768">
        <v>26</v>
      </c>
      <c r="AF1768" t="s">
        <v>11005</v>
      </c>
      <c r="AG1768" t="s">
        <v>5406</v>
      </c>
      <c r="AH1768">
        <v>3</v>
      </c>
      <c r="AI1768">
        <v>2</v>
      </c>
      <c r="AJ1768">
        <v>0</v>
      </c>
      <c r="AK1768">
        <v>75.09</v>
      </c>
      <c r="AN1768" t="s">
        <v>11050</v>
      </c>
      <c r="AO1768">
        <v>12194</v>
      </c>
      <c r="AU1768">
        <v>0.85</v>
      </c>
      <c r="AV1768" t="s">
        <v>295</v>
      </c>
      <c r="AW1768" t="s">
        <v>11491</v>
      </c>
    </row>
    <row r="1769" spans="1:49">
      <c r="A1769" s="1">
        <f>HYPERLINK("https://cms.ls-nyc.org/matter/dynamic-profile/view/1853663","17-1853663")</f>
        <v>0</v>
      </c>
      <c r="B1769" t="s">
        <v>102</v>
      </c>
      <c r="C1769" t="s">
        <v>234</v>
      </c>
      <c r="D1769" t="s">
        <v>509</v>
      </c>
      <c r="E1769" t="s">
        <v>295</v>
      </c>
      <c r="F1769" t="s">
        <v>1330</v>
      </c>
      <c r="G1769" t="s">
        <v>2247</v>
      </c>
      <c r="H1769" t="s">
        <v>4363</v>
      </c>
      <c r="I1769">
        <v>12</v>
      </c>
      <c r="J1769" t="s">
        <v>5321</v>
      </c>
      <c r="K1769">
        <v>10453</v>
      </c>
      <c r="L1769" t="s">
        <v>5355</v>
      </c>
      <c r="M1769" t="s">
        <v>5356</v>
      </c>
      <c r="N1769" t="s">
        <v>5972</v>
      </c>
      <c r="O1769" t="s">
        <v>6494</v>
      </c>
      <c r="P1769" t="s">
        <v>6530</v>
      </c>
      <c r="Q1769" t="s">
        <v>6534</v>
      </c>
      <c r="R1769" t="s">
        <v>6539</v>
      </c>
      <c r="S1769" t="s">
        <v>5357</v>
      </c>
      <c r="U1769" t="s">
        <v>6557</v>
      </c>
      <c r="W1769" t="s">
        <v>240</v>
      </c>
      <c r="X1769">
        <v>0</v>
      </c>
      <c r="Y1769" t="s">
        <v>6606</v>
      </c>
      <c r="Z1769" t="s">
        <v>6625</v>
      </c>
      <c r="AA1769" t="s">
        <v>6634</v>
      </c>
      <c r="AB1769" t="s">
        <v>7040</v>
      </c>
      <c r="AC1769" t="s">
        <v>8992</v>
      </c>
      <c r="AD1769" t="s">
        <v>10471</v>
      </c>
      <c r="AE1769">
        <v>26</v>
      </c>
      <c r="AF1769" t="s">
        <v>8722</v>
      </c>
      <c r="AH1769">
        <v>3</v>
      </c>
      <c r="AI1769">
        <v>2</v>
      </c>
      <c r="AJ1769">
        <v>0</v>
      </c>
      <c r="AK1769">
        <v>75.09</v>
      </c>
      <c r="AN1769" t="s">
        <v>11050</v>
      </c>
      <c r="AO1769">
        <v>12194</v>
      </c>
      <c r="AU1769">
        <v>7.2</v>
      </c>
      <c r="AV1769" t="s">
        <v>295</v>
      </c>
      <c r="AW1769" t="s">
        <v>11491</v>
      </c>
    </row>
    <row r="1770" spans="1:49">
      <c r="A1770" s="1">
        <f>HYPERLINK("https://cms.ls-nyc.org/matter/dynamic-profile/view/1849456","17-1849456")</f>
        <v>0</v>
      </c>
      <c r="B1770" t="s">
        <v>142</v>
      </c>
      <c r="C1770" t="s">
        <v>235</v>
      </c>
      <c r="D1770" t="s">
        <v>590</v>
      </c>
      <c r="F1770" t="s">
        <v>1811</v>
      </c>
      <c r="G1770" t="s">
        <v>2120</v>
      </c>
      <c r="H1770" t="s">
        <v>4364</v>
      </c>
      <c r="I1770" t="s">
        <v>5184</v>
      </c>
      <c r="J1770" t="s">
        <v>5320</v>
      </c>
      <c r="K1770">
        <v>11208</v>
      </c>
      <c r="L1770" t="s">
        <v>5355</v>
      </c>
      <c r="M1770" t="s">
        <v>5355</v>
      </c>
      <c r="N1770" t="s">
        <v>5973</v>
      </c>
      <c r="O1770" t="s">
        <v>6492</v>
      </c>
      <c r="P1770" t="s">
        <v>6530</v>
      </c>
      <c r="R1770" t="s">
        <v>6539</v>
      </c>
      <c r="S1770" t="s">
        <v>5357</v>
      </c>
      <c r="U1770" t="s">
        <v>6557</v>
      </c>
      <c r="V1770" t="s">
        <v>6566</v>
      </c>
      <c r="W1770" t="s">
        <v>590</v>
      </c>
      <c r="X1770">
        <v>1241.32</v>
      </c>
      <c r="Y1770" t="s">
        <v>6605</v>
      </c>
      <c r="AB1770" t="s">
        <v>8138</v>
      </c>
      <c r="AC1770" t="s">
        <v>8993</v>
      </c>
      <c r="AD1770" t="s">
        <v>10472</v>
      </c>
      <c r="AE1770">
        <v>53</v>
      </c>
      <c r="AF1770" t="s">
        <v>11005</v>
      </c>
      <c r="AG1770" t="s">
        <v>11026</v>
      </c>
      <c r="AH1770">
        <v>10</v>
      </c>
      <c r="AI1770">
        <v>1</v>
      </c>
      <c r="AJ1770">
        <v>0</v>
      </c>
      <c r="AK1770">
        <v>75.22</v>
      </c>
      <c r="AN1770" t="s">
        <v>11050</v>
      </c>
      <c r="AO1770">
        <v>9072</v>
      </c>
      <c r="AU1770">
        <v>91.3</v>
      </c>
      <c r="AV1770" t="s">
        <v>803</v>
      </c>
      <c r="AW1770" t="s">
        <v>11489</v>
      </c>
    </row>
    <row r="1771" spans="1:49">
      <c r="A1771" s="1">
        <f>HYPERLINK("https://cms.ls-nyc.org/matter/dynamic-profile/view/0817222","16-0817222")</f>
        <v>0</v>
      </c>
      <c r="B1771" t="s">
        <v>198</v>
      </c>
      <c r="C1771" t="s">
        <v>234</v>
      </c>
      <c r="D1771" t="s">
        <v>591</v>
      </c>
      <c r="E1771" t="s">
        <v>666</v>
      </c>
      <c r="F1771" t="s">
        <v>1812</v>
      </c>
      <c r="G1771" t="s">
        <v>3116</v>
      </c>
      <c r="H1771" t="s">
        <v>4365</v>
      </c>
      <c r="I1771" t="s">
        <v>4785</v>
      </c>
      <c r="J1771" t="s">
        <v>5320</v>
      </c>
      <c r="K1771">
        <v>11235</v>
      </c>
      <c r="L1771" t="s">
        <v>5355</v>
      </c>
      <c r="M1771" t="s">
        <v>5355</v>
      </c>
      <c r="N1771" t="s">
        <v>5974</v>
      </c>
      <c r="O1771" t="s">
        <v>6492</v>
      </c>
      <c r="P1771" t="s">
        <v>6530</v>
      </c>
      <c r="Q1771" t="s">
        <v>6533</v>
      </c>
      <c r="R1771" t="s">
        <v>6539</v>
      </c>
      <c r="T1771" t="s">
        <v>6544</v>
      </c>
      <c r="U1771" t="s">
        <v>6557</v>
      </c>
      <c r="W1771" t="s">
        <v>236</v>
      </c>
      <c r="X1771">
        <v>1100</v>
      </c>
      <c r="Y1771" t="s">
        <v>6605</v>
      </c>
      <c r="AA1771" t="s">
        <v>6633</v>
      </c>
      <c r="AB1771" t="s">
        <v>8139</v>
      </c>
      <c r="AD1771" t="s">
        <v>10473</v>
      </c>
      <c r="AE1771">
        <v>60</v>
      </c>
      <c r="AF1771" t="s">
        <v>8722</v>
      </c>
      <c r="AG1771" t="s">
        <v>5406</v>
      </c>
      <c r="AH1771">
        <v>12</v>
      </c>
      <c r="AI1771">
        <v>1</v>
      </c>
      <c r="AJ1771">
        <v>0</v>
      </c>
      <c r="AK1771">
        <v>75.76000000000001</v>
      </c>
      <c r="AN1771" t="s">
        <v>11056</v>
      </c>
      <c r="AO1771">
        <v>9000</v>
      </c>
      <c r="AR1771" t="s">
        <v>6493</v>
      </c>
      <c r="AS1771" t="s">
        <v>11252</v>
      </c>
      <c r="AT1771" t="s">
        <v>11362</v>
      </c>
      <c r="AU1771">
        <v>54.8</v>
      </c>
      <c r="AV1771" t="s">
        <v>666</v>
      </c>
      <c r="AW1771" t="s">
        <v>11514</v>
      </c>
    </row>
    <row r="1772" spans="1:49">
      <c r="A1772" s="1">
        <f>HYPERLINK("https://cms.ls-nyc.org/matter/dynamic-profile/view/1866397","18-1866397")</f>
        <v>0</v>
      </c>
      <c r="B1772" t="s">
        <v>124</v>
      </c>
      <c r="C1772" t="s">
        <v>234</v>
      </c>
      <c r="D1772" t="s">
        <v>241</v>
      </c>
      <c r="E1772" t="s">
        <v>739</v>
      </c>
      <c r="F1772" t="s">
        <v>1126</v>
      </c>
      <c r="G1772" t="s">
        <v>2231</v>
      </c>
      <c r="H1772" t="s">
        <v>4366</v>
      </c>
      <c r="I1772" t="s">
        <v>4833</v>
      </c>
      <c r="J1772" t="s">
        <v>5323</v>
      </c>
      <c r="K1772">
        <v>10034</v>
      </c>
      <c r="L1772" t="s">
        <v>5355</v>
      </c>
      <c r="M1772" t="s">
        <v>5355</v>
      </c>
      <c r="O1772" t="s">
        <v>6491</v>
      </c>
      <c r="P1772" t="s">
        <v>6530</v>
      </c>
      <c r="Q1772" t="s">
        <v>6534</v>
      </c>
      <c r="R1772" t="s">
        <v>6539</v>
      </c>
      <c r="S1772" t="s">
        <v>5357</v>
      </c>
      <c r="U1772" t="s">
        <v>6560</v>
      </c>
      <c r="W1772" t="s">
        <v>244</v>
      </c>
      <c r="X1772">
        <v>1421.48</v>
      </c>
      <c r="Y1772" t="s">
        <v>6608</v>
      </c>
      <c r="Z1772" t="s">
        <v>6616</v>
      </c>
      <c r="AA1772" t="s">
        <v>6634</v>
      </c>
      <c r="AB1772" t="s">
        <v>8140</v>
      </c>
      <c r="AD1772" t="s">
        <v>10474</v>
      </c>
      <c r="AE1772">
        <v>20</v>
      </c>
      <c r="AF1772" t="s">
        <v>11005</v>
      </c>
      <c r="AG1772" t="s">
        <v>11020</v>
      </c>
      <c r="AH1772">
        <v>20</v>
      </c>
      <c r="AI1772">
        <v>2</v>
      </c>
      <c r="AJ1772">
        <v>1</v>
      </c>
      <c r="AK1772">
        <v>75.84</v>
      </c>
      <c r="AN1772" t="s">
        <v>11049</v>
      </c>
      <c r="AO1772">
        <v>15760</v>
      </c>
      <c r="AU1772">
        <v>9.050000000000001</v>
      </c>
      <c r="AV1772" t="s">
        <v>707</v>
      </c>
      <c r="AW1772" t="s">
        <v>11519</v>
      </c>
    </row>
    <row r="1773" spans="1:49">
      <c r="A1773" s="1">
        <f>HYPERLINK("https://cms.ls-nyc.org/matter/dynamic-profile/view/1855734","18-1855734")</f>
        <v>0</v>
      </c>
      <c r="B1773" t="s">
        <v>186</v>
      </c>
      <c r="C1773" t="s">
        <v>234</v>
      </c>
      <c r="D1773" t="s">
        <v>329</v>
      </c>
      <c r="E1773" t="s">
        <v>803</v>
      </c>
      <c r="F1773" t="s">
        <v>1615</v>
      </c>
      <c r="G1773" t="s">
        <v>3117</v>
      </c>
      <c r="H1773" t="s">
        <v>4367</v>
      </c>
      <c r="I1773" t="s">
        <v>4734</v>
      </c>
      <c r="J1773" t="s">
        <v>5320</v>
      </c>
      <c r="K1773">
        <v>11207</v>
      </c>
      <c r="L1773" t="s">
        <v>5355</v>
      </c>
      <c r="M1773" t="s">
        <v>5355</v>
      </c>
      <c r="N1773" t="s">
        <v>5975</v>
      </c>
      <c r="O1773" t="s">
        <v>6492</v>
      </c>
      <c r="P1773" t="s">
        <v>6530</v>
      </c>
      <c r="Q1773" t="s">
        <v>6534</v>
      </c>
      <c r="R1773" t="s">
        <v>6539</v>
      </c>
      <c r="S1773" t="s">
        <v>5357</v>
      </c>
      <c r="U1773" t="s">
        <v>6557</v>
      </c>
      <c r="W1773" t="s">
        <v>297</v>
      </c>
      <c r="X1773">
        <v>750</v>
      </c>
      <c r="Y1773" t="s">
        <v>6605</v>
      </c>
      <c r="Z1773" t="s">
        <v>6613</v>
      </c>
      <c r="AA1773" t="s">
        <v>6637</v>
      </c>
      <c r="AB1773" t="s">
        <v>8141</v>
      </c>
      <c r="AC1773" t="s">
        <v>8994</v>
      </c>
      <c r="AE1773">
        <v>6</v>
      </c>
      <c r="AF1773" t="s">
        <v>11005</v>
      </c>
      <c r="AG1773" t="s">
        <v>5406</v>
      </c>
      <c r="AH1773">
        <v>7</v>
      </c>
      <c r="AI1773">
        <v>2</v>
      </c>
      <c r="AJ1773">
        <v>4</v>
      </c>
      <c r="AK1773">
        <v>75.84999999999999</v>
      </c>
      <c r="AN1773" t="s">
        <v>11050</v>
      </c>
      <c r="AO1773">
        <v>25000</v>
      </c>
      <c r="AU1773">
        <v>56.25</v>
      </c>
      <c r="AV1773" t="s">
        <v>11442</v>
      </c>
      <c r="AW1773" t="s">
        <v>11512</v>
      </c>
    </row>
    <row r="1774" spans="1:49">
      <c r="A1774" s="1">
        <f>HYPERLINK("https://cms.ls-nyc.org/matter/dynamic-profile/view/1868581","18-1868581")</f>
        <v>0</v>
      </c>
      <c r="B1774" t="s">
        <v>53</v>
      </c>
      <c r="C1774" t="s">
        <v>234</v>
      </c>
      <c r="D1774" t="s">
        <v>267</v>
      </c>
      <c r="E1774" t="s">
        <v>665</v>
      </c>
      <c r="F1774" t="s">
        <v>1443</v>
      </c>
      <c r="G1774" t="s">
        <v>2775</v>
      </c>
      <c r="H1774" t="s">
        <v>3775</v>
      </c>
      <c r="I1774" t="s">
        <v>4776</v>
      </c>
      <c r="J1774" t="s">
        <v>5320</v>
      </c>
      <c r="K1774">
        <v>11206</v>
      </c>
      <c r="L1774" t="s">
        <v>5355</v>
      </c>
      <c r="M1774" t="s">
        <v>5355</v>
      </c>
      <c r="N1774" t="s">
        <v>5976</v>
      </c>
      <c r="O1774" t="s">
        <v>6492</v>
      </c>
      <c r="P1774" t="s">
        <v>6530</v>
      </c>
      <c r="Q1774" t="s">
        <v>6534</v>
      </c>
      <c r="R1774" t="s">
        <v>6539</v>
      </c>
      <c r="S1774" t="s">
        <v>5357</v>
      </c>
      <c r="U1774" t="s">
        <v>6557</v>
      </c>
      <c r="W1774" t="s">
        <v>267</v>
      </c>
      <c r="X1774">
        <v>473</v>
      </c>
      <c r="Y1774" t="s">
        <v>6605</v>
      </c>
      <c r="AA1774" t="s">
        <v>6637</v>
      </c>
      <c r="AB1774" t="s">
        <v>7581</v>
      </c>
      <c r="AD1774" t="s">
        <v>9943</v>
      </c>
      <c r="AE1774">
        <v>16</v>
      </c>
      <c r="AF1774" t="s">
        <v>11013</v>
      </c>
      <c r="AH1774">
        <v>7</v>
      </c>
      <c r="AI1774">
        <v>1</v>
      </c>
      <c r="AJ1774">
        <v>0</v>
      </c>
      <c r="AK1774">
        <v>76.11</v>
      </c>
      <c r="AN1774" t="s">
        <v>11050</v>
      </c>
      <c r="AO1774">
        <v>9240</v>
      </c>
      <c r="AQ1774" t="s">
        <v>11192</v>
      </c>
      <c r="AR1774" t="s">
        <v>11220</v>
      </c>
      <c r="AS1774" t="s">
        <v>11253</v>
      </c>
      <c r="AT1774" t="s">
        <v>11315</v>
      </c>
      <c r="AU1774">
        <v>36.55</v>
      </c>
      <c r="AV1774" t="s">
        <v>723</v>
      </c>
      <c r="AW1774" t="s">
        <v>135</v>
      </c>
    </row>
    <row r="1775" spans="1:49">
      <c r="A1775" s="1">
        <f>HYPERLINK("https://cms.ls-nyc.org/matter/dynamic-profile/view/1857252","18-1857252")</f>
        <v>0</v>
      </c>
      <c r="B1775" t="s">
        <v>104</v>
      </c>
      <c r="C1775" t="s">
        <v>235</v>
      </c>
      <c r="D1775" t="s">
        <v>297</v>
      </c>
      <c r="F1775" t="s">
        <v>1813</v>
      </c>
      <c r="G1775" t="s">
        <v>3118</v>
      </c>
      <c r="H1775" t="s">
        <v>3558</v>
      </c>
      <c r="I1775" t="s">
        <v>5202</v>
      </c>
      <c r="J1775" t="s">
        <v>5321</v>
      </c>
      <c r="K1775">
        <v>10453</v>
      </c>
      <c r="L1775" t="s">
        <v>5355</v>
      </c>
      <c r="M1775" t="s">
        <v>5356</v>
      </c>
      <c r="N1775" t="s">
        <v>5977</v>
      </c>
      <c r="O1775" t="s">
        <v>6492</v>
      </c>
      <c r="P1775" t="s">
        <v>6530</v>
      </c>
      <c r="R1775" t="s">
        <v>6539</v>
      </c>
      <c r="S1775" t="s">
        <v>5357</v>
      </c>
      <c r="U1775" t="s">
        <v>6557</v>
      </c>
      <c r="W1775" t="s">
        <v>297</v>
      </c>
      <c r="X1775">
        <v>1376.48</v>
      </c>
      <c r="Y1775" t="s">
        <v>6606</v>
      </c>
      <c r="Z1775" t="s">
        <v>6613</v>
      </c>
      <c r="AB1775" t="s">
        <v>8142</v>
      </c>
      <c r="AC1775" t="s">
        <v>8995</v>
      </c>
      <c r="AD1775" t="s">
        <v>10475</v>
      </c>
      <c r="AE1775">
        <v>56</v>
      </c>
      <c r="AF1775" t="s">
        <v>11005</v>
      </c>
      <c r="AG1775" t="s">
        <v>11023</v>
      </c>
      <c r="AH1775">
        <v>5</v>
      </c>
      <c r="AI1775">
        <v>1</v>
      </c>
      <c r="AJ1775">
        <v>4</v>
      </c>
      <c r="AK1775">
        <v>76.23</v>
      </c>
      <c r="AN1775" t="s">
        <v>11049</v>
      </c>
      <c r="AO1775">
        <v>21940</v>
      </c>
      <c r="AU1775">
        <v>75.5</v>
      </c>
      <c r="AV1775" t="s">
        <v>680</v>
      </c>
      <c r="AW1775" t="s">
        <v>11505</v>
      </c>
    </row>
    <row r="1776" spans="1:49">
      <c r="A1776" s="1">
        <f>HYPERLINK("https://cms.ls-nyc.org/matter/dynamic-profile/view/1856437","18-1856437")</f>
        <v>0</v>
      </c>
      <c r="B1776" t="s">
        <v>56</v>
      </c>
      <c r="C1776" t="s">
        <v>235</v>
      </c>
      <c r="D1776" t="s">
        <v>458</v>
      </c>
      <c r="F1776" t="s">
        <v>1501</v>
      </c>
      <c r="G1776" t="s">
        <v>3119</v>
      </c>
      <c r="H1776" t="s">
        <v>4368</v>
      </c>
      <c r="I1776" t="s">
        <v>4743</v>
      </c>
      <c r="J1776" t="s">
        <v>5321</v>
      </c>
      <c r="K1776">
        <v>10452</v>
      </c>
      <c r="L1776" t="s">
        <v>5355</v>
      </c>
      <c r="M1776" t="s">
        <v>5356</v>
      </c>
      <c r="N1776" t="s">
        <v>5978</v>
      </c>
      <c r="O1776" t="s">
        <v>6492</v>
      </c>
      <c r="P1776" t="s">
        <v>6530</v>
      </c>
      <c r="R1776" t="s">
        <v>6539</v>
      </c>
      <c r="S1776" t="s">
        <v>5357</v>
      </c>
      <c r="U1776" t="s">
        <v>6557</v>
      </c>
      <c r="W1776" t="s">
        <v>397</v>
      </c>
      <c r="X1776">
        <v>1200</v>
      </c>
      <c r="Y1776" t="s">
        <v>6606</v>
      </c>
      <c r="Z1776" t="s">
        <v>6612</v>
      </c>
      <c r="AB1776" t="s">
        <v>8143</v>
      </c>
      <c r="AC1776" t="s">
        <v>8996</v>
      </c>
      <c r="AD1776" t="s">
        <v>10476</v>
      </c>
      <c r="AE1776">
        <v>110</v>
      </c>
      <c r="AF1776" t="s">
        <v>11005</v>
      </c>
      <c r="AG1776" t="s">
        <v>5406</v>
      </c>
      <c r="AH1776">
        <v>5</v>
      </c>
      <c r="AI1776">
        <v>2</v>
      </c>
      <c r="AJ1776">
        <v>1</v>
      </c>
      <c r="AK1776">
        <v>76.40000000000001</v>
      </c>
      <c r="AN1776" t="s">
        <v>11049</v>
      </c>
      <c r="AO1776">
        <v>15600</v>
      </c>
      <c r="AP1776" t="s">
        <v>11075</v>
      </c>
      <c r="AU1776">
        <v>114.35</v>
      </c>
      <c r="AV1776" t="s">
        <v>691</v>
      </c>
      <c r="AW1776" t="s">
        <v>11499</v>
      </c>
    </row>
    <row r="1777" spans="1:49">
      <c r="A1777" s="1">
        <f>HYPERLINK("https://cms.ls-nyc.org/matter/dynamic-profile/view/1857194","18-1857194")</f>
        <v>0</v>
      </c>
      <c r="B1777" t="s">
        <v>135</v>
      </c>
      <c r="C1777" t="s">
        <v>235</v>
      </c>
      <c r="D1777" t="s">
        <v>297</v>
      </c>
      <c r="F1777" t="s">
        <v>1443</v>
      </c>
      <c r="G1777" t="s">
        <v>2775</v>
      </c>
      <c r="H1777" t="s">
        <v>3775</v>
      </c>
      <c r="I1777" t="s">
        <v>4776</v>
      </c>
      <c r="J1777" t="s">
        <v>5320</v>
      </c>
      <c r="K1777">
        <v>11206</v>
      </c>
      <c r="L1777" t="s">
        <v>5355</v>
      </c>
      <c r="M1777" t="s">
        <v>5356</v>
      </c>
      <c r="O1777" t="s">
        <v>6494</v>
      </c>
      <c r="P1777" t="s">
        <v>6530</v>
      </c>
      <c r="R1777" t="s">
        <v>6539</v>
      </c>
      <c r="S1777" t="s">
        <v>5355</v>
      </c>
      <c r="U1777" t="s">
        <v>6557</v>
      </c>
      <c r="W1777" t="s">
        <v>290</v>
      </c>
      <c r="X1777">
        <v>473</v>
      </c>
      <c r="Y1777" t="s">
        <v>6605</v>
      </c>
      <c r="Z1777" t="s">
        <v>6622</v>
      </c>
      <c r="AB1777" t="s">
        <v>7581</v>
      </c>
      <c r="AD1777" t="s">
        <v>9943</v>
      </c>
      <c r="AE1777">
        <v>25</v>
      </c>
      <c r="AF1777" t="s">
        <v>11005</v>
      </c>
      <c r="AG1777" t="s">
        <v>5406</v>
      </c>
      <c r="AH1777">
        <v>7</v>
      </c>
      <c r="AI1777">
        <v>1</v>
      </c>
      <c r="AJ1777">
        <v>0</v>
      </c>
      <c r="AK1777">
        <v>76.62</v>
      </c>
      <c r="AN1777" t="s">
        <v>11050</v>
      </c>
      <c r="AO1777">
        <v>9240</v>
      </c>
      <c r="AU1777">
        <v>0</v>
      </c>
      <c r="AW1777" t="s">
        <v>11512</v>
      </c>
    </row>
    <row r="1778" spans="1:49">
      <c r="A1778" s="1">
        <f>HYPERLINK("https://cms.ls-nyc.org/matter/dynamic-profile/view/1861543","18-1861543")</f>
        <v>0</v>
      </c>
      <c r="B1778" t="s">
        <v>186</v>
      </c>
      <c r="C1778" t="s">
        <v>234</v>
      </c>
      <c r="D1778" t="s">
        <v>339</v>
      </c>
      <c r="E1778" t="s">
        <v>721</v>
      </c>
      <c r="F1778" t="s">
        <v>1814</v>
      </c>
      <c r="G1778" t="s">
        <v>3120</v>
      </c>
      <c r="H1778" t="s">
        <v>4369</v>
      </c>
      <c r="I1778">
        <v>2</v>
      </c>
      <c r="J1778" t="s">
        <v>5320</v>
      </c>
      <c r="K1778">
        <v>11233</v>
      </c>
      <c r="L1778" t="s">
        <v>5355</v>
      </c>
      <c r="M1778" t="s">
        <v>5355</v>
      </c>
      <c r="N1778" t="s">
        <v>5979</v>
      </c>
      <c r="O1778" t="s">
        <v>6492</v>
      </c>
      <c r="P1778" t="s">
        <v>6530</v>
      </c>
      <c r="Q1778" t="s">
        <v>6534</v>
      </c>
      <c r="R1778" t="s">
        <v>6539</v>
      </c>
      <c r="S1778" t="s">
        <v>5357</v>
      </c>
      <c r="U1778" t="s">
        <v>6557</v>
      </c>
      <c r="W1778" t="s">
        <v>339</v>
      </c>
      <c r="X1778">
        <v>1950</v>
      </c>
      <c r="Y1778" t="s">
        <v>6605</v>
      </c>
      <c r="AA1778" t="s">
        <v>6637</v>
      </c>
      <c r="AB1778" t="s">
        <v>8144</v>
      </c>
      <c r="AD1778" t="s">
        <v>10477</v>
      </c>
      <c r="AE1778">
        <v>2</v>
      </c>
      <c r="AF1778" t="s">
        <v>11004</v>
      </c>
      <c r="AH1778">
        <v>0</v>
      </c>
      <c r="AI1778">
        <v>3</v>
      </c>
      <c r="AJ1778">
        <v>2</v>
      </c>
      <c r="AK1778">
        <v>76.89</v>
      </c>
      <c r="AL1778" t="s">
        <v>444</v>
      </c>
      <c r="AM1778" t="s">
        <v>11048</v>
      </c>
      <c r="AN1778" t="s">
        <v>11050</v>
      </c>
      <c r="AO1778">
        <v>22620</v>
      </c>
      <c r="AU1778">
        <v>30.3</v>
      </c>
      <c r="AV1778" t="s">
        <v>721</v>
      </c>
      <c r="AW1778" t="s">
        <v>11489</v>
      </c>
    </row>
    <row r="1779" spans="1:49">
      <c r="A1779" s="1">
        <f>HYPERLINK("https://cms.ls-nyc.org/matter/dynamic-profile/view/1864049","18-1864049")</f>
        <v>0</v>
      </c>
      <c r="B1779" t="s">
        <v>111</v>
      </c>
      <c r="C1779" t="s">
        <v>235</v>
      </c>
      <c r="D1779" t="s">
        <v>357</v>
      </c>
      <c r="F1779" t="s">
        <v>1501</v>
      </c>
      <c r="G1779" t="s">
        <v>2777</v>
      </c>
      <c r="H1779" t="s">
        <v>4075</v>
      </c>
      <c r="I1779" t="s">
        <v>4814</v>
      </c>
      <c r="J1779" t="s">
        <v>5323</v>
      </c>
      <c r="K1779">
        <v>10040</v>
      </c>
      <c r="L1779" t="s">
        <v>5355</v>
      </c>
      <c r="M1779" t="s">
        <v>5356</v>
      </c>
      <c r="N1779" t="s">
        <v>5591</v>
      </c>
      <c r="O1779" t="s">
        <v>6494</v>
      </c>
      <c r="P1779" t="s">
        <v>6530</v>
      </c>
      <c r="R1779" t="s">
        <v>6539</v>
      </c>
      <c r="S1779" t="s">
        <v>5355</v>
      </c>
      <c r="U1779" t="s">
        <v>6557</v>
      </c>
      <c r="W1779" t="s">
        <v>357</v>
      </c>
      <c r="X1779">
        <v>1074</v>
      </c>
      <c r="Y1779" t="s">
        <v>6608</v>
      </c>
      <c r="Z1779" t="s">
        <v>6614</v>
      </c>
      <c r="AB1779" t="s">
        <v>7584</v>
      </c>
      <c r="AD1779" t="s">
        <v>9946</v>
      </c>
      <c r="AE1779">
        <v>44</v>
      </c>
      <c r="AF1779" t="s">
        <v>11005</v>
      </c>
      <c r="AG1779" t="s">
        <v>5406</v>
      </c>
      <c r="AH1779">
        <v>20</v>
      </c>
      <c r="AI1779">
        <v>2</v>
      </c>
      <c r="AJ1779">
        <v>1</v>
      </c>
      <c r="AK1779">
        <v>77</v>
      </c>
      <c r="AL1779" t="s">
        <v>11035</v>
      </c>
      <c r="AN1779" t="s">
        <v>11049</v>
      </c>
      <c r="AO1779">
        <v>16000</v>
      </c>
      <c r="AU1779">
        <v>0</v>
      </c>
      <c r="AW1779" t="s">
        <v>11495</v>
      </c>
    </row>
    <row r="1780" spans="1:49">
      <c r="A1780" s="1">
        <f>HYPERLINK("https://cms.ls-nyc.org/matter/dynamic-profile/view/1861081","18-1861081")</f>
        <v>0</v>
      </c>
      <c r="B1780" t="s">
        <v>134</v>
      </c>
      <c r="C1780" t="s">
        <v>235</v>
      </c>
      <c r="D1780" t="s">
        <v>246</v>
      </c>
      <c r="F1780" t="s">
        <v>1543</v>
      </c>
      <c r="G1780" t="s">
        <v>3121</v>
      </c>
      <c r="H1780" t="s">
        <v>4370</v>
      </c>
      <c r="I1780" t="s">
        <v>4889</v>
      </c>
      <c r="J1780" t="s">
        <v>5350</v>
      </c>
      <c r="K1780">
        <v>11369</v>
      </c>
      <c r="L1780" t="s">
        <v>5355</v>
      </c>
      <c r="M1780" t="s">
        <v>5356</v>
      </c>
      <c r="N1780" t="s">
        <v>5980</v>
      </c>
      <c r="O1780" t="s">
        <v>6492</v>
      </c>
      <c r="P1780" t="s">
        <v>6530</v>
      </c>
      <c r="R1780" t="s">
        <v>6539</v>
      </c>
      <c r="S1780" t="s">
        <v>5357</v>
      </c>
      <c r="U1780" t="s">
        <v>6557</v>
      </c>
      <c r="W1780" t="s">
        <v>246</v>
      </c>
      <c r="X1780">
        <v>800</v>
      </c>
      <c r="Y1780" t="s">
        <v>6604</v>
      </c>
      <c r="Z1780" t="s">
        <v>6614</v>
      </c>
      <c r="AB1780" t="s">
        <v>8145</v>
      </c>
      <c r="AC1780" t="s">
        <v>5392</v>
      </c>
      <c r="AD1780" t="s">
        <v>10478</v>
      </c>
      <c r="AE1780">
        <v>60</v>
      </c>
      <c r="AF1780" t="s">
        <v>8722</v>
      </c>
      <c r="AG1780" t="s">
        <v>6493</v>
      </c>
      <c r="AH1780">
        <v>6</v>
      </c>
      <c r="AI1780">
        <v>1</v>
      </c>
      <c r="AJ1780">
        <v>0</v>
      </c>
      <c r="AK1780">
        <v>77.06</v>
      </c>
      <c r="AN1780" t="s">
        <v>11050</v>
      </c>
      <c r="AO1780">
        <v>9355.200000000001</v>
      </c>
      <c r="AU1780">
        <v>15.35</v>
      </c>
      <c r="AV1780" t="s">
        <v>375</v>
      </c>
      <c r="AW1780" t="s">
        <v>134</v>
      </c>
    </row>
    <row r="1781" spans="1:49">
      <c r="A1781" s="1">
        <f>HYPERLINK("https://cms.ls-nyc.org/matter/dynamic-profile/view/0819000","16-0819000")</f>
        <v>0</v>
      </c>
      <c r="B1781" t="s">
        <v>194</v>
      </c>
      <c r="C1781" t="s">
        <v>234</v>
      </c>
      <c r="D1781" t="s">
        <v>592</v>
      </c>
      <c r="E1781" t="s">
        <v>791</v>
      </c>
      <c r="F1781" t="s">
        <v>1815</v>
      </c>
      <c r="G1781" t="s">
        <v>2125</v>
      </c>
      <c r="H1781" t="s">
        <v>4371</v>
      </c>
      <c r="I1781" t="s">
        <v>5203</v>
      </c>
      <c r="J1781" t="s">
        <v>5320</v>
      </c>
      <c r="K1781">
        <v>11208</v>
      </c>
      <c r="L1781" t="s">
        <v>5355</v>
      </c>
      <c r="M1781" t="s">
        <v>5355</v>
      </c>
      <c r="N1781" t="s">
        <v>5981</v>
      </c>
      <c r="O1781" t="s">
        <v>6492</v>
      </c>
      <c r="P1781" t="s">
        <v>6530</v>
      </c>
      <c r="Q1781" t="s">
        <v>6534</v>
      </c>
      <c r="R1781" t="s">
        <v>6539</v>
      </c>
      <c r="S1781" t="s">
        <v>5357</v>
      </c>
      <c r="U1781" t="s">
        <v>6557</v>
      </c>
      <c r="W1781" t="s">
        <v>6578</v>
      </c>
      <c r="X1781">
        <v>860</v>
      </c>
      <c r="Y1781" t="s">
        <v>6605</v>
      </c>
      <c r="Z1781" t="s">
        <v>6613</v>
      </c>
      <c r="AA1781" t="s">
        <v>6637</v>
      </c>
      <c r="AB1781" t="s">
        <v>8146</v>
      </c>
      <c r="AD1781" t="s">
        <v>10479</v>
      </c>
      <c r="AE1781">
        <v>35</v>
      </c>
      <c r="AF1781" t="s">
        <v>8722</v>
      </c>
      <c r="AG1781" t="s">
        <v>5406</v>
      </c>
      <c r="AH1781">
        <v>2</v>
      </c>
      <c r="AI1781">
        <v>1</v>
      </c>
      <c r="AJ1781">
        <v>1</v>
      </c>
      <c r="AK1781">
        <v>77.45</v>
      </c>
      <c r="AN1781" t="s">
        <v>11050</v>
      </c>
      <c r="AO1781">
        <v>12408</v>
      </c>
      <c r="AR1781" t="s">
        <v>11210</v>
      </c>
      <c r="AS1781" t="s">
        <v>11253</v>
      </c>
      <c r="AT1781" t="s">
        <v>11303</v>
      </c>
      <c r="AU1781">
        <v>4.8</v>
      </c>
      <c r="AV1781" t="s">
        <v>631</v>
      </c>
      <c r="AW1781" t="s">
        <v>11512</v>
      </c>
    </row>
    <row r="1782" spans="1:49">
      <c r="A1782" s="1">
        <f>HYPERLINK("https://cms.ls-nyc.org/matter/dynamic-profile/view/1859013","18-1859013")</f>
        <v>0</v>
      </c>
      <c r="B1782" t="s">
        <v>187</v>
      </c>
      <c r="C1782" t="s">
        <v>235</v>
      </c>
      <c r="D1782" t="s">
        <v>424</v>
      </c>
      <c r="F1782" t="s">
        <v>1200</v>
      </c>
      <c r="G1782" t="s">
        <v>2446</v>
      </c>
      <c r="H1782" t="s">
        <v>3804</v>
      </c>
      <c r="I1782" t="s">
        <v>4840</v>
      </c>
      <c r="J1782" t="s">
        <v>5320</v>
      </c>
      <c r="K1782">
        <v>11233</v>
      </c>
      <c r="L1782" t="s">
        <v>5355</v>
      </c>
      <c r="M1782" t="s">
        <v>5355</v>
      </c>
      <c r="N1782" t="s">
        <v>5982</v>
      </c>
      <c r="P1782" t="s">
        <v>6530</v>
      </c>
      <c r="R1782" t="s">
        <v>6539</v>
      </c>
      <c r="S1782" t="s">
        <v>5357</v>
      </c>
      <c r="U1782" t="s">
        <v>6557</v>
      </c>
      <c r="W1782" t="s">
        <v>262</v>
      </c>
      <c r="X1782">
        <v>1866</v>
      </c>
      <c r="Y1782" t="s">
        <v>6605</v>
      </c>
      <c r="Z1782" t="s">
        <v>6613</v>
      </c>
      <c r="AB1782" t="s">
        <v>7095</v>
      </c>
      <c r="AC1782" t="s">
        <v>8997</v>
      </c>
      <c r="AD1782" t="s">
        <v>9492</v>
      </c>
      <c r="AE1782">
        <v>24</v>
      </c>
      <c r="AF1782" t="s">
        <v>8722</v>
      </c>
      <c r="AG1782" t="s">
        <v>11020</v>
      </c>
      <c r="AH1782">
        <v>4</v>
      </c>
      <c r="AI1782">
        <v>2</v>
      </c>
      <c r="AJ1782">
        <v>0</v>
      </c>
      <c r="AK1782">
        <v>77.59</v>
      </c>
      <c r="AN1782" t="s">
        <v>11050</v>
      </c>
      <c r="AO1782">
        <v>12600</v>
      </c>
      <c r="AU1782">
        <v>54.4</v>
      </c>
      <c r="AV1782" t="s">
        <v>756</v>
      </c>
      <c r="AW1782" t="s">
        <v>11518</v>
      </c>
    </row>
    <row r="1783" spans="1:49">
      <c r="A1783" s="1">
        <f>HYPERLINK("https://cms.ls-nyc.org/matter/dynamic-profile/view/1836513","17-1836513")</f>
        <v>0</v>
      </c>
      <c r="B1783" t="s">
        <v>123</v>
      </c>
      <c r="C1783" t="s">
        <v>234</v>
      </c>
      <c r="D1783" t="s">
        <v>442</v>
      </c>
      <c r="E1783" t="s">
        <v>676</v>
      </c>
      <c r="F1783" t="s">
        <v>874</v>
      </c>
      <c r="G1783" t="s">
        <v>2460</v>
      </c>
      <c r="H1783" t="s">
        <v>4372</v>
      </c>
      <c r="I1783" t="s">
        <v>5204</v>
      </c>
      <c r="J1783" t="s">
        <v>5323</v>
      </c>
      <c r="K1783">
        <v>10010</v>
      </c>
      <c r="L1783" t="s">
        <v>5355</v>
      </c>
      <c r="M1783" t="s">
        <v>5356</v>
      </c>
      <c r="N1783" t="s">
        <v>5983</v>
      </c>
      <c r="O1783" t="s">
        <v>6491</v>
      </c>
      <c r="P1783" t="s">
        <v>6530</v>
      </c>
      <c r="Q1783" t="s">
        <v>6533</v>
      </c>
      <c r="R1783" t="s">
        <v>6539</v>
      </c>
      <c r="S1783" t="s">
        <v>5357</v>
      </c>
      <c r="T1783" t="s">
        <v>6542</v>
      </c>
      <c r="U1783" t="s">
        <v>6557</v>
      </c>
      <c r="W1783" t="s">
        <v>322</v>
      </c>
      <c r="X1783">
        <v>0</v>
      </c>
      <c r="Y1783" t="s">
        <v>6608</v>
      </c>
      <c r="Z1783" t="s">
        <v>6614</v>
      </c>
      <c r="AA1783" t="s">
        <v>6637</v>
      </c>
      <c r="AB1783" t="s">
        <v>8147</v>
      </c>
      <c r="AE1783">
        <v>0</v>
      </c>
      <c r="AF1783" t="s">
        <v>11010</v>
      </c>
      <c r="AH1783">
        <v>0</v>
      </c>
      <c r="AI1783">
        <v>1</v>
      </c>
      <c r="AJ1783">
        <v>0</v>
      </c>
      <c r="AK1783">
        <v>77.70999999999999</v>
      </c>
      <c r="AN1783" t="s">
        <v>11049</v>
      </c>
      <c r="AO1783">
        <v>9372</v>
      </c>
      <c r="AU1783">
        <v>32.15</v>
      </c>
      <c r="AV1783" t="s">
        <v>312</v>
      </c>
      <c r="AW1783" t="s">
        <v>11546</v>
      </c>
    </row>
    <row r="1784" spans="1:49">
      <c r="A1784" s="1">
        <f>HYPERLINK("https://cms.ls-nyc.org/matter/dynamic-profile/view/1857315","18-1857315")</f>
        <v>0</v>
      </c>
      <c r="B1784" t="s">
        <v>180</v>
      </c>
      <c r="C1784" t="s">
        <v>234</v>
      </c>
      <c r="D1784" t="s">
        <v>343</v>
      </c>
      <c r="E1784" t="s">
        <v>295</v>
      </c>
      <c r="F1784" t="s">
        <v>1458</v>
      </c>
      <c r="G1784" t="s">
        <v>2295</v>
      </c>
      <c r="H1784" t="s">
        <v>4373</v>
      </c>
      <c r="I1784" t="s">
        <v>5108</v>
      </c>
      <c r="J1784" t="s">
        <v>5321</v>
      </c>
      <c r="K1784">
        <v>10454</v>
      </c>
      <c r="L1784" t="s">
        <v>5355</v>
      </c>
      <c r="M1784" t="s">
        <v>5356</v>
      </c>
      <c r="N1784" t="s">
        <v>5984</v>
      </c>
      <c r="O1784" t="s">
        <v>6492</v>
      </c>
      <c r="P1784" t="s">
        <v>6530</v>
      </c>
      <c r="Q1784" t="s">
        <v>6537</v>
      </c>
      <c r="R1784" t="s">
        <v>6539</v>
      </c>
      <c r="S1784" t="s">
        <v>5357</v>
      </c>
      <c r="U1784" t="s">
        <v>6557</v>
      </c>
      <c r="W1784" t="s">
        <v>516</v>
      </c>
      <c r="X1784">
        <v>998</v>
      </c>
      <c r="Y1784" t="s">
        <v>6606</v>
      </c>
      <c r="Z1784" t="s">
        <v>6493</v>
      </c>
      <c r="AA1784" t="s">
        <v>6651</v>
      </c>
      <c r="AB1784" t="s">
        <v>8148</v>
      </c>
      <c r="AD1784" t="s">
        <v>10480</v>
      </c>
      <c r="AE1784">
        <v>88</v>
      </c>
      <c r="AF1784" t="s">
        <v>11008</v>
      </c>
      <c r="AG1784" t="s">
        <v>5406</v>
      </c>
      <c r="AH1784">
        <v>3</v>
      </c>
      <c r="AI1784">
        <v>1</v>
      </c>
      <c r="AJ1784">
        <v>0</v>
      </c>
      <c r="AK1784">
        <v>77.91</v>
      </c>
      <c r="AN1784" t="s">
        <v>11050</v>
      </c>
      <c r="AO1784">
        <v>9396</v>
      </c>
      <c r="AQ1784" t="s">
        <v>11190</v>
      </c>
      <c r="AR1784" t="s">
        <v>11213</v>
      </c>
      <c r="AS1784" t="s">
        <v>11253</v>
      </c>
      <c r="AT1784" t="s">
        <v>11280</v>
      </c>
      <c r="AU1784">
        <v>21.34</v>
      </c>
      <c r="AV1784" t="s">
        <v>454</v>
      </c>
      <c r="AW1784" t="s">
        <v>11513</v>
      </c>
    </row>
    <row r="1785" spans="1:49">
      <c r="A1785" s="1">
        <f>HYPERLINK("https://cms.ls-nyc.org/matter/dynamic-profile/view/1865616","18-1865616")</f>
        <v>0</v>
      </c>
      <c r="B1785" t="s">
        <v>210</v>
      </c>
      <c r="C1785" t="s">
        <v>234</v>
      </c>
      <c r="D1785" t="s">
        <v>239</v>
      </c>
      <c r="E1785" t="s">
        <v>766</v>
      </c>
      <c r="F1785" t="s">
        <v>1816</v>
      </c>
      <c r="G1785" t="s">
        <v>3122</v>
      </c>
      <c r="H1785" t="s">
        <v>4374</v>
      </c>
      <c r="I1785" t="s">
        <v>5205</v>
      </c>
      <c r="J1785" t="s">
        <v>5320</v>
      </c>
      <c r="K1785">
        <v>11226</v>
      </c>
      <c r="L1785" t="s">
        <v>5355</v>
      </c>
      <c r="M1785" t="s">
        <v>5356</v>
      </c>
      <c r="N1785" t="s">
        <v>5985</v>
      </c>
      <c r="O1785" t="s">
        <v>6492</v>
      </c>
      <c r="P1785" t="s">
        <v>6530</v>
      </c>
      <c r="Q1785" t="s">
        <v>6534</v>
      </c>
      <c r="R1785" t="s">
        <v>6539</v>
      </c>
      <c r="S1785" t="s">
        <v>5357</v>
      </c>
      <c r="U1785" t="s">
        <v>6557</v>
      </c>
      <c r="W1785" t="s">
        <v>256</v>
      </c>
      <c r="X1785">
        <v>771.66</v>
      </c>
      <c r="Y1785" t="s">
        <v>6605</v>
      </c>
      <c r="Z1785" t="s">
        <v>6614</v>
      </c>
      <c r="AA1785" t="s">
        <v>6637</v>
      </c>
      <c r="AB1785" t="s">
        <v>8149</v>
      </c>
      <c r="AC1785">
        <v>35037572</v>
      </c>
      <c r="AD1785" t="s">
        <v>10481</v>
      </c>
      <c r="AE1785">
        <v>16</v>
      </c>
      <c r="AF1785" t="s">
        <v>11005</v>
      </c>
      <c r="AG1785" t="s">
        <v>5406</v>
      </c>
      <c r="AH1785">
        <v>35</v>
      </c>
      <c r="AI1785">
        <v>4</v>
      </c>
      <c r="AJ1785">
        <v>1</v>
      </c>
      <c r="AK1785">
        <v>78.18000000000001</v>
      </c>
      <c r="AN1785" t="s">
        <v>11050</v>
      </c>
      <c r="AO1785">
        <v>23000</v>
      </c>
      <c r="AU1785">
        <v>26.9</v>
      </c>
      <c r="AV1785" t="s">
        <v>716</v>
      </c>
      <c r="AW1785" t="s">
        <v>11490</v>
      </c>
    </row>
    <row r="1786" spans="1:49">
      <c r="A1786" s="1">
        <f>HYPERLINK("https://cms.ls-nyc.org/matter/dynamic-profile/view/1859034","18-1859034")</f>
        <v>0</v>
      </c>
      <c r="B1786" t="s">
        <v>189</v>
      </c>
      <c r="C1786" t="s">
        <v>234</v>
      </c>
      <c r="D1786" t="s">
        <v>319</v>
      </c>
      <c r="E1786" t="s">
        <v>813</v>
      </c>
      <c r="F1786" t="s">
        <v>1817</v>
      </c>
      <c r="G1786" t="s">
        <v>2234</v>
      </c>
      <c r="H1786" t="s">
        <v>4375</v>
      </c>
      <c r="I1786" t="s">
        <v>4766</v>
      </c>
      <c r="J1786" t="s">
        <v>5322</v>
      </c>
      <c r="K1786">
        <v>10304</v>
      </c>
      <c r="L1786" t="s">
        <v>5355</v>
      </c>
      <c r="M1786" t="s">
        <v>5355</v>
      </c>
      <c r="N1786" t="s">
        <v>5986</v>
      </c>
      <c r="O1786" t="s">
        <v>6491</v>
      </c>
      <c r="P1786" t="s">
        <v>6530</v>
      </c>
      <c r="Q1786" t="s">
        <v>6534</v>
      </c>
      <c r="R1786" t="s">
        <v>6539</v>
      </c>
      <c r="S1786" t="s">
        <v>5355</v>
      </c>
      <c r="U1786" t="s">
        <v>6557</v>
      </c>
      <c r="V1786" t="s">
        <v>6566</v>
      </c>
      <c r="W1786" t="s">
        <v>319</v>
      </c>
      <c r="X1786">
        <v>1200</v>
      </c>
      <c r="Y1786" t="s">
        <v>6607</v>
      </c>
      <c r="Z1786" t="s">
        <v>6614</v>
      </c>
      <c r="AA1786" t="s">
        <v>6633</v>
      </c>
      <c r="AB1786" t="s">
        <v>8150</v>
      </c>
      <c r="AD1786" t="s">
        <v>10482</v>
      </c>
      <c r="AE1786">
        <v>2</v>
      </c>
      <c r="AF1786" t="s">
        <v>11004</v>
      </c>
      <c r="AG1786" t="s">
        <v>5406</v>
      </c>
      <c r="AH1786">
        <v>9</v>
      </c>
      <c r="AI1786">
        <v>2</v>
      </c>
      <c r="AJ1786">
        <v>4</v>
      </c>
      <c r="AK1786">
        <v>78.88</v>
      </c>
      <c r="AN1786" t="s">
        <v>11050</v>
      </c>
      <c r="AO1786">
        <v>26000</v>
      </c>
      <c r="AR1786" t="s">
        <v>6493</v>
      </c>
      <c r="AS1786" t="s">
        <v>11252</v>
      </c>
      <c r="AT1786" t="s">
        <v>11296</v>
      </c>
      <c r="AU1786">
        <v>2.1</v>
      </c>
      <c r="AV1786" t="s">
        <v>813</v>
      </c>
      <c r="AW1786" t="s">
        <v>11510</v>
      </c>
    </row>
    <row r="1787" spans="1:49">
      <c r="A1787" s="1">
        <f>HYPERLINK("https://cms.ls-nyc.org/matter/dynamic-profile/view/1845335","17-1845335")</f>
        <v>0</v>
      </c>
      <c r="B1787" t="s">
        <v>137</v>
      </c>
      <c r="C1787" t="s">
        <v>235</v>
      </c>
      <c r="D1787" t="s">
        <v>457</v>
      </c>
      <c r="F1787" t="s">
        <v>1818</v>
      </c>
      <c r="G1787" t="s">
        <v>3123</v>
      </c>
      <c r="H1787" t="s">
        <v>3759</v>
      </c>
      <c r="I1787" t="s">
        <v>5036</v>
      </c>
      <c r="J1787" t="s">
        <v>5320</v>
      </c>
      <c r="K1787">
        <v>11213</v>
      </c>
      <c r="L1787" t="s">
        <v>5355</v>
      </c>
      <c r="M1787" t="s">
        <v>5356</v>
      </c>
      <c r="O1787" t="s">
        <v>6494</v>
      </c>
      <c r="P1787" t="s">
        <v>6530</v>
      </c>
      <c r="R1787" t="s">
        <v>6539</v>
      </c>
      <c r="S1787" t="s">
        <v>5355</v>
      </c>
      <c r="U1787" t="s">
        <v>6557</v>
      </c>
      <c r="W1787" t="s">
        <v>404</v>
      </c>
      <c r="X1787">
        <v>1108.91</v>
      </c>
      <c r="Y1787" t="s">
        <v>6605</v>
      </c>
      <c r="AB1787" t="s">
        <v>8151</v>
      </c>
      <c r="AE1787">
        <v>74</v>
      </c>
      <c r="AF1787" t="s">
        <v>11005</v>
      </c>
      <c r="AH1787">
        <v>25</v>
      </c>
      <c r="AI1787">
        <v>2</v>
      </c>
      <c r="AJ1787">
        <v>0</v>
      </c>
      <c r="AK1787">
        <v>78.98999999999999</v>
      </c>
      <c r="AL1787" t="s">
        <v>511</v>
      </c>
      <c r="AN1787" t="s">
        <v>11050</v>
      </c>
      <c r="AO1787">
        <v>12828</v>
      </c>
      <c r="AU1787">
        <v>0</v>
      </c>
      <c r="AW1787" t="s">
        <v>11489</v>
      </c>
    </row>
    <row r="1788" spans="1:49">
      <c r="A1788" s="1">
        <f>HYPERLINK("https://cms.ls-nyc.org/matter/dynamic-profile/view/1851774","17-1851774")</f>
        <v>0</v>
      </c>
      <c r="B1788" t="s">
        <v>88</v>
      </c>
      <c r="C1788" t="s">
        <v>234</v>
      </c>
      <c r="D1788" t="s">
        <v>381</v>
      </c>
      <c r="E1788" t="s">
        <v>814</v>
      </c>
      <c r="F1788" t="s">
        <v>1819</v>
      </c>
      <c r="G1788" t="s">
        <v>2440</v>
      </c>
      <c r="H1788" t="s">
        <v>3651</v>
      </c>
      <c r="I1788" t="s">
        <v>4853</v>
      </c>
      <c r="J1788" t="s">
        <v>5320</v>
      </c>
      <c r="K1788">
        <v>11208</v>
      </c>
      <c r="L1788" t="s">
        <v>5355</v>
      </c>
      <c r="M1788" t="s">
        <v>5355</v>
      </c>
      <c r="N1788" t="s">
        <v>5987</v>
      </c>
      <c r="O1788" t="s">
        <v>6492</v>
      </c>
      <c r="P1788" t="s">
        <v>6530</v>
      </c>
      <c r="Q1788" t="s">
        <v>6534</v>
      </c>
      <c r="R1788" t="s">
        <v>6539</v>
      </c>
      <c r="S1788" t="s">
        <v>6541</v>
      </c>
      <c r="U1788" t="s">
        <v>6557</v>
      </c>
      <c r="W1788" t="s">
        <v>372</v>
      </c>
      <c r="X1788">
        <v>0</v>
      </c>
      <c r="Y1788" t="s">
        <v>6605</v>
      </c>
      <c r="Z1788" t="s">
        <v>6613</v>
      </c>
      <c r="AA1788" t="s">
        <v>6637</v>
      </c>
      <c r="AB1788" t="s">
        <v>8152</v>
      </c>
      <c r="AC1788" t="s">
        <v>8762</v>
      </c>
      <c r="AD1788" t="s">
        <v>10483</v>
      </c>
      <c r="AE1788">
        <v>176</v>
      </c>
      <c r="AF1788" t="s">
        <v>11011</v>
      </c>
      <c r="AG1788" t="s">
        <v>11020</v>
      </c>
      <c r="AH1788">
        <v>6</v>
      </c>
      <c r="AI1788">
        <v>1</v>
      </c>
      <c r="AJ1788">
        <v>0</v>
      </c>
      <c r="AK1788">
        <v>79</v>
      </c>
      <c r="AN1788" t="s">
        <v>11050</v>
      </c>
      <c r="AO1788">
        <v>9528</v>
      </c>
      <c r="AR1788" t="s">
        <v>11210</v>
      </c>
      <c r="AS1788" t="s">
        <v>11253</v>
      </c>
      <c r="AT1788" t="s">
        <v>11363</v>
      </c>
      <c r="AU1788">
        <v>32.3</v>
      </c>
      <c r="AV1788" t="s">
        <v>681</v>
      </c>
      <c r="AW1788" t="s">
        <v>11512</v>
      </c>
    </row>
    <row r="1789" spans="1:49">
      <c r="A1789" s="1">
        <f>HYPERLINK("https://cms.ls-nyc.org/matter/dynamic-profile/view/1861620","18-1861620")</f>
        <v>0</v>
      </c>
      <c r="B1789" t="s">
        <v>133</v>
      </c>
      <c r="C1789" t="s">
        <v>234</v>
      </c>
      <c r="D1789" t="s">
        <v>362</v>
      </c>
      <c r="E1789" t="s">
        <v>767</v>
      </c>
      <c r="F1789" t="s">
        <v>1820</v>
      </c>
      <c r="G1789" t="s">
        <v>3124</v>
      </c>
      <c r="H1789" t="s">
        <v>4376</v>
      </c>
      <c r="I1789">
        <v>1</v>
      </c>
      <c r="J1789" t="s">
        <v>5326</v>
      </c>
      <c r="K1789">
        <v>11691</v>
      </c>
      <c r="L1789" t="s">
        <v>5355</v>
      </c>
      <c r="M1789" t="s">
        <v>5355</v>
      </c>
      <c r="N1789" t="s">
        <v>5988</v>
      </c>
      <c r="O1789" t="s">
        <v>6491</v>
      </c>
      <c r="P1789" t="s">
        <v>6530</v>
      </c>
      <c r="Q1789" t="s">
        <v>6534</v>
      </c>
      <c r="R1789" t="s">
        <v>6539</v>
      </c>
      <c r="S1789" t="s">
        <v>5357</v>
      </c>
      <c r="U1789" t="s">
        <v>6557</v>
      </c>
      <c r="V1789" t="s">
        <v>6566</v>
      </c>
      <c r="W1789" t="s">
        <v>373</v>
      </c>
      <c r="X1789">
        <v>1350</v>
      </c>
      <c r="Y1789" t="s">
        <v>6604</v>
      </c>
      <c r="Z1789" t="s">
        <v>6616</v>
      </c>
      <c r="AA1789" t="s">
        <v>6633</v>
      </c>
      <c r="AB1789" t="s">
        <v>8153</v>
      </c>
      <c r="AD1789" t="s">
        <v>10484</v>
      </c>
      <c r="AE1789">
        <v>2</v>
      </c>
      <c r="AF1789" t="s">
        <v>11004</v>
      </c>
      <c r="AG1789" t="s">
        <v>5406</v>
      </c>
      <c r="AH1789">
        <v>2</v>
      </c>
      <c r="AI1789">
        <v>1</v>
      </c>
      <c r="AJ1789">
        <v>0</v>
      </c>
      <c r="AK1789">
        <v>79.08</v>
      </c>
      <c r="AN1789" t="s">
        <v>11050</v>
      </c>
      <c r="AO1789">
        <v>9600</v>
      </c>
      <c r="AQ1789" t="s">
        <v>11190</v>
      </c>
      <c r="AR1789" t="s">
        <v>6493</v>
      </c>
      <c r="AS1789" t="s">
        <v>11252</v>
      </c>
      <c r="AT1789" t="s">
        <v>11364</v>
      </c>
      <c r="AU1789">
        <v>30</v>
      </c>
      <c r="AV1789" t="s">
        <v>696</v>
      </c>
      <c r="AW1789" t="s">
        <v>11520</v>
      </c>
    </row>
    <row r="1790" spans="1:49">
      <c r="A1790" s="1">
        <f>HYPERLINK("https://cms.ls-nyc.org/matter/dynamic-profile/view/1862986","18-1862986")</f>
        <v>0</v>
      </c>
      <c r="B1790" t="s">
        <v>104</v>
      </c>
      <c r="C1790" t="s">
        <v>235</v>
      </c>
      <c r="D1790" t="s">
        <v>369</v>
      </c>
      <c r="F1790" t="s">
        <v>1821</v>
      </c>
      <c r="G1790" t="s">
        <v>3125</v>
      </c>
      <c r="H1790" t="s">
        <v>3441</v>
      </c>
      <c r="I1790" t="s">
        <v>4885</v>
      </c>
      <c r="J1790" t="s">
        <v>5321</v>
      </c>
      <c r="K1790">
        <v>10453</v>
      </c>
      <c r="L1790" t="s">
        <v>5355</v>
      </c>
      <c r="M1790" t="s">
        <v>5356</v>
      </c>
      <c r="N1790" t="s">
        <v>5989</v>
      </c>
      <c r="O1790" t="s">
        <v>6492</v>
      </c>
      <c r="P1790" t="s">
        <v>6530</v>
      </c>
      <c r="R1790" t="s">
        <v>6539</v>
      </c>
      <c r="S1790" t="s">
        <v>5357</v>
      </c>
      <c r="U1790" t="s">
        <v>6557</v>
      </c>
      <c r="W1790" t="s">
        <v>516</v>
      </c>
      <c r="X1790">
        <v>1039.51</v>
      </c>
      <c r="Y1790" t="s">
        <v>6606</v>
      </c>
      <c r="Z1790" t="s">
        <v>6612</v>
      </c>
      <c r="AB1790" t="s">
        <v>8154</v>
      </c>
      <c r="AD1790" t="s">
        <v>10485</v>
      </c>
      <c r="AE1790">
        <v>69</v>
      </c>
      <c r="AF1790" t="s">
        <v>11005</v>
      </c>
      <c r="AG1790" t="s">
        <v>5406</v>
      </c>
      <c r="AH1790">
        <v>15</v>
      </c>
      <c r="AI1790">
        <v>1</v>
      </c>
      <c r="AJ1790">
        <v>0</v>
      </c>
      <c r="AK1790">
        <v>79.08</v>
      </c>
      <c r="AN1790" t="s">
        <v>11063</v>
      </c>
      <c r="AO1790">
        <v>9600</v>
      </c>
      <c r="AP1790" t="s">
        <v>11163</v>
      </c>
      <c r="AU1790">
        <v>42.2</v>
      </c>
      <c r="AV1790" t="s">
        <v>11457</v>
      </c>
      <c r="AW1790" t="s">
        <v>11505</v>
      </c>
    </row>
    <row r="1791" spans="1:49">
      <c r="A1791" s="1">
        <f>HYPERLINK("https://cms.ls-nyc.org/matter/dynamic-profile/view/1868343","18-1868343")</f>
        <v>0</v>
      </c>
      <c r="B1791" t="s">
        <v>106</v>
      </c>
      <c r="C1791" t="s">
        <v>235</v>
      </c>
      <c r="D1791" t="s">
        <v>365</v>
      </c>
      <c r="F1791" t="s">
        <v>1822</v>
      </c>
      <c r="G1791" t="s">
        <v>3126</v>
      </c>
      <c r="H1791" t="s">
        <v>4287</v>
      </c>
      <c r="I1791" t="s">
        <v>5206</v>
      </c>
      <c r="J1791" t="s">
        <v>5321</v>
      </c>
      <c r="K1791">
        <v>10453</v>
      </c>
      <c r="L1791" t="s">
        <v>5355</v>
      </c>
      <c r="M1791" t="s">
        <v>5356</v>
      </c>
      <c r="N1791" t="s">
        <v>5990</v>
      </c>
      <c r="O1791" t="s">
        <v>6492</v>
      </c>
      <c r="P1791" t="s">
        <v>6530</v>
      </c>
      <c r="R1791" t="s">
        <v>6539</v>
      </c>
      <c r="S1791" t="s">
        <v>5357</v>
      </c>
      <c r="U1791" t="s">
        <v>6557</v>
      </c>
      <c r="W1791" t="s">
        <v>516</v>
      </c>
      <c r="X1791">
        <v>1130.25</v>
      </c>
      <c r="Y1791" t="s">
        <v>6606</v>
      </c>
      <c r="Z1791" t="s">
        <v>6614</v>
      </c>
      <c r="AB1791" t="s">
        <v>8155</v>
      </c>
      <c r="AD1791" t="s">
        <v>10486</v>
      </c>
      <c r="AE1791">
        <v>46</v>
      </c>
      <c r="AF1791" t="s">
        <v>11005</v>
      </c>
      <c r="AG1791" t="s">
        <v>11026</v>
      </c>
      <c r="AH1791">
        <v>5</v>
      </c>
      <c r="AI1791">
        <v>1</v>
      </c>
      <c r="AJ1791">
        <v>0</v>
      </c>
      <c r="AK1791">
        <v>79.08</v>
      </c>
      <c r="AN1791" t="s">
        <v>11050</v>
      </c>
      <c r="AO1791">
        <v>9600</v>
      </c>
      <c r="AQ1791" t="s">
        <v>11191</v>
      </c>
      <c r="AR1791" t="s">
        <v>11213</v>
      </c>
      <c r="AS1791" t="s">
        <v>11253</v>
      </c>
      <c r="AT1791" t="s">
        <v>11315</v>
      </c>
      <c r="AU1791">
        <v>23.8</v>
      </c>
      <c r="AV1791" t="s">
        <v>11470</v>
      </c>
      <c r="AW1791" t="s">
        <v>11499</v>
      </c>
    </row>
    <row r="1792" spans="1:49">
      <c r="A1792" s="1">
        <f>HYPERLINK("https://cms.ls-nyc.org/matter/dynamic-profile/view/1867638","18-1867638")</f>
        <v>0</v>
      </c>
      <c r="B1792" t="s">
        <v>189</v>
      </c>
      <c r="C1792" t="s">
        <v>235</v>
      </c>
      <c r="D1792" t="s">
        <v>280</v>
      </c>
      <c r="F1792" t="s">
        <v>1513</v>
      </c>
      <c r="G1792" t="s">
        <v>3127</v>
      </c>
      <c r="H1792" t="s">
        <v>4354</v>
      </c>
      <c r="I1792" t="s">
        <v>5207</v>
      </c>
      <c r="J1792" t="s">
        <v>5322</v>
      </c>
      <c r="K1792">
        <v>10304</v>
      </c>
      <c r="L1792" t="s">
        <v>5355</v>
      </c>
      <c r="M1792" t="s">
        <v>5356</v>
      </c>
      <c r="N1792" t="s">
        <v>5991</v>
      </c>
      <c r="O1792" t="s">
        <v>6492</v>
      </c>
      <c r="P1792" t="s">
        <v>6530</v>
      </c>
      <c r="R1792" t="s">
        <v>6539</v>
      </c>
      <c r="S1792" t="s">
        <v>5357</v>
      </c>
      <c r="U1792" t="s">
        <v>6557</v>
      </c>
      <c r="W1792" t="s">
        <v>280</v>
      </c>
      <c r="X1792">
        <v>940</v>
      </c>
      <c r="Y1792" t="s">
        <v>6607</v>
      </c>
      <c r="Z1792" t="s">
        <v>6613</v>
      </c>
      <c r="AB1792" t="s">
        <v>8156</v>
      </c>
      <c r="AD1792" t="s">
        <v>10487</v>
      </c>
      <c r="AE1792">
        <v>0</v>
      </c>
      <c r="AF1792" t="s">
        <v>11008</v>
      </c>
      <c r="AG1792" t="s">
        <v>11020</v>
      </c>
      <c r="AH1792">
        <v>13</v>
      </c>
      <c r="AI1792">
        <v>1</v>
      </c>
      <c r="AJ1792">
        <v>0</v>
      </c>
      <c r="AK1792">
        <v>79.08</v>
      </c>
      <c r="AN1792" t="s">
        <v>11050</v>
      </c>
      <c r="AO1792">
        <v>9600</v>
      </c>
      <c r="AU1792">
        <v>11</v>
      </c>
      <c r="AV1792" t="s">
        <v>11463</v>
      </c>
      <c r="AW1792" t="s">
        <v>11510</v>
      </c>
    </row>
    <row r="1793" spans="1:49">
      <c r="A1793" s="1">
        <f>HYPERLINK("https://cms.ls-nyc.org/matter/dynamic-profile/view/1846656","17-1846656")</f>
        <v>0</v>
      </c>
      <c r="B1793" t="s">
        <v>50</v>
      </c>
      <c r="C1793" t="s">
        <v>234</v>
      </c>
      <c r="D1793" t="s">
        <v>575</v>
      </c>
      <c r="E1793" t="s">
        <v>665</v>
      </c>
      <c r="F1793" t="s">
        <v>1384</v>
      </c>
      <c r="G1793" t="s">
        <v>1502</v>
      </c>
      <c r="H1793" t="s">
        <v>3988</v>
      </c>
      <c r="I1793" t="s">
        <v>4775</v>
      </c>
      <c r="J1793" t="s">
        <v>5324</v>
      </c>
      <c r="K1793">
        <v>11354</v>
      </c>
      <c r="L1793" t="s">
        <v>5355</v>
      </c>
      <c r="M1793" t="s">
        <v>5356</v>
      </c>
      <c r="N1793" t="s">
        <v>5992</v>
      </c>
      <c r="O1793" t="s">
        <v>6494</v>
      </c>
      <c r="P1793" t="s">
        <v>6530</v>
      </c>
      <c r="Q1793" t="s">
        <v>6534</v>
      </c>
      <c r="R1793" t="s">
        <v>6539</v>
      </c>
      <c r="S1793" t="s">
        <v>5357</v>
      </c>
      <c r="U1793" t="s">
        <v>6557</v>
      </c>
      <c r="W1793" t="s">
        <v>575</v>
      </c>
      <c r="X1793">
        <v>1172.78</v>
      </c>
      <c r="Y1793" t="s">
        <v>6604</v>
      </c>
      <c r="Z1793" t="s">
        <v>6614</v>
      </c>
      <c r="AA1793" t="s">
        <v>6637</v>
      </c>
      <c r="AB1793" t="s">
        <v>7378</v>
      </c>
      <c r="AC1793" t="s">
        <v>8800</v>
      </c>
      <c r="AD1793" t="s">
        <v>9750</v>
      </c>
      <c r="AE1793">
        <v>54</v>
      </c>
      <c r="AF1793" t="s">
        <v>11005</v>
      </c>
      <c r="AG1793" t="s">
        <v>11020</v>
      </c>
      <c r="AH1793">
        <v>21</v>
      </c>
      <c r="AI1793">
        <v>1</v>
      </c>
      <c r="AJ1793">
        <v>0</v>
      </c>
      <c r="AK1793">
        <v>79.09999999999999</v>
      </c>
      <c r="AN1793" t="s">
        <v>11052</v>
      </c>
      <c r="AO1793">
        <v>9540</v>
      </c>
      <c r="AU1793">
        <v>35.7</v>
      </c>
      <c r="AV1793" t="s">
        <v>680</v>
      </c>
      <c r="AW1793" t="s">
        <v>81</v>
      </c>
    </row>
    <row r="1794" spans="1:49">
      <c r="A1794" s="1">
        <f>HYPERLINK("https://cms.ls-nyc.org/matter/dynamic-profile/view/1850261","17-1850261")</f>
        <v>0</v>
      </c>
      <c r="B1794" t="s">
        <v>63</v>
      </c>
      <c r="C1794" t="s">
        <v>235</v>
      </c>
      <c r="D1794" t="s">
        <v>560</v>
      </c>
      <c r="F1794" t="s">
        <v>1823</v>
      </c>
      <c r="G1794" t="s">
        <v>3128</v>
      </c>
      <c r="H1794" t="s">
        <v>4377</v>
      </c>
      <c r="I1794" t="s">
        <v>4941</v>
      </c>
      <c r="J1794" t="s">
        <v>5322</v>
      </c>
      <c r="K1794">
        <v>10304</v>
      </c>
      <c r="L1794" t="s">
        <v>5355</v>
      </c>
      <c r="M1794" t="s">
        <v>5356</v>
      </c>
      <c r="N1794" t="s">
        <v>5993</v>
      </c>
      <c r="O1794" t="s">
        <v>6504</v>
      </c>
      <c r="P1794" t="s">
        <v>6530</v>
      </c>
      <c r="R1794" t="s">
        <v>6539</v>
      </c>
      <c r="S1794" t="s">
        <v>5357</v>
      </c>
      <c r="U1794" t="s">
        <v>6557</v>
      </c>
      <c r="W1794" t="s">
        <v>560</v>
      </c>
      <c r="X1794">
        <v>1170</v>
      </c>
      <c r="Y1794" t="s">
        <v>6607</v>
      </c>
      <c r="Z1794" t="s">
        <v>6622</v>
      </c>
      <c r="AB1794" t="s">
        <v>8157</v>
      </c>
      <c r="AD1794" t="s">
        <v>10488</v>
      </c>
      <c r="AE1794">
        <v>362</v>
      </c>
      <c r="AF1794" t="s">
        <v>11008</v>
      </c>
      <c r="AG1794" t="s">
        <v>11020</v>
      </c>
      <c r="AH1794">
        <v>7</v>
      </c>
      <c r="AI1794">
        <v>1</v>
      </c>
      <c r="AJ1794">
        <v>0</v>
      </c>
      <c r="AK1794">
        <v>79.2</v>
      </c>
      <c r="AN1794" t="s">
        <v>11050</v>
      </c>
      <c r="AO1794">
        <v>9552</v>
      </c>
      <c r="AU1794">
        <v>35.75</v>
      </c>
      <c r="AV1794" t="s">
        <v>799</v>
      </c>
      <c r="AW1794" t="s">
        <v>11510</v>
      </c>
    </row>
    <row r="1795" spans="1:49">
      <c r="A1795" s="1">
        <f>HYPERLINK("https://cms.ls-nyc.org/matter/dynamic-profile/view/1838569","17-1838569")</f>
        <v>0</v>
      </c>
      <c r="B1795" t="s">
        <v>211</v>
      </c>
      <c r="C1795" t="s">
        <v>235</v>
      </c>
      <c r="D1795" t="s">
        <v>501</v>
      </c>
      <c r="F1795" t="s">
        <v>1146</v>
      </c>
      <c r="G1795" t="s">
        <v>3129</v>
      </c>
      <c r="H1795" t="s">
        <v>4378</v>
      </c>
      <c r="I1795" t="s">
        <v>5136</v>
      </c>
      <c r="J1795" t="s">
        <v>5320</v>
      </c>
      <c r="K1795">
        <v>11220</v>
      </c>
      <c r="L1795" t="s">
        <v>5355</v>
      </c>
      <c r="M1795" t="s">
        <v>5356</v>
      </c>
      <c r="N1795" t="s">
        <v>5994</v>
      </c>
      <c r="O1795" t="s">
        <v>6491</v>
      </c>
      <c r="P1795" t="s">
        <v>6530</v>
      </c>
      <c r="R1795" t="s">
        <v>6539</v>
      </c>
      <c r="S1795" t="s">
        <v>5357</v>
      </c>
      <c r="U1795" t="s">
        <v>6557</v>
      </c>
      <c r="W1795" t="s">
        <v>499</v>
      </c>
      <c r="X1795">
        <v>0</v>
      </c>
      <c r="Y1795" t="s">
        <v>6605</v>
      </c>
      <c r="Z1795" t="s">
        <v>6615</v>
      </c>
      <c r="AB1795" t="s">
        <v>8158</v>
      </c>
      <c r="AD1795" t="s">
        <v>10489</v>
      </c>
      <c r="AE1795">
        <v>391</v>
      </c>
      <c r="AF1795" t="s">
        <v>11010</v>
      </c>
      <c r="AH1795">
        <v>10</v>
      </c>
      <c r="AI1795">
        <v>1</v>
      </c>
      <c r="AJ1795">
        <v>0</v>
      </c>
      <c r="AK1795">
        <v>79.3</v>
      </c>
      <c r="AL1795" t="s">
        <v>438</v>
      </c>
      <c r="AN1795" t="s">
        <v>11056</v>
      </c>
      <c r="AO1795">
        <v>9564</v>
      </c>
      <c r="AU1795">
        <v>68.13</v>
      </c>
      <c r="AV1795" t="s">
        <v>11473</v>
      </c>
      <c r="AW1795" t="s">
        <v>11553</v>
      </c>
    </row>
    <row r="1796" spans="1:49">
      <c r="A1796" s="1">
        <f>HYPERLINK("https://cms.ls-nyc.org/matter/dynamic-profile/view/1848530","17-1848530")</f>
        <v>0</v>
      </c>
      <c r="B1796" t="s">
        <v>80</v>
      </c>
      <c r="C1796" t="s">
        <v>234</v>
      </c>
      <c r="D1796" t="s">
        <v>354</v>
      </c>
      <c r="E1796" t="s">
        <v>600</v>
      </c>
      <c r="F1796" t="s">
        <v>993</v>
      </c>
      <c r="G1796" t="s">
        <v>2216</v>
      </c>
      <c r="H1796" t="s">
        <v>3598</v>
      </c>
      <c r="I1796" t="s">
        <v>4862</v>
      </c>
      <c r="J1796" t="s">
        <v>5321</v>
      </c>
      <c r="K1796">
        <v>10457</v>
      </c>
      <c r="L1796" t="s">
        <v>5355</v>
      </c>
      <c r="M1796" t="s">
        <v>5356</v>
      </c>
      <c r="N1796" t="s">
        <v>5701</v>
      </c>
      <c r="O1796" t="s">
        <v>6494</v>
      </c>
      <c r="P1796" t="s">
        <v>6530</v>
      </c>
      <c r="Q1796" t="s">
        <v>6534</v>
      </c>
      <c r="R1796" t="s">
        <v>6539</v>
      </c>
      <c r="S1796" t="s">
        <v>5355</v>
      </c>
      <c r="U1796" t="s">
        <v>6557</v>
      </c>
      <c r="W1796" t="s">
        <v>372</v>
      </c>
      <c r="X1796">
        <v>1800</v>
      </c>
      <c r="Y1796" t="s">
        <v>6606</v>
      </c>
      <c r="Z1796" t="s">
        <v>6612</v>
      </c>
      <c r="AA1796" t="s">
        <v>6634</v>
      </c>
      <c r="AB1796" t="s">
        <v>8159</v>
      </c>
      <c r="AE1796">
        <v>46</v>
      </c>
      <c r="AF1796" t="s">
        <v>8722</v>
      </c>
      <c r="AG1796" t="s">
        <v>11020</v>
      </c>
      <c r="AH1796">
        <v>5</v>
      </c>
      <c r="AI1796">
        <v>4</v>
      </c>
      <c r="AJ1796">
        <v>0</v>
      </c>
      <c r="AK1796">
        <v>79.48</v>
      </c>
      <c r="AN1796" t="s">
        <v>11050</v>
      </c>
      <c r="AO1796">
        <v>19552</v>
      </c>
      <c r="AU1796">
        <v>0.5</v>
      </c>
      <c r="AV1796" t="s">
        <v>600</v>
      </c>
      <c r="AW1796" t="s">
        <v>11509</v>
      </c>
    </row>
    <row r="1797" spans="1:49">
      <c r="A1797" s="1">
        <f>HYPERLINK("https://cms.ls-nyc.org/matter/dynamic-profile/view/1855075","18-1855075")</f>
        <v>0</v>
      </c>
      <c r="B1797" t="s">
        <v>100</v>
      </c>
      <c r="C1797" t="s">
        <v>234</v>
      </c>
      <c r="D1797" t="s">
        <v>269</v>
      </c>
      <c r="E1797" t="s">
        <v>703</v>
      </c>
      <c r="F1797" t="s">
        <v>1824</v>
      </c>
      <c r="G1797" t="s">
        <v>3130</v>
      </c>
      <c r="H1797" t="s">
        <v>4379</v>
      </c>
      <c r="J1797" t="s">
        <v>5320</v>
      </c>
      <c r="K1797">
        <v>11213</v>
      </c>
      <c r="L1797" t="s">
        <v>5355</v>
      </c>
      <c r="M1797" t="s">
        <v>5356</v>
      </c>
      <c r="N1797" t="s">
        <v>5995</v>
      </c>
      <c r="O1797" t="s">
        <v>6491</v>
      </c>
      <c r="P1797" t="s">
        <v>6530</v>
      </c>
      <c r="Q1797" t="s">
        <v>6538</v>
      </c>
      <c r="R1797" t="s">
        <v>6539</v>
      </c>
      <c r="U1797" t="s">
        <v>6557</v>
      </c>
      <c r="W1797" t="s">
        <v>305</v>
      </c>
      <c r="X1797">
        <v>0</v>
      </c>
      <c r="Y1797" t="s">
        <v>6605</v>
      </c>
      <c r="AA1797" t="s">
        <v>6637</v>
      </c>
      <c r="AB1797" t="s">
        <v>8160</v>
      </c>
      <c r="AD1797" t="s">
        <v>10490</v>
      </c>
      <c r="AE1797">
        <v>4</v>
      </c>
      <c r="AH1797">
        <v>0</v>
      </c>
      <c r="AI1797">
        <v>1</v>
      </c>
      <c r="AJ1797">
        <v>0</v>
      </c>
      <c r="AK1797">
        <v>79.59999999999999</v>
      </c>
      <c r="AN1797" t="s">
        <v>11050</v>
      </c>
      <c r="AO1797">
        <v>9600</v>
      </c>
      <c r="AU1797">
        <v>19</v>
      </c>
      <c r="AV1797" t="s">
        <v>459</v>
      </c>
      <c r="AW1797" t="s">
        <v>100</v>
      </c>
    </row>
    <row r="1798" spans="1:49">
      <c r="A1798" s="1">
        <f>HYPERLINK("https://cms.ls-nyc.org/matter/dynamic-profile/view/1855093","18-1855093")</f>
        <v>0</v>
      </c>
      <c r="B1798" t="s">
        <v>100</v>
      </c>
      <c r="C1798" t="s">
        <v>234</v>
      </c>
      <c r="D1798" t="s">
        <v>269</v>
      </c>
      <c r="E1798" t="s">
        <v>703</v>
      </c>
      <c r="F1798" t="s">
        <v>1824</v>
      </c>
      <c r="G1798" t="s">
        <v>3130</v>
      </c>
      <c r="H1798" t="s">
        <v>4379</v>
      </c>
      <c r="J1798" t="s">
        <v>5320</v>
      </c>
      <c r="K1798">
        <v>11213</v>
      </c>
      <c r="L1798" t="s">
        <v>5355</v>
      </c>
      <c r="M1798" t="s">
        <v>5356</v>
      </c>
      <c r="N1798" t="s">
        <v>5996</v>
      </c>
      <c r="P1798" t="s">
        <v>6530</v>
      </c>
      <c r="Q1798" t="s">
        <v>6538</v>
      </c>
      <c r="R1798" t="s">
        <v>6539</v>
      </c>
      <c r="U1798" t="s">
        <v>6557</v>
      </c>
      <c r="W1798" t="s">
        <v>262</v>
      </c>
      <c r="X1798">
        <v>0</v>
      </c>
      <c r="Y1798" t="s">
        <v>6605</v>
      </c>
      <c r="AA1798" t="s">
        <v>6637</v>
      </c>
      <c r="AB1798" t="s">
        <v>8160</v>
      </c>
      <c r="AD1798" t="s">
        <v>10490</v>
      </c>
      <c r="AE1798">
        <v>4</v>
      </c>
      <c r="AH1798">
        <v>0</v>
      </c>
      <c r="AI1798">
        <v>1</v>
      </c>
      <c r="AJ1798">
        <v>0</v>
      </c>
      <c r="AK1798">
        <v>79.59999999999999</v>
      </c>
      <c r="AN1798" t="s">
        <v>11050</v>
      </c>
      <c r="AO1798">
        <v>9600</v>
      </c>
      <c r="AP1798" t="s">
        <v>11164</v>
      </c>
      <c r="AU1798">
        <v>19</v>
      </c>
      <c r="AV1798" t="s">
        <v>733</v>
      </c>
      <c r="AW1798" t="s">
        <v>100</v>
      </c>
    </row>
    <row r="1799" spans="1:49">
      <c r="A1799" s="1">
        <f>HYPERLINK("https://cms.ls-nyc.org/matter/dynamic-profile/view/1845391","17-1845391")</f>
        <v>0</v>
      </c>
      <c r="B1799" t="s">
        <v>136</v>
      </c>
      <c r="C1799" t="s">
        <v>235</v>
      </c>
      <c r="D1799" t="s">
        <v>457</v>
      </c>
      <c r="F1799" t="s">
        <v>863</v>
      </c>
      <c r="G1799" t="s">
        <v>2440</v>
      </c>
      <c r="H1799" t="s">
        <v>4380</v>
      </c>
      <c r="I1799" t="s">
        <v>4783</v>
      </c>
      <c r="J1799" t="s">
        <v>5320</v>
      </c>
      <c r="K1799">
        <v>11212</v>
      </c>
      <c r="L1799" t="s">
        <v>5355</v>
      </c>
      <c r="M1799" t="s">
        <v>5356</v>
      </c>
      <c r="N1799" t="s">
        <v>5997</v>
      </c>
      <c r="O1799" t="s">
        <v>6492</v>
      </c>
      <c r="P1799" t="s">
        <v>6530</v>
      </c>
      <c r="R1799" t="s">
        <v>6539</v>
      </c>
      <c r="U1799" t="s">
        <v>6557</v>
      </c>
      <c r="W1799" t="s">
        <v>457</v>
      </c>
      <c r="X1799">
        <v>1300</v>
      </c>
      <c r="Y1799" t="s">
        <v>6605</v>
      </c>
      <c r="Z1799" t="s">
        <v>6493</v>
      </c>
      <c r="AB1799" t="s">
        <v>8161</v>
      </c>
      <c r="AE1799">
        <v>16</v>
      </c>
      <c r="AF1799" t="s">
        <v>11005</v>
      </c>
      <c r="AG1799" t="s">
        <v>5406</v>
      </c>
      <c r="AH1799">
        <v>0</v>
      </c>
      <c r="AI1799">
        <v>1</v>
      </c>
      <c r="AJ1799">
        <v>0</v>
      </c>
      <c r="AK1799">
        <v>79.59999999999999</v>
      </c>
      <c r="AN1799" t="s">
        <v>11050</v>
      </c>
      <c r="AO1799">
        <v>9600</v>
      </c>
      <c r="AU1799">
        <v>59.45</v>
      </c>
      <c r="AV1799" t="s">
        <v>743</v>
      </c>
      <c r="AW1799" t="s">
        <v>228</v>
      </c>
    </row>
    <row r="1800" spans="1:49">
      <c r="A1800" s="1">
        <f>HYPERLINK("https://cms.ls-nyc.org/matter/dynamic-profile/view/1839994","17-1839994")</f>
        <v>0</v>
      </c>
      <c r="B1800" t="s">
        <v>136</v>
      </c>
      <c r="C1800" t="s">
        <v>234</v>
      </c>
      <c r="D1800" t="s">
        <v>412</v>
      </c>
      <c r="E1800" t="s">
        <v>707</v>
      </c>
      <c r="F1800" t="s">
        <v>914</v>
      </c>
      <c r="G1800" t="s">
        <v>3131</v>
      </c>
      <c r="H1800" t="s">
        <v>4133</v>
      </c>
      <c r="I1800" t="s">
        <v>5208</v>
      </c>
      <c r="J1800" t="s">
        <v>5320</v>
      </c>
      <c r="K1800">
        <v>11208</v>
      </c>
      <c r="L1800" t="s">
        <v>5355</v>
      </c>
      <c r="M1800" t="s">
        <v>5355</v>
      </c>
      <c r="N1800" t="s">
        <v>5998</v>
      </c>
      <c r="O1800" t="s">
        <v>6491</v>
      </c>
      <c r="P1800" t="s">
        <v>6530</v>
      </c>
      <c r="Q1800" t="s">
        <v>6538</v>
      </c>
      <c r="R1800" t="s">
        <v>6539</v>
      </c>
      <c r="S1800" t="s">
        <v>5355</v>
      </c>
      <c r="U1800" t="s">
        <v>6557</v>
      </c>
      <c r="W1800" t="s">
        <v>323</v>
      </c>
      <c r="X1800">
        <v>300</v>
      </c>
      <c r="Y1800" t="s">
        <v>6605</v>
      </c>
      <c r="AA1800" t="s">
        <v>6637</v>
      </c>
      <c r="AB1800" t="s">
        <v>8162</v>
      </c>
      <c r="AD1800" t="s">
        <v>10491</v>
      </c>
      <c r="AE1800">
        <v>7</v>
      </c>
      <c r="AF1800" t="s">
        <v>8722</v>
      </c>
      <c r="AH1800">
        <v>3</v>
      </c>
      <c r="AI1800">
        <v>1</v>
      </c>
      <c r="AJ1800">
        <v>0</v>
      </c>
      <c r="AK1800">
        <v>79.59999999999999</v>
      </c>
      <c r="AN1800" t="s">
        <v>11049</v>
      </c>
      <c r="AO1800">
        <v>9600</v>
      </c>
      <c r="AQ1800" t="s">
        <v>11192</v>
      </c>
      <c r="AR1800" t="s">
        <v>11210</v>
      </c>
      <c r="AS1800" t="s">
        <v>11253</v>
      </c>
      <c r="AT1800" t="s">
        <v>11261</v>
      </c>
      <c r="AU1800">
        <v>1.6</v>
      </c>
      <c r="AV1800" t="s">
        <v>811</v>
      </c>
      <c r="AW1800" t="s">
        <v>228</v>
      </c>
    </row>
    <row r="1801" spans="1:49">
      <c r="A1801" s="1">
        <f>HYPERLINK("https://cms.ls-nyc.org/matter/dynamic-profile/view/1844626","17-1844626")</f>
        <v>0</v>
      </c>
      <c r="B1801" t="s">
        <v>54</v>
      </c>
      <c r="C1801" t="s">
        <v>234</v>
      </c>
      <c r="D1801" t="s">
        <v>435</v>
      </c>
      <c r="E1801" t="s">
        <v>664</v>
      </c>
      <c r="F1801" t="s">
        <v>914</v>
      </c>
      <c r="G1801" t="s">
        <v>3131</v>
      </c>
      <c r="H1801" t="s">
        <v>4133</v>
      </c>
      <c r="I1801" t="s">
        <v>5208</v>
      </c>
      <c r="J1801" t="s">
        <v>5320</v>
      </c>
      <c r="K1801">
        <v>11208</v>
      </c>
      <c r="L1801" t="s">
        <v>5355</v>
      </c>
      <c r="M1801" t="s">
        <v>5355</v>
      </c>
      <c r="N1801" t="s">
        <v>5889</v>
      </c>
      <c r="O1801" t="s">
        <v>6494</v>
      </c>
      <c r="P1801" t="s">
        <v>6530</v>
      </c>
      <c r="Q1801" t="s">
        <v>6534</v>
      </c>
      <c r="R1801" t="s">
        <v>6539</v>
      </c>
      <c r="S1801" t="s">
        <v>5355</v>
      </c>
      <c r="U1801" t="s">
        <v>6557</v>
      </c>
      <c r="W1801" t="s">
        <v>481</v>
      </c>
      <c r="X1801">
        <v>300</v>
      </c>
      <c r="Y1801" t="s">
        <v>6605</v>
      </c>
      <c r="AA1801" t="s">
        <v>6631</v>
      </c>
      <c r="AB1801" t="s">
        <v>8162</v>
      </c>
      <c r="AD1801" t="s">
        <v>10491</v>
      </c>
      <c r="AE1801">
        <v>7</v>
      </c>
      <c r="AF1801" t="s">
        <v>11004</v>
      </c>
      <c r="AG1801" t="s">
        <v>5406</v>
      </c>
      <c r="AH1801">
        <v>3</v>
      </c>
      <c r="AI1801">
        <v>1</v>
      </c>
      <c r="AJ1801">
        <v>0</v>
      </c>
      <c r="AK1801">
        <v>79.59999999999999</v>
      </c>
      <c r="AN1801" t="s">
        <v>11049</v>
      </c>
      <c r="AO1801">
        <v>9600</v>
      </c>
      <c r="AR1801" t="s">
        <v>11231</v>
      </c>
      <c r="AU1801">
        <v>4.5</v>
      </c>
      <c r="AV1801" t="s">
        <v>311</v>
      </c>
      <c r="AW1801" t="s">
        <v>228</v>
      </c>
    </row>
    <row r="1802" spans="1:49">
      <c r="A1802" s="1">
        <f>HYPERLINK("https://cms.ls-nyc.org/matter/dynamic-profile/view/1845272","17-1845272")</f>
        <v>0</v>
      </c>
      <c r="B1802" t="s">
        <v>75</v>
      </c>
      <c r="C1802" t="s">
        <v>235</v>
      </c>
      <c r="D1802" t="s">
        <v>417</v>
      </c>
      <c r="F1802" t="s">
        <v>1015</v>
      </c>
      <c r="G1802" t="s">
        <v>3132</v>
      </c>
      <c r="H1802" t="s">
        <v>4135</v>
      </c>
      <c r="J1802" t="s">
        <v>5320</v>
      </c>
      <c r="K1802">
        <v>11208</v>
      </c>
      <c r="L1802" t="s">
        <v>5355</v>
      </c>
      <c r="M1802" t="s">
        <v>5356</v>
      </c>
      <c r="O1802" t="s">
        <v>6494</v>
      </c>
      <c r="P1802" t="s">
        <v>6530</v>
      </c>
      <c r="R1802" t="s">
        <v>6539</v>
      </c>
      <c r="S1802" t="s">
        <v>5355</v>
      </c>
      <c r="U1802" t="s">
        <v>6557</v>
      </c>
      <c r="W1802" t="s">
        <v>6578</v>
      </c>
      <c r="X1802">
        <v>0</v>
      </c>
      <c r="Y1802" t="s">
        <v>6605</v>
      </c>
      <c r="Z1802" t="s">
        <v>6623</v>
      </c>
      <c r="AB1802" t="s">
        <v>8163</v>
      </c>
      <c r="AE1802">
        <v>16</v>
      </c>
      <c r="AF1802" t="s">
        <v>11005</v>
      </c>
      <c r="AH1802">
        <v>0</v>
      </c>
      <c r="AI1802">
        <v>1</v>
      </c>
      <c r="AJ1802">
        <v>0</v>
      </c>
      <c r="AK1802">
        <v>79.59999999999999</v>
      </c>
      <c r="AN1802" t="s">
        <v>11050</v>
      </c>
      <c r="AO1802">
        <v>9600</v>
      </c>
      <c r="AU1802">
        <v>1.63</v>
      </c>
      <c r="AV1802" t="s">
        <v>327</v>
      </c>
      <c r="AW1802" t="s">
        <v>11512</v>
      </c>
    </row>
    <row r="1803" spans="1:49">
      <c r="A1803" s="1">
        <f>HYPERLINK("https://cms.ls-nyc.org/matter/dynamic-profile/view/1856403","18-1856403")</f>
        <v>0</v>
      </c>
      <c r="B1803" t="s">
        <v>102</v>
      </c>
      <c r="C1803" t="s">
        <v>234</v>
      </c>
      <c r="D1803" t="s">
        <v>261</v>
      </c>
      <c r="E1803" t="s">
        <v>744</v>
      </c>
      <c r="F1803" t="s">
        <v>970</v>
      </c>
      <c r="G1803" t="s">
        <v>2221</v>
      </c>
      <c r="H1803" t="s">
        <v>3526</v>
      </c>
      <c r="I1803">
        <v>401</v>
      </c>
      <c r="J1803" t="s">
        <v>5321</v>
      </c>
      <c r="K1803">
        <v>10453</v>
      </c>
      <c r="L1803" t="s">
        <v>5355</v>
      </c>
      <c r="M1803" t="s">
        <v>5356</v>
      </c>
      <c r="N1803" t="s">
        <v>5883</v>
      </c>
      <c r="O1803" t="s">
        <v>6494</v>
      </c>
      <c r="P1803" t="s">
        <v>6530</v>
      </c>
      <c r="Q1803" t="s">
        <v>6534</v>
      </c>
      <c r="R1803" t="s">
        <v>6539</v>
      </c>
      <c r="S1803" t="s">
        <v>5355</v>
      </c>
      <c r="U1803" t="s">
        <v>6557</v>
      </c>
      <c r="W1803" t="s">
        <v>247</v>
      </c>
      <c r="X1803">
        <v>529.4299999999999</v>
      </c>
      <c r="Y1803" t="s">
        <v>6606</v>
      </c>
      <c r="Z1803" t="s">
        <v>6622</v>
      </c>
      <c r="AA1803" t="s">
        <v>6634</v>
      </c>
      <c r="AB1803" t="s">
        <v>6796</v>
      </c>
      <c r="AD1803" t="s">
        <v>9225</v>
      </c>
      <c r="AE1803">
        <v>146</v>
      </c>
      <c r="AF1803" t="s">
        <v>11005</v>
      </c>
      <c r="AG1803" t="s">
        <v>11024</v>
      </c>
      <c r="AH1803">
        <v>26</v>
      </c>
      <c r="AI1803">
        <v>1</v>
      </c>
      <c r="AJ1803">
        <v>0</v>
      </c>
      <c r="AK1803">
        <v>79.59999999999999</v>
      </c>
      <c r="AN1803" t="s">
        <v>11049</v>
      </c>
      <c r="AO1803">
        <v>9600</v>
      </c>
      <c r="AU1803">
        <v>1.05</v>
      </c>
      <c r="AV1803" t="s">
        <v>745</v>
      </c>
      <c r="AW1803" t="s">
        <v>11492</v>
      </c>
    </row>
    <row r="1804" spans="1:49">
      <c r="A1804" s="1">
        <f>HYPERLINK("https://cms.ls-nyc.org/matter/dynamic-profile/view/1852140","17-1852140")</f>
        <v>0</v>
      </c>
      <c r="B1804" t="s">
        <v>106</v>
      </c>
      <c r="C1804" t="s">
        <v>235</v>
      </c>
      <c r="D1804" t="s">
        <v>463</v>
      </c>
      <c r="F1804" t="s">
        <v>1822</v>
      </c>
      <c r="G1804" t="s">
        <v>3126</v>
      </c>
      <c r="H1804" t="s">
        <v>4287</v>
      </c>
      <c r="I1804" t="s">
        <v>5206</v>
      </c>
      <c r="J1804" t="s">
        <v>5321</v>
      </c>
      <c r="K1804">
        <v>10453</v>
      </c>
      <c r="L1804" t="s">
        <v>5355</v>
      </c>
      <c r="M1804" t="s">
        <v>5356</v>
      </c>
      <c r="N1804" t="s">
        <v>5999</v>
      </c>
      <c r="O1804" t="s">
        <v>6492</v>
      </c>
      <c r="P1804" t="s">
        <v>6530</v>
      </c>
      <c r="R1804" t="s">
        <v>6539</v>
      </c>
      <c r="S1804" t="s">
        <v>5357</v>
      </c>
      <c r="U1804" t="s">
        <v>6557</v>
      </c>
      <c r="W1804" t="s">
        <v>247</v>
      </c>
      <c r="X1804">
        <v>1130.25</v>
      </c>
      <c r="Y1804" t="s">
        <v>6606</v>
      </c>
      <c r="Z1804" t="s">
        <v>6614</v>
      </c>
      <c r="AB1804" t="s">
        <v>8155</v>
      </c>
      <c r="AC1804" t="s">
        <v>8998</v>
      </c>
      <c r="AD1804" t="s">
        <v>10486</v>
      </c>
      <c r="AE1804">
        <v>46</v>
      </c>
      <c r="AF1804" t="s">
        <v>11005</v>
      </c>
      <c r="AG1804" t="s">
        <v>5406</v>
      </c>
      <c r="AH1804">
        <v>3</v>
      </c>
      <c r="AI1804">
        <v>1</v>
      </c>
      <c r="AJ1804">
        <v>0</v>
      </c>
      <c r="AK1804">
        <v>79.59999999999999</v>
      </c>
      <c r="AN1804" t="s">
        <v>11050</v>
      </c>
      <c r="AO1804">
        <v>9600</v>
      </c>
      <c r="AT1804" t="s">
        <v>11324</v>
      </c>
      <c r="AU1804">
        <v>45.6</v>
      </c>
      <c r="AV1804" t="s">
        <v>239</v>
      </c>
      <c r="AW1804" t="s">
        <v>11499</v>
      </c>
    </row>
    <row r="1805" spans="1:49">
      <c r="A1805" s="1">
        <f>HYPERLINK("https://cms.ls-nyc.org/matter/dynamic-profile/view/1836866","17-1836866")</f>
        <v>0</v>
      </c>
      <c r="B1805" t="s">
        <v>92</v>
      </c>
      <c r="C1805" t="s">
        <v>234</v>
      </c>
      <c r="D1805" t="s">
        <v>532</v>
      </c>
      <c r="E1805" t="s">
        <v>704</v>
      </c>
      <c r="F1805" t="s">
        <v>1192</v>
      </c>
      <c r="G1805" t="s">
        <v>2573</v>
      </c>
      <c r="H1805" t="s">
        <v>4058</v>
      </c>
      <c r="I1805" t="s">
        <v>4766</v>
      </c>
      <c r="J1805" t="s">
        <v>5323</v>
      </c>
      <c r="K1805">
        <v>10034</v>
      </c>
      <c r="L1805" t="s">
        <v>5355</v>
      </c>
      <c r="M1805" t="s">
        <v>5356</v>
      </c>
      <c r="N1805" t="s">
        <v>6000</v>
      </c>
      <c r="O1805" t="s">
        <v>6492</v>
      </c>
      <c r="P1805" t="s">
        <v>6530</v>
      </c>
      <c r="Q1805" t="s">
        <v>6534</v>
      </c>
      <c r="R1805" t="s">
        <v>6539</v>
      </c>
      <c r="S1805" t="s">
        <v>5357</v>
      </c>
      <c r="U1805" t="s">
        <v>6557</v>
      </c>
      <c r="V1805" t="s">
        <v>6567</v>
      </c>
      <c r="W1805" t="s">
        <v>497</v>
      </c>
      <c r="X1805">
        <v>831.14</v>
      </c>
      <c r="Y1805" t="s">
        <v>6608</v>
      </c>
      <c r="Z1805" t="s">
        <v>6620</v>
      </c>
      <c r="AA1805" t="s">
        <v>6637</v>
      </c>
      <c r="AB1805" t="s">
        <v>7529</v>
      </c>
      <c r="AE1805">
        <v>73</v>
      </c>
      <c r="AF1805" t="s">
        <v>11005</v>
      </c>
      <c r="AG1805" t="s">
        <v>5406</v>
      </c>
      <c r="AH1805">
        <v>17</v>
      </c>
      <c r="AI1805">
        <v>1</v>
      </c>
      <c r="AJ1805">
        <v>0</v>
      </c>
      <c r="AK1805">
        <v>79.59999999999999</v>
      </c>
      <c r="AN1805" t="s">
        <v>11049</v>
      </c>
      <c r="AO1805">
        <v>9600</v>
      </c>
      <c r="AP1805" t="s">
        <v>11130</v>
      </c>
      <c r="AQ1805" t="s">
        <v>11191</v>
      </c>
      <c r="AR1805" t="s">
        <v>11232</v>
      </c>
      <c r="AS1805" t="s">
        <v>11253</v>
      </c>
      <c r="AT1805" t="s">
        <v>11266</v>
      </c>
      <c r="AU1805">
        <v>104.26</v>
      </c>
      <c r="AV1805" t="s">
        <v>805</v>
      </c>
      <c r="AW1805" t="s">
        <v>92</v>
      </c>
    </row>
    <row r="1806" spans="1:49">
      <c r="A1806" s="1">
        <f>HYPERLINK("https://cms.ls-nyc.org/matter/dynamic-profile/view/1856523","18-1856523")</f>
        <v>0</v>
      </c>
      <c r="B1806" t="s">
        <v>76</v>
      </c>
      <c r="C1806" t="s">
        <v>234</v>
      </c>
      <c r="D1806" t="s">
        <v>458</v>
      </c>
      <c r="E1806" t="s">
        <v>726</v>
      </c>
      <c r="F1806" t="s">
        <v>1237</v>
      </c>
      <c r="G1806" t="s">
        <v>2781</v>
      </c>
      <c r="H1806" t="s">
        <v>4081</v>
      </c>
      <c r="I1806" t="s">
        <v>4740</v>
      </c>
      <c r="J1806" t="s">
        <v>5323</v>
      </c>
      <c r="K1806">
        <v>10029</v>
      </c>
      <c r="L1806" t="s">
        <v>5355</v>
      </c>
      <c r="M1806" t="s">
        <v>5356</v>
      </c>
      <c r="N1806" t="s">
        <v>6001</v>
      </c>
      <c r="O1806" t="s">
        <v>6492</v>
      </c>
      <c r="P1806" t="s">
        <v>6530</v>
      </c>
      <c r="Q1806" t="s">
        <v>6534</v>
      </c>
      <c r="R1806" t="s">
        <v>6539</v>
      </c>
      <c r="S1806" t="s">
        <v>5357</v>
      </c>
      <c r="U1806" t="s">
        <v>6557</v>
      </c>
      <c r="V1806" t="s">
        <v>6566</v>
      </c>
      <c r="W1806" t="s">
        <v>458</v>
      </c>
      <c r="X1806">
        <v>1500</v>
      </c>
      <c r="Y1806" t="s">
        <v>6608</v>
      </c>
      <c r="Z1806" t="s">
        <v>6616</v>
      </c>
      <c r="AA1806" t="s">
        <v>6637</v>
      </c>
      <c r="AB1806" t="s">
        <v>7601</v>
      </c>
      <c r="AD1806" t="s">
        <v>9963</v>
      </c>
      <c r="AE1806">
        <v>20</v>
      </c>
      <c r="AF1806" t="s">
        <v>11005</v>
      </c>
      <c r="AG1806" t="s">
        <v>11026</v>
      </c>
      <c r="AH1806">
        <v>12</v>
      </c>
      <c r="AI1806">
        <v>1</v>
      </c>
      <c r="AJ1806">
        <v>0</v>
      </c>
      <c r="AK1806">
        <v>79.59999999999999</v>
      </c>
      <c r="AN1806" t="s">
        <v>11050</v>
      </c>
      <c r="AO1806">
        <v>9600</v>
      </c>
      <c r="AU1806">
        <v>74.59999999999999</v>
      </c>
      <c r="AV1806" t="s">
        <v>11449</v>
      </c>
      <c r="AW1806" t="s">
        <v>11497</v>
      </c>
    </row>
    <row r="1807" spans="1:49">
      <c r="A1807" s="1">
        <f>HYPERLINK("https://cms.ls-nyc.org/matter/dynamic-profile/view/0832586","17-0832586")</f>
        <v>0</v>
      </c>
      <c r="B1807" t="s">
        <v>212</v>
      </c>
      <c r="C1807" t="s">
        <v>235</v>
      </c>
      <c r="D1807" t="s">
        <v>487</v>
      </c>
      <c r="F1807" t="s">
        <v>1825</v>
      </c>
      <c r="G1807" t="s">
        <v>3133</v>
      </c>
      <c r="H1807" t="s">
        <v>4381</v>
      </c>
      <c r="I1807">
        <v>17</v>
      </c>
      <c r="J1807" t="s">
        <v>5323</v>
      </c>
      <c r="K1807">
        <v>10002</v>
      </c>
      <c r="L1807" t="s">
        <v>5355</v>
      </c>
      <c r="M1807" t="s">
        <v>5356</v>
      </c>
      <c r="O1807" t="s">
        <v>6491</v>
      </c>
      <c r="P1807" t="s">
        <v>6530</v>
      </c>
      <c r="R1807" t="s">
        <v>6539</v>
      </c>
      <c r="U1807" t="s">
        <v>6557</v>
      </c>
      <c r="W1807" t="s">
        <v>298</v>
      </c>
      <c r="X1807">
        <v>0</v>
      </c>
      <c r="Y1807" t="s">
        <v>6608</v>
      </c>
      <c r="AB1807" t="s">
        <v>8164</v>
      </c>
      <c r="AD1807" t="s">
        <v>10492</v>
      </c>
      <c r="AE1807">
        <v>0</v>
      </c>
      <c r="AF1807" t="s">
        <v>11005</v>
      </c>
      <c r="AG1807" t="s">
        <v>11024</v>
      </c>
      <c r="AH1807">
        <v>46</v>
      </c>
      <c r="AI1807">
        <v>1</v>
      </c>
      <c r="AJ1807">
        <v>0</v>
      </c>
      <c r="AK1807">
        <v>79.59999999999999</v>
      </c>
      <c r="AN1807" t="s">
        <v>11054</v>
      </c>
      <c r="AO1807">
        <v>9600</v>
      </c>
      <c r="AU1807">
        <v>23.1</v>
      </c>
      <c r="AV1807" t="s">
        <v>791</v>
      </c>
      <c r="AW1807" t="s">
        <v>11546</v>
      </c>
    </row>
    <row r="1808" spans="1:49">
      <c r="A1808" s="1">
        <f>HYPERLINK("https://cms.ls-nyc.org/matter/dynamic-profile/view/1868052","18-1868052")</f>
        <v>0</v>
      </c>
      <c r="B1808" t="s">
        <v>102</v>
      </c>
      <c r="C1808" t="s">
        <v>234</v>
      </c>
      <c r="D1808" t="s">
        <v>270</v>
      </c>
      <c r="E1808" t="s">
        <v>738</v>
      </c>
      <c r="F1808" t="s">
        <v>1826</v>
      </c>
      <c r="G1808" t="s">
        <v>3134</v>
      </c>
      <c r="H1808" t="s">
        <v>4382</v>
      </c>
      <c r="I1808" t="s">
        <v>4829</v>
      </c>
      <c r="J1808" t="s">
        <v>5321</v>
      </c>
      <c r="K1808">
        <v>10452</v>
      </c>
      <c r="L1808" t="s">
        <v>5355</v>
      </c>
      <c r="M1808" t="s">
        <v>5355</v>
      </c>
      <c r="N1808" t="s">
        <v>6002</v>
      </c>
      <c r="O1808" t="s">
        <v>6492</v>
      </c>
      <c r="P1808" t="s">
        <v>6530</v>
      </c>
      <c r="Q1808" t="s">
        <v>6534</v>
      </c>
      <c r="R1808" t="s">
        <v>6539</v>
      </c>
      <c r="U1808" t="s">
        <v>6557</v>
      </c>
      <c r="V1808" t="s">
        <v>6566</v>
      </c>
      <c r="W1808" t="s">
        <v>379</v>
      </c>
      <c r="X1808">
        <v>857</v>
      </c>
      <c r="Y1808" t="s">
        <v>6606</v>
      </c>
      <c r="Z1808" t="s">
        <v>6612</v>
      </c>
      <c r="AA1808" t="s">
        <v>6637</v>
      </c>
      <c r="AB1808" t="s">
        <v>8165</v>
      </c>
      <c r="AD1808" t="s">
        <v>10493</v>
      </c>
      <c r="AE1808">
        <v>0</v>
      </c>
      <c r="AF1808" t="s">
        <v>11005</v>
      </c>
      <c r="AG1808" t="s">
        <v>5406</v>
      </c>
      <c r="AH1808">
        <v>42</v>
      </c>
      <c r="AI1808">
        <v>2</v>
      </c>
      <c r="AJ1808">
        <v>0</v>
      </c>
      <c r="AK1808">
        <v>79.98</v>
      </c>
      <c r="AN1808" t="s">
        <v>11050</v>
      </c>
      <c r="AO1808">
        <v>13164</v>
      </c>
      <c r="AQ1808" t="s">
        <v>11196</v>
      </c>
      <c r="AR1808" t="s">
        <v>11211</v>
      </c>
      <c r="AS1808" t="s">
        <v>11253</v>
      </c>
      <c r="AT1808" t="s">
        <v>11353</v>
      </c>
      <c r="AU1808">
        <v>33.45</v>
      </c>
      <c r="AV1808" t="s">
        <v>767</v>
      </c>
      <c r="AW1808" t="s">
        <v>11492</v>
      </c>
    </row>
    <row r="1809" spans="1:49">
      <c r="A1809" s="1">
        <f>HYPERLINK("https://cms.ls-nyc.org/matter/dynamic-profile/view/1866075","18-1866075")</f>
        <v>0</v>
      </c>
      <c r="B1809" t="s">
        <v>142</v>
      </c>
      <c r="C1809" t="s">
        <v>234</v>
      </c>
      <c r="D1809" t="s">
        <v>298</v>
      </c>
      <c r="E1809" t="s">
        <v>715</v>
      </c>
      <c r="F1809" t="s">
        <v>1714</v>
      </c>
      <c r="G1809" t="s">
        <v>3135</v>
      </c>
      <c r="H1809" t="s">
        <v>3520</v>
      </c>
      <c r="I1809" t="s">
        <v>4778</v>
      </c>
      <c r="J1809" t="s">
        <v>5320</v>
      </c>
      <c r="K1809">
        <v>11212</v>
      </c>
      <c r="L1809" t="s">
        <v>5355</v>
      </c>
      <c r="M1809" t="s">
        <v>5356</v>
      </c>
      <c r="N1809" t="s">
        <v>6003</v>
      </c>
      <c r="O1809" t="s">
        <v>6492</v>
      </c>
      <c r="P1809" t="s">
        <v>6530</v>
      </c>
      <c r="Q1809" t="s">
        <v>6533</v>
      </c>
      <c r="R1809" t="s">
        <v>6539</v>
      </c>
      <c r="U1809" t="s">
        <v>6557</v>
      </c>
      <c r="W1809" t="s">
        <v>298</v>
      </c>
      <c r="X1809">
        <v>1150</v>
      </c>
      <c r="Y1809" t="s">
        <v>6605</v>
      </c>
      <c r="Z1809" t="s">
        <v>6611</v>
      </c>
      <c r="AA1809" t="s">
        <v>6633</v>
      </c>
      <c r="AB1809" t="s">
        <v>8166</v>
      </c>
      <c r="AE1809">
        <v>5</v>
      </c>
      <c r="AG1809" t="s">
        <v>5406</v>
      </c>
      <c r="AH1809">
        <v>-1</v>
      </c>
      <c r="AI1809">
        <v>2</v>
      </c>
      <c r="AJ1809">
        <v>1</v>
      </c>
      <c r="AK1809">
        <v>80.08</v>
      </c>
      <c r="AN1809" t="s">
        <v>11050</v>
      </c>
      <c r="AO1809">
        <v>16640</v>
      </c>
      <c r="AU1809">
        <v>22</v>
      </c>
      <c r="AV1809" t="s">
        <v>715</v>
      </c>
      <c r="AW1809" t="s">
        <v>11487</v>
      </c>
    </row>
    <row r="1810" spans="1:49">
      <c r="A1810" s="1">
        <f>HYPERLINK("https://cms.ls-nyc.org/matter/dynamic-profile/view/1842320","17-1842320")</f>
        <v>0</v>
      </c>
      <c r="B1810" t="s">
        <v>53</v>
      </c>
      <c r="C1810" t="s">
        <v>234</v>
      </c>
      <c r="D1810" t="s">
        <v>404</v>
      </c>
      <c r="E1810" t="s">
        <v>665</v>
      </c>
      <c r="F1810" t="s">
        <v>1827</v>
      </c>
      <c r="G1810" t="s">
        <v>2440</v>
      </c>
      <c r="H1810" t="s">
        <v>4383</v>
      </c>
      <c r="I1810" t="s">
        <v>4734</v>
      </c>
      <c r="J1810" t="s">
        <v>5320</v>
      </c>
      <c r="K1810">
        <v>11207</v>
      </c>
      <c r="L1810" t="s">
        <v>5355</v>
      </c>
      <c r="M1810" t="s">
        <v>5355</v>
      </c>
      <c r="N1810" t="s">
        <v>6004</v>
      </c>
      <c r="O1810" t="s">
        <v>6492</v>
      </c>
      <c r="P1810" t="s">
        <v>6530</v>
      </c>
      <c r="Q1810" t="s">
        <v>6534</v>
      </c>
      <c r="R1810" t="s">
        <v>6539</v>
      </c>
      <c r="U1810" t="s">
        <v>6557</v>
      </c>
      <c r="W1810" t="s">
        <v>519</v>
      </c>
      <c r="X1810">
        <v>1095.5</v>
      </c>
      <c r="Y1810" t="s">
        <v>6605</v>
      </c>
      <c r="Z1810" t="s">
        <v>6614</v>
      </c>
      <c r="AA1810" t="s">
        <v>6637</v>
      </c>
      <c r="AB1810" t="s">
        <v>8167</v>
      </c>
      <c r="AC1810" t="s">
        <v>8999</v>
      </c>
      <c r="AD1810" t="s">
        <v>10494</v>
      </c>
      <c r="AE1810">
        <v>6</v>
      </c>
      <c r="AF1810" t="s">
        <v>11005</v>
      </c>
      <c r="AG1810" t="s">
        <v>11021</v>
      </c>
      <c r="AH1810">
        <v>7</v>
      </c>
      <c r="AI1810">
        <v>1</v>
      </c>
      <c r="AJ1810">
        <v>0</v>
      </c>
      <c r="AK1810">
        <v>80.2</v>
      </c>
      <c r="AN1810" t="s">
        <v>11050</v>
      </c>
      <c r="AO1810">
        <v>9672</v>
      </c>
      <c r="AQ1810" t="s">
        <v>11197</v>
      </c>
      <c r="AR1810" t="s">
        <v>11233</v>
      </c>
      <c r="AS1810" t="s">
        <v>11253</v>
      </c>
      <c r="AT1810" t="s">
        <v>11365</v>
      </c>
      <c r="AU1810">
        <v>151.35</v>
      </c>
      <c r="AV1810" t="s">
        <v>456</v>
      </c>
      <c r="AW1810" t="s">
        <v>177</v>
      </c>
    </row>
    <row r="1811" spans="1:49">
      <c r="A1811" s="1">
        <f>HYPERLINK("https://cms.ls-nyc.org/matter/dynamic-profile/view/1840627","17-1840627")</f>
        <v>0</v>
      </c>
      <c r="B1811" t="s">
        <v>182</v>
      </c>
      <c r="C1811" t="s">
        <v>234</v>
      </c>
      <c r="D1811" t="s">
        <v>359</v>
      </c>
      <c r="E1811" t="s">
        <v>755</v>
      </c>
      <c r="F1811" t="s">
        <v>1207</v>
      </c>
      <c r="G1811" t="s">
        <v>2879</v>
      </c>
      <c r="H1811" t="s">
        <v>4384</v>
      </c>
      <c r="J1811" t="s">
        <v>5322</v>
      </c>
      <c r="K1811">
        <v>10305</v>
      </c>
      <c r="L1811" t="s">
        <v>5355</v>
      </c>
      <c r="M1811" t="s">
        <v>5356</v>
      </c>
      <c r="N1811" t="s">
        <v>6005</v>
      </c>
      <c r="O1811" t="s">
        <v>6491</v>
      </c>
      <c r="P1811" t="s">
        <v>6530</v>
      </c>
      <c r="Q1811" t="s">
        <v>6534</v>
      </c>
      <c r="R1811" t="s">
        <v>6539</v>
      </c>
      <c r="S1811" t="s">
        <v>5357</v>
      </c>
      <c r="U1811" t="s">
        <v>6557</v>
      </c>
      <c r="W1811" t="s">
        <v>236</v>
      </c>
      <c r="X1811">
        <v>0</v>
      </c>
      <c r="Y1811" t="s">
        <v>6607</v>
      </c>
      <c r="Z1811" t="s">
        <v>6614</v>
      </c>
      <c r="AA1811" t="s">
        <v>6637</v>
      </c>
      <c r="AB1811" t="s">
        <v>8168</v>
      </c>
      <c r="AD1811" t="s">
        <v>10495</v>
      </c>
      <c r="AE1811">
        <v>1</v>
      </c>
      <c r="AF1811" t="s">
        <v>11004</v>
      </c>
      <c r="AG1811" t="s">
        <v>5406</v>
      </c>
      <c r="AH1811">
        <v>1</v>
      </c>
      <c r="AI1811">
        <v>1</v>
      </c>
      <c r="AJ1811">
        <v>0</v>
      </c>
      <c r="AK1811">
        <v>80.59999999999999</v>
      </c>
      <c r="AN1811" t="s">
        <v>11050</v>
      </c>
      <c r="AO1811">
        <v>9720</v>
      </c>
      <c r="AU1811">
        <v>2.1</v>
      </c>
      <c r="AV1811" t="s">
        <v>342</v>
      </c>
      <c r="AW1811" t="s">
        <v>11510</v>
      </c>
    </row>
    <row r="1812" spans="1:49">
      <c r="A1812" s="1">
        <f>HYPERLINK("https://cms.ls-nyc.org/matter/dynamic-profile/view/1846090","17-1846090")</f>
        <v>0</v>
      </c>
      <c r="B1812" t="s">
        <v>54</v>
      </c>
      <c r="C1812" t="s">
        <v>234</v>
      </c>
      <c r="D1812" t="s">
        <v>415</v>
      </c>
      <c r="E1812" t="s">
        <v>707</v>
      </c>
      <c r="F1812" t="s">
        <v>1828</v>
      </c>
      <c r="G1812" t="s">
        <v>3136</v>
      </c>
      <c r="H1812" t="s">
        <v>4133</v>
      </c>
      <c r="J1812" t="s">
        <v>5320</v>
      </c>
      <c r="K1812">
        <v>11208</v>
      </c>
      <c r="L1812" t="s">
        <v>5355</v>
      </c>
      <c r="M1812" t="s">
        <v>5355</v>
      </c>
      <c r="N1812" t="s">
        <v>6006</v>
      </c>
      <c r="O1812" t="s">
        <v>6491</v>
      </c>
      <c r="P1812" t="s">
        <v>6530</v>
      </c>
      <c r="Q1812" t="s">
        <v>6538</v>
      </c>
      <c r="R1812" t="s">
        <v>6539</v>
      </c>
      <c r="S1812" t="s">
        <v>5355</v>
      </c>
      <c r="U1812" t="s">
        <v>6557</v>
      </c>
      <c r="W1812" t="s">
        <v>371</v>
      </c>
      <c r="X1812">
        <v>320</v>
      </c>
      <c r="Y1812" t="s">
        <v>6605</v>
      </c>
      <c r="AA1812" t="s">
        <v>6637</v>
      </c>
      <c r="AB1812" t="s">
        <v>8169</v>
      </c>
      <c r="AD1812" t="s">
        <v>10496</v>
      </c>
      <c r="AE1812">
        <v>7</v>
      </c>
      <c r="AF1812" t="s">
        <v>11004</v>
      </c>
      <c r="AH1812">
        <v>4</v>
      </c>
      <c r="AI1812">
        <v>1</v>
      </c>
      <c r="AJ1812">
        <v>0</v>
      </c>
      <c r="AK1812">
        <v>80.8</v>
      </c>
      <c r="AN1812" t="s">
        <v>11067</v>
      </c>
      <c r="AO1812">
        <v>9744</v>
      </c>
      <c r="AQ1812" t="s">
        <v>11192</v>
      </c>
      <c r="AR1812" t="s">
        <v>11210</v>
      </c>
      <c r="AS1812" t="s">
        <v>11253</v>
      </c>
      <c r="AT1812" t="s">
        <v>11261</v>
      </c>
      <c r="AU1812">
        <v>7.05</v>
      </c>
      <c r="AV1812" t="s">
        <v>790</v>
      </c>
      <c r="AW1812" t="s">
        <v>11554</v>
      </c>
    </row>
    <row r="1813" spans="1:49">
      <c r="A1813" s="1">
        <f>HYPERLINK("https://cms.ls-nyc.org/matter/dynamic-profile/view/1859934","18-1859934")</f>
        <v>0</v>
      </c>
      <c r="B1813" t="s">
        <v>94</v>
      </c>
      <c r="C1813" t="s">
        <v>235</v>
      </c>
      <c r="D1813" t="s">
        <v>291</v>
      </c>
      <c r="F1813" t="s">
        <v>1069</v>
      </c>
      <c r="G1813" t="s">
        <v>3137</v>
      </c>
      <c r="H1813" t="s">
        <v>4385</v>
      </c>
      <c r="I1813" t="s">
        <v>5209</v>
      </c>
      <c r="J1813" t="s">
        <v>5320</v>
      </c>
      <c r="K1813">
        <v>11233</v>
      </c>
      <c r="L1813" t="s">
        <v>5355</v>
      </c>
      <c r="M1813" t="s">
        <v>5356</v>
      </c>
      <c r="N1813" t="s">
        <v>6007</v>
      </c>
      <c r="O1813" t="s">
        <v>6491</v>
      </c>
      <c r="P1813" t="s">
        <v>6530</v>
      </c>
      <c r="R1813" t="s">
        <v>6539</v>
      </c>
      <c r="S1813" t="s">
        <v>5357</v>
      </c>
      <c r="U1813" t="s">
        <v>6557</v>
      </c>
      <c r="W1813" t="s">
        <v>236</v>
      </c>
      <c r="X1813">
        <v>2200</v>
      </c>
      <c r="Y1813" t="s">
        <v>6605</v>
      </c>
      <c r="Z1813" t="s">
        <v>6611</v>
      </c>
      <c r="AB1813" t="s">
        <v>8170</v>
      </c>
      <c r="AC1813" t="s">
        <v>9000</v>
      </c>
      <c r="AD1813" t="s">
        <v>10497</v>
      </c>
      <c r="AE1813">
        <v>2</v>
      </c>
      <c r="AH1813">
        <v>46</v>
      </c>
      <c r="AI1813">
        <v>4</v>
      </c>
      <c r="AJ1813">
        <v>2</v>
      </c>
      <c r="AK1813">
        <v>80.86</v>
      </c>
      <c r="AN1813" t="s">
        <v>11050</v>
      </c>
      <c r="AO1813">
        <v>26652</v>
      </c>
      <c r="AU1813">
        <v>21.8</v>
      </c>
      <c r="AV1813" t="s">
        <v>770</v>
      </c>
      <c r="AW1813" t="s">
        <v>11487</v>
      </c>
    </row>
    <row r="1814" spans="1:49">
      <c r="A1814" s="1">
        <f>HYPERLINK("https://cms.ls-nyc.org/matter/dynamic-profile/view/1860641","18-1860641")</f>
        <v>0</v>
      </c>
      <c r="B1814" t="s">
        <v>90</v>
      </c>
      <c r="C1814" t="s">
        <v>235</v>
      </c>
      <c r="D1814" t="s">
        <v>409</v>
      </c>
      <c r="F1814" t="s">
        <v>1829</v>
      </c>
      <c r="G1814" t="s">
        <v>3138</v>
      </c>
      <c r="H1814" t="s">
        <v>4147</v>
      </c>
      <c r="I1814" t="s">
        <v>5171</v>
      </c>
      <c r="J1814" t="s">
        <v>5321</v>
      </c>
      <c r="K1814">
        <v>10453</v>
      </c>
      <c r="L1814" t="s">
        <v>5355</v>
      </c>
      <c r="M1814" t="s">
        <v>5356</v>
      </c>
      <c r="N1814" t="s">
        <v>5670</v>
      </c>
      <c r="O1814" t="s">
        <v>6494</v>
      </c>
      <c r="P1814" t="s">
        <v>6530</v>
      </c>
      <c r="R1814" t="s">
        <v>6539</v>
      </c>
      <c r="S1814" t="s">
        <v>5355</v>
      </c>
      <c r="U1814" t="s">
        <v>6557</v>
      </c>
      <c r="W1814" t="s">
        <v>480</v>
      </c>
      <c r="X1814">
        <v>1010</v>
      </c>
      <c r="Y1814" t="s">
        <v>6606</v>
      </c>
      <c r="Z1814" t="s">
        <v>6616</v>
      </c>
      <c r="AB1814" t="s">
        <v>8171</v>
      </c>
      <c r="AC1814" t="s">
        <v>9001</v>
      </c>
      <c r="AD1814" t="s">
        <v>10498</v>
      </c>
      <c r="AE1814">
        <v>46</v>
      </c>
      <c r="AF1814" t="s">
        <v>11005</v>
      </c>
      <c r="AG1814" t="s">
        <v>11023</v>
      </c>
      <c r="AH1814">
        <v>5</v>
      </c>
      <c r="AI1814">
        <v>1</v>
      </c>
      <c r="AJ1814">
        <v>2</v>
      </c>
      <c r="AK1814">
        <v>80.95999999999999</v>
      </c>
      <c r="AN1814" t="s">
        <v>11050</v>
      </c>
      <c r="AO1814">
        <v>16824</v>
      </c>
      <c r="AU1814">
        <v>122.4</v>
      </c>
      <c r="AV1814" t="s">
        <v>11463</v>
      </c>
      <c r="AW1814" t="s">
        <v>90</v>
      </c>
    </row>
    <row r="1815" spans="1:49">
      <c r="A1815" s="1">
        <f>HYPERLINK("https://cms.ls-nyc.org/matter/dynamic-profile/view/1862200","18-1862200")</f>
        <v>0</v>
      </c>
      <c r="B1815" t="s">
        <v>90</v>
      </c>
      <c r="C1815" t="s">
        <v>234</v>
      </c>
      <c r="D1815" t="s">
        <v>331</v>
      </c>
      <c r="E1815" t="s">
        <v>713</v>
      </c>
      <c r="F1815" t="s">
        <v>1503</v>
      </c>
      <c r="G1815" t="s">
        <v>2270</v>
      </c>
      <c r="H1815" t="s">
        <v>3549</v>
      </c>
      <c r="I1815" t="s">
        <v>4837</v>
      </c>
      <c r="J1815" t="s">
        <v>5321</v>
      </c>
      <c r="K1815">
        <v>10452</v>
      </c>
      <c r="L1815" t="s">
        <v>5355</v>
      </c>
      <c r="M1815" t="s">
        <v>5355</v>
      </c>
      <c r="N1815" t="s">
        <v>5740</v>
      </c>
      <c r="O1815" t="s">
        <v>6494</v>
      </c>
      <c r="P1815" t="s">
        <v>6530</v>
      </c>
      <c r="Q1815" t="s">
        <v>6534</v>
      </c>
      <c r="R1815" t="s">
        <v>6539</v>
      </c>
      <c r="S1815" t="s">
        <v>5355</v>
      </c>
      <c r="U1815" t="s">
        <v>6557</v>
      </c>
      <c r="W1815" t="s">
        <v>480</v>
      </c>
      <c r="X1815">
        <v>1151.46</v>
      </c>
      <c r="Y1815" t="s">
        <v>6606</v>
      </c>
      <c r="Z1815" t="s">
        <v>6612</v>
      </c>
      <c r="AA1815" t="s">
        <v>6634</v>
      </c>
      <c r="AB1815" t="s">
        <v>7589</v>
      </c>
      <c r="AD1815" t="s">
        <v>9951</v>
      </c>
      <c r="AE1815">
        <v>52</v>
      </c>
      <c r="AF1815" t="s">
        <v>11005</v>
      </c>
      <c r="AG1815" t="s">
        <v>6493</v>
      </c>
      <c r="AH1815">
        <v>7</v>
      </c>
      <c r="AI1815">
        <v>1</v>
      </c>
      <c r="AJ1815">
        <v>0</v>
      </c>
      <c r="AK1815">
        <v>81.05</v>
      </c>
      <c r="AN1815" t="s">
        <v>11050</v>
      </c>
      <c r="AO1815">
        <v>9840</v>
      </c>
      <c r="AU1815">
        <v>2.8</v>
      </c>
      <c r="AV1815" t="s">
        <v>713</v>
      </c>
      <c r="AW1815" t="s">
        <v>59</v>
      </c>
    </row>
    <row r="1816" spans="1:49">
      <c r="A1816" s="1">
        <f>HYPERLINK("https://cms.ls-nyc.org/matter/dynamic-profile/view/1863774","18-1863774")</f>
        <v>0</v>
      </c>
      <c r="B1816" t="s">
        <v>65</v>
      </c>
      <c r="C1816" t="s">
        <v>235</v>
      </c>
      <c r="D1816" t="s">
        <v>288</v>
      </c>
      <c r="F1816" t="s">
        <v>914</v>
      </c>
      <c r="G1816" t="s">
        <v>3139</v>
      </c>
      <c r="H1816" t="s">
        <v>3780</v>
      </c>
      <c r="I1816" t="s">
        <v>4753</v>
      </c>
      <c r="J1816" t="s">
        <v>5323</v>
      </c>
      <c r="K1816">
        <v>10033</v>
      </c>
      <c r="L1816" t="s">
        <v>5355</v>
      </c>
      <c r="M1816" t="s">
        <v>5356</v>
      </c>
      <c r="N1816" t="s">
        <v>6008</v>
      </c>
      <c r="O1816" t="s">
        <v>6499</v>
      </c>
      <c r="P1816" t="s">
        <v>6530</v>
      </c>
      <c r="R1816" t="s">
        <v>6539</v>
      </c>
      <c r="S1816" t="s">
        <v>5355</v>
      </c>
      <c r="U1816" t="s">
        <v>6557</v>
      </c>
      <c r="W1816" t="s">
        <v>288</v>
      </c>
      <c r="X1816">
        <v>778</v>
      </c>
      <c r="Y1816" t="s">
        <v>6608</v>
      </c>
      <c r="Z1816" t="s">
        <v>6614</v>
      </c>
      <c r="AB1816" t="s">
        <v>8172</v>
      </c>
      <c r="AD1816" t="s">
        <v>10499</v>
      </c>
      <c r="AE1816">
        <v>24</v>
      </c>
      <c r="AF1816" t="s">
        <v>11005</v>
      </c>
      <c r="AG1816" t="s">
        <v>5406</v>
      </c>
      <c r="AH1816">
        <v>43</v>
      </c>
      <c r="AI1816">
        <v>1</v>
      </c>
      <c r="AJ1816">
        <v>0</v>
      </c>
      <c r="AK1816">
        <v>81.05</v>
      </c>
      <c r="AL1816" t="s">
        <v>450</v>
      </c>
      <c r="AN1816" t="s">
        <v>11049</v>
      </c>
      <c r="AO1816">
        <v>9840</v>
      </c>
      <c r="AU1816">
        <v>0</v>
      </c>
      <c r="AW1816" t="s">
        <v>11495</v>
      </c>
    </row>
    <row r="1817" spans="1:49">
      <c r="A1817" s="1">
        <f>HYPERLINK("https://cms.ls-nyc.org/matter/dynamic-profile/view/1863764","18-1863764")</f>
        <v>0</v>
      </c>
      <c r="B1817" t="s">
        <v>92</v>
      </c>
      <c r="C1817" t="s">
        <v>235</v>
      </c>
      <c r="D1817" t="s">
        <v>288</v>
      </c>
      <c r="F1817" t="s">
        <v>914</v>
      </c>
      <c r="G1817" t="s">
        <v>3140</v>
      </c>
      <c r="H1817" t="s">
        <v>3579</v>
      </c>
      <c r="I1817">
        <v>714</v>
      </c>
      <c r="J1817" t="s">
        <v>5323</v>
      </c>
      <c r="K1817">
        <v>10029</v>
      </c>
      <c r="L1817" t="s">
        <v>5355</v>
      </c>
      <c r="M1817" t="s">
        <v>5355</v>
      </c>
      <c r="N1817" t="s">
        <v>5632</v>
      </c>
      <c r="O1817" t="s">
        <v>6494</v>
      </c>
      <c r="P1817" t="s">
        <v>6530</v>
      </c>
      <c r="R1817" t="s">
        <v>6539</v>
      </c>
      <c r="S1817" t="s">
        <v>5355</v>
      </c>
      <c r="U1817" t="s">
        <v>6557</v>
      </c>
      <c r="V1817" t="s">
        <v>6566</v>
      </c>
      <c r="W1817" t="s">
        <v>263</v>
      </c>
      <c r="X1817">
        <v>0</v>
      </c>
      <c r="Y1817" t="s">
        <v>6608</v>
      </c>
      <c r="Z1817" t="s">
        <v>6622</v>
      </c>
      <c r="AB1817" t="s">
        <v>8173</v>
      </c>
      <c r="AE1817">
        <v>108</v>
      </c>
      <c r="AF1817" t="s">
        <v>11008</v>
      </c>
      <c r="AG1817" t="s">
        <v>11020</v>
      </c>
      <c r="AH1817">
        <v>28</v>
      </c>
      <c r="AI1817">
        <v>1</v>
      </c>
      <c r="AJ1817">
        <v>0</v>
      </c>
      <c r="AK1817">
        <v>81.05</v>
      </c>
      <c r="AN1817" t="s">
        <v>11050</v>
      </c>
      <c r="AO1817">
        <v>9840</v>
      </c>
      <c r="AU1817">
        <v>0.35</v>
      </c>
      <c r="AV1817" t="s">
        <v>295</v>
      </c>
      <c r="AW1817" t="s">
        <v>11497</v>
      </c>
    </row>
    <row r="1818" spans="1:49">
      <c r="A1818" s="1">
        <f>HYPERLINK("https://cms.ls-nyc.org/matter/dynamic-profile/view/1855977","18-1855977")</f>
        <v>0</v>
      </c>
      <c r="B1818" t="s">
        <v>56</v>
      </c>
      <c r="C1818" t="s">
        <v>235</v>
      </c>
      <c r="D1818" t="s">
        <v>525</v>
      </c>
      <c r="F1818" t="s">
        <v>902</v>
      </c>
      <c r="G1818" t="s">
        <v>3141</v>
      </c>
      <c r="H1818" t="s">
        <v>4386</v>
      </c>
      <c r="I1818" t="s">
        <v>4750</v>
      </c>
      <c r="J1818" t="s">
        <v>5321</v>
      </c>
      <c r="K1818">
        <v>10452</v>
      </c>
      <c r="L1818" t="s">
        <v>5355</v>
      </c>
      <c r="M1818" t="s">
        <v>5356</v>
      </c>
      <c r="N1818" t="s">
        <v>6009</v>
      </c>
      <c r="O1818" t="s">
        <v>6492</v>
      </c>
      <c r="P1818" t="s">
        <v>6530</v>
      </c>
      <c r="R1818" t="s">
        <v>6539</v>
      </c>
      <c r="S1818" t="s">
        <v>5357</v>
      </c>
      <c r="U1818" t="s">
        <v>6557</v>
      </c>
      <c r="W1818" t="s">
        <v>272</v>
      </c>
      <c r="X1818">
        <v>838.84</v>
      </c>
      <c r="Y1818" t="s">
        <v>6606</v>
      </c>
      <c r="Z1818" t="s">
        <v>6613</v>
      </c>
      <c r="AB1818" t="s">
        <v>8174</v>
      </c>
      <c r="AC1818" t="s">
        <v>9002</v>
      </c>
      <c r="AD1818" t="s">
        <v>10500</v>
      </c>
      <c r="AE1818">
        <v>120</v>
      </c>
      <c r="AF1818" t="s">
        <v>11005</v>
      </c>
      <c r="AG1818" t="s">
        <v>11026</v>
      </c>
      <c r="AH1818">
        <v>6</v>
      </c>
      <c r="AI1818">
        <v>1</v>
      </c>
      <c r="AJ1818">
        <v>0</v>
      </c>
      <c r="AK1818">
        <v>81.09</v>
      </c>
      <c r="AN1818" t="s">
        <v>11050</v>
      </c>
      <c r="AO1818">
        <v>9780</v>
      </c>
      <c r="AP1818" t="s">
        <v>11075</v>
      </c>
      <c r="AT1818" t="s">
        <v>11366</v>
      </c>
      <c r="AU1818">
        <v>11.5</v>
      </c>
      <c r="AV1818" t="s">
        <v>761</v>
      </c>
      <c r="AW1818" t="s">
        <v>11535</v>
      </c>
    </row>
    <row r="1819" spans="1:49">
      <c r="A1819" s="1">
        <f>HYPERLINK("https://cms.ls-nyc.org/matter/dynamic-profile/view/1855478","18-1855478")</f>
        <v>0</v>
      </c>
      <c r="B1819" t="s">
        <v>55</v>
      </c>
      <c r="C1819" t="s">
        <v>234</v>
      </c>
      <c r="D1819" t="s">
        <v>281</v>
      </c>
      <c r="E1819" t="s">
        <v>739</v>
      </c>
      <c r="F1819" t="s">
        <v>1830</v>
      </c>
      <c r="G1819" t="s">
        <v>3142</v>
      </c>
      <c r="H1819" t="s">
        <v>4387</v>
      </c>
      <c r="I1819">
        <v>2</v>
      </c>
      <c r="J1819" t="s">
        <v>5320</v>
      </c>
      <c r="K1819">
        <v>11238</v>
      </c>
      <c r="L1819" t="s">
        <v>5355</v>
      </c>
      <c r="M1819" t="s">
        <v>5355</v>
      </c>
      <c r="N1819" t="s">
        <v>6010</v>
      </c>
      <c r="O1819" t="s">
        <v>6492</v>
      </c>
      <c r="P1819" t="s">
        <v>6530</v>
      </c>
      <c r="Q1819" t="s">
        <v>6534</v>
      </c>
      <c r="R1819" t="s">
        <v>6539</v>
      </c>
      <c r="S1819" t="s">
        <v>5357</v>
      </c>
      <c r="U1819" t="s">
        <v>6557</v>
      </c>
      <c r="W1819" t="s">
        <v>262</v>
      </c>
      <c r="X1819">
        <v>927</v>
      </c>
      <c r="Y1819" t="s">
        <v>6605</v>
      </c>
      <c r="Z1819" t="s">
        <v>6625</v>
      </c>
      <c r="AA1819" t="s">
        <v>6637</v>
      </c>
      <c r="AB1819" t="s">
        <v>8175</v>
      </c>
      <c r="AC1819" t="s">
        <v>9003</v>
      </c>
      <c r="AD1819" t="s">
        <v>10501</v>
      </c>
      <c r="AE1819">
        <v>41</v>
      </c>
      <c r="AF1819" t="s">
        <v>11005</v>
      </c>
      <c r="AG1819" t="s">
        <v>5406</v>
      </c>
      <c r="AH1819">
        <v>4</v>
      </c>
      <c r="AI1819">
        <v>2</v>
      </c>
      <c r="AJ1819">
        <v>0</v>
      </c>
      <c r="AK1819">
        <v>81.13</v>
      </c>
      <c r="AN1819" t="s">
        <v>11050</v>
      </c>
      <c r="AO1819">
        <v>13176</v>
      </c>
      <c r="AR1819" t="s">
        <v>11210</v>
      </c>
      <c r="AS1819" t="s">
        <v>11253</v>
      </c>
      <c r="AT1819" t="s">
        <v>11367</v>
      </c>
      <c r="AU1819">
        <v>15</v>
      </c>
      <c r="AV1819" t="s">
        <v>739</v>
      </c>
      <c r="AW1819" t="s">
        <v>11487</v>
      </c>
    </row>
    <row r="1820" spans="1:49">
      <c r="A1820" s="1">
        <f>HYPERLINK("https://cms.ls-nyc.org/matter/dynamic-profile/view/0825897","17-0825897")</f>
        <v>0</v>
      </c>
      <c r="B1820" t="s">
        <v>73</v>
      </c>
      <c r="C1820" t="s">
        <v>235</v>
      </c>
      <c r="D1820" t="s">
        <v>556</v>
      </c>
      <c r="F1820" t="s">
        <v>1831</v>
      </c>
      <c r="G1820" t="s">
        <v>1491</v>
      </c>
      <c r="H1820" t="s">
        <v>4388</v>
      </c>
      <c r="I1820" t="s">
        <v>4772</v>
      </c>
      <c r="J1820" t="s">
        <v>5323</v>
      </c>
      <c r="K1820">
        <v>10002</v>
      </c>
      <c r="L1820" t="s">
        <v>5355</v>
      </c>
      <c r="M1820" t="s">
        <v>5356</v>
      </c>
      <c r="N1820" t="s">
        <v>6011</v>
      </c>
      <c r="O1820" t="s">
        <v>6491</v>
      </c>
      <c r="P1820" t="s">
        <v>6530</v>
      </c>
      <c r="R1820" t="s">
        <v>6539</v>
      </c>
      <c r="T1820" t="s">
        <v>6542</v>
      </c>
      <c r="U1820" t="s">
        <v>6557</v>
      </c>
      <c r="W1820" t="s">
        <v>322</v>
      </c>
      <c r="X1820">
        <v>879.29</v>
      </c>
      <c r="Y1820" t="s">
        <v>6608</v>
      </c>
      <c r="Z1820" t="s">
        <v>6627</v>
      </c>
      <c r="AB1820" t="s">
        <v>8176</v>
      </c>
      <c r="AD1820" t="s">
        <v>10502</v>
      </c>
      <c r="AE1820">
        <v>0</v>
      </c>
      <c r="AF1820" t="s">
        <v>11005</v>
      </c>
      <c r="AG1820" t="s">
        <v>5406</v>
      </c>
      <c r="AH1820">
        <v>25</v>
      </c>
      <c r="AI1820">
        <v>2</v>
      </c>
      <c r="AJ1820">
        <v>0</v>
      </c>
      <c r="AK1820">
        <v>81.15000000000001</v>
      </c>
      <c r="AN1820" t="s">
        <v>11050</v>
      </c>
      <c r="AO1820">
        <v>13000</v>
      </c>
      <c r="AU1820">
        <v>51.3</v>
      </c>
      <c r="AV1820" t="s">
        <v>810</v>
      </c>
      <c r="AW1820" t="s">
        <v>11555</v>
      </c>
    </row>
    <row r="1821" spans="1:49">
      <c r="A1821" s="1">
        <f>HYPERLINK("https://cms.ls-nyc.org/matter/dynamic-profile/view/1860321","18-1860321")</f>
        <v>0</v>
      </c>
      <c r="B1821" t="s">
        <v>65</v>
      </c>
      <c r="C1821" t="s">
        <v>235</v>
      </c>
      <c r="D1821" t="s">
        <v>236</v>
      </c>
      <c r="F1821" t="s">
        <v>1130</v>
      </c>
      <c r="G1821" t="s">
        <v>2845</v>
      </c>
      <c r="H1821" t="s">
        <v>4389</v>
      </c>
      <c r="I1821">
        <v>16</v>
      </c>
      <c r="J1821" t="s">
        <v>5323</v>
      </c>
      <c r="K1821">
        <v>10032</v>
      </c>
      <c r="L1821" t="s">
        <v>5355</v>
      </c>
      <c r="M1821" t="s">
        <v>5356</v>
      </c>
      <c r="P1821" t="s">
        <v>6530</v>
      </c>
      <c r="R1821" t="s">
        <v>6539</v>
      </c>
      <c r="S1821" t="s">
        <v>5357</v>
      </c>
      <c r="U1821" t="s">
        <v>6557</v>
      </c>
      <c r="W1821" t="s">
        <v>236</v>
      </c>
      <c r="X1821">
        <v>1142.3</v>
      </c>
      <c r="Y1821" t="s">
        <v>6608</v>
      </c>
      <c r="Z1821" t="s">
        <v>6616</v>
      </c>
      <c r="AB1821" t="s">
        <v>8177</v>
      </c>
      <c r="AD1821" t="s">
        <v>10503</v>
      </c>
      <c r="AE1821">
        <v>20</v>
      </c>
      <c r="AF1821" t="s">
        <v>11005</v>
      </c>
      <c r="AG1821" t="s">
        <v>5406</v>
      </c>
      <c r="AH1821">
        <v>25</v>
      </c>
      <c r="AI1821">
        <v>3</v>
      </c>
      <c r="AJ1821">
        <v>2</v>
      </c>
      <c r="AK1821">
        <v>81.31</v>
      </c>
      <c r="AN1821" t="s">
        <v>11049</v>
      </c>
      <c r="AO1821">
        <v>23400</v>
      </c>
      <c r="AU1821">
        <v>17</v>
      </c>
      <c r="AV1821" t="s">
        <v>700</v>
      </c>
      <c r="AW1821" t="s">
        <v>11495</v>
      </c>
    </row>
    <row r="1822" spans="1:49">
      <c r="A1822" s="1">
        <f>HYPERLINK("https://cms.ls-nyc.org/matter/dynamic-profile/view/1867849","18-1867849")</f>
        <v>0</v>
      </c>
      <c r="B1822" t="s">
        <v>129</v>
      </c>
      <c r="C1822" t="s">
        <v>234</v>
      </c>
      <c r="D1822" t="s">
        <v>334</v>
      </c>
      <c r="E1822" t="s">
        <v>749</v>
      </c>
      <c r="F1822" t="s">
        <v>965</v>
      </c>
      <c r="G1822" t="s">
        <v>2135</v>
      </c>
      <c r="H1822" t="s">
        <v>3706</v>
      </c>
      <c r="I1822">
        <v>53</v>
      </c>
      <c r="J1822" t="s">
        <v>5321</v>
      </c>
      <c r="K1822">
        <v>10453</v>
      </c>
      <c r="L1822" t="s">
        <v>5355</v>
      </c>
      <c r="M1822" t="s">
        <v>5356</v>
      </c>
      <c r="N1822" t="s">
        <v>6012</v>
      </c>
      <c r="O1822" t="s">
        <v>6494</v>
      </c>
      <c r="P1822" t="s">
        <v>6530</v>
      </c>
      <c r="Q1822" t="s">
        <v>6538</v>
      </c>
      <c r="R1822" t="s">
        <v>6539</v>
      </c>
      <c r="S1822" t="s">
        <v>5355</v>
      </c>
      <c r="U1822" t="s">
        <v>6557</v>
      </c>
      <c r="W1822" t="s">
        <v>275</v>
      </c>
      <c r="X1822">
        <v>761.16</v>
      </c>
      <c r="Y1822" t="s">
        <v>6606</v>
      </c>
      <c r="Z1822" t="s">
        <v>6609</v>
      </c>
      <c r="AA1822" t="s">
        <v>6634</v>
      </c>
      <c r="AB1822" t="s">
        <v>7591</v>
      </c>
      <c r="AD1822" t="s">
        <v>9953</v>
      </c>
      <c r="AE1822">
        <v>43</v>
      </c>
      <c r="AF1822" t="s">
        <v>11005</v>
      </c>
      <c r="AH1822">
        <v>38</v>
      </c>
      <c r="AI1822">
        <v>1</v>
      </c>
      <c r="AJ1822">
        <v>0</v>
      </c>
      <c r="AK1822">
        <v>81.55</v>
      </c>
      <c r="AO1822">
        <v>9900</v>
      </c>
      <c r="AU1822">
        <v>0.7</v>
      </c>
      <c r="AV1822" t="s">
        <v>749</v>
      </c>
      <c r="AW1822" t="s">
        <v>11499</v>
      </c>
    </row>
    <row r="1823" spans="1:49">
      <c r="A1823" s="1">
        <f>HYPERLINK("https://cms.ls-nyc.org/matter/dynamic-profile/view/1860866","18-1860866")</f>
        <v>0</v>
      </c>
      <c r="B1823" t="s">
        <v>90</v>
      </c>
      <c r="C1823" t="s">
        <v>235</v>
      </c>
      <c r="D1823" t="s">
        <v>296</v>
      </c>
      <c r="F1823" t="s">
        <v>1004</v>
      </c>
      <c r="G1823" t="s">
        <v>2355</v>
      </c>
      <c r="H1823" t="s">
        <v>4147</v>
      </c>
      <c r="I1823" t="s">
        <v>4950</v>
      </c>
      <c r="J1823" t="s">
        <v>5321</v>
      </c>
      <c r="K1823">
        <v>10453</v>
      </c>
      <c r="L1823" t="s">
        <v>5355</v>
      </c>
      <c r="M1823" t="s">
        <v>5356</v>
      </c>
      <c r="N1823" t="s">
        <v>5670</v>
      </c>
      <c r="O1823" t="s">
        <v>6494</v>
      </c>
      <c r="P1823" t="s">
        <v>6530</v>
      </c>
      <c r="R1823" t="s">
        <v>6539</v>
      </c>
      <c r="S1823" t="s">
        <v>5355</v>
      </c>
      <c r="U1823" t="s">
        <v>6557</v>
      </c>
      <c r="W1823" t="s">
        <v>480</v>
      </c>
      <c r="X1823">
        <v>1000</v>
      </c>
      <c r="Y1823" t="s">
        <v>6606</v>
      </c>
      <c r="Z1823" t="s">
        <v>6616</v>
      </c>
      <c r="AB1823" t="s">
        <v>8178</v>
      </c>
      <c r="AC1823" t="s">
        <v>9004</v>
      </c>
      <c r="AD1823" t="s">
        <v>10504</v>
      </c>
      <c r="AE1823">
        <v>46</v>
      </c>
      <c r="AF1823" t="s">
        <v>11005</v>
      </c>
      <c r="AG1823" t="s">
        <v>11022</v>
      </c>
      <c r="AH1823">
        <v>11</v>
      </c>
      <c r="AI1823">
        <v>2</v>
      </c>
      <c r="AJ1823">
        <v>3</v>
      </c>
      <c r="AK1823">
        <v>81.58</v>
      </c>
      <c r="AN1823" t="s">
        <v>11050</v>
      </c>
      <c r="AO1823">
        <v>34092</v>
      </c>
      <c r="AU1823">
        <v>1.6</v>
      </c>
      <c r="AV1823" t="s">
        <v>11474</v>
      </c>
      <c r="AW1823" t="s">
        <v>59</v>
      </c>
    </row>
    <row r="1824" spans="1:49">
      <c r="A1824" s="1">
        <f>HYPERLINK("https://cms.ls-nyc.org/matter/dynamic-profile/view/1860212","18-1860212")</f>
        <v>0</v>
      </c>
      <c r="B1824" t="s">
        <v>77</v>
      </c>
      <c r="C1824" t="s">
        <v>234</v>
      </c>
      <c r="D1824" t="s">
        <v>428</v>
      </c>
      <c r="E1824" t="s">
        <v>701</v>
      </c>
      <c r="F1824" t="s">
        <v>1832</v>
      </c>
      <c r="G1824" t="s">
        <v>3143</v>
      </c>
      <c r="H1824" t="s">
        <v>3897</v>
      </c>
      <c r="J1824" t="s">
        <v>5320</v>
      </c>
      <c r="K1824">
        <v>11233</v>
      </c>
      <c r="L1824" t="s">
        <v>5355</v>
      </c>
      <c r="M1824" t="s">
        <v>5355</v>
      </c>
      <c r="O1824" t="s">
        <v>6494</v>
      </c>
      <c r="P1824" t="s">
        <v>6530</v>
      </c>
      <c r="Q1824" t="s">
        <v>6534</v>
      </c>
      <c r="R1824" t="s">
        <v>6539</v>
      </c>
      <c r="S1824" t="s">
        <v>5355</v>
      </c>
      <c r="U1824" t="s">
        <v>6557</v>
      </c>
      <c r="W1824" t="s">
        <v>296</v>
      </c>
      <c r="X1824">
        <v>1236.6</v>
      </c>
      <c r="Y1824" t="s">
        <v>6605</v>
      </c>
      <c r="Z1824" t="s">
        <v>6614</v>
      </c>
      <c r="AA1824" t="s">
        <v>6634</v>
      </c>
      <c r="AB1824" t="s">
        <v>8179</v>
      </c>
      <c r="AC1824" t="s">
        <v>8737</v>
      </c>
      <c r="AD1824" t="s">
        <v>10505</v>
      </c>
      <c r="AE1824">
        <v>43</v>
      </c>
      <c r="AF1824" t="s">
        <v>11005</v>
      </c>
      <c r="AG1824" t="s">
        <v>11026</v>
      </c>
      <c r="AH1824">
        <v>10</v>
      </c>
      <c r="AI1824">
        <v>1</v>
      </c>
      <c r="AJ1824">
        <v>0</v>
      </c>
      <c r="AK1824">
        <v>81.59</v>
      </c>
      <c r="AN1824" t="s">
        <v>11050</v>
      </c>
      <c r="AO1824">
        <v>9840</v>
      </c>
      <c r="AU1824">
        <v>8.9</v>
      </c>
      <c r="AV1824" t="s">
        <v>723</v>
      </c>
      <c r="AW1824" t="s">
        <v>11512</v>
      </c>
    </row>
    <row r="1825" spans="1:49">
      <c r="A1825" s="1">
        <f>HYPERLINK("https://cms.ls-nyc.org/matter/dynamic-profile/view/1849098","17-1849098")</f>
        <v>0</v>
      </c>
      <c r="B1825" t="s">
        <v>114</v>
      </c>
      <c r="C1825" t="s">
        <v>234</v>
      </c>
      <c r="D1825" t="s">
        <v>535</v>
      </c>
      <c r="E1825" t="s">
        <v>694</v>
      </c>
      <c r="F1825" t="s">
        <v>1833</v>
      </c>
      <c r="G1825" t="s">
        <v>3144</v>
      </c>
      <c r="H1825" t="s">
        <v>3631</v>
      </c>
      <c r="I1825" t="s">
        <v>4776</v>
      </c>
      <c r="J1825" t="s">
        <v>5320</v>
      </c>
      <c r="K1825">
        <v>11212</v>
      </c>
      <c r="L1825" t="s">
        <v>5355</v>
      </c>
      <c r="M1825" t="s">
        <v>5355</v>
      </c>
      <c r="N1825" t="s">
        <v>6013</v>
      </c>
      <c r="O1825" t="s">
        <v>6492</v>
      </c>
      <c r="P1825" t="s">
        <v>6530</v>
      </c>
      <c r="Q1825" t="s">
        <v>6535</v>
      </c>
      <c r="R1825" t="s">
        <v>6539</v>
      </c>
      <c r="S1825" t="s">
        <v>6541</v>
      </c>
      <c r="U1825" t="s">
        <v>6557</v>
      </c>
      <c r="W1825" t="s">
        <v>590</v>
      </c>
      <c r="X1825">
        <v>246.2</v>
      </c>
      <c r="Y1825" t="s">
        <v>6605</v>
      </c>
      <c r="Z1825" t="s">
        <v>6613</v>
      </c>
      <c r="AA1825" t="s">
        <v>6637</v>
      </c>
      <c r="AB1825" t="s">
        <v>8180</v>
      </c>
      <c r="AC1825" t="s">
        <v>8762</v>
      </c>
      <c r="AD1825" t="s">
        <v>10506</v>
      </c>
      <c r="AE1825">
        <v>172</v>
      </c>
      <c r="AF1825" t="s">
        <v>11005</v>
      </c>
      <c r="AH1825">
        <v>3</v>
      </c>
      <c r="AI1825">
        <v>1</v>
      </c>
      <c r="AJ1825">
        <v>0</v>
      </c>
      <c r="AK1825">
        <v>81.59</v>
      </c>
      <c r="AN1825" t="s">
        <v>11050</v>
      </c>
      <c r="AO1825">
        <v>9840</v>
      </c>
      <c r="AR1825" t="s">
        <v>11210</v>
      </c>
      <c r="AS1825" t="s">
        <v>11253</v>
      </c>
      <c r="AT1825" t="s">
        <v>11368</v>
      </c>
      <c r="AU1825">
        <v>4.7</v>
      </c>
      <c r="AV1825" t="s">
        <v>300</v>
      </c>
      <c r="AW1825" t="s">
        <v>11512</v>
      </c>
    </row>
    <row r="1826" spans="1:49">
      <c r="A1826" s="1">
        <f>HYPERLINK("https://cms.ls-nyc.org/matter/dynamic-profile/view/1856006","18-1856006")</f>
        <v>0</v>
      </c>
      <c r="B1826" t="s">
        <v>121</v>
      </c>
      <c r="C1826" t="s">
        <v>234</v>
      </c>
      <c r="D1826" t="s">
        <v>525</v>
      </c>
      <c r="E1826" t="s">
        <v>676</v>
      </c>
      <c r="F1826" t="s">
        <v>1834</v>
      </c>
      <c r="G1826" t="s">
        <v>2406</v>
      </c>
      <c r="H1826" t="s">
        <v>4390</v>
      </c>
      <c r="I1826" t="s">
        <v>4841</v>
      </c>
      <c r="J1826" t="s">
        <v>5321</v>
      </c>
      <c r="K1826">
        <v>10466</v>
      </c>
      <c r="L1826" t="s">
        <v>5355</v>
      </c>
      <c r="M1826" t="s">
        <v>5355</v>
      </c>
      <c r="N1826" t="s">
        <v>6014</v>
      </c>
      <c r="O1826" t="s">
        <v>6492</v>
      </c>
      <c r="P1826" t="s">
        <v>6530</v>
      </c>
      <c r="Q1826" t="s">
        <v>6533</v>
      </c>
      <c r="R1826" t="s">
        <v>6539</v>
      </c>
      <c r="S1826" t="s">
        <v>5357</v>
      </c>
      <c r="U1826" t="s">
        <v>6557</v>
      </c>
      <c r="W1826" t="s">
        <v>397</v>
      </c>
      <c r="X1826">
        <v>1515</v>
      </c>
      <c r="Y1826" t="s">
        <v>6606</v>
      </c>
      <c r="Z1826" t="s">
        <v>6614</v>
      </c>
      <c r="AA1826" t="s">
        <v>6633</v>
      </c>
      <c r="AB1826" t="s">
        <v>8181</v>
      </c>
      <c r="AC1826" t="s">
        <v>9005</v>
      </c>
      <c r="AD1826" t="s">
        <v>10507</v>
      </c>
      <c r="AE1826">
        <v>55</v>
      </c>
      <c r="AF1826" t="s">
        <v>11005</v>
      </c>
      <c r="AG1826" t="s">
        <v>11019</v>
      </c>
      <c r="AH1826">
        <v>1</v>
      </c>
      <c r="AI1826">
        <v>1</v>
      </c>
      <c r="AJ1826">
        <v>3</v>
      </c>
      <c r="AK1826">
        <v>81.59</v>
      </c>
      <c r="AO1826">
        <v>20072</v>
      </c>
      <c r="AQ1826" t="s">
        <v>11190</v>
      </c>
      <c r="AR1826" t="s">
        <v>6493</v>
      </c>
      <c r="AS1826" t="s">
        <v>11252</v>
      </c>
      <c r="AT1826" t="s">
        <v>11329</v>
      </c>
      <c r="AU1826">
        <v>26.8</v>
      </c>
      <c r="AV1826" t="s">
        <v>791</v>
      </c>
      <c r="AW1826" t="s">
        <v>11505</v>
      </c>
    </row>
    <row r="1827" spans="1:49">
      <c r="A1827" s="1">
        <f>HYPERLINK("https://cms.ls-nyc.org/matter/dynamic-profile/view/1835851","17-1835851")</f>
        <v>0</v>
      </c>
      <c r="B1827" t="s">
        <v>106</v>
      </c>
      <c r="C1827" t="s">
        <v>235</v>
      </c>
      <c r="D1827" t="s">
        <v>431</v>
      </c>
      <c r="F1827" t="s">
        <v>1009</v>
      </c>
      <c r="G1827" t="s">
        <v>2188</v>
      </c>
      <c r="H1827" t="s">
        <v>4391</v>
      </c>
      <c r="I1827" t="s">
        <v>4772</v>
      </c>
      <c r="J1827" t="s">
        <v>5321</v>
      </c>
      <c r="K1827">
        <v>10452</v>
      </c>
      <c r="L1827" t="s">
        <v>5355</v>
      </c>
      <c r="M1827" t="s">
        <v>5356</v>
      </c>
      <c r="N1827" t="s">
        <v>6015</v>
      </c>
      <c r="O1827" t="s">
        <v>6491</v>
      </c>
      <c r="P1827" t="s">
        <v>6530</v>
      </c>
      <c r="R1827" t="s">
        <v>6539</v>
      </c>
      <c r="S1827" t="s">
        <v>5357</v>
      </c>
      <c r="U1827" t="s">
        <v>6557</v>
      </c>
      <c r="W1827" t="s">
        <v>240</v>
      </c>
      <c r="X1827">
        <v>1000</v>
      </c>
      <c r="Y1827" t="s">
        <v>6606</v>
      </c>
      <c r="Z1827" t="s">
        <v>6626</v>
      </c>
      <c r="AB1827" t="s">
        <v>8182</v>
      </c>
      <c r="AD1827" t="s">
        <v>10508</v>
      </c>
      <c r="AE1827">
        <v>60</v>
      </c>
      <c r="AF1827" t="s">
        <v>11005</v>
      </c>
      <c r="AG1827" t="s">
        <v>11020</v>
      </c>
      <c r="AH1827">
        <v>15</v>
      </c>
      <c r="AI1827">
        <v>1</v>
      </c>
      <c r="AJ1827">
        <v>0</v>
      </c>
      <c r="AK1827">
        <v>81.59</v>
      </c>
      <c r="AN1827" t="s">
        <v>11049</v>
      </c>
      <c r="AO1827">
        <v>9840</v>
      </c>
      <c r="AT1827" t="s">
        <v>11324</v>
      </c>
      <c r="AU1827">
        <v>36.55</v>
      </c>
      <c r="AV1827" t="s">
        <v>246</v>
      </c>
      <c r="AW1827" t="s">
        <v>11515</v>
      </c>
    </row>
    <row r="1828" spans="1:49">
      <c r="A1828" s="1">
        <f>HYPERLINK("https://cms.ls-nyc.org/matter/dynamic-profile/view/1850915","17-1850915")</f>
        <v>0</v>
      </c>
      <c r="B1828" t="s">
        <v>92</v>
      </c>
      <c r="C1828" t="s">
        <v>234</v>
      </c>
      <c r="D1828" t="s">
        <v>292</v>
      </c>
      <c r="E1828" t="s">
        <v>695</v>
      </c>
      <c r="F1828" t="s">
        <v>1835</v>
      </c>
      <c r="G1828" t="s">
        <v>1591</v>
      </c>
      <c r="H1828" t="s">
        <v>3814</v>
      </c>
      <c r="I1828">
        <v>32</v>
      </c>
      <c r="J1828" t="s">
        <v>5323</v>
      </c>
      <c r="K1828">
        <v>10034</v>
      </c>
      <c r="L1828" t="s">
        <v>5355</v>
      </c>
      <c r="M1828" t="s">
        <v>5356</v>
      </c>
      <c r="N1828" t="s">
        <v>6016</v>
      </c>
      <c r="O1828" t="s">
        <v>6496</v>
      </c>
      <c r="P1828" t="s">
        <v>6530</v>
      </c>
      <c r="Q1828" t="s">
        <v>6537</v>
      </c>
      <c r="R1828" t="s">
        <v>6539</v>
      </c>
      <c r="S1828" t="s">
        <v>5357</v>
      </c>
      <c r="U1828" t="s">
        <v>6557</v>
      </c>
      <c r="W1828" t="s">
        <v>304</v>
      </c>
      <c r="X1828">
        <v>845.14</v>
      </c>
      <c r="Y1828" t="s">
        <v>6608</v>
      </c>
      <c r="Z1828" t="s">
        <v>6616</v>
      </c>
      <c r="AA1828" t="s">
        <v>6640</v>
      </c>
      <c r="AB1828" t="s">
        <v>8183</v>
      </c>
      <c r="AD1828" t="s">
        <v>10509</v>
      </c>
      <c r="AE1828">
        <v>25</v>
      </c>
      <c r="AF1828" t="s">
        <v>11005</v>
      </c>
      <c r="AG1828" t="s">
        <v>5406</v>
      </c>
      <c r="AH1828">
        <v>45</v>
      </c>
      <c r="AI1828">
        <v>1</v>
      </c>
      <c r="AJ1828">
        <v>0</v>
      </c>
      <c r="AK1828">
        <v>81.59</v>
      </c>
      <c r="AN1828" t="s">
        <v>11049</v>
      </c>
      <c r="AO1828">
        <v>9840</v>
      </c>
      <c r="AU1828">
        <v>13.3</v>
      </c>
      <c r="AV1828" t="s">
        <v>397</v>
      </c>
      <c r="AW1828" t="s">
        <v>11495</v>
      </c>
    </row>
    <row r="1829" spans="1:49">
      <c r="A1829" s="1">
        <f>HYPERLINK("https://cms.ls-nyc.org/matter/dynamic-profile/view/0796746","16-0796746")</f>
        <v>0</v>
      </c>
      <c r="B1829" t="s">
        <v>213</v>
      </c>
      <c r="C1829" t="s">
        <v>234</v>
      </c>
      <c r="D1829" t="s">
        <v>593</v>
      </c>
      <c r="E1829" t="s">
        <v>779</v>
      </c>
      <c r="F1829" t="s">
        <v>1836</v>
      </c>
      <c r="G1829" t="s">
        <v>2189</v>
      </c>
      <c r="H1829" t="s">
        <v>4392</v>
      </c>
      <c r="I1829" t="s">
        <v>5210</v>
      </c>
      <c r="J1829" t="s">
        <v>5320</v>
      </c>
      <c r="K1829">
        <v>11209</v>
      </c>
      <c r="L1829" t="s">
        <v>5355</v>
      </c>
      <c r="M1829" t="s">
        <v>5356</v>
      </c>
      <c r="O1829" t="s">
        <v>6491</v>
      </c>
      <c r="P1829" t="s">
        <v>6530</v>
      </c>
      <c r="Q1829" t="s">
        <v>6534</v>
      </c>
      <c r="R1829" t="s">
        <v>6539</v>
      </c>
      <c r="T1829" t="s">
        <v>6544</v>
      </c>
      <c r="U1829" t="s">
        <v>6557</v>
      </c>
      <c r="W1829" t="s">
        <v>6583</v>
      </c>
      <c r="X1829">
        <v>0</v>
      </c>
      <c r="Y1829" t="s">
        <v>6605</v>
      </c>
      <c r="AA1829" t="s">
        <v>6637</v>
      </c>
      <c r="AB1829" t="s">
        <v>8184</v>
      </c>
      <c r="AD1829" t="s">
        <v>10510</v>
      </c>
      <c r="AE1829">
        <v>6</v>
      </c>
      <c r="AH1829">
        <v>0</v>
      </c>
      <c r="AI1829">
        <v>1</v>
      </c>
      <c r="AJ1829">
        <v>2</v>
      </c>
      <c r="AK1829">
        <v>81.65000000000001</v>
      </c>
      <c r="AN1829" t="s">
        <v>11050</v>
      </c>
      <c r="AO1829">
        <v>16404</v>
      </c>
      <c r="AU1829">
        <v>166.2</v>
      </c>
      <c r="AV1829" t="s">
        <v>781</v>
      </c>
      <c r="AW1829" t="s">
        <v>11556</v>
      </c>
    </row>
    <row r="1830" spans="1:49">
      <c r="A1830" s="1">
        <f>HYPERLINK("https://cms.ls-nyc.org/matter/dynamic-profile/view/1867624","18-1867624")</f>
        <v>0</v>
      </c>
      <c r="B1830" t="s">
        <v>195</v>
      </c>
      <c r="C1830" t="s">
        <v>235</v>
      </c>
      <c r="D1830" t="s">
        <v>299</v>
      </c>
      <c r="F1830" t="s">
        <v>1442</v>
      </c>
      <c r="G1830" t="s">
        <v>3145</v>
      </c>
      <c r="H1830" t="s">
        <v>3639</v>
      </c>
      <c r="I1830">
        <v>18</v>
      </c>
      <c r="J1830" t="s">
        <v>5323</v>
      </c>
      <c r="K1830">
        <v>10035</v>
      </c>
      <c r="L1830" t="s">
        <v>5355</v>
      </c>
      <c r="M1830" t="s">
        <v>5355</v>
      </c>
      <c r="N1830" t="s">
        <v>6017</v>
      </c>
      <c r="O1830" t="s">
        <v>6492</v>
      </c>
      <c r="P1830" t="s">
        <v>6530</v>
      </c>
      <c r="R1830" t="s">
        <v>6539</v>
      </c>
      <c r="S1830" t="s">
        <v>5357</v>
      </c>
      <c r="U1830" t="s">
        <v>6557</v>
      </c>
      <c r="W1830" t="s">
        <v>299</v>
      </c>
      <c r="X1830">
        <v>1687.14</v>
      </c>
      <c r="Y1830" t="s">
        <v>6608</v>
      </c>
      <c r="Z1830" t="s">
        <v>6616</v>
      </c>
      <c r="AB1830" t="s">
        <v>8185</v>
      </c>
      <c r="AD1830" t="s">
        <v>10511</v>
      </c>
      <c r="AE1830">
        <v>35</v>
      </c>
      <c r="AF1830" t="s">
        <v>11008</v>
      </c>
      <c r="AG1830" t="s">
        <v>11020</v>
      </c>
      <c r="AH1830">
        <v>18</v>
      </c>
      <c r="AI1830">
        <v>1</v>
      </c>
      <c r="AJ1830">
        <v>0</v>
      </c>
      <c r="AK1830">
        <v>81.65000000000001</v>
      </c>
      <c r="AN1830" t="s">
        <v>11049</v>
      </c>
      <c r="AO1830">
        <v>9912</v>
      </c>
      <c r="AU1830">
        <v>42</v>
      </c>
      <c r="AV1830" t="s">
        <v>11463</v>
      </c>
      <c r="AW1830" t="s">
        <v>11497</v>
      </c>
    </row>
    <row r="1831" spans="1:49">
      <c r="A1831" s="1">
        <f>HYPERLINK("https://cms.ls-nyc.org/matter/dynamic-profile/view/1834730","17-1834730")</f>
        <v>0</v>
      </c>
      <c r="B1831" t="s">
        <v>97</v>
      </c>
      <c r="C1831" t="s">
        <v>234</v>
      </c>
      <c r="D1831" t="s">
        <v>486</v>
      </c>
      <c r="E1831" t="s">
        <v>665</v>
      </c>
      <c r="F1831" t="s">
        <v>1837</v>
      </c>
      <c r="G1831" t="s">
        <v>3146</v>
      </c>
      <c r="H1831" t="s">
        <v>3807</v>
      </c>
      <c r="I1831">
        <v>42</v>
      </c>
      <c r="J1831" t="s">
        <v>5323</v>
      </c>
      <c r="K1831">
        <v>10034</v>
      </c>
      <c r="L1831" t="s">
        <v>5355</v>
      </c>
      <c r="M1831" t="s">
        <v>5356</v>
      </c>
      <c r="N1831" t="s">
        <v>6018</v>
      </c>
      <c r="O1831" t="s">
        <v>6491</v>
      </c>
      <c r="P1831" t="s">
        <v>6530</v>
      </c>
      <c r="Q1831" t="s">
        <v>6534</v>
      </c>
      <c r="R1831" t="s">
        <v>6539</v>
      </c>
      <c r="S1831" t="s">
        <v>5357</v>
      </c>
      <c r="U1831" t="s">
        <v>6557</v>
      </c>
      <c r="W1831" t="s">
        <v>404</v>
      </c>
      <c r="X1831">
        <v>870</v>
      </c>
      <c r="Y1831" t="s">
        <v>6608</v>
      </c>
      <c r="Z1831" t="s">
        <v>6617</v>
      </c>
      <c r="AA1831" t="s">
        <v>6633</v>
      </c>
      <c r="AB1831" t="s">
        <v>8186</v>
      </c>
      <c r="AD1831" t="s">
        <v>10512</v>
      </c>
      <c r="AE1831">
        <v>25</v>
      </c>
      <c r="AF1831" t="s">
        <v>11005</v>
      </c>
      <c r="AG1831" t="s">
        <v>5406</v>
      </c>
      <c r="AH1831">
        <v>11</v>
      </c>
      <c r="AI1831">
        <v>3</v>
      </c>
      <c r="AJ1831">
        <v>0</v>
      </c>
      <c r="AK1831">
        <v>81.68000000000001</v>
      </c>
      <c r="AN1831" t="s">
        <v>11049</v>
      </c>
      <c r="AO1831">
        <v>16680</v>
      </c>
      <c r="AU1831">
        <v>38.7</v>
      </c>
      <c r="AV1831" t="s">
        <v>338</v>
      </c>
      <c r="AW1831" t="s">
        <v>11500</v>
      </c>
    </row>
    <row r="1832" spans="1:49">
      <c r="A1832" s="1">
        <f>HYPERLINK("https://cms.ls-nyc.org/matter/dynamic-profile/view/0797954","16-0797954")</f>
        <v>0</v>
      </c>
      <c r="B1832" t="s">
        <v>214</v>
      </c>
      <c r="C1832" t="s">
        <v>235</v>
      </c>
      <c r="D1832" t="s">
        <v>594</v>
      </c>
      <c r="F1832" t="s">
        <v>1048</v>
      </c>
      <c r="G1832" t="s">
        <v>3147</v>
      </c>
      <c r="H1832" t="s">
        <v>4393</v>
      </c>
      <c r="I1832">
        <v>6</v>
      </c>
      <c r="J1832" t="s">
        <v>5320</v>
      </c>
      <c r="K1832">
        <v>11203</v>
      </c>
      <c r="L1832" t="s">
        <v>5355</v>
      </c>
      <c r="M1832" t="s">
        <v>5356</v>
      </c>
      <c r="N1832" t="s">
        <v>6019</v>
      </c>
      <c r="O1832" t="s">
        <v>6491</v>
      </c>
      <c r="P1832" t="s">
        <v>6530</v>
      </c>
      <c r="R1832" t="s">
        <v>6539</v>
      </c>
      <c r="T1832" t="s">
        <v>6544</v>
      </c>
      <c r="U1832" t="s">
        <v>6557</v>
      </c>
      <c r="W1832" t="s">
        <v>262</v>
      </c>
      <c r="X1832">
        <v>639.4</v>
      </c>
      <c r="Y1832" t="s">
        <v>6605</v>
      </c>
      <c r="Z1832" t="s">
        <v>6614</v>
      </c>
      <c r="AB1832" t="s">
        <v>8187</v>
      </c>
      <c r="AD1832" t="s">
        <v>10513</v>
      </c>
      <c r="AE1832">
        <v>6</v>
      </c>
      <c r="AF1832" t="s">
        <v>11005</v>
      </c>
      <c r="AG1832" t="s">
        <v>5406</v>
      </c>
      <c r="AH1832">
        <v>42</v>
      </c>
      <c r="AI1832">
        <v>4</v>
      </c>
      <c r="AJ1832">
        <v>3</v>
      </c>
      <c r="AK1832">
        <v>81.7</v>
      </c>
      <c r="AN1832" t="s">
        <v>11050</v>
      </c>
      <c r="AO1832">
        <v>30000</v>
      </c>
      <c r="AU1832">
        <v>105.8</v>
      </c>
      <c r="AV1832" t="s">
        <v>11434</v>
      </c>
      <c r="AW1832" t="s">
        <v>11490</v>
      </c>
    </row>
    <row r="1833" spans="1:49">
      <c r="A1833" s="1">
        <f>HYPERLINK("https://cms.ls-nyc.org/matter/dynamic-profile/view/1854785","17-1854785")</f>
        <v>0</v>
      </c>
      <c r="B1833" t="s">
        <v>96</v>
      </c>
      <c r="C1833" t="s">
        <v>234</v>
      </c>
      <c r="D1833" t="s">
        <v>243</v>
      </c>
      <c r="E1833" t="s">
        <v>386</v>
      </c>
      <c r="F1833" t="s">
        <v>1838</v>
      </c>
      <c r="G1833" t="s">
        <v>2316</v>
      </c>
      <c r="H1833" t="s">
        <v>4394</v>
      </c>
      <c r="I1833" t="s">
        <v>5146</v>
      </c>
      <c r="J1833" t="s">
        <v>5317</v>
      </c>
      <c r="K1833">
        <v>11433</v>
      </c>
      <c r="L1833" t="s">
        <v>5355</v>
      </c>
      <c r="M1833" t="s">
        <v>5355</v>
      </c>
      <c r="N1833" t="s">
        <v>6020</v>
      </c>
      <c r="O1833" t="s">
        <v>6490</v>
      </c>
      <c r="P1833" t="s">
        <v>6530</v>
      </c>
      <c r="Q1833" t="s">
        <v>6537</v>
      </c>
      <c r="R1833" t="s">
        <v>6539</v>
      </c>
      <c r="S1833" t="s">
        <v>5357</v>
      </c>
      <c r="U1833" t="s">
        <v>6556</v>
      </c>
      <c r="W1833" t="s">
        <v>399</v>
      </c>
      <c r="X1833">
        <v>600</v>
      </c>
      <c r="Y1833" t="s">
        <v>6604</v>
      </c>
      <c r="Z1833" t="s">
        <v>6609</v>
      </c>
      <c r="AA1833" t="s">
        <v>6655</v>
      </c>
      <c r="AB1833" t="s">
        <v>6741</v>
      </c>
      <c r="AC1833" t="s">
        <v>5392</v>
      </c>
      <c r="AD1833" t="s">
        <v>10514</v>
      </c>
      <c r="AE1833">
        <v>2</v>
      </c>
      <c r="AF1833" t="s">
        <v>11004</v>
      </c>
      <c r="AG1833" t="s">
        <v>5406</v>
      </c>
      <c r="AH1833">
        <v>1</v>
      </c>
      <c r="AI1833">
        <v>1</v>
      </c>
      <c r="AJ1833">
        <v>0</v>
      </c>
      <c r="AK1833">
        <v>81.79000000000001</v>
      </c>
      <c r="AN1833" t="s">
        <v>11050</v>
      </c>
      <c r="AO1833">
        <v>9864</v>
      </c>
      <c r="AP1833" t="s">
        <v>11071</v>
      </c>
      <c r="AQ1833" t="s">
        <v>11197</v>
      </c>
      <c r="AR1833" t="s">
        <v>11211</v>
      </c>
      <c r="AS1833" t="s">
        <v>11253</v>
      </c>
      <c r="AT1833" t="s">
        <v>11369</v>
      </c>
      <c r="AU1833">
        <v>12.85</v>
      </c>
      <c r="AV1833" t="s">
        <v>293</v>
      </c>
      <c r="AW1833" t="s">
        <v>134</v>
      </c>
    </row>
    <row r="1834" spans="1:49">
      <c r="A1834" s="1">
        <f>HYPERLINK("https://cms.ls-nyc.org/matter/dynamic-profile/view/0832329","17-0832329")</f>
        <v>0</v>
      </c>
      <c r="B1834" t="s">
        <v>207</v>
      </c>
      <c r="C1834" t="s">
        <v>235</v>
      </c>
      <c r="D1834" t="s">
        <v>595</v>
      </c>
      <c r="F1834" t="s">
        <v>1367</v>
      </c>
      <c r="G1834" t="s">
        <v>2105</v>
      </c>
      <c r="H1834" t="s">
        <v>4316</v>
      </c>
      <c r="I1834" t="s">
        <v>4746</v>
      </c>
      <c r="J1834" t="s">
        <v>5320</v>
      </c>
      <c r="K1834">
        <v>11239</v>
      </c>
      <c r="L1834" t="s">
        <v>5355</v>
      </c>
      <c r="M1834" t="s">
        <v>5356</v>
      </c>
      <c r="N1834" t="s">
        <v>6021</v>
      </c>
      <c r="O1834" t="s">
        <v>6492</v>
      </c>
      <c r="P1834" t="s">
        <v>6530</v>
      </c>
      <c r="R1834" t="s">
        <v>6539</v>
      </c>
      <c r="S1834" t="s">
        <v>5357</v>
      </c>
      <c r="U1834" t="s">
        <v>6557</v>
      </c>
      <c r="W1834" t="s">
        <v>6583</v>
      </c>
      <c r="X1834">
        <v>292</v>
      </c>
      <c r="Y1834" t="s">
        <v>6605</v>
      </c>
      <c r="Z1834" t="s">
        <v>6613</v>
      </c>
      <c r="AB1834" t="s">
        <v>7963</v>
      </c>
      <c r="AD1834" t="s">
        <v>10515</v>
      </c>
      <c r="AE1834">
        <v>170</v>
      </c>
      <c r="AF1834" t="s">
        <v>11005</v>
      </c>
      <c r="AG1834" t="s">
        <v>11027</v>
      </c>
      <c r="AH1834">
        <v>30</v>
      </c>
      <c r="AI1834">
        <v>1</v>
      </c>
      <c r="AJ1834">
        <v>0</v>
      </c>
      <c r="AK1834">
        <v>81.79000000000001</v>
      </c>
      <c r="AL1834" t="s">
        <v>555</v>
      </c>
      <c r="AN1834" t="s">
        <v>11050</v>
      </c>
      <c r="AO1834">
        <v>9864</v>
      </c>
      <c r="AU1834">
        <v>49.95</v>
      </c>
      <c r="AV1834" t="s">
        <v>498</v>
      </c>
      <c r="AW1834" t="s">
        <v>11513</v>
      </c>
    </row>
    <row r="1835" spans="1:49">
      <c r="A1835" s="1">
        <f>HYPERLINK("https://cms.ls-nyc.org/matter/dynamic-profile/view/1850465","17-1850465")</f>
        <v>0</v>
      </c>
      <c r="B1835" t="s">
        <v>148</v>
      </c>
      <c r="C1835" t="s">
        <v>234</v>
      </c>
      <c r="D1835" t="s">
        <v>367</v>
      </c>
      <c r="E1835" t="s">
        <v>735</v>
      </c>
      <c r="F1835" t="s">
        <v>1632</v>
      </c>
      <c r="G1835" t="s">
        <v>1325</v>
      </c>
      <c r="H1835" t="s">
        <v>4343</v>
      </c>
      <c r="I1835" t="s">
        <v>5125</v>
      </c>
      <c r="J1835" t="s">
        <v>5322</v>
      </c>
      <c r="K1835">
        <v>10301</v>
      </c>
      <c r="L1835" t="s">
        <v>5355</v>
      </c>
      <c r="M1835" t="s">
        <v>5356</v>
      </c>
      <c r="N1835" t="s">
        <v>6022</v>
      </c>
      <c r="O1835" t="s">
        <v>6492</v>
      </c>
      <c r="P1835" t="s">
        <v>6530</v>
      </c>
      <c r="Q1835" t="s">
        <v>6534</v>
      </c>
      <c r="R1835" t="s">
        <v>6539</v>
      </c>
      <c r="S1835" t="s">
        <v>5355</v>
      </c>
      <c r="U1835" t="s">
        <v>6557</v>
      </c>
      <c r="W1835" t="s">
        <v>367</v>
      </c>
      <c r="X1835">
        <v>1950</v>
      </c>
      <c r="Y1835" t="s">
        <v>6607</v>
      </c>
      <c r="Z1835" t="s">
        <v>6622</v>
      </c>
      <c r="AA1835" t="s">
        <v>6637</v>
      </c>
      <c r="AB1835" t="s">
        <v>8188</v>
      </c>
      <c r="AC1835" t="s">
        <v>9006</v>
      </c>
      <c r="AD1835" t="s">
        <v>10516</v>
      </c>
      <c r="AE1835">
        <v>290</v>
      </c>
      <c r="AF1835" t="s">
        <v>11005</v>
      </c>
      <c r="AG1835" t="s">
        <v>11020</v>
      </c>
      <c r="AH1835">
        <v>3</v>
      </c>
      <c r="AI1835">
        <v>1</v>
      </c>
      <c r="AJ1835">
        <v>0</v>
      </c>
      <c r="AK1835">
        <v>81.79000000000001</v>
      </c>
      <c r="AN1835" t="s">
        <v>11050</v>
      </c>
      <c r="AO1835">
        <v>9864</v>
      </c>
      <c r="AU1835">
        <v>25.9</v>
      </c>
      <c r="AV1835" t="s">
        <v>695</v>
      </c>
      <c r="AW1835" t="s">
        <v>11536</v>
      </c>
    </row>
    <row r="1836" spans="1:49">
      <c r="A1836" s="1">
        <f>HYPERLINK("https://cms.ls-nyc.org/matter/dynamic-profile/view/1839731","17-1839731")</f>
        <v>0</v>
      </c>
      <c r="B1836" t="s">
        <v>124</v>
      </c>
      <c r="C1836" t="s">
        <v>235</v>
      </c>
      <c r="D1836" t="s">
        <v>596</v>
      </c>
      <c r="F1836" t="s">
        <v>971</v>
      </c>
      <c r="G1836" t="s">
        <v>2647</v>
      </c>
      <c r="H1836" t="s">
        <v>3994</v>
      </c>
      <c r="J1836" t="s">
        <v>5323</v>
      </c>
      <c r="K1836">
        <v>10040</v>
      </c>
      <c r="L1836" t="s">
        <v>5355</v>
      </c>
      <c r="M1836" t="s">
        <v>5356</v>
      </c>
      <c r="O1836" t="s">
        <v>5393</v>
      </c>
      <c r="P1836" t="s">
        <v>6530</v>
      </c>
      <c r="R1836" t="s">
        <v>6539</v>
      </c>
      <c r="S1836" t="s">
        <v>5357</v>
      </c>
      <c r="U1836" t="s">
        <v>6557</v>
      </c>
      <c r="W1836" t="s">
        <v>262</v>
      </c>
      <c r="X1836">
        <v>181</v>
      </c>
      <c r="Y1836" t="s">
        <v>6608</v>
      </c>
      <c r="Z1836" t="s">
        <v>6620</v>
      </c>
      <c r="AB1836" t="s">
        <v>7387</v>
      </c>
      <c r="AD1836" t="s">
        <v>9758</v>
      </c>
      <c r="AE1836">
        <v>0</v>
      </c>
      <c r="AG1836" t="s">
        <v>11020</v>
      </c>
      <c r="AH1836">
        <v>37</v>
      </c>
      <c r="AI1836">
        <v>1</v>
      </c>
      <c r="AJ1836">
        <v>0</v>
      </c>
      <c r="AK1836">
        <v>81.79000000000001</v>
      </c>
      <c r="AN1836" t="s">
        <v>11049</v>
      </c>
      <c r="AO1836">
        <v>9864</v>
      </c>
      <c r="AU1836">
        <v>5.45</v>
      </c>
      <c r="AV1836" t="s">
        <v>434</v>
      </c>
      <c r="AW1836" t="s">
        <v>11495</v>
      </c>
    </row>
    <row r="1837" spans="1:49">
      <c r="A1837" s="1">
        <f>HYPERLINK("https://cms.ls-nyc.org/matter/dynamic-profile/view/1864503","18-1864503")</f>
        <v>0</v>
      </c>
      <c r="B1837" t="s">
        <v>67</v>
      </c>
      <c r="C1837" t="s">
        <v>235</v>
      </c>
      <c r="D1837" t="s">
        <v>256</v>
      </c>
      <c r="F1837" t="s">
        <v>1839</v>
      </c>
      <c r="G1837" t="s">
        <v>3148</v>
      </c>
      <c r="H1837" t="s">
        <v>3579</v>
      </c>
      <c r="I1837">
        <v>511</v>
      </c>
      <c r="J1837" t="s">
        <v>5323</v>
      </c>
      <c r="K1837">
        <v>10029</v>
      </c>
      <c r="L1837" t="s">
        <v>5355</v>
      </c>
      <c r="M1837" t="s">
        <v>5355</v>
      </c>
      <c r="N1837" t="s">
        <v>5632</v>
      </c>
      <c r="O1837" t="s">
        <v>6494</v>
      </c>
      <c r="P1837" t="s">
        <v>6530</v>
      </c>
      <c r="R1837" t="s">
        <v>6539</v>
      </c>
      <c r="S1837" t="s">
        <v>5355</v>
      </c>
      <c r="U1837" t="s">
        <v>6557</v>
      </c>
      <c r="V1837" t="s">
        <v>6566</v>
      </c>
      <c r="W1837" t="s">
        <v>256</v>
      </c>
      <c r="X1837">
        <v>0</v>
      </c>
      <c r="Y1837" t="s">
        <v>6608</v>
      </c>
      <c r="Z1837" t="s">
        <v>6622</v>
      </c>
      <c r="AB1837" t="s">
        <v>8189</v>
      </c>
      <c r="AD1837" t="s">
        <v>10517</v>
      </c>
      <c r="AE1837">
        <v>108</v>
      </c>
      <c r="AF1837" t="s">
        <v>11008</v>
      </c>
      <c r="AG1837" t="s">
        <v>11020</v>
      </c>
      <c r="AH1837">
        <v>33</v>
      </c>
      <c r="AI1837">
        <v>2</v>
      </c>
      <c r="AJ1837">
        <v>1</v>
      </c>
      <c r="AK1837">
        <v>81.81</v>
      </c>
      <c r="AN1837" t="s">
        <v>11050</v>
      </c>
      <c r="AO1837">
        <v>17000</v>
      </c>
      <c r="AU1837">
        <v>1.05</v>
      </c>
      <c r="AV1837" t="s">
        <v>11463</v>
      </c>
      <c r="AW1837" t="s">
        <v>11497</v>
      </c>
    </row>
    <row r="1838" spans="1:49">
      <c r="A1838" s="1">
        <f>HYPERLINK("https://cms.ls-nyc.org/matter/dynamic-profile/view/1844670","17-1844670")</f>
        <v>0</v>
      </c>
      <c r="B1838" t="s">
        <v>215</v>
      </c>
      <c r="C1838" t="s">
        <v>234</v>
      </c>
      <c r="D1838" t="s">
        <v>453</v>
      </c>
      <c r="E1838" t="s">
        <v>791</v>
      </c>
      <c r="F1838" t="s">
        <v>1840</v>
      </c>
      <c r="G1838" t="s">
        <v>3149</v>
      </c>
      <c r="H1838" t="s">
        <v>4395</v>
      </c>
      <c r="I1838">
        <v>19</v>
      </c>
      <c r="J1838" t="s">
        <v>5321</v>
      </c>
      <c r="K1838">
        <v>10452</v>
      </c>
      <c r="L1838" t="s">
        <v>5355</v>
      </c>
      <c r="M1838" t="s">
        <v>5356</v>
      </c>
      <c r="N1838" t="s">
        <v>6023</v>
      </c>
      <c r="O1838" t="s">
        <v>6491</v>
      </c>
      <c r="P1838" t="s">
        <v>6530</v>
      </c>
      <c r="Q1838" t="s">
        <v>6534</v>
      </c>
      <c r="R1838" t="s">
        <v>6539</v>
      </c>
      <c r="U1838" t="s">
        <v>6557</v>
      </c>
      <c r="W1838" t="s">
        <v>6599</v>
      </c>
      <c r="X1838">
        <v>1500</v>
      </c>
      <c r="Y1838" t="s">
        <v>6606</v>
      </c>
      <c r="Z1838" t="s">
        <v>6614</v>
      </c>
      <c r="AA1838" t="s">
        <v>6637</v>
      </c>
      <c r="AB1838" t="s">
        <v>8190</v>
      </c>
      <c r="AC1838" t="s">
        <v>9007</v>
      </c>
      <c r="AD1838" t="s">
        <v>10518</v>
      </c>
      <c r="AE1838">
        <v>19</v>
      </c>
      <c r="AF1838" t="s">
        <v>11005</v>
      </c>
      <c r="AG1838" t="s">
        <v>11020</v>
      </c>
      <c r="AH1838">
        <v>15</v>
      </c>
      <c r="AI1838">
        <v>1</v>
      </c>
      <c r="AJ1838">
        <v>0</v>
      </c>
      <c r="AK1838">
        <v>81.89</v>
      </c>
      <c r="AN1838" t="s">
        <v>11050</v>
      </c>
      <c r="AO1838">
        <v>9876</v>
      </c>
      <c r="AQ1838" t="s">
        <v>11198</v>
      </c>
      <c r="AR1838" t="s">
        <v>11234</v>
      </c>
      <c r="AS1838" t="s">
        <v>11253</v>
      </c>
      <c r="AT1838" t="s">
        <v>11370</v>
      </c>
      <c r="AU1838">
        <v>18.8</v>
      </c>
      <c r="AV1838" t="s">
        <v>440</v>
      </c>
      <c r="AW1838" t="s">
        <v>11523</v>
      </c>
    </row>
    <row r="1839" spans="1:49">
      <c r="A1839" s="1">
        <f>HYPERLINK("https://cms.ls-nyc.org/matter/dynamic-profile/view/1863704","18-1863704")</f>
        <v>0</v>
      </c>
      <c r="B1839" t="s">
        <v>87</v>
      </c>
      <c r="C1839" t="s">
        <v>234</v>
      </c>
      <c r="D1839" t="s">
        <v>263</v>
      </c>
      <c r="E1839" t="s">
        <v>311</v>
      </c>
      <c r="F1839" t="s">
        <v>1094</v>
      </c>
      <c r="G1839" t="s">
        <v>2749</v>
      </c>
      <c r="H1839" t="s">
        <v>4396</v>
      </c>
      <c r="I1839" t="s">
        <v>4748</v>
      </c>
      <c r="J1839" t="s">
        <v>5322</v>
      </c>
      <c r="K1839">
        <v>10304</v>
      </c>
      <c r="L1839" t="s">
        <v>5355</v>
      </c>
      <c r="M1839" t="s">
        <v>5355</v>
      </c>
      <c r="N1839" t="s">
        <v>6024</v>
      </c>
      <c r="O1839" t="s">
        <v>6490</v>
      </c>
      <c r="P1839" t="s">
        <v>6530</v>
      </c>
      <c r="Q1839" t="s">
        <v>6537</v>
      </c>
      <c r="R1839" t="s">
        <v>6539</v>
      </c>
      <c r="S1839" t="s">
        <v>5357</v>
      </c>
      <c r="U1839" t="s">
        <v>6559</v>
      </c>
      <c r="W1839" t="s">
        <v>263</v>
      </c>
      <c r="X1839">
        <v>450</v>
      </c>
      <c r="Y1839" t="s">
        <v>6607</v>
      </c>
      <c r="Z1839" t="s">
        <v>6614</v>
      </c>
      <c r="AA1839" t="s">
        <v>6632</v>
      </c>
      <c r="AB1839" t="s">
        <v>8191</v>
      </c>
      <c r="AD1839" t="s">
        <v>10519</v>
      </c>
      <c r="AE1839">
        <v>2</v>
      </c>
      <c r="AG1839" t="s">
        <v>5406</v>
      </c>
      <c r="AH1839">
        <v>2</v>
      </c>
      <c r="AI1839">
        <v>1</v>
      </c>
      <c r="AJ1839">
        <v>0</v>
      </c>
      <c r="AK1839">
        <v>81.94</v>
      </c>
      <c r="AN1839" t="s">
        <v>11050</v>
      </c>
      <c r="AO1839">
        <v>9948</v>
      </c>
      <c r="AQ1839" t="s">
        <v>11197</v>
      </c>
      <c r="AS1839" t="s">
        <v>11253</v>
      </c>
      <c r="AT1839" t="s">
        <v>11371</v>
      </c>
      <c r="AU1839">
        <v>6.6</v>
      </c>
      <c r="AV1839" t="s">
        <v>750</v>
      </c>
      <c r="AW1839" t="s">
        <v>209</v>
      </c>
    </row>
    <row r="1840" spans="1:49">
      <c r="A1840" s="1">
        <f>HYPERLINK("https://cms.ls-nyc.org/matter/dynamic-profile/view/1843978","17-1843978")</f>
        <v>0</v>
      </c>
      <c r="B1840" t="s">
        <v>148</v>
      </c>
      <c r="C1840" t="s">
        <v>234</v>
      </c>
      <c r="D1840" t="s">
        <v>419</v>
      </c>
      <c r="E1840" t="s">
        <v>695</v>
      </c>
      <c r="F1840" t="s">
        <v>1178</v>
      </c>
      <c r="G1840" t="s">
        <v>3069</v>
      </c>
      <c r="H1840" t="s">
        <v>4306</v>
      </c>
      <c r="I1840" t="s">
        <v>5183</v>
      </c>
      <c r="J1840" t="s">
        <v>5322</v>
      </c>
      <c r="K1840">
        <v>10301</v>
      </c>
      <c r="L1840" t="s">
        <v>5355</v>
      </c>
      <c r="M1840" t="s">
        <v>5356</v>
      </c>
      <c r="N1840" t="s">
        <v>6025</v>
      </c>
      <c r="O1840" t="s">
        <v>6491</v>
      </c>
      <c r="P1840" t="s">
        <v>6530</v>
      </c>
      <c r="Q1840" t="s">
        <v>6534</v>
      </c>
      <c r="R1840" t="s">
        <v>6539</v>
      </c>
      <c r="S1840" t="s">
        <v>5357</v>
      </c>
      <c r="U1840" t="s">
        <v>6557</v>
      </c>
      <c r="W1840" t="s">
        <v>406</v>
      </c>
      <c r="X1840">
        <v>500</v>
      </c>
      <c r="Y1840" t="s">
        <v>6607</v>
      </c>
      <c r="Z1840" t="s">
        <v>6622</v>
      </c>
      <c r="AA1840" t="s">
        <v>6637</v>
      </c>
      <c r="AB1840" t="s">
        <v>8052</v>
      </c>
      <c r="AD1840" t="s">
        <v>10396</v>
      </c>
      <c r="AE1840">
        <v>10</v>
      </c>
      <c r="AF1840" t="s">
        <v>11004</v>
      </c>
      <c r="AG1840" t="s">
        <v>5406</v>
      </c>
      <c r="AH1840">
        <v>3</v>
      </c>
      <c r="AI1840">
        <v>1</v>
      </c>
      <c r="AJ1840">
        <v>0</v>
      </c>
      <c r="AK1840">
        <v>81.98999999999999</v>
      </c>
      <c r="AN1840" t="s">
        <v>11050</v>
      </c>
      <c r="AO1840">
        <v>9888</v>
      </c>
      <c r="AU1840">
        <v>23</v>
      </c>
      <c r="AV1840" t="s">
        <v>329</v>
      </c>
      <c r="AW1840" t="s">
        <v>11510</v>
      </c>
    </row>
    <row r="1841" spans="1:49">
      <c r="A1841" s="1">
        <f>HYPERLINK("https://cms.ls-nyc.org/matter/dynamic-profile/view/1844808","17-1844808")</f>
        <v>0</v>
      </c>
      <c r="B1841" t="s">
        <v>54</v>
      </c>
      <c r="C1841" t="s">
        <v>234</v>
      </c>
      <c r="D1841" t="s">
        <v>406</v>
      </c>
      <c r="E1841" t="s">
        <v>673</v>
      </c>
      <c r="F1841" t="s">
        <v>1841</v>
      </c>
      <c r="G1841" t="s">
        <v>2943</v>
      </c>
      <c r="H1841" t="s">
        <v>4397</v>
      </c>
      <c r="I1841">
        <v>1</v>
      </c>
      <c r="J1841" t="s">
        <v>5320</v>
      </c>
      <c r="K1841">
        <v>11208</v>
      </c>
      <c r="L1841" t="s">
        <v>5355</v>
      </c>
      <c r="M1841" t="s">
        <v>5355</v>
      </c>
      <c r="N1841" t="s">
        <v>5654</v>
      </c>
      <c r="O1841" t="s">
        <v>6491</v>
      </c>
      <c r="P1841" t="s">
        <v>6530</v>
      </c>
      <c r="Q1841" t="s">
        <v>6538</v>
      </c>
      <c r="R1841" t="s">
        <v>6539</v>
      </c>
      <c r="S1841" t="s">
        <v>5355</v>
      </c>
      <c r="U1841" t="s">
        <v>6557</v>
      </c>
      <c r="W1841" t="s">
        <v>419</v>
      </c>
      <c r="X1841">
        <v>350</v>
      </c>
      <c r="Y1841" t="s">
        <v>6605</v>
      </c>
      <c r="AA1841" t="s">
        <v>6637</v>
      </c>
      <c r="AB1841" t="s">
        <v>7300</v>
      </c>
      <c r="AD1841" t="s">
        <v>10520</v>
      </c>
      <c r="AE1841">
        <v>7</v>
      </c>
      <c r="AF1841" t="s">
        <v>11005</v>
      </c>
      <c r="AH1841">
        <v>2</v>
      </c>
      <c r="AI1841">
        <v>2</v>
      </c>
      <c r="AJ1841">
        <v>0</v>
      </c>
      <c r="AK1841">
        <v>82.09</v>
      </c>
      <c r="AN1841" t="s">
        <v>11050</v>
      </c>
      <c r="AO1841">
        <v>13332</v>
      </c>
      <c r="AQ1841" t="s">
        <v>11192</v>
      </c>
      <c r="AR1841" t="s">
        <v>11210</v>
      </c>
      <c r="AS1841" t="s">
        <v>11253</v>
      </c>
      <c r="AT1841" t="s">
        <v>11279</v>
      </c>
      <c r="AU1841">
        <v>0.2</v>
      </c>
      <c r="AV1841" t="s">
        <v>673</v>
      </c>
      <c r="AW1841" t="s">
        <v>11489</v>
      </c>
    </row>
    <row r="1842" spans="1:49">
      <c r="A1842" s="1">
        <f>HYPERLINK("https://cms.ls-nyc.org/matter/dynamic-profile/view/1856459","18-1856459")</f>
        <v>0</v>
      </c>
      <c r="B1842" t="s">
        <v>54</v>
      </c>
      <c r="C1842" t="s">
        <v>234</v>
      </c>
      <c r="D1842" t="s">
        <v>458</v>
      </c>
      <c r="E1842" t="s">
        <v>815</v>
      </c>
      <c r="F1842" t="s">
        <v>1841</v>
      </c>
      <c r="G1842" t="s">
        <v>2943</v>
      </c>
      <c r="H1842" t="s">
        <v>4133</v>
      </c>
      <c r="I1842" t="s">
        <v>5211</v>
      </c>
      <c r="J1842" t="s">
        <v>5320</v>
      </c>
      <c r="K1842">
        <v>11208</v>
      </c>
      <c r="L1842" t="s">
        <v>5355</v>
      </c>
      <c r="M1842" t="s">
        <v>5355</v>
      </c>
      <c r="N1842" t="s">
        <v>6026</v>
      </c>
      <c r="O1842" t="s">
        <v>6491</v>
      </c>
      <c r="P1842" t="s">
        <v>6530</v>
      </c>
      <c r="Q1842" t="s">
        <v>6533</v>
      </c>
      <c r="R1842" t="s">
        <v>6539</v>
      </c>
      <c r="S1842" t="s">
        <v>5355</v>
      </c>
      <c r="U1842" t="s">
        <v>6557</v>
      </c>
      <c r="W1842" t="s">
        <v>281</v>
      </c>
      <c r="X1842">
        <v>425</v>
      </c>
      <c r="Y1842" t="s">
        <v>6605</v>
      </c>
      <c r="Z1842" t="s">
        <v>6622</v>
      </c>
      <c r="AA1842" t="s">
        <v>6640</v>
      </c>
      <c r="AB1842" t="s">
        <v>7300</v>
      </c>
      <c r="AD1842" t="s">
        <v>10520</v>
      </c>
      <c r="AE1842">
        <v>7</v>
      </c>
      <c r="AF1842" t="s">
        <v>11005</v>
      </c>
      <c r="AH1842">
        <v>5</v>
      </c>
      <c r="AI1842">
        <v>2</v>
      </c>
      <c r="AJ1842">
        <v>0</v>
      </c>
      <c r="AK1842">
        <v>82.09</v>
      </c>
      <c r="AN1842" t="s">
        <v>11050</v>
      </c>
      <c r="AO1842">
        <v>13332</v>
      </c>
      <c r="AQ1842" t="s">
        <v>11192</v>
      </c>
      <c r="AR1842" t="s">
        <v>11235</v>
      </c>
      <c r="AS1842" t="s">
        <v>11252</v>
      </c>
      <c r="AT1842" t="s">
        <v>11372</v>
      </c>
      <c r="AU1842">
        <v>0.1</v>
      </c>
      <c r="AV1842" t="s">
        <v>707</v>
      </c>
      <c r="AW1842" t="s">
        <v>11512</v>
      </c>
    </row>
    <row r="1843" spans="1:49">
      <c r="A1843" s="1">
        <f>HYPERLINK("https://cms.ls-nyc.org/matter/dynamic-profile/view/1856465","18-1856465")</f>
        <v>0</v>
      </c>
      <c r="B1843" t="s">
        <v>54</v>
      </c>
      <c r="C1843" t="s">
        <v>234</v>
      </c>
      <c r="D1843" t="s">
        <v>458</v>
      </c>
      <c r="E1843" t="s">
        <v>673</v>
      </c>
      <c r="F1843" t="s">
        <v>1841</v>
      </c>
      <c r="G1843" t="s">
        <v>2943</v>
      </c>
      <c r="H1843" t="s">
        <v>4133</v>
      </c>
      <c r="I1843" t="s">
        <v>5211</v>
      </c>
      <c r="J1843" t="s">
        <v>5320</v>
      </c>
      <c r="K1843">
        <v>11208</v>
      </c>
      <c r="L1843" t="s">
        <v>5355</v>
      </c>
      <c r="M1843" t="s">
        <v>5355</v>
      </c>
      <c r="N1843" t="s">
        <v>5656</v>
      </c>
      <c r="O1843" t="s">
        <v>6494</v>
      </c>
      <c r="P1843" t="s">
        <v>6530</v>
      </c>
      <c r="Q1843" t="s">
        <v>6533</v>
      </c>
      <c r="R1843" t="s">
        <v>6539</v>
      </c>
      <c r="S1843" t="s">
        <v>5355</v>
      </c>
      <c r="U1843" t="s">
        <v>6557</v>
      </c>
      <c r="W1843" t="s">
        <v>458</v>
      </c>
      <c r="X1843">
        <v>425</v>
      </c>
      <c r="Y1843" t="s">
        <v>6605</v>
      </c>
      <c r="AA1843" t="s">
        <v>6631</v>
      </c>
      <c r="AB1843" t="s">
        <v>7300</v>
      </c>
      <c r="AD1843" t="s">
        <v>10520</v>
      </c>
      <c r="AE1843">
        <v>7</v>
      </c>
      <c r="AF1843" t="s">
        <v>11005</v>
      </c>
      <c r="AH1843">
        <v>5</v>
      </c>
      <c r="AI1843">
        <v>2</v>
      </c>
      <c r="AJ1843">
        <v>0</v>
      </c>
      <c r="AK1843">
        <v>82.09</v>
      </c>
      <c r="AN1843" t="s">
        <v>11050</v>
      </c>
      <c r="AO1843">
        <v>13332</v>
      </c>
      <c r="AU1843">
        <v>0.8</v>
      </c>
      <c r="AV1843" t="s">
        <v>736</v>
      </c>
      <c r="AW1843" t="s">
        <v>11512</v>
      </c>
    </row>
    <row r="1844" spans="1:49">
      <c r="A1844" s="1">
        <f>HYPERLINK("https://cms.ls-nyc.org/matter/dynamic-profile/view/1852740","17-1852740")</f>
        <v>0</v>
      </c>
      <c r="B1844" t="s">
        <v>156</v>
      </c>
      <c r="C1844" t="s">
        <v>234</v>
      </c>
      <c r="D1844" t="s">
        <v>399</v>
      </c>
      <c r="E1844" t="s">
        <v>781</v>
      </c>
      <c r="F1844" t="s">
        <v>1752</v>
      </c>
      <c r="G1844" t="s">
        <v>2270</v>
      </c>
      <c r="H1844" t="s">
        <v>4261</v>
      </c>
      <c r="I1844" t="s">
        <v>5212</v>
      </c>
      <c r="J1844" t="s">
        <v>5322</v>
      </c>
      <c r="K1844">
        <v>10304</v>
      </c>
      <c r="L1844" t="s">
        <v>5355</v>
      </c>
      <c r="M1844" t="s">
        <v>5356</v>
      </c>
      <c r="N1844" t="s">
        <v>6027</v>
      </c>
      <c r="O1844" t="s">
        <v>6492</v>
      </c>
      <c r="P1844" t="s">
        <v>6530</v>
      </c>
      <c r="Q1844" t="s">
        <v>6534</v>
      </c>
      <c r="R1844" t="s">
        <v>6539</v>
      </c>
      <c r="S1844" t="s">
        <v>5357</v>
      </c>
      <c r="U1844" t="s">
        <v>6557</v>
      </c>
      <c r="W1844" t="s">
        <v>399</v>
      </c>
      <c r="X1844">
        <v>372</v>
      </c>
      <c r="Y1844" t="s">
        <v>6607</v>
      </c>
      <c r="Z1844" t="s">
        <v>6614</v>
      </c>
      <c r="AA1844" t="s">
        <v>6637</v>
      </c>
      <c r="AB1844" t="s">
        <v>8192</v>
      </c>
      <c r="AD1844" t="s">
        <v>10521</v>
      </c>
      <c r="AE1844">
        <v>403</v>
      </c>
      <c r="AF1844" t="s">
        <v>11008</v>
      </c>
      <c r="AG1844" t="s">
        <v>11020</v>
      </c>
      <c r="AH1844">
        <v>47</v>
      </c>
      <c r="AI1844">
        <v>1</v>
      </c>
      <c r="AJ1844">
        <v>0</v>
      </c>
      <c r="AK1844">
        <v>82.09</v>
      </c>
      <c r="AN1844" t="s">
        <v>11050</v>
      </c>
      <c r="AO1844">
        <v>9900</v>
      </c>
      <c r="AU1844">
        <v>23.1</v>
      </c>
      <c r="AV1844" t="s">
        <v>11473</v>
      </c>
      <c r="AW1844" t="s">
        <v>11510</v>
      </c>
    </row>
    <row r="1845" spans="1:49">
      <c r="A1845" s="1">
        <f>HYPERLINK("https://cms.ls-nyc.org/matter/dynamic-profile/view/1863012","18-1863012")</f>
        <v>0</v>
      </c>
      <c r="B1845" t="s">
        <v>92</v>
      </c>
      <c r="C1845" t="s">
        <v>235</v>
      </c>
      <c r="D1845" t="s">
        <v>369</v>
      </c>
      <c r="F1845" t="s">
        <v>900</v>
      </c>
      <c r="G1845" t="s">
        <v>2779</v>
      </c>
      <c r="H1845" t="s">
        <v>3579</v>
      </c>
      <c r="I1845">
        <v>204</v>
      </c>
      <c r="J1845" t="s">
        <v>5323</v>
      </c>
      <c r="K1845">
        <v>10029</v>
      </c>
      <c r="L1845" t="s">
        <v>5355</v>
      </c>
      <c r="M1845" t="s">
        <v>5355</v>
      </c>
      <c r="N1845" t="s">
        <v>5632</v>
      </c>
      <c r="O1845" t="s">
        <v>6494</v>
      </c>
      <c r="P1845" t="s">
        <v>6530</v>
      </c>
      <c r="R1845" t="s">
        <v>6539</v>
      </c>
      <c r="S1845" t="s">
        <v>5355</v>
      </c>
      <c r="U1845" t="s">
        <v>6557</v>
      </c>
      <c r="V1845" t="s">
        <v>6566</v>
      </c>
      <c r="W1845" t="s">
        <v>336</v>
      </c>
      <c r="X1845">
        <v>2670</v>
      </c>
      <c r="Y1845" t="s">
        <v>6608</v>
      </c>
      <c r="Z1845" t="s">
        <v>6622</v>
      </c>
      <c r="AB1845" t="s">
        <v>8193</v>
      </c>
      <c r="AD1845" t="s">
        <v>10522</v>
      </c>
      <c r="AE1845">
        <v>108</v>
      </c>
      <c r="AF1845" t="s">
        <v>11008</v>
      </c>
      <c r="AG1845" t="s">
        <v>11020</v>
      </c>
      <c r="AH1845">
        <v>32</v>
      </c>
      <c r="AI1845">
        <v>1</v>
      </c>
      <c r="AJ1845">
        <v>0</v>
      </c>
      <c r="AK1845">
        <v>82.23999999999999</v>
      </c>
      <c r="AN1845" t="s">
        <v>11049</v>
      </c>
      <c r="AO1845">
        <v>9984</v>
      </c>
      <c r="AU1845">
        <v>0.25</v>
      </c>
      <c r="AV1845" t="s">
        <v>11453</v>
      </c>
      <c r="AW1845" t="s">
        <v>11497</v>
      </c>
    </row>
    <row r="1846" spans="1:49">
      <c r="A1846" s="1">
        <f>HYPERLINK("https://cms.ls-nyc.org/matter/dynamic-profile/view/1836744","17-1836744")</f>
        <v>0</v>
      </c>
      <c r="B1846" t="s">
        <v>100</v>
      </c>
      <c r="C1846" t="s">
        <v>234</v>
      </c>
      <c r="D1846" t="s">
        <v>597</v>
      </c>
      <c r="E1846" t="s">
        <v>703</v>
      </c>
      <c r="F1846" t="s">
        <v>1842</v>
      </c>
      <c r="G1846" t="s">
        <v>3150</v>
      </c>
      <c r="H1846" t="s">
        <v>4278</v>
      </c>
      <c r="I1846" t="s">
        <v>4817</v>
      </c>
      <c r="J1846" t="s">
        <v>5320</v>
      </c>
      <c r="K1846">
        <v>11207</v>
      </c>
      <c r="L1846" t="s">
        <v>5355</v>
      </c>
      <c r="M1846" t="s">
        <v>5356</v>
      </c>
      <c r="N1846" t="s">
        <v>6028</v>
      </c>
      <c r="O1846" t="s">
        <v>6492</v>
      </c>
      <c r="P1846" t="s">
        <v>6530</v>
      </c>
      <c r="Q1846" t="s">
        <v>6535</v>
      </c>
      <c r="R1846" t="s">
        <v>6539</v>
      </c>
      <c r="S1846" t="s">
        <v>5355</v>
      </c>
      <c r="U1846" t="s">
        <v>6557</v>
      </c>
      <c r="W1846" t="s">
        <v>359</v>
      </c>
      <c r="X1846">
        <v>418</v>
      </c>
      <c r="Y1846" t="s">
        <v>6605</v>
      </c>
      <c r="Z1846" t="s">
        <v>6613</v>
      </c>
      <c r="AA1846" t="s">
        <v>6637</v>
      </c>
      <c r="AB1846" t="s">
        <v>8194</v>
      </c>
      <c r="AC1846" t="s">
        <v>8722</v>
      </c>
      <c r="AD1846" t="s">
        <v>10523</v>
      </c>
      <c r="AE1846">
        <v>196</v>
      </c>
      <c r="AF1846" t="s">
        <v>11008</v>
      </c>
      <c r="AG1846" t="s">
        <v>11020</v>
      </c>
      <c r="AH1846">
        <v>36</v>
      </c>
      <c r="AI1846">
        <v>2</v>
      </c>
      <c r="AJ1846">
        <v>2</v>
      </c>
      <c r="AK1846">
        <v>82.29000000000001</v>
      </c>
      <c r="AM1846" t="s">
        <v>11045</v>
      </c>
      <c r="AN1846" t="s">
        <v>11050</v>
      </c>
      <c r="AO1846">
        <v>20244</v>
      </c>
      <c r="AU1846">
        <v>15.6</v>
      </c>
      <c r="AV1846" t="s">
        <v>562</v>
      </c>
      <c r="AW1846" t="s">
        <v>11512</v>
      </c>
    </row>
    <row r="1847" spans="1:49">
      <c r="A1847" s="1">
        <f>HYPERLINK("https://cms.ls-nyc.org/matter/dynamic-profile/view/1867072","18-1867072")</f>
        <v>0</v>
      </c>
      <c r="B1847" t="s">
        <v>185</v>
      </c>
      <c r="C1847" t="s">
        <v>235</v>
      </c>
      <c r="D1847" t="s">
        <v>391</v>
      </c>
      <c r="F1847" t="s">
        <v>1843</v>
      </c>
      <c r="G1847" t="s">
        <v>3151</v>
      </c>
      <c r="H1847" t="s">
        <v>4398</v>
      </c>
      <c r="I1847" t="s">
        <v>5091</v>
      </c>
      <c r="J1847" t="s">
        <v>5320</v>
      </c>
      <c r="K1847">
        <v>11230</v>
      </c>
      <c r="L1847" t="s">
        <v>5355</v>
      </c>
      <c r="M1847" t="s">
        <v>5356</v>
      </c>
      <c r="N1847" t="s">
        <v>6029</v>
      </c>
      <c r="O1847" t="s">
        <v>6491</v>
      </c>
      <c r="P1847" t="s">
        <v>6530</v>
      </c>
      <c r="R1847" t="s">
        <v>6539</v>
      </c>
      <c r="S1847" t="s">
        <v>5357</v>
      </c>
      <c r="U1847" t="s">
        <v>6557</v>
      </c>
      <c r="W1847" t="s">
        <v>516</v>
      </c>
      <c r="X1847">
        <v>852.52</v>
      </c>
      <c r="Y1847" t="s">
        <v>6605</v>
      </c>
      <c r="Z1847" t="s">
        <v>6612</v>
      </c>
      <c r="AB1847" t="s">
        <v>8153</v>
      </c>
      <c r="AD1847" t="s">
        <v>10524</v>
      </c>
      <c r="AE1847">
        <v>60</v>
      </c>
      <c r="AF1847" t="s">
        <v>11005</v>
      </c>
      <c r="AG1847" t="s">
        <v>5406</v>
      </c>
      <c r="AH1847">
        <v>29</v>
      </c>
      <c r="AI1847">
        <v>3</v>
      </c>
      <c r="AJ1847">
        <v>0</v>
      </c>
      <c r="AK1847">
        <v>82.36</v>
      </c>
      <c r="AN1847" t="s">
        <v>11050</v>
      </c>
      <c r="AO1847">
        <v>17113.94</v>
      </c>
      <c r="AU1847">
        <v>105.02</v>
      </c>
      <c r="AV1847" t="s">
        <v>11447</v>
      </c>
      <c r="AW1847" t="s">
        <v>11490</v>
      </c>
    </row>
    <row r="1848" spans="1:49">
      <c r="A1848" s="1">
        <f>HYPERLINK("https://cms.ls-nyc.org/matter/dynamic-profile/view/1835605","17-1835605")</f>
        <v>0</v>
      </c>
      <c r="B1848" t="s">
        <v>97</v>
      </c>
      <c r="C1848" t="s">
        <v>235</v>
      </c>
      <c r="D1848" t="s">
        <v>598</v>
      </c>
      <c r="F1848" t="s">
        <v>1033</v>
      </c>
      <c r="G1848" t="s">
        <v>3139</v>
      </c>
      <c r="H1848" t="s">
        <v>4399</v>
      </c>
      <c r="I1848">
        <v>33</v>
      </c>
      <c r="J1848" t="s">
        <v>5323</v>
      </c>
      <c r="K1848">
        <v>10034</v>
      </c>
      <c r="L1848" t="s">
        <v>5355</v>
      </c>
      <c r="M1848" t="s">
        <v>5356</v>
      </c>
      <c r="N1848" t="s">
        <v>6030</v>
      </c>
      <c r="O1848" t="s">
        <v>6492</v>
      </c>
      <c r="P1848" t="s">
        <v>6530</v>
      </c>
      <c r="R1848" t="s">
        <v>6539</v>
      </c>
      <c r="S1848" t="s">
        <v>5357</v>
      </c>
      <c r="U1848" t="s">
        <v>6557</v>
      </c>
      <c r="W1848" t="s">
        <v>404</v>
      </c>
      <c r="X1848">
        <v>1150</v>
      </c>
      <c r="Y1848" t="s">
        <v>6608</v>
      </c>
      <c r="Z1848" t="s">
        <v>6616</v>
      </c>
      <c r="AB1848" t="s">
        <v>8195</v>
      </c>
      <c r="AC1848" t="s">
        <v>9008</v>
      </c>
      <c r="AD1848" t="s">
        <v>10525</v>
      </c>
      <c r="AE1848">
        <v>25</v>
      </c>
      <c r="AF1848" t="s">
        <v>11005</v>
      </c>
      <c r="AG1848" t="s">
        <v>11023</v>
      </c>
      <c r="AH1848">
        <v>3</v>
      </c>
      <c r="AI1848">
        <v>1</v>
      </c>
      <c r="AJ1848">
        <v>4</v>
      </c>
      <c r="AK1848">
        <v>82.38</v>
      </c>
      <c r="AN1848" t="s">
        <v>11049</v>
      </c>
      <c r="AO1848">
        <v>23710</v>
      </c>
      <c r="AU1848">
        <v>53.1</v>
      </c>
      <c r="AV1848" t="s">
        <v>718</v>
      </c>
      <c r="AW1848" t="s">
        <v>11497</v>
      </c>
    </row>
    <row r="1849" spans="1:49">
      <c r="A1849" s="1">
        <f>HYPERLINK("https://cms.ls-nyc.org/matter/dynamic-profile/view/1867619","18-1867619")</f>
        <v>0</v>
      </c>
      <c r="B1849" t="s">
        <v>56</v>
      </c>
      <c r="C1849" t="s">
        <v>234</v>
      </c>
      <c r="D1849" t="s">
        <v>299</v>
      </c>
      <c r="E1849" t="s">
        <v>747</v>
      </c>
      <c r="F1849" t="s">
        <v>1844</v>
      </c>
      <c r="G1849" t="s">
        <v>3152</v>
      </c>
      <c r="H1849" t="s">
        <v>4400</v>
      </c>
      <c r="I1849" t="s">
        <v>4826</v>
      </c>
      <c r="J1849" t="s">
        <v>5321</v>
      </c>
      <c r="K1849">
        <v>10459</v>
      </c>
      <c r="L1849" t="s">
        <v>5355</v>
      </c>
      <c r="M1849" t="s">
        <v>5356</v>
      </c>
      <c r="N1849" t="s">
        <v>6031</v>
      </c>
      <c r="O1849" t="s">
        <v>6492</v>
      </c>
      <c r="P1849" t="s">
        <v>6530</v>
      </c>
      <c r="Q1849" t="s">
        <v>6538</v>
      </c>
      <c r="R1849" t="s">
        <v>6539</v>
      </c>
      <c r="U1849" t="s">
        <v>6557</v>
      </c>
      <c r="W1849" t="s">
        <v>309</v>
      </c>
      <c r="X1849">
        <v>1238</v>
      </c>
      <c r="Y1849" t="s">
        <v>6606</v>
      </c>
      <c r="AA1849" t="s">
        <v>6644</v>
      </c>
      <c r="AB1849" t="s">
        <v>8196</v>
      </c>
      <c r="AC1849" t="s">
        <v>9009</v>
      </c>
      <c r="AD1849" t="s">
        <v>10526</v>
      </c>
      <c r="AE1849">
        <v>0</v>
      </c>
      <c r="AF1849" t="s">
        <v>11014</v>
      </c>
      <c r="AG1849" t="s">
        <v>11027</v>
      </c>
      <c r="AH1849">
        <v>0</v>
      </c>
      <c r="AI1849">
        <v>2</v>
      </c>
      <c r="AJ1849">
        <v>3</v>
      </c>
      <c r="AK1849">
        <v>82.72</v>
      </c>
      <c r="AN1849" t="s">
        <v>11050</v>
      </c>
      <c r="AO1849">
        <v>24336</v>
      </c>
      <c r="AU1849">
        <v>87.25</v>
      </c>
      <c r="AV1849" t="s">
        <v>776</v>
      </c>
      <c r="AW1849" t="s">
        <v>11505</v>
      </c>
    </row>
    <row r="1850" spans="1:49">
      <c r="A1850" s="1">
        <f>HYPERLINK("https://cms.ls-nyc.org/matter/dynamic-profile/view/1864490","18-1864490")</f>
        <v>0</v>
      </c>
      <c r="B1850" t="s">
        <v>92</v>
      </c>
      <c r="C1850" t="s">
        <v>235</v>
      </c>
      <c r="D1850" t="s">
        <v>256</v>
      </c>
      <c r="F1850" t="s">
        <v>1845</v>
      </c>
      <c r="G1850" t="s">
        <v>2188</v>
      </c>
      <c r="H1850" t="s">
        <v>3579</v>
      </c>
      <c r="I1850">
        <v>701</v>
      </c>
      <c r="J1850" t="s">
        <v>5323</v>
      </c>
      <c r="K1850">
        <v>10029</v>
      </c>
      <c r="L1850" t="s">
        <v>5355</v>
      </c>
      <c r="M1850" t="s">
        <v>5355</v>
      </c>
      <c r="N1850" t="s">
        <v>5632</v>
      </c>
      <c r="O1850" t="s">
        <v>6494</v>
      </c>
      <c r="P1850" t="s">
        <v>6530</v>
      </c>
      <c r="R1850" t="s">
        <v>6539</v>
      </c>
      <c r="S1850" t="s">
        <v>5355</v>
      </c>
      <c r="U1850" t="s">
        <v>6557</v>
      </c>
      <c r="V1850" t="s">
        <v>6566</v>
      </c>
      <c r="W1850" t="s">
        <v>256</v>
      </c>
      <c r="X1850">
        <v>0</v>
      </c>
      <c r="Y1850" t="s">
        <v>6608</v>
      </c>
      <c r="Z1850" t="s">
        <v>6622</v>
      </c>
      <c r="AB1850" t="s">
        <v>8197</v>
      </c>
      <c r="AD1850" t="s">
        <v>10527</v>
      </c>
      <c r="AE1850">
        <v>108</v>
      </c>
      <c r="AF1850" t="s">
        <v>11008</v>
      </c>
      <c r="AG1850" t="s">
        <v>11020</v>
      </c>
      <c r="AH1850">
        <v>31</v>
      </c>
      <c r="AI1850">
        <v>1</v>
      </c>
      <c r="AJ1850">
        <v>0</v>
      </c>
      <c r="AK1850">
        <v>82.73</v>
      </c>
      <c r="AN1850" t="s">
        <v>11049</v>
      </c>
      <c r="AO1850">
        <v>10044</v>
      </c>
      <c r="AU1850">
        <v>0.55</v>
      </c>
      <c r="AV1850" t="s">
        <v>11453</v>
      </c>
      <c r="AW1850" t="s">
        <v>11497</v>
      </c>
    </row>
    <row r="1851" spans="1:49">
      <c r="A1851" s="1">
        <f>HYPERLINK("https://cms.ls-nyc.org/matter/dynamic-profile/view/1863942","18-1863942")</f>
        <v>0</v>
      </c>
      <c r="B1851" t="s">
        <v>92</v>
      </c>
      <c r="C1851" t="s">
        <v>235</v>
      </c>
      <c r="D1851" t="s">
        <v>425</v>
      </c>
      <c r="F1851" t="s">
        <v>1846</v>
      </c>
      <c r="G1851" t="s">
        <v>2215</v>
      </c>
      <c r="H1851" t="s">
        <v>3579</v>
      </c>
      <c r="I1851">
        <v>309</v>
      </c>
      <c r="J1851" t="s">
        <v>5323</v>
      </c>
      <c r="K1851">
        <v>10029</v>
      </c>
      <c r="L1851" t="s">
        <v>5355</v>
      </c>
      <c r="M1851" t="s">
        <v>5355</v>
      </c>
      <c r="N1851" t="s">
        <v>5936</v>
      </c>
      <c r="O1851" t="s">
        <v>6494</v>
      </c>
      <c r="P1851" t="s">
        <v>6530</v>
      </c>
      <c r="R1851" t="s">
        <v>6539</v>
      </c>
      <c r="S1851" t="s">
        <v>5355</v>
      </c>
      <c r="U1851" t="s">
        <v>6557</v>
      </c>
      <c r="V1851" t="s">
        <v>6566</v>
      </c>
      <c r="W1851" t="s">
        <v>425</v>
      </c>
      <c r="X1851">
        <v>0</v>
      </c>
      <c r="Y1851" t="s">
        <v>6608</v>
      </c>
      <c r="Z1851" t="s">
        <v>6622</v>
      </c>
      <c r="AB1851" t="s">
        <v>8198</v>
      </c>
      <c r="AD1851" t="s">
        <v>10528</v>
      </c>
      <c r="AE1851">
        <v>108</v>
      </c>
      <c r="AF1851" t="s">
        <v>11008</v>
      </c>
      <c r="AG1851" t="s">
        <v>11020</v>
      </c>
      <c r="AH1851">
        <v>29</v>
      </c>
      <c r="AI1851">
        <v>2</v>
      </c>
      <c r="AJ1851">
        <v>0</v>
      </c>
      <c r="AK1851">
        <v>82.81999999999999</v>
      </c>
      <c r="AN1851" t="s">
        <v>11050</v>
      </c>
      <c r="AO1851">
        <v>13632</v>
      </c>
      <c r="AU1851">
        <v>0</v>
      </c>
      <c r="AW1851" t="s">
        <v>11497</v>
      </c>
    </row>
    <row r="1852" spans="1:49">
      <c r="A1852" s="1">
        <f>HYPERLINK("https://cms.ls-nyc.org/matter/dynamic-profile/view/0799941","16-0799941")</f>
        <v>0</v>
      </c>
      <c r="B1852" t="s">
        <v>177</v>
      </c>
      <c r="C1852" t="s">
        <v>235</v>
      </c>
      <c r="D1852" t="s">
        <v>599</v>
      </c>
      <c r="F1852" t="s">
        <v>1386</v>
      </c>
      <c r="G1852" t="s">
        <v>2779</v>
      </c>
      <c r="H1852" t="s">
        <v>4076</v>
      </c>
      <c r="I1852" t="s">
        <v>4743</v>
      </c>
      <c r="J1852" t="s">
        <v>5320</v>
      </c>
      <c r="K1852">
        <v>11215</v>
      </c>
      <c r="L1852" t="s">
        <v>5355</v>
      </c>
      <c r="M1852" t="s">
        <v>5356</v>
      </c>
      <c r="P1852" t="s">
        <v>6530</v>
      </c>
      <c r="R1852" t="s">
        <v>6539</v>
      </c>
      <c r="T1852" t="s">
        <v>6544</v>
      </c>
      <c r="U1852" t="s">
        <v>6557</v>
      </c>
      <c r="W1852" t="s">
        <v>6583</v>
      </c>
      <c r="X1852">
        <v>0</v>
      </c>
      <c r="Y1852" t="s">
        <v>6605</v>
      </c>
      <c r="AB1852" t="s">
        <v>7587</v>
      </c>
      <c r="AD1852" t="s">
        <v>9949</v>
      </c>
      <c r="AE1852">
        <v>8</v>
      </c>
      <c r="AF1852" t="s">
        <v>11005</v>
      </c>
      <c r="AH1852">
        <v>16</v>
      </c>
      <c r="AI1852">
        <v>1</v>
      </c>
      <c r="AJ1852">
        <v>0</v>
      </c>
      <c r="AK1852">
        <v>82.83</v>
      </c>
      <c r="AN1852" t="s">
        <v>11049</v>
      </c>
      <c r="AO1852">
        <v>9840</v>
      </c>
      <c r="AU1852">
        <v>20.25</v>
      </c>
      <c r="AV1852" t="s">
        <v>408</v>
      </c>
      <c r="AW1852" t="s">
        <v>177</v>
      </c>
    </row>
    <row r="1853" spans="1:49">
      <c r="A1853" s="1">
        <f>HYPERLINK("https://cms.ls-nyc.org/matter/dynamic-profile/view/1851038","17-1851038")</f>
        <v>0</v>
      </c>
      <c r="B1853" t="s">
        <v>97</v>
      </c>
      <c r="C1853" t="s">
        <v>235</v>
      </c>
      <c r="D1853" t="s">
        <v>367</v>
      </c>
      <c r="F1853" t="s">
        <v>1847</v>
      </c>
      <c r="G1853" t="s">
        <v>3153</v>
      </c>
      <c r="H1853" t="s">
        <v>3807</v>
      </c>
      <c r="I1853">
        <v>35</v>
      </c>
      <c r="J1853" t="s">
        <v>5323</v>
      </c>
      <c r="K1853">
        <v>10034</v>
      </c>
      <c r="L1853" t="s">
        <v>5355</v>
      </c>
      <c r="M1853" t="s">
        <v>5355</v>
      </c>
      <c r="N1853" t="s">
        <v>6032</v>
      </c>
      <c r="O1853" t="s">
        <v>6492</v>
      </c>
      <c r="P1853" t="s">
        <v>6530</v>
      </c>
      <c r="R1853" t="s">
        <v>6539</v>
      </c>
      <c r="S1853" t="s">
        <v>5357</v>
      </c>
      <c r="U1853" t="s">
        <v>6557</v>
      </c>
      <c r="V1853" t="s">
        <v>6568</v>
      </c>
      <c r="W1853" t="s">
        <v>367</v>
      </c>
      <c r="X1853">
        <v>891.88</v>
      </c>
      <c r="Y1853" t="s">
        <v>6608</v>
      </c>
      <c r="Z1853" t="s">
        <v>6616</v>
      </c>
      <c r="AB1853" t="s">
        <v>8199</v>
      </c>
      <c r="AD1853" t="s">
        <v>10529</v>
      </c>
      <c r="AE1853">
        <v>25</v>
      </c>
      <c r="AF1853" t="s">
        <v>11005</v>
      </c>
      <c r="AG1853" t="s">
        <v>11020</v>
      </c>
      <c r="AH1853">
        <v>40</v>
      </c>
      <c r="AI1853">
        <v>1</v>
      </c>
      <c r="AJ1853">
        <v>0</v>
      </c>
      <c r="AK1853">
        <v>82.86</v>
      </c>
      <c r="AN1853" t="s">
        <v>11067</v>
      </c>
      <c r="AO1853">
        <v>9992.4</v>
      </c>
      <c r="AR1853" t="s">
        <v>11236</v>
      </c>
      <c r="AS1853" t="s">
        <v>11253</v>
      </c>
      <c r="AT1853" t="s">
        <v>11373</v>
      </c>
      <c r="AU1853">
        <v>52</v>
      </c>
      <c r="AV1853" t="s">
        <v>712</v>
      </c>
      <c r="AW1853" t="s">
        <v>11495</v>
      </c>
    </row>
    <row r="1854" spans="1:49">
      <c r="A1854" s="1">
        <f>HYPERLINK("https://cms.ls-nyc.org/matter/dynamic-profile/view/1870397","18-1870397")</f>
        <v>0</v>
      </c>
      <c r="B1854" t="s">
        <v>216</v>
      </c>
      <c r="C1854" t="s">
        <v>234</v>
      </c>
      <c r="D1854" t="s">
        <v>322</v>
      </c>
      <c r="E1854" t="s">
        <v>816</v>
      </c>
      <c r="F1854" t="s">
        <v>1848</v>
      </c>
      <c r="G1854" t="s">
        <v>3074</v>
      </c>
      <c r="H1854" t="s">
        <v>4401</v>
      </c>
      <c r="I1854" t="s">
        <v>5213</v>
      </c>
      <c r="J1854" t="s">
        <v>5320</v>
      </c>
      <c r="K1854">
        <v>11226</v>
      </c>
      <c r="L1854" t="s">
        <v>5355</v>
      </c>
      <c r="M1854" t="s">
        <v>5357</v>
      </c>
      <c r="N1854" t="s">
        <v>6033</v>
      </c>
      <c r="O1854" t="s">
        <v>6492</v>
      </c>
      <c r="P1854" t="s">
        <v>6530</v>
      </c>
      <c r="Q1854" t="s">
        <v>6533</v>
      </c>
      <c r="R1854" t="s">
        <v>6539</v>
      </c>
      <c r="S1854" t="s">
        <v>5357</v>
      </c>
      <c r="U1854" t="s">
        <v>6557</v>
      </c>
      <c r="V1854" t="s">
        <v>6566</v>
      </c>
      <c r="W1854" t="s">
        <v>516</v>
      </c>
      <c r="X1854">
        <v>1281.22</v>
      </c>
      <c r="Y1854" t="s">
        <v>6605</v>
      </c>
      <c r="Z1854" t="s">
        <v>6612</v>
      </c>
      <c r="AA1854" t="s">
        <v>6637</v>
      </c>
      <c r="AB1854" t="s">
        <v>8200</v>
      </c>
      <c r="AC1854">
        <v>9045156</v>
      </c>
      <c r="AD1854" t="s">
        <v>10530</v>
      </c>
      <c r="AE1854">
        <v>0</v>
      </c>
      <c r="AF1854" t="s">
        <v>11005</v>
      </c>
      <c r="AG1854" t="s">
        <v>11023</v>
      </c>
      <c r="AH1854">
        <v>18</v>
      </c>
      <c r="AI1854">
        <v>2</v>
      </c>
      <c r="AJ1854">
        <v>2</v>
      </c>
      <c r="AK1854">
        <v>82.87</v>
      </c>
      <c r="AN1854" t="s">
        <v>11050</v>
      </c>
      <c r="AO1854">
        <v>20800</v>
      </c>
      <c r="AQ1854" t="s">
        <v>11190</v>
      </c>
      <c r="AR1854" t="s">
        <v>11213</v>
      </c>
      <c r="AS1854" t="s">
        <v>11253</v>
      </c>
      <c r="AT1854" t="s">
        <v>11281</v>
      </c>
      <c r="AU1854">
        <v>9.800000000000001</v>
      </c>
      <c r="AV1854" t="s">
        <v>816</v>
      </c>
      <c r="AW1854" t="s">
        <v>11490</v>
      </c>
    </row>
    <row r="1855" spans="1:49">
      <c r="A1855" s="1">
        <f>HYPERLINK("https://cms.ls-nyc.org/matter/dynamic-profile/view/1866155","18-1866155")</f>
        <v>0</v>
      </c>
      <c r="B1855" t="s">
        <v>53</v>
      </c>
      <c r="C1855" t="s">
        <v>234</v>
      </c>
      <c r="D1855" t="s">
        <v>298</v>
      </c>
      <c r="E1855" t="s">
        <v>817</v>
      </c>
      <c r="F1855" t="s">
        <v>1849</v>
      </c>
      <c r="G1855" t="s">
        <v>2219</v>
      </c>
      <c r="H1855" t="s">
        <v>4402</v>
      </c>
      <c r="I1855" t="s">
        <v>5214</v>
      </c>
      <c r="J1855" t="s">
        <v>5320</v>
      </c>
      <c r="K1855">
        <v>11212</v>
      </c>
      <c r="L1855" t="s">
        <v>5355</v>
      </c>
      <c r="M1855" t="s">
        <v>5355</v>
      </c>
      <c r="N1855" t="s">
        <v>6034</v>
      </c>
      <c r="O1855" t="s">
        <v>6492</v>
      </c>
      <c r="P1855" t="s">
        <v>6530</v>
      </c>
      <c r="Q1855" t="s">
        <v>6534</v>
      </c>
      <c r="R1855" t="s">
        <v>6539</v>
      </c>
      <c r="S1855" t="s">
        <v>5357</v>
      </c>
      <c r="U1855" t="s">
        <v>6557</v>
      </c>
      <c r="W1855" t="s">
        <v>287</v>
      </c>
      <c r="X1855">
        <v>300</v>
      </c>
      <c r="Y1855" t="s">
        <v>6605</v>
      </c>
      <c r="Z1855" t="s">
        <v>6618</v>
      </c>
      <c r="AA1855" t="s">
        <v>6637</v>
      </c>
      <c r="AB1855" t="s">
        <v>8201</v>
      </c>
      <c r="AE1855">
        <v>132</v>
      </c>
      <c r="AF1855" t="s">
        <v>11007</v>
      </c>
      <c r="AG1855" t="s">
        <v>11020</v>
      </c>
      <c r="AH1855">
        <v>21</v>
      </c>
      <c r="AI1855">
        <v>1</v>
      </c>
      <c r="AJ1855">
        <v>0</v>
      </c>
      <c r="AK1855">
        <v>83.03</v>
      </c>
      <c r="AN1855" t="s">
        <v>11050</v>
      </c>
      <c r="AO1855">
        <v>10080</v>
      </c>
      <c r="AQ1855" t="s">
        <v>11199</v>
      </c>
      <c r="AR1855" t="s">
        <v>11210</v>
      </c>
      <c r="AS1855" t="s">
        <v>11253</v>
      </c>
      <c r="AT1855" t="s">
        <v>11374</v>
      </c>
      <c r="AU1855">
        <v>30.15</v>
      </c>
      <c r="AV1855" t="s">
        <v>440</v>
      </c>
      <c r="AW1855" t="s">
        <v>11512</v>
      </c>
    </row>
    <row r="1856" spans="1:49">
      <c r="A1856" s="1">
        <f>HYPERLINK("https://cms.ls-nyc.org/matter/dynamic-profile/view/1870539","18-1870539")</f>
        <v>0</v>
      </c>
      <c r="B1856" t="s">
        <v>104</v>
      </c>
      <c r="C1856" t="s">
        <v>235</v>
      </c>
      <c r="D1856" t="s">
        <v>255</v>
      </c>
      <c r="F1856" t="s">
        <v>1393</v>
      </c>
      <c r="G1856" t="s">
        <v>3154</v>
      </c>
      <c r="H1856" t="s">
        <v>4095</v>
      </c>
      <c r="I1856" t="s">
        <v>4743</v>
      </c>
      <c r="J1856" t="s">
        <v>5321</v>
      </c>
      <c r="K1856">
        <v>10456</v>
      </c>
      <c r="L1856" t="s">
        <v>5355</v>
      </c>
      <c r="M1856" t="s">
        <v>5356</v>
      </c>
      <c r="N1856" t="s">
        <v>6035</v>
      </c>
      <c r="O1856" t="s">
        <v>6494</v>
      </c>
      <c r="P1856" t="s">
        <v>6530</v>
      </c>
      <c r="R1856" t="s">
        <v>6539</v>
      </c>
      <c r="S1856" t="s">
        <v>5355</v>
      </c>
      <c r="U1856" t="s">
        <v>6557</v>
      </c>
      <c r="W1856" t="s">
        <v>516</v>
      </c>
      <c r="X1856">
        <v>589</v>
      </c>
      <c r="Y1856" t="s">
        <v>6606</v>
      </c>
      <c r="Z1856" t="s">
        <v>6612</v>
      </c>
      <c r="AB1856" t="s">
        <v>8202</v>
      </c>
      <c r="AC1856" t="s">
        <v>9010</v>
      </c>
      <c r="AE1856">
        <v>131</v>
      </c>
      <c r="AF1856" t="s">
        <v>11006</v>
      </c>
      <c r="AG1856" t="s">
        <v>11020</v>
      </c>
      <c r="AH1856">
        <v>23</v>
      </c>
      <c r="AI1856">
        <v>1</v>
      </c>
      <c r="AJ1856">
        <v>0</v>
      </c>
      <c r="AK1856">
        <v>83.03</v>
      </c>
      <c r="AN1856" t="s">
        <v>11050</v>
      </c>
      <c r="AO1856">
        <v>10080</v>
      </c>
      <c r="AU1856">
        <v>0</v>
      </c>
      <c r="AW1856" t="s">
        <v>11505</v>
      </c>
    </row>
    <row r="1857" spans="1:49">
      <c r="A1857" s="1">
        <f>HYPERLINK("https://cms.ls-nyc.org/matter/dynamic-profile/view/1869807","18-1869807")</f>
        <v>0</v>
      </c>
      <c r="B1857" t="s">
        <v>129</v>
      </c>
      <c r="C1857" t="s">
        <v>234</v>
      </c>
      <c r="D1857" t="s">
        <v>275</v>
      </c>
      <c r="E1857" t="s">
        <v>757</v>
      </c>
      <c r="F1857" t="s">
        <v>1506</v>
      </c>
      <c r="G1857" t="s">
        <v>2789</v>
      </c>
      <c r="H1857" t="s">
        <v>4080</v>
      </c>
      <c r="I1857">
        <v>45</v>
      </c>
      <c r="J1857" t="s">
        <v>5321</v>
      </c>
      <c r="K1857">
        <v>10453</v>
      </c>
      <c r="L1857" t="s">
        <v>5355</v>
      </c>
      <c r="M1857" t="s">
        <v>5356</v>
      </c>
      <c r="N1857" t="s">
        <v>6012</v>
      </c>
      <c r="O1857" t="s">
        <v>6494</v>
      </c>
      <c r="P1857" t="s">
        <v>6530</v>
      </c>
      <c r="Q1857" t="s">
        <v>6538</v>
      </c>
      <c r="R1857" t="s">
        <v>6539</v>
      </c>
      <c r="S1857" t="s">
        <v>5355</v>
      </c>
      <c r="U1857" t="s">
        <v>6557</v>
      </c>
      <c r="W1857" t="s">
        <v>516</v>
      </c>
      <c r="X1857">
        <v>841</v>
      </c>
      <c r="Y1857" t="s">
        <v>6606</v>
      </c>
      <c r="Z1857" t="s">
        <v>6614</v>
      </c>
      <c r="AA1857" t="s">
        <v>6634</v>
      </c>
      <c r="AB1857" t="s">
        <v>7600</v>
      </c>
      <c r="AD1857" t="s">
        <v>9962</v>
      </c>
      <c r="AE1857">
        <v>0</v>
      </c>
      <c r="AF1857" t="s">
        <v>11005</v>
      </c>
      <c r="AG1857" t="s">
        <v>11024</v>
      </c>
      <c r="AH1857">
        <v>37</v>
      </c>
      <c r="AI1857">
        <v>1</v>
      </c>
      <c r="AJ1857">
        <v>0</v>
      </c>
      <c r="AK1857">
        <v>83.03</v>
      </c>
      <c r="AN1857" t="s">
        <v>11050</v>
      </c>
      <c r="AO1857">
        <v>10080</v>
      </c>
      <c r="AU1857">
        <v>0.7</v>
      </c>
      <c r="AV1857" t="s">
        <v>337</v>
      </c>
      <c r="AW1857" t="s">
        <v>11499</v>
      </c>
    </row>
    <row r="1858" spans="1:49">
      <c r="A1858" s="1">
        <f>HYPERLINK("https://cms.ls-nyc.org/matter/dynamic-profile/view/1860668","18-1860668")</f>
        <v>0</v>
      </c>
      <c r="B1858" t="s">
        <v>90</v>
      </c>
      <c r="C1858" t="s">
        <v>235</v>
      </c>
      <c r="D1858" t="s">
        <v>409</v>
      </c>
      <c r="F1858" t="s">
        <v>1387</v>
      </c>
      <c r="G1858" t="s">
        <v>2650</v>
      </c>
      <c r="H1858" t="s">
        <v>3949</v>
      </c>
      <c r="I1858" t="s">
        <v>4854</v>
      </c>
      <c r="J1858" t="s">
        <v>5321</v>
      </c>
      <c r="K1858">
        <v>10452</v>
      </c>
      <c r="L1858" t="s">
        <v>5355</v>
      </c>
      <c r="M1858" t="s">
        <v>5355</v>
      </c>
      <c r="N1858" t="s">
        <v>5792</v>
      </c>
      <c r="O1858" t="s">
        <v>6494</v>
      </c>
      <c r="P1858" t="s">
        <v>6530</v>
      </c>
      <c r="R1858" t="s">
        <v>6539</v>
      </c>
      <c r="S1858" t="s">
        <v>5355</v>
      </c>
      <c r="U1858" t="s">
        <v>6557</v>
      </c>
      <c r="W1858" t="s">
        <v>480</v>
      </c>
      <c r="X1858">
        <v>687.1</v>
      </c>
      <c r="Y1858" t="s">
        <v>6606</v>
      </c>
      <c r="Z1858" t="s">
        <v>6612</v>
      </c>
      <c r="AB1858" t="s">
        <v>7390</v>
      </c>
      <c r="AD1858" t="s">
        <v>9761</v>
      </c>
      <c r="AE1858">
        <v>60</v>
      </c>
      <c r="AF1858" t="s">
        <v>11005</v>
      </c>
      <c r="AG1858" t="s">
        <v>11024</v>
      </c>
      <c r="AH1858">
        <v>46</v>
      </c>
      <c r="AI1858">
        <v>1</v>
      </c>
      <c r="AJ1858">
        <v>0</v>
      </c>
      <c r="AK1858">
        <v>83.03</v>
      </c>
      <c r="AN1858" t="s">
        <v>11049</v>
      </c>
      <c r="AO1858">
        <v>10080</v>
      </c>
      <c r="AU1858">
        <v>0</v>
      </c>
      <c r="AW1858" t="s">
        <v>11492</v>
      </c>
    </row>
    <row r="1859" spans="1:49">
      <c r="A1859" s="1">
        <f>HYPERLINK("https://cms.ls-nyc.org/matter/dynamic-profile/view/1871111","18-1871111")</f>
        <v>0</v>
      </c>
      <c r="B1859" t="s">
        <v>74</v>
      </c>
      <c r="C1859" t="s">
        <v>234</v>
      </c>
      <c r="D1859" t="s">
        <v>600</v>
      </c>
      <c r="E1859" t="s">
        <v>791</v>
      </c>
      <c r="F1859" t="s">
        <v>1850</v>
      </c>
      <c r="G1859" t="s">
        <v>3155</v>
      </c>
      <c r="H1859" t="s">
        <v>4180</v>
      </c>
      <c r="I1859" t="s">
        <v>5082</v>
      </c>
      <c r="J1859" t="s">
        <v>5322</v>
      </c>
      <c r="K1859">
        <v>10304</v>
      </c>
      <c r="L1859" t="s">
        <v>5355</v>
      </c>
      <c r="M1859" t="s">
        <v>5355</v>
      </c>
      <c r="N1859" t="s">
        <v>6036</v>
      </c>
      <c r="O1859" t="s">
        <v>6492</v>
      </c>
      <c r="P1859" t="s">
        <v>6530</v>
      </c>
      <c r="Q1859" t="s">
        <v>6534</v>
      </c>
      <c r="R1859" t="s">
        <v>6539</v>
      </c>
      <c r="S1859" t="s">
        <v>5357</v>
      </c>
      <c r="U1859" t="s">
        <v>6560</v>
      </c>
      <c r="W1859" t="s">
        <v>287</v>
      </c>
      <c r="X1859">
        <v>170</v>
      </c>
      <c r="Y1859" t="s">
        <v>6607</v>
      </c>
      <c r="Z1859" t="s">
        <v>6613</v>
      </c>
      <c r="AA1859" t="s">
        <v>6651</v>
      </c>
      <c r="AB1859" t="s">
        <v>8203</v>
      </c>
      <c r="AC1859" t="s">
        <v>9011</v>
      </c>
      <c r="AD1859" t="s">
        <v>10531</v>
      </c>
      <c r="AE1859">
        <v>150</v>
      </c>
      <c r="AF1859" t="s">
        <v>11008</v>
      </c>
      <c r="AG1859" t="s">
        <v>11020</v>
      </c>
      <c r="AH1859">
        <v>18</v>
      </c>
      <c r="AI1859">
        <v>1</v>
      </c>
      <c r="AJ1859">
        <v>0</v>
      </c>
      <c r="AK1859">
        <v>83.03</v>
      </c>
      <c r="AN1859" t="s">
        <v>11050</v>
      </c>
      <c r="AO1859">
        <v>10080</v>
      </c>
      <c r="AR1859" t="s">
        <v>11211</v>
      </c>
      <c r="AS1859" t="s">
        <v>11253</v>
      </c>
      <c r="AT1859" t="s">
        <v>11303</v>
      </c>
      <c r="AU1859">
        <v>5.5</v>
      </c>
      <c r="AV1859" t="s">
        <v>791</v>
      </c>
      <c r="AW1859" t="s">
        <v>11501</v>
      </c>
    </row>
    <row r="1860" spans="1:49">
      <c r="A1860" s="1">
        <f>HYPERLINK("https://cms.ls-nyc.org/matter/dynamic-profile/view/1850151","17-1850151")</f>
        <v>0</v>
      </c>
      <c r="B1860" t="s">
        <v>148</v>
      </c>
      <c r="C1860" t="s">
        <v>234</v>
      </c>
      <c r="D1860" t="s">
        <v>601</v>
      </c>
      <c r="E1860" t="s">
        <v>695</v>
      </c>
      <c r="F1860" t="s">
        <v>1270</v>
      </c>
      <c r="G1860" t="s">
        <v>2787</v>
      </c>
      <c r="H1860" t="s">
        <v>4079</v>
      </c>
      <c r="I1860" t="s">
        <v>4775</v>
      </c>
      <c r="J1860" t="s">
        <v>5322</v>
      </c>
      <c r="K1860">
        <v>10304</v>
      </c>
      <c r="L1860" t="s">
        <v>5355</v>
      </c>
      <c r="M1860" t="s">
        <v>5356</v>
      </c>
      <c r="N1860" t="s">
        <v>6037</v>
      </c>
      <c r="O1860" t="s">
        <v>6492</v>
      </c>
      <c r="P1860" t="s">
        <v>6530</v>
      </c>
      <c r="Q1860" t="s">
        <v>6534</v>
      </c>
      <c r="R1860" t="s">
        <v>6539</v>
      </c>
      <c r="S1860" t="s">
        <v>5357</v>
      </c>
      <c r="U1860" t="s">
        <v>6557</v>
      </c>
      <c r="W1860" t="s">
        <v>316</v>
      </c>
      <c r="X1860">
        <v>800</v>
      </c>
      <c r="Y1860" t="s">
        <v>6607</v>
      </c>
      <c r="Z1860" t="s">
        <v>6621</v>
      </c>
      <c r="AA1860" t="s">
        <v>6637</v>
      </c>
      <c r="AB1860" t="s">
        <v>7597</v>
      </c>
      <c r="AC1860" t="s">
        <v>8834</v>
      </c>
      <c r="AD1860" t="s">
        <v>9959</v>
      </c>
      <c r="AE1860">
        <v>108</v>
      </c>
      <c r="AF1860" t="s">
        <v>11005</v>
      </c>
      <c r="AG1860" t="s">
        <v>11020</v>
      </c>
      <c r="AH1860">
        <v>16</v>
      </c>
      <c r="AI1860">
        <v>1</v>
      </c>
      <c r="AJ1860">
        <v>0</v>
      </c>
      <c r="AK1860">
        <v>83.08</v>
      </c>
      <c r="AN1860" t="s">
        <v>11050</v>
      </c>
      <c r="AO1860">
        <v>10020</v>
      </c>
      <c r="AU1860">
        <v>16.28</v>
      </c>
      <c r="AV1860" t="s">
        <v>695</v>
      </c>
      <c r="AW1860" t="s">
        <v>11510</v>
      </c>
    </row>
    <row r="1861" spans="1:49">
      <c r="A1861" s="1">
        <f>HYPERLINK("https://cms.ls-nyc.org/matter/dynamic-profile/view/1866503","18-1866503")</f>
        <v>0</v>
      </c>
      <c r="B1861" t="s">
        <v>129</v>
      </c>
      <c r="C1861" t="s">
        <v>234</v>
      </c>
      <c r="D1861" t="s">
        <v>268</v>
      </c>
      <c r="E1861" t="s">
        <v>686</v>
      </c>
      <c r="F1861" t="s">
        <v>1505</v>
      </c>
      <c r="G1861" t="s">
        <v>2788</v>
      </c>
      <c r="H1861" t="s">
        <v>3706</v>
      </c>
      <c r="I1861">
        <v>16</v>
      </c>
      <c r="J1861" t="s">
        <v>5321</v>
      </c>
      <c r="K1861">
        <v>10453</v>
      </c>
      <c r="L1861" t="s">
        <v>5355</v>
      </c>
      <c r="M1861" t="s">
        <v>5356</v>
      </c>
      <c r="N1861" t="s">
        <v>5671</v>
      </c>
      <c r="O1861" t="s">
        <v>6494</v>
      </c>
      <c r="P1861" t="s">
        <v>6530</v>
      </c>
      <c r="Q1861" t="s">
        <v>6534</v>
      </c>
      <c r="R1861" t="s">
        <v>6539</v>
      </c>
      <c r="S1861" t="s">
        <v>5357</v>
      </c>
      <c r="U1861" t="s">
        <v>6557</v>
      </c>
      <c r="W1861" t="s">
        <v>268</v>
      </c>
      <c r="X1861">
        <v>856</v>
      </c>
      <c r="Y1861" t="s">
        <v>6606</v>
      </c>
      <c r="Z1861" t="s">
        <v>6622</v>
      </c>
      <c r="AA1861" t="s">
        <v>6634</v>
      </c>
      <c r="AB1861" t="s">
        <v>7598</v>
      </c>
      <c r="AD1861" t="s">
        <v>9960</v>
      </c>
      <c r="AE1861">
        <v>43</v>
      </c>
      <c r="AF1861" t="s">
        <v>11005</v>
      </c>
      <c r="AG1861" t="s">
        <v>11021</v>
      </c>
      <c r="AH1861">
        <v>38</v>
      </c>
      <c r="AI1861">
        <v>1</v>
      </c>
      <c r="AJ1861">
        <v>0</v>
      </c>
      <c r="AK1861">
        <v>83.23</v>
      </c>
      <c r="AO1861">
        <v>10104</v>
      </c>
      <c r="AQ1861" t="s">
        <v>11191</v>
      </c>
      <c r="AR1861" t="s">
        <v>11237</v>
      </c>
      <c r="AS1861" t="s">
        <v>11253</v>
      </c>
      <c r="AT1861" t="s">
        <v>11375</v>
      </c>
      <c r="AU1861">
        <v>0.5</v>
      </c>
      <c r="AV1861" t="s">
        <v>268</v>
      </c>
      <c r="AW1861" t="s">
        <v>11499</v>
      </c>
    </row>
    <row r="1862" spans="1:49">
      <c r="A1862" s="1">
        <f>HYPERLINK("https://cms.ls-nyc.org/matter/dynamic-profile/view/1863014","18-1863014")</f>
        <v>0</v>
      </c>
      <c r="B1862" t="s">
        <v>111</v>
      </c>
      <c r="C1862" t="s">
        <v>235</v>
      </c>
      <c r="D1862" t="s">
        <v>369</v>
      </c>
      <c r="F1862" t="s">
        <v>1058</v>
      </c>
      <c r="G1862" t="s">
        <v>3156</v>
      </c>
      <c r="H1862" t="s">
        <v>4331</v>
      </c>
      <c r="I1862" t="s">
        <v>4925</v>
      </c>
      <c r="J1862" t="s">
        <v>5323</v>
      </c>
      <c r="K1862">
        <v>10034</v>
      </c>
      <c r="L1862" t="s">
        <v>5355</v>
      </c>
      <c r="M1862" t="s">
        <v>5356</v>
      </c>
      <c r="N1862" t="s">
        <v>6038</v>
      </c>
      <c r="O1862" t="s">
        <v>6494</v>
      </c>
      <c r="P1862" t="s">
        <v>6530</v>
      </c>
      <c r="R1862" t="s">
        <v>6539</v>
      </c>
      <c r="S1862" t="s">
        <v>5355</v>
      </c>
      <c r="U1862" t="s">
        <v>6557</v>
      </c>
      <c r="W1862" t="s">
        <v>369</v>
      </c>
      <c r="X1862">
        <v>170</v>
      </c>
      <c r="Y1862" t="s">
        <v>6608</v>
      </c>
      <c r="Z1862" t="s">
        <v>6616</v>
      </c>
      <c r="AB1862" t="s">
        <v>8204</v>
      </c>
      <c r="AD1862" t="s">
        <v>10532</v>
      </c>
      <c r="AE1862">
        <v>60</v>
      </c>
      <c r="AF1862" t="s">
        <v>11005</v>
      </c>
      <c r="AG1862" t="s">
        <v>11020</v>
      </c>
      <c r="AH1862">
        <v>17</v>
      </c>
      <c r="AI1862">
        <v>1</v>
      </c>
      <c r="AJ1862">
        <v>0</v>
      </c>
      <c r="AK1862">
        <v>83.23</v>
      </c>
      <c r="AN1862" t="s">
        <v>11049</v>
      </c>
      <c r="AO1862">
        <v>10104</v>
      </c>
      <c r="AU1862">
        <v>0</v>
      </c>
      <c r="AW1862" t="s">
        <v>11495</v>
      </c>
    </row>
    <row r="1863" spans="1:49">
      <c r="A1863" s="1">
        <f>HYPERLINK("https://cms.ls-nyc.org/matter/dynamic-profile/view/1851997","17-1851997")</f>
        <v>0</v>
      </c>
      <c r="B1863" t="s">
        <v>92</v>
      </c>
      <c r="C1863" t="s">
        <v>234</v>
      </c>
      <c r="D1863" t="s">
        <v>344</v>
      </c>
      <c r="E1863" t="s">
        <v>704</v>
      </c>
      <c r="F1863" t="s">
        <v>1166</v>
      </c>
      <c r="G1863" t="s">
        <v>2845</v>
      </c>
      <c r="H1863" t="s">
        <v>4403</v>
      </c>
      <c r="I1863" t="s">
        <v>4759</v>
      </c>
      <c r="J1863" t="s">
        <v>5323</v>
      </c>
      <c r="K1863">
        <v>10034</v>
      </c>
      <c r="L1863" t="s">
        <v>5355</v>
      </c>
      <c r="M1863" t="s">
        <v>5355</v>
      </c>
      <c r="N1863" t="s">
        <v>6039</v>
      </c>
      <c r="O1863" t="s">
        <v>6491</v>
      </c>
      <c r="P1863" t="s">
        <v>6530</v>
      </c>
      <c r="Q1863" t="s">
        <v>6534</v>
      </c>
      <c r="R1863" t="s">
        <v>6539</v>
      </c>
      <c r="S1863" t="s">
        <v>5357</v>
      </c>
      <c r="U1863" t="s">
        <v>6557</v>
      </c>
      <c r="V1863" t="s">
        <v>6566</v>
      </c>
      <c r="W1863" t="s">
        <v>344</v>
      </c>
      <c r="X1863">
        <v>215.56</v>
      </c>
      <c r="Y1863" t="s">
        <v>6608</v>
      </c>
      <c r="Z1863" t="s">
        <v>6614</v>
      </c>
      <c r="AA1863" t="s">
        <v>6637</v>
      </c>
      <c r="AB1863" t="s">
        <v>8205</v>
      </c>
      <c r="AD1863" t="s">
        <v>10533</v>
      </c>
      <c r="AE1863">
        <v>21</v>
      </c>
      <c r="AF1863" t="s">
        <v>11006</v>
      </c>
      <c r="AG1863" t="s">
        <v>5406</v>
      </c>
      <c r="AH1863">
        <v>50</v>
      </c>
      <c r="AI1863">
        <v>1</v>
      </c>
      <c r="AJ1863">
        <v>0</v>
      </c>
      <c r="AK1863">
        <v>83.38</v>
      </c>
      <c r="AN1863" t="s">
        <v>11049</v>
      </c>
      <c r="AO1863">
        <v>10056</v>
      </c>
      <c r="AU1863">
        <v>1.6</v>
      </c>
      <c r="AV1863" t="s">
        <v>422</v>
      </c>
      <c r="AW1863" t="s">
        <v>11495</v>
      </c>
    </row>
    <row r="1864" spans="1:49">
      <c r="A1864" s="1">
        <f>HYPERLINK("https://cms.ls-nyc.org/matter/dynamic-profile/view/1861188","18-1861188")</f>
        <v>0</v>
      </c>
      <c r="B1864" t="s">
        <v>88</v>
      </c>
      <c r="C1864" t="s">
        <v>234</v>
      </c>
      <c r="D1864" t="s">
        <v>259</v>
      </c>
      <c r="E1864" t="s">
        <v>265</v>
      </c>
      <c r="F1864" t="s">
        <v>1851</v>
      </c>
      <c r="G1864" t="s">
        <v>1355</v>
      </c>
      <c r="H1864" t="s">
        <v>4404</v>
      </c>
      <c r="I1864" t="s">
        <v>5215</v>
      </c>
      <c r="J1864" t="s">
        <v>5320</v>
      </c>
      <c r="K1864">
        <v>11212</v>
      </c>
      <c r="L1864" t="s">
        <v>5355</v>
      </c>
      <c r="M1864" t="s">
        <v>5355</v>
      </c>
      <c r="N1864" t="s">
        <v>6040</v>
      </c>
      <c r="O1864" t="s">
        <v>6492</v>
      </c>
      <c r="P1864" t="s">
        <v>6530</v>
      </c>
      <c r="Q1864" t="s">
        <v>6534</v>
      </c>
      <c r="R1864" t="s">
        <v>6539</v>
      </c>
      <c r="S1864" t="s">
        <v>6541</v>
      </c>
      <c r="U1864" t="s">
        <v>6557</v>
      </c>
      <c r="W1864" t="s">
        <v>6575</v>
      </c>
      <c r="X1864">
        <v>990</v>
      </c>
      <c r="Y1864" t="s">
        <v>6605</v>
      </c>
      <c r="Z1864" t="s">
        <v>6623</v>
      </c>
      <c r="AA1864" t="s">
        <v>6637</v>
      </c>
      <c r="AB1864" t="s">
        <v>8164</v>
      </c>
      <c r="AC1864" t="s">
        <v>8762</v>
      </c>
      <c r="AD1864" t="s">
        <v>10534</v>
      </c>
      <c r="AE1864">
        <v>38</v>
      </c>
      <c r="AF1864" t="s">
        <v>11005</v>
      </c>
      <c r="AG1864" t="s">
        <v>5406</v>
      </c>
      <c r="AH1864">
        <v>31</v>
      </c>
      <c r="AI1864">
        <v>1</v>
      </c>
      <c r="AJ1864">
        <v>0</v>
      </c>
      <c r="AK1864">
        <v>83.53</v>
      </c>
      <c r="AN1864" t="s">
        <v>11068</v>
      </c>
      <c r="AO1864">
        <v>10140</v>
      </c>
      <c r="AR1864" t="s">
        <v>11210</v>
      </c>
      <c r="AS1864" t="s">
        <v>11253</v>
      </c>
      <c r="AT1864" t="s">
        <v>11376</v>
      </c>
      <c r="AU1864">
        <v>10.8</v>
      </c>
      <c r="AV1864" t="s">
        <v>265</v>
      </c>
      <c r="AW1864" t="s">
        <v>11512</v>
      </c>
    </row>
    <row r="1865" spans="1:49">
      <c r="A1865" s="1">
        <f>HYPERLINK("https://cms.ls-nyc.org/matter/dynamic-profile/view/1855627","18-1855627")</f>
        <v>0</v>
      </c>
      <c r="B1865" t="s">
        <v>52</v>
      </c>
      <c r="C1865" t="s">
        <v>234</v>
      </c>
      <c r="D1865" t="s">
        <v>329</v>
      </c>
      <c r="E1865" t="s">
        <v>733</v>
      </c>
      <c r="F1865" t="s">
        <v>1179</v>
      </c>
      <c r="G1865" t="s">
        <v>2135</v>
      </c>
      <c r="H1865" t="s">
        <v>4405</v>
      </c>
      <c r="I1865" t="s">
        <v>5174</v>
      </c>
      <c r="J1865" t="s">
        <v>5326</v>
      </c>
      <c r="K1865">
        <v>11691</v>
      </c>
      <c r="L1865" t="s">
        <v>5355</v>
      </c>
      <c r="M1865" t="s">
        <v>5355</v>
      </c>
      <c r="N1865" t="s">
        <v>6041</v>
      </c>
      <c r="O1865" t="s">
        <v>6491</v>
      </c>
      <c r="P1865" t="s">
        <v>6530</v>
      </c>
      <c r="Q1865" t="s">
        <v>6534</v>
      </c>
      <c r="R1865" t="s">
        <v>6539</v>
      </c>
      <c r="S1865" t="s">
        <v>5357</v>
      </c>
      <c r="U1865" t="s">
        <v>6557</v>
      </c>
      <c r="V1865" t="s">
        <v>6566</v>
      </c>
      <c r="W1865" t="s">
        <v>329</v>
      </c>
      <c r="X1865">
        <v>657</v>
      </c>
      <c r="Y1865" t="s">
        <v>6604</v>
      </c>
      <c r="Z1865" t="s">
        <v>6614</v>
      </c>
      <c r="AA1865" t="s">
        <v>6637</v>
      </c>
      <c r="AB1865" t="s">
        <v>8016</v>
      </c>
      <c r="AD1865" t="s">
        <v>10535</v>
      </c>
      <c r="AE1865">
        <v>100</v>
      </c>
      <c r="AF1865" t="s">
        <v>11010</v>
      </c>
      <c r="AG1865" t="s">
        <v>11020</v>
      </c>
      <c r="AH1865">
        <v>5</v>
      </c>
      <c r="AI1865">
        <v>1</v>
      </c>
      <c r="AJ1865">
        <v>0</v>
      </c>
      <c r="AK1865">
        <v>83.58</v>
      </c>
      <c r="AN1865" t="s">
        <v>11050</v>
      </c>
      <c r="AO1865">
        <v>10080</v>
      </c>
      <c r="AQ1865" t="s">
        <v>11196</v>
      </c>
      <c r="AR1865" t="s">
        <v>11211</v>
      </c>
      <c r="AS1865" t="s">
        <v>11253</v>
      </c>
      <c r="AT1865" t="s">
        <v>11320</v>
      </c>
      <c r="AU1865">
        <v>30.03</v>
      </c>
      <c r="AV1865" t="s">
        <v>814</v>
      </c>
      <c r="AW1865" t="s">
        <v>93</v>
      </c>
    </row>
    <row r="1866" spans="1:49">
      <c r="A1866" s="1">
        <f>HYPERLINK("https://cms.ls-nyc.org/matter/dynamic-profile/view/1847859","17-1847859")</f>
        <v>0</v>
      </c>
      <c r="B1866" t="s">
        <v>52</v>
      </c>
      <c r="C1866" t="s">
        <v>234</v>
      </c>
      <c r="D1866" t="s">
        <v>426</v>
      </c>
      <c r="E1866" t="s">
        <v>818</v>
      </c>
      <c r="F1866" t="s">
        <v>1852</v>
      </c>
      <c r="G1866" t="s">
        <v>2278</v>
      </c>
      <c r="H1866" t="s">
        <v>4406</v>
      </c>
      <c r="I1866" t="s">
        <v>4925</v>
      </c>
      <c r="J1866" t="s">
        <v>5351</v>
      </c>
      <c r="K1866">
        <v>11375</v>
      </c>
      <c r="L1866" t="s">
        <v>5355</v>
      </c>
      <c r="M1866" t="s">
        <v>5355</v>
      </c>
      <c r="N1866" t="s">
        <v>6042</v>
      </c>
      <c r="O1866" t="s">
        <v>6491</v>
      </c>
      <c r="P1866" t="s">
        <v>6530</v>
      </c>
      <c r="Q1866" t="s">
        <v>6534</v>
      </c>
      <c r="R1866" t="s">
        <v>6539</v>
      </c>
      <c r="S1866" t="s">
        <v>5357</v>
      </c>
      <c r="U1866" t="s">
        <v>6557</v>
      </c>
      <c r="V1866" t="s">
        <v>6566</v>
      </c>
      <c r="W1866" t="s">
        <v>426</v>
      </c>
      <c r="X1866">
        <v>800</v>
      </c>
      <c r="Y1866" t="s">
        <v>6604</v>
      </c>
      <c r="Z1866" t="s">
        <v>6614</v>
      </c>
      <c r="AA1866" t="s">
        <v>6633</v>
      </c>
      <c r="AB1866" t="s">
        <v>8206</v>
      </c>
      <c r="AC1866" t="s">
        <v>9012</v>
      </c>
      <c r="AD1866" t="s">
        <v>10536</v>
      </c>
      <c r="AE1866">
        <v>295</v>
      </c>
      <c r="AF1866" t="s">
        <v>11012</v>
      </c>
      <c r="AG1866" t="s">
        <v>5406</v>
      </c>
      <c r="AH1866">
        <v>1</v>
      </c>
      <c r="AI1866">
        <v>1</v>
      </c>
      <c r="AJ1866">
        <v>0</v>
      </c>
      <c r="AK1866">
        <v>83.58</v>
      </c>
      <c r="AL1866" t="s">
        <v>405</v>
      </c>
      <c r="AN1866" t="s">
        <v>11050</v>
      </c>
      <c r="AO1866">
        <v>10080</v>
      </c>
      <c r="AQ1866" t="s">
        <v>11194</v>
      </c>
      <c r="AR1866" t="s">
        <v>11238</v>
      </c>
      <c r="AS1866" t="s">
        <v>11252</v>
      </c>
      <c r="AT1866" t="s">
        <v>11377</v>
      </c>
      <c r="AU1866">
        <v>28.07</v>
      </c>
      <c r="AV1866" t="s">
        <v>708</v>
      </c>
      <c r="AW1866" t="s">
        <v>93</v>
      </c>
    </row>
    <row r="1867" spans="1:49">
      <c r="A1867" s="1">
        <f>HYPERLINK("https://cms.ls-nyc.org/matter/dynamic-profile/view/1858371","18-1858371")</f>
        <v>0</v>
      </c>
      <c r="B1867" t="s">
        <v>113</v>
      </c>
      <c r="C1867" t="s">
        <v>234</v>
      </c>
      <c r="D1867" t="s">
        <v>347</v>
      </c>
      <c r="E1867" t="s">
        <v>688</v>
      </c>
      <c r="F1867" t="s">
        <v>1367</v>
      </c>
      <c r="G1867" t="s">
        <v>3157</v>
      </c>
      <c r="H1867" t="s">
        <v>4407</v>
      </c>
      <c r="I1867" t="s">
        <v>5216</v>
      </c>
      <c r="J1867" t="s">
        <v>5323</v>
      </c>
      <c r="K1867">
        <v>10035</v>
      </c>
      <c r="L1867" t="s">
        <v>5355</v>
      </c>
      <c r="M1867" t="s">
        <v>5355</v>
      </c>
      <c r="N1867" t="s">
        <v>6043</v>
      </c>
      <c r="O1867" t="s">
        <v>6492</v>
      </c>
      <c r="P1867" t="s">
        <v>6530</v>
      </c>
      <c r="Q1867" t="s">
        <v>6534</v>
      </c>
      <c r="R1867" t="s">
        <v>6539</v>
      </c>
      <c r="S1867" t="s">
        <v>5357</v>
      </c>
      <c r="U1867" t="s">
        <v>6557</v>
      </c>
      <c r="V1867" t="s">
        <v>6569</v>
      </c>
      <c r="W1867" t="s">
        <v>347</v>
      </c>
      <c r="X1867">
        <v>696</v>
      </c>
      <c r="Y1867" t="s">
        <v>6608</v>
      </c>
      <c r="Z1867" t="s">
        <v>6622</v>
      </c>
      <c r="AA1867" t="s">
        <v>6637</v>
      </c>
      <c r="AB1867" t="s">
        <v>8207</v>
      </c>
      <c r="AD1867" t="s">
        <v>10537</v>
      </c>
      <c r="AE1867">
        <v>150</v>
      </c>
      <c r="AF1867" t="s">
        <v>11005</v>
      </c>
      <c r="AG1867" t="s">
        <v>11020</v>
      </c>
      <c r="AH1867">
        <v>3</v>
      </c>
      <c r="AI1867">
        <v>1</v>
      </c>
      <c r="AJ1867">
        <v>0</v>
      </c>
      <c r="AK1867">
        <v>83.58</v>
      </c>
      <c r="AL1867" t="s">
        <v>272</v>
      </c>
      <c r="AN1867" t="s">
        <v>11050</v>
      </c>
      <c r="AO1867">
        <v>10080</v>
      </c>
      <c r="AU1867">
        <v>17.8</v>
      </c>
      <c r="AV1867" t="s">
        <v>751</v>
      </c>
      <c r="AW1867" t="s">
        <v>11497</v>
      </c>
    </row>
    <row r="1868" spans="1:49">
      <c r="A1868" s="1">
        <f>HYPERLINK("https://cms.ls-nyc.org/matter/dynamic-profile/view/1856069","18-1856069")</f>
        <v>0</v>
      </c>
      <c r="B1868" t="s">
        <v>131</v>
      </c>
      <c r="C1868" t="s">
        <v>234</v>
      </c>
      <c r="D1868" t="s">
        <v>525</v>
      </c>
      <c r="E1868" t="s">
        <v>819</v>
      </c>
      <c r="F1868" t="s">
        <v>1205</v>
      </c>
      <c r="G1868" t="s">
        <v>2448</v>
      </c>
      <c r="H1868" t="s">
        <v>3769</v>
      </c>
      <c r="I1868" t="s">
        <v>4868</v>
      </c>
      <c r="J1868" t="s">
        <v>5323</v>
      </c>
      <c r="K1868">
        <v>10034</v>
      </c>
      <c r="L1868" t="s">
        <v>5355</v>
      </c>
      <c r="M1868" t="s">
        <v>5356</v>
      </c>
      <c r="O1868" t="s">
        <v>6494</v>
      </c>
      <c r="P1868" t="s">
        <v>6530</v>
      </c>
      <c r="Q1868" t="s">
        <v>6534</v>
      </c>
      <c r="R1868" t="s">
        <v>6539</v>
      </c>
      <c r="S1868" t="s">
        <v>5355</v>
      </c>
      <c r="U1868" t="s">
        <v>6557</v>
      </c>
      <c r="W1868" t="s">
        <v>525</v>
      </c>
      <c r="X1868">
        <v>632.42</v>
      </c>
      <c r="Y1868" t="s">
        <v>6608</v>
      </c>
      <c r="Z1868" t="s">
        <v>6614</v>
      </c>
      <c r="AA1868" t="s">
        <v>6634</v>
      </c>
      <c r="AB1868" t="s">
        <v>7100</v>
      </c>
      <c r="AD1868" t="s">
        <v>9496</v>
      </c>
      <c r="AE1868">
        <v>49</v>
      </c>
      <c r="AF1868" t="s">
        <v>11005</v>
      </c>
      <c r="AG1868" t="s">
        <v>11020</v>
      </c>
      <c r="AH1868">
        <v>35</v>
      </c>
      <c r="AI1868">
        <v>1</v>
      </c>
      <c r="AJ1868">
        <v>0</v>
      </c>
      <c r="AK1868">
        <v>83.58</v>
      </c>
      <c r="AN1868" t="s">
        <v>11049</v>
      </c>
      <c r="AO1868">
        <v>10080</v>
      </c>
      <c r="AU1868">
        <v>1.65</v>
      </c>
      <c r="AV1868" t="s">
        <v>819</v>
      </c>
      <c r="AW1868" t="s">
        <v>11495</v>
      </c>
    </row>
    <row r="1869" spans="1:49">
      <c r="A1869" s="1">
        <f>HYPERLINK("https://cms.ls-nyc.org/matter/dynamic-profile/view/0830374","17-0830374")</f>
        <v>0</v>
      </c>
      <c r="B1869" t="s">
        <v>58</v>
      </c>
      <c r="C1869" t="s">
        <v>234</v>
      </c>
      <c r="D1869" t="s">
        <v>602</v>
      </c>
      <c r="E1869" t="s">
        <v>427</v>
      </c>
      <c r="F1869" t="s">
        <v>1111</v>
      </c>
      <c r="G1869" t="s">
        <v>3158</v>
      </c>
      <c r="H1869" t="s">
        <v>3754</v>
      </c>
      <c r="I1869" t="s">
        <v>5028</v>
      </c>
      <c r="J1869" t="s">
        <v>5321</v>
      </c>
      <c r="K1869">
        <v>10463</v>
      </c>
      <c r="L1869" t="s">
        <v>5355</v>
      </c>
      <c r="M1869" t="s">
        <v>5356</v>
      </c>
      <c r="N1869" t="s">
        <v>5752</v>
      </c>
      <c r="O1869" t="s">
        <v>6494</v>
      </c>
      <c r="P1869" t="s">
        <v>6530</v>
      </c>
      <c r="Q1869" t="s">
        <v>6534</v>
      </c>
      <c r="R1869" t="s">
        <v>6539</v>
      </c>
      <c r="S1869" t="s">
        <v>5355</v>
      </c>
      <c r="U1869" t="s">
        <v>6557</v>
      </c>
      <c r="W1869" t="s">
        <v>404</v>
      </c>
      <c r="X1869">
        <v>870.5</v>
      </c>
      <c r="Y1869" t="s">
        <v>6606</v>
      </c>
      <c r="Z1869" t="s">
        <v>6620</v>
      </c>
      <c r="AA1869" t="s">
        <v>6634</v>
      </c>
      <c r="AB1869" t="s">
        <v>8208</v>
      </c>
      <c r="AC1869" t="s">
        <v>9013</v>
      </c>
      <c r="AD1869" t="s">
        <v>10538</v>
      </c>
      <c r="AE1869">
        <v>67</v>
      </c>
      <c r="AF1869" t="s">
        <v>11005</v>
      </c>
      <c r="AG1869" t="s">
        <v>11026</v>
      </c>
      <c r="AH1869">
        <v>0</v>
      </c>
      <c r="AI1869">
        <v>1</v>
      </c>
      <c r="AJ1869">
        <v>0</v>
      </c>
      <c r="AK1869">
        <v>83.78</v>
      </c>
      <c r="AL1869" t="s">
        <v>632</v>
      </c>
      <c r="AN1869" t="s">
        <v>11050</v>
      </c>
      <c r="AO1869">
        <v>10104</v>
      </c>
      <c r="AU1869">
        <v>55.4</v>
      </c>
      <c r="AV1869" t="s">
        <v>427</v>
      </c>
      <c r="AW1869" t="s">
        <v>11509</v>
      </c>
    </row>
    <row r="1870" spans="1:49">
      <c r="A1870" s="1">
        <f>HYPERLINK("https://cms.ls-nyc.org/matter/dynamic-profile/view/1869852","18-1869852")</f>
        <v>0</v>
      </c>
      <c r="B1870" t="s">
        <v>133</v>
      </c>
      <c r="C1870" t="s">
        <v>234</v>
      </c>
      <c r="D1870" t="s">
        <v>313</v>
      </c>
      <c r="E1870" t="s">
        <v>733</v>
      </c>
      <c r="F1870" t="s">
        <v>1287</v>
      </c>
      <c r="G1870" t="s">
        <v>2234</v>
      </c>
      <c r="H1870" t="s">
        <v>4408</v>
      </c>
      <c r="I1870" t="s">
        <v>5179</v>
      </c>
      <c r="J1870" t="s">
        <v>5326</v>
      </c>
      <c r="K1870">
        <v>11691</v>
      </c>
      <c r="L1870" t="s">
        <v>5355</v>
      </c>
      <c r="M1870" t="s">
        <v>5355</v>
      </c>
      <c r="N1870" t="s">
        <v>6044</v>
      </c>
      <c r="O1870" t="s">
        <v>6491</v>
      </c>
      <c r="P1870" t="s">
        <v>6530</v>
      </c>
      <c r="Q1870" t="s">
        <v>6534</v>
      </c>
      <c r="R1870" t="s">
        <v>6539</v>
      </c>
      <c r="S1870" t="s">
        <v>5357</v>
      </c>
      <c r="U1870" t="s">
        <v>6557</v>
      </c>
      <c r="V1870" t="s">
        <v>6566</v>
      </c>
      <c r="W1870" t="s">
        <v>313</v>
      </c>
      <c r="X1870">
        <v>650</v>
      </c>
      <c r="Y1870" t="s">
        <v>6604</v>
      </c>
      <c r="Z1870" t="s">
        <v>6615</v>
      </c>
      <c r="AA1870" t="s">
        <v>6633</v>
      </c>
      <c r="AB1870" t="s">
        <v>8209</v>
      </c>
      <c r="AD1870" t="s">
        <v>10539</v>
      </c>
      <c r="AE1870">
        <v>6</v>
      </c>
      <c r="AF1870" t="s">
        <v>11004</v>
      </c>
      <c r="AG1870" t="s">
        <v>5406</v>
      </c>
      <c r="AH1870">
        <v>2</v>
      </c>
      <c r="AI1870">
        <v>1</v>
      </c>
      <c r="AJ1870">
        <v>0</v>
      </c>
      <c r="AK1870">
        <v>84.02</v>
      </c>
      <c r="AN1870" t="s">
        <v>11050</v>
      </c>
      <c r="AO1870">
        <v>10200</v>
      </c>
      <c r="AQ1870" t="s">
        <v>11196</v>
      </c>
      <c r="AR1870" t="s">
        <v>11235</v>
      </c>
      <c r="AS1870" t="s">
        <v>11252</v>
      </c>
      <c r="AT1870" t="s">
        <v>11279</v>
      </c>
      <c r="AU1870">
        <v>25.8</v>
      </c>
      <c r="AV1870" t="s">
        <v>814</v>
      </c>
      <c r="AW1870" t="s">
        <v>52</v>
      </c>
    </row>
    <row r="1871" spans="1:49">
      <c r="A1871" s="1">
        <f>HYPERLINK("https://cms.ls-nyc.org/matter/dynamic-profile/view/1863700","18-1863700")</f>
        <v>0</v>
      </c>
      <c r="B1871" t="s">
        <v>92</v>
      </c>
      <c r="C1871" t="s">
        <v>235</v>
      </c>
      <c r="D1871" t="s">
        <v>263</v>
      </c>
      <c r="F1871" t="s">
        <v>916</v>
      </c>
      <c r="G1871" t="s">
        <v>2276</v>
      </c>
      <c r="H1871" t="s">
        <v>3579</v>
      </c>
      <c r="I1871">
        <v>501</v>
      </c>
      <c r="J1871" t="s">
        <v>5323</v>
      </c>
      <c r="K1871">
        <v>10029</v>
      </c>
      <c r="L1871" t="s">
        <v>5355</v>
      </c>
      <c r="M1871" t="s">
        <v>5355</v>
      </c>
      <c r="N1871" t="s">
        <v>5632</v>
      </c>
      <c r="O1871" t="s">
        <v>6494</v>
      </c>
      <c r="P1871" t="s">
        <v>6530</v>
      </c>
      <c r="R1871" t="s">
        <v>6539</v>
      </c>
      <c r="S1871" t="s">
        <v>5355</v>
      </c>
      <c r="U1871" t="s">
        <v>6557</v>
      </c>
      <c r="V1871" t="s">
        <v>6566</v>
      </c>
      <c r="W1871" t="s">
        <v>263</v>
      </c>
      <c r="X1871">
        <v>0</v>
      </c>
      <c r="Y1871" t="s">
        <v>6608</v>
      </c>
      <c r="Z1871" t="s">
        <v>6622</v>
      </c>
      <c r="AB1871" t="s">
        <v>8210</v>
      </c>
      <c r="AD1871" t="s">
        <v>10540</v>
      </c>
      <c r="AE1871">
        <v>108</v>
      </c>
      <c r="AF1871" t="s">
        <v>11008</v>
      </c>
      <c r="AG1871" t="s">
        <v>5406</v>
      </c>
      <c r="AH1871">
        <v>30</v>
      </c>
      <c r="AI1871">
        <v>1</v>
      </c>
      <c r="AJ1871">
        <v>0</v>
      </c>
      <c r="AK1871">
        <v>84.02</v>
      </c>
      <c r="AN1871" t="s">
        <v>11049</v>
      </c>
      <c r="AO1871">
        <v>10200</v>
      </c>
      <c r="AU1871">
        <v>0.35</v>
      </c>
      <c r="AV1871" t="s">
        <v>777</v>
      </c>
      <c r="AW1871" t="s">
        <v>11497</v>
      </c>
    </row>
    <row r="1872" spans="1:49">
      <c r="A1872" s="1">
        <f>HYPERLINK("https://cms.ls-nyc.org/matter/dynamic-profile/view/1854565","17-1854565")</f>
        <v>0</v>
      </c>
      <c r="B1872" t="s">
        <v>94</v>
      </c>
      <c r="C1872" t="s">
        <v>235</v>
      </c>
      <c r="D1872" t="s">
        <v>308</v>
      </c>
      <c r="F1872" t="s">
        <v>1415</v>
      </c>
      <c r="G1872" t="s">
        <v>3159</v>
      </c>
      <c r="H1872" t="s">
        <v>4259</v>
      </c>
      <c r="I1872" t="s">
        <v>4911</v>
      </c>
      <c r="J1872" t="s">
        <v>5320</v>
      </c>
      <c r="K1872">
        <v>11207</v>
      </c>
      <c r="L1872" t="s">
        <v>5355</v>
      </c>
      <c r="M1872" t="s">
        <v>5356</v>
      </c>
      <c r="N1872" t="s">
        <v>6045</v>
      </c>
      <c r="O1872" t="s">
        <v>6491</v>
      </c>
      <c r="P1872" t="s">
        <v>6530</v>
      </c>
      <c r="R1872" t="s">
        <v>6539</v>
      </c>
      <c r="S1872" t="s">
        <v>5355</v>
      </c>
      <c r="U1872" t="s">
        <v>6557</v>
      </c>
      <c r="W1872" t="s">
        <v>262</v>
      </c>
      <c r="X1872">
        <v>1000</v>
      </c>
      <c r="Y1872" t="s">
        <v>6605</v>
      </c>
      <c r="Z1872" t="s">
        <v>6614</v>
      </c>
      <c r="AB1872" t="s">
        <v>8211</v>
      </c>
      <c r="AD1872" t="s">
        <v>10541</v>
      </c>
      <c r="AE1872">
        <v>6</v>
      </c>
      <c r="AF1872" t="s">
        <v>11005</v>
      </c>
      <c r="AG1872" t="s">
        <v>5406</v>
      </c>
      <c r="AH1872">
        <v>3</v>
      </c>
      <c r="AI1872">
        <v>1</v>
      </c>
      <c r="AJ1872">
        <v>3</v>
      </c>
      <c r="AK1872">
        <v>84.55</v>
      </c>
      <c r="AN1872" t="s">
        <v>11050</v>
      </c>
      <c r="AO1872">
        <v>20800</v>
      </c>
      <c r="AU1872">
        <v>1.9</v>
      </c>
      <c r="AV1872" t="s">
        <v>821</v>
      </c>
      <c r="AW1872" t="s">
        <v>228</v>
      </c>
    </row>
    <row r="1873" spans="1:50">
      <c r="A1873" s="1">
        <f>HYPERLINK("https://cms.ls-nyc.org/matter/dynamic-profile/view/1862125","18-1862125")</f>
        <v>0</v>
      </c>
      <c r="B1873" t="s">
        <v>189</v>
      </c>
      <c r="C1873" t="s">
        <v>235</v>
      </c>
      <c r="D1873" t="s">
        <v>369</v>
      </c>
      <c r="F1873" t="s">
        <v>1040</v>
      </c>
      <c r="G1873" t="s">
        <v>3160</v>
      </c>
      <c r="H1873" t="s">
        <v>4409</v>
      </c>
      <c r="I1873">
        <v>412</v>
      </c>
      <c r="J1873" t="s">
        <v>5322</v>
      </c>
      <c r="K1873">
        <v>10305</v>
      </c>
      <c r="L1873" t="s">
        <v>5355</v>
      </c>
      <c r="M1873" t="s">
        <v>5356</v>
      </c>
      <c r="N1873" t="s">
        <v>6046</v>
      </c>
      <c r="O1873" t="s">
        <v>6492</v>
      </c>
      <c r="P1873" t="s">
        <v>6530</v>
      </c>
      <c r="R1873" t="s">
        <v>6539</v>
      </c>
      <c r="S1873" t="s">
        <v>5355</v>
      </c>
      <c r="U1873" t="s">
        <v>6557</v>
      </c>
      <c r="W1873" t="s">
        <v>369</v>
      </c>
      <c r="X1873">
        <v>758</v>
      </c>
      <c r="Y1873" t="s">
        <v>6607</v>
      </c>
      <c r="Z1873" t="s">
        <v>6617</v>
      </c>
      <c r="AB1873" t="s">
        <v>8212</v>
      </c>
      <c r="AC1873" t="s">
        <v>9014</v>
      </c>
      <c r="AD1873" t="s">
        <v>10542</v>
      </c>
      <c r="AE1873">
        <v>84</v>
      </c>
      <c r="AF1873" t="s">
        <v>11005</v>
      </c>
      <c r="AG1873" t="s">
        <v>11024</v>
      </c>
      <c r="AH1873">
        <v>8</v>
      </c>
      <c r="AI1873">
        <v>1</v>
      </c>
      <c r="AJ1873">
        <v>0</v>
      </c>
      <c r="AK1873">
        <v>84.70999999999999</v>
      </c>
      <c r="AN1873" t="s">
        <v>11050</v>
      </c>
      <c r="AO1873">
        <v>10284</v>
      </c>
      <c r="AU1873">
        <v>29.6</v>
      </c>
      <c r="AV1873" t="s">
        <v>705</v>
      </c>
      <c r="AW1873" t="s">
        <v>11536</v>
      </c>
    </row>
    <row r="1874" spans="1:50">
      <c r="A1874" s="1">
        <f>HYPERLINK("https://cms.ls-nyc.org/matter/dynamic-profile/view/1863069","18-1863069")</f>
        <v>0</v>
      </c>
      <c r="B1874" t="s">
        <v>111</v>
      </c>
      <c r="C1874" t="s">
        <v>235</v>
      </c>
      <c r="D1874" t="s">
        <v>369</v>
      </c>
      <c r="F1874" t="s">
        <v>1514</v>
      </c>
      <c r="G1874" t="s">
        <v>2210</v>
      </c>
      <c r="H1874" t="s">
        <v>4331</v>
      </c>
      <c r="I1874" t="s">
        <v>5028</v>
      </c>
      <c r="J1874" t="s">
        <v>5323</v>
      </c>
      <c r="K1874">
        <v>10034</v>
      </c>
      <c r="L1874" t="s">
        <v>5355</v>
      </c>
      <c r="M1874" t="s">
        <v>5356</v>
      </c>
      <c r="O1874" t="s">
        <v>6494</v>
      </c>
      <c r="P1874" t="s">
        <v>6530</v>
      </c>
      <c r="R1874" t="s">
        <v>6539</v>
      </c>
      <c r="S1874" t="s">
        <v>5355</v>
      </c>
      <c r="U1874" t="s">
        <v>6557</v>
      </c>
      <c r="W1874" t="s">
        <v>369</v>
      </c>
      <c r="X1874">
        <v>262.6</v>
      </c>
      <c r="Y1874" t="s">
        <v>6608</v>
      </c>
      <c r="Z1874" t="s">
        <v>6616</v>
      </c>
      <c r="AB1874" t="s">
        <v>8213</v>
      </c>
      <c r="AC1874" t="s">
        <v>9015</v>
      </c>
      <c r="AD1874" t="s">
        <v>10543</v>
      </c>
      <c r="AE1874">
        <v>60</v>
      </c>
      <c r="AF1874" t="s">
        <v>11005</v>
      </c>
      <c r="AG1874" t="s">
        <v>5406</v>
      </c>
      <c r="AH1874">
        <v>10</v>
      </c>
      <c r="AI1874">
        <v>1</v>
      </c>
      <c r="AJ1874">
        <v>0</v>
      </c>
      <c r="AK1874">
        <v>84.70999999999999</v>
      </c>
      <c r="AN1874" t="s">
        <v>11049</v>
      </c>
      <c r="AO1874">
        <v>10284</v>
      </c>
      <c r="AU1874">
        <v>0</v>
      </c>
      <c r="AW1874" t="s">
        <v>11495</v>
      </c>
    </row>
    <row r="1875" spans="1:50">
      <c r="A1875" s="1">
        <f>HYPERLINK("https://cms.ls-nyc.org/matter/dynamic-profile/view/0789082","15-0789082")</f>
        <v>0</v>
      </c>
      <c r="B1875" t="s">
        <v>104</v>
      </c>
      <c r="C1875" t="s">
        <v>235</v>
      </c>
      <c r="D1875" t="s">
        <v>603</v>
      </c>
      <c r="F1875" t="s">
        <v>1504</v>
      </c>
      <c r="G1875" t="s">
        <v>2785</v>
      </c>
      <c r="H1875" t="s">
        <v>4007</v>
      </c>
      <c r="I1875" t="s">
        <v>5052</v>
      </c>
      <c r="J1875" t="s">
        <v>5321</v>
      </c>
      <c r="K1875">
        <v>10452</v>
      </c>
      <c r="L1875" t="s">
        <v>5355</v>
      </c>
      <c r="M1875" t="s">
        <v>5356</v>
      </c>
      <c r="N1875" t="s">
        <v>6047</v>
      </c>
      <c r="O1875" t="s">
        <v>6502</v>
      </c>
      <c r="P1875" t="s">
        <v>6530</v>
      </c>
      <c r="R1875" t="s">
        <v>6539</v>
      </c>
      <c r="S1875" t="s">
        <v>5355</v>
      </c>
      <c r="U1875" t="s">
        <v>6557</v>
      </c>
      <c r="W1875" t="s">
        <v>298</v>
      </c>
      <c r="X1875">
        <v>1057</v>
      </c>
      <c r="Y1875" t="s">
        <v>6606</v>
      </c>
      <c r="Z1875" t="s">
        <v>6625</v>
      </c>
      <c r="AB1875" t="s">
        <v>7595</v>
      </c>
      <c r="AC1875" t="s">
        <v>8833</v>
      </c>
      <c r="AD1875" t="s">
        <v>9957</v>
      </c>
      <c r="AE1875">
        <v>0</v>
      </c>
      <c r="AH1875">
        <v>23</v>
      </c>
      <c r="AI1875">
        <v>1</v>
      </c>
      <c r="AJ1875">
        <v>0</v>
      </c>
      <c r="AK1875">
        <v>84.93000000000001</v>
      </c>
      <c r="AN1875" t="s">
        <v>11049</v>
      </c>
      <c r="AO1875">
        <v>9996</v>
      </c>
      <c r="AP1875" t="s">
        <v>11165</v>
      </c>
      <c r="AU1875">
        <v>0.2</v>
      </c>
      <c r="AV1875" t="s">
        <v>732</v>
      </c>
      <c r="AW1875" t="s">
        <v>11539</v>
      </c>
    </row>
    <row r="1876" spans="1:50">
      <c r="A1876" s="1">
        <f>HYPERLINK("https://cms.ls-nyc.org/matter/dynamic-profile/view/1860548","18-1860548")</f>
        <v>0</v>
      </c>
      <c r="B1876" t="s">
        <v>90</v>
      </c>
      <c r="C1876" t="s">
        <v>235</v>
      </c>
      <c r="D1876" t="s">
        <v>319</v>
      </c>
      <c r="F1876" t="s">
        <v>1390</v>
      </c>
      <c r="G1876" t="s">
        <v>2652</v>
      </c>
      <c r="H1876" t="s">
        <v>3589</v>
      </c>
      <c r="I1876" t="s">
        <v>4925</v>
      </c>
      <c r="J1876" t="s">
        <v>5321</v>
      </c>
      <c r="K1876">
        <v>10452</v>
      </c>
      <c r="L1876" t="s">
        <v>5355</v>
      </c>
      <c r="M1876" t="s">
        <v>5356</v>
      </c>
      <c r="N1876" t="s">
        <v>5792</v>
      </c>
      <c r="O1876" t="s">
        <v>6494</v>
      </c>
      <c r="P1876" t="s">
        <v>6530</v>
      </c>
      <c r="R1876" t="s">
        <v>6539</v>
      </c>
      <c r="S1876" t="s">
        <v>5355</v>
      </c>
      <c r="U1876" t="s">
        <v>6557</v>
      </c>
      <c r="W1876" t="s">
        <v>480</v>
      </c>
      <c r="X1876">
        <v>859.3200000000001</v>
      </c>
      <c r="Y1876" t="s">
        <v>6606</v>
      </c>
      <c r="Z1876" t="s">
        <v>6612</v>
      </c>
      <c r="AB1876" t="s">
        <v>7395</v>
      </c>
      <c r="AC1876" t="s">
        <v>8802</v>
      </c>
      <c r="AD1876" t="s">
        <v>9766</v>
      </c>
      <c r="AE1876">
        <v>60</v>
      </c>
      <c r="AF1876" t="s">
        <v>11005</v>
      </c>
      <c r="AG1876" t="s">
        <v>5406</v>
      </c>
      <c r="AH1876">
        <v>21</v>
      </c>
      <c r="AI1876">
        <v>2</v>
      </c>
      <c r="AJ1876">
        <v>1</v>
      </c>
      <c r="AK1876">
        <v>85.08</v>
      </c>
      <c r="AN1876" t="s">
        <v>11050</v>
      </c>
      <c r="AO1876">
        <v>17680</v>
      </c>
      <c r="AU1876">
        <v>0</v>
      </c>
      <c r="AW1876" t="s">
        <v>11492</v>
      </c>
    </row>
    <row r="1877" spans="1:50">
      <c r="A1877" s="1">
        <f>HYPERLINK("https://cms.ls-nyc.org/matter/dynamic-profile/view/1870815","18-1870815")</f>
        <v>0</v>
      </c>
      <c r="B1877" t="s">
        <v>71</v>
      </c>
      <c r="C1877" t="s">
        <v>235</v>
      </c>
      <c r="D1877" t="s">
        <v>328</v>
      </c>
      <c r="F1877" t="s">
        <v>1469</v>
      </c>
      <c r="G1877" t="s">
        <v>2804</v>
      </c>
      <c r="H1877" t="s">
        <v>4410</v>
      </c>
      <c r="I1877" t="s">
        <v>4838</v>
      </c>
      <c r="J1877" t="s">
        <v>5321</v>
      </c>
      <c r="K1877">
        <v>10457</v>
      </c>
      <c r="L1877" t="s">
        <v>5355</v>
      </c>
      <c r="M1877" t="s">
        <v>5355</v>
      </c>
      <c r="N1877" t="s">
        <v>6048</v>
      </c>
      <c r="O1877" t="s">
        <v>6492</v>
      </c>
      <c r="P1877" t="s">
        <v>6530</v>
      </c>
      <c r="R1877" t="s">
        <v>6539</v>
      </c>
      <c r="U1877" t="s">
        <v>6557</v>
      </c>
      <c r="W1877" t="s">
        <v>287</v>
      </c>
      <c r="X1877">
        <v>1242</v>
      </c>
      <c r="Y1877" t="s">
        <v>6606</v>
      </c>
      <c r="Z1877" t="s">
        <v>6616</v>
      </c>
      <c r="AB1877" t="s">
        <v>8214</v>
      </c>
      <c r="AC1877" t="s">
        <v>9016</v>
      </c>
      <c r="AD1877" t="s">
        <v>10544</v>
      </c>
      <c r="AE1877">
        <v>54</v>
      </c>
      <c r="AF1877" t="s">
        <v>11013</v>
      </c>
      <c r="AG1877" t="s">
        <v>11020</v>
      </c>
      <c r="AH1877">
        <v>9</v>
      </c>
      <c r="AI1877">
        <v>1</v>
      </c>
      <c r="AJ1877">
        <v>0</v>
      </c>
      <c r="AK1877">
        <v>85.11</v>
      </c>
      <c r="AN1877" t="s">
        <v>11050</v>
      </c>
      <c r="AO1877">
        <v>10332</v>
      </c>
      <c r="AU1877">
        <v>3.3</v>
      </c>
      <c r="AV1877" t="s">
        <v>672</v>
      </c>
      <c r="AW1877" t="s">
        <v>11524</v>
      </c>
    </row>
    <row r="1878" spans="1:50">
      <c r="A1878" s="1">
        <f>HYPERLINK("https://cms.ls-nyc.org/matter/dynamic-profile/view/1856072","18-1856072")</f>
        <v>0</v>
      </c>
      <c r="B1878" t="s">
        <v>131</v>
      </c>
      <c r="C1878" t="s">
        <v>235</v>
      </c>
      <c r="D1878" t="s">
        <v>525</v>
      </c>
      <c r="F1878" t="s">
        <v>1853</v>
      </c>
      <c r="G1878" t="s">
        <v>1015</v>
      </c>
      <c r="H1878" t="s">
        <v>3769</v>
      </c>
      <c r="I1878" t="s">
        <v>5217</v>
      </c>
      <c r="J1878" t="s">
        <v>5323</v>
      </c>
      <c r="K1878">
        <v>10034</v>
      </c>
      <c r="L1878" t="s">
        <v>5355</v>
      </c>
      <c r="M1878" t="s">
        <v>5356</v>
      </c>
      <c r="O1878" t="s">
        <v>6494</v>
      </c>
      <c r="P1878" t="s">
        <v>6530</v>
      </c>
      <c r="R1878" t="s">
        <v>6539</v>
      </c>
      <c r="S1878" t="s">
        <v>5355</v>
      </c>
      <c r="U1878" t="s">
        <v>6557</v>
      </c>
      <c r="W1878" t="s">
        <v>525</v>
      </c>
      <c r="X1878">
        <v>1107</v>
      </c>
      <c r="Y1878" t="s">
        <v>6608</v>
      </c>
      <c r="Z1878" t="s">
        <v>6493</v>
      </c>
      <c r="AB1878" t="s">
        <v>8215</v>
      </c>
      <c r="AD1878" t="s">
        <v>10545</v>
      </c>
      <c r="AE1878">
        <v>49</v>
      </c>
      <c r="AF1878" t="s">
        <v>11005</v>
      </c>
      <c r="AG1878" t="s">
        <v>11020</v>
      </c>
      <c r="AH1878">
        <v>30</v>
      </c>
      <c r="AI1878">
        <v>1</v>
      </c>
      <c r="AJ1878">
        <v>0</v>
      </c>
      <c r="AK1878">
        <v>85.13</v>
      </c>
      <c r="AN1878" t="s">
        <v>11049</v>
      </c>
      <c r="AO1878">
        <v>10267.2</v>
      </c>
      <c r="AU1878">
        <v>0.25</v>
      </c>
      <c r="AV1878" t="s">
        <v>680</v>
      </c>
      <c r="AW1878" t="s">
        <v>11495</v>
      </c>
    </row>
    <row r="1879" spans="1:50">
      <c r="A1879" s="1">
        <f>HYPERLINK("https://cms.ls-nyc.org/matter/dynamic-profile/view/1841757","17-1841757")</f>
        <v>0</v>
      </c>
      <c r="B1879" t="s">
        <v>88</v>
      </c>
      <c r="C1879" t="s">
        <v>234</v>
      </c>
      <c r="D1879" t="s">
        <v>323</v>
      </c>
      <c r="E1879" t="s">
        <v>468</v>
      </c>
      <c r="F1879" t="s">
        <v>1046</v>
      </c>
      <c r="G1879" t="s">
        <v>3161</v>
      </c>
      <c r="H1879" t="s">
        <v>4411</v>
      </c>
      <c r="I1879" t="s">
        <v>5218</v>
      </c>
      <c r="J1879" t="s">
        <v>5320</v>
      </c>
      <c r="K1879">
        <v>11234</v>
      </c>
      <c r="L1879" t="s">
        <v>5355</v>
      </c>
      <c r="M1879" t="s">
        <v>5355</v>
      </c>
      <c r="N1879" t="s">
        <v>6049</v>
      </c>
      <c r="O1879" t="s">
        <v>6492</v>
      </c>
      <c r="P1879" t="s">
        <v>6530</v>
      </c>
      <c r="Q1879" t="s">
        <v>6534</v>
      </c>
      <c r="R1879" t="s">
        <v>6539</v>
      </c>
      <c r="S1879" t="s">
        <v>5357</v>
      </c>
      <c r="U1879" t="s">
        <v>6557</v>
      </c>
      <c r="W1879" t="s">
        <v>323</v>
      </c>
      <c r="X1879">
        <v>1364</v>
      </c>
      <c r="Y1879" t="s">
        <v>6605</v>
      </c>
      <c r="Z1879" t="s">
        <v>6611</v>
      </c>
      <c r="AA1879" t="s">
        <v>6637</v>
      </c>
      <c r="AB1879" t="s">
        <v>7019</v>
      </c>
      <c r="AC1879" t="s">
        <v>9017</v>
      </c>
      <c r="AD1879" t="s">
        <v>10546</v>
      </c>
      <c r="AE1879">
        <v>48</v>
      </c>
      <c r="AG1879" t="s">
        <v>5406</v>
      </c>
      <c r="AH1879">
        <v>13</v>
      </c>
      <c r="AI1879">
        <v>1</v>
      </c>
      <c r="AJ1879">
        <v>0</v>
      </c>
      <c r="AK1879">
        <v>85.56999999999999</v>
      </c>
      <c r="AL1879" t="s">
        <v>466</v>
      </c>
      <c r="AN1879" t="s">
        <v>11050</v>
      </c>
      <c r="AO1879">
        <v>10320</v>
      </c>
      <c r="AR1879" t="s">
        <v>11210</v>
      </c>
      <c r="AS1879" t="s">
        <v>11253</v>
      </c>
      <c r="AT1879" t="s">
        <v>11321</v>
      </c>
      <c r="AU1879">
        <v>54.3</v>
      </c>
      <c r="AV1879" t="s">
        <v>364</v>
      </c>
      <c r="AW1879" t="s">
        <v>11487</v>
      </c>
    </row>
    <row r="1880" spans="1:50">
      <c r="A1880" s="1">
        <f>HYPERLINK("https://cms.ls-nyc.org/matter/dynamic-profile/view/1865107","18-1865107")</f>
        <v>0</v>
      </c>
      <c r="B1880" t="s">
        <v>86</v>
      </c>
      <c r="C1880" t="s">
        <v>235</v>
      </c>
      <c r="D1880" t="s">
        <v>251</v>
      </c>
      <c r="F1880" t="s">
        <v>1854</v>
      </c>
      <c r="G1880" t="s">
        <v>3162</v>
      </c>
      <c r="H1880" t="s">
        <v>4412</v>
      </c>
      <c r="I1880" t="s">
        <v>4817</v>
      </c>
      <c r="J1880" t="s">
        <v>5330</v>
      </c>
      <c r="K1880">
        <v>11105</v>
      </c>
      <c r="L1880" t="s">
        <v>5355</v>
      </c>
      <c r="M1880" t="s">
        <v>5355</v>
      </c>
      <c r="N1880" t="s">
        <v>6050</v>
      </c>
      <c r="O1880" t="s">
        <v>6519</v>
      </c>
      <c r="P1880" t="s">
        <v>6530</v>
      </c>
      <c r="R1880" t="s">
        <v>6539</v>
      </c>
      <c r="S1880" t="s">
        <v>5357</v>
      </c>
      <c r="U1880" t="s">
        <v>6560</v>
      </c>
      <c r="V1880" t="s">
        <v>6566</v>
      </c>
      <c r="W1880" t="s">
        <v>349</v>
      </c>
      <c r="X1880">
        <v>251</v>
      </c>
      <c r="Y1880" t="s">
        <v>6604</v>
      </c>
      <c r="Z1880" t="s">
        <v>6614</v>
      </c>
      <c r="AB1880" t="s">
        <v>8216</v>
      </c>
      <c r="AC1880" t="s">
        <v>9018</v>
      </c>
      <c r="AD1880" t="s">
        <v>10547</v>
      </c>
      <c r="AE1880">
        <v>9</v>
      </c>
      <c r="AF1880" t="s">
        <v>11008</v>
      </c>
      <c r="AG1880" t="s">
        <v>5406</v>
      </c>
      <c r="AH1880">
        <v>6</v>
      </c>
      <c r="AI1880">
        <v>1</v>
      </c>
      <c r="AJ1880">
        <v>0</v>
      </c>
      <c r="AK1880">
        <v>85.67</v>
      </c>
      <c r="AN1880" t="s">
        <v>11049</v>
      </c>
      <c r="AO1880">
        <v>10400</v>
      </c>
      <c r="AU1880">
        <v>64.90000000000001</v>
      </c>
      <c r="AV1880" t="s">
        <v>11438</v>
      </c>
      <c r="AW1880" t="s">
        <v>86</v>
      </c>
      <c r="AX1880" t="s">
        <v>11564</v>
      </c>
    </row>
    <row r="1881" spans="1:50">
      <c r="A1881" s="1">
        <f>HYPERLINK("https://cms.ls-nyc.org/matter/dynamic-profile/view/1870737","18-1870737")</f>
        <v>0</v>
      </c>
      <c r="B1881" t="s">
        <v>178</v>
      </c>
      <c r="C1881" t="s">
        <v>234</v>
      </c>
      <c r="D1881" t="s">
        <v>309</v>
      </c>
      <c r="E1881" t="s">
        <v>666</v>
      </c>
      <c r="F1881" t="s">
        <v>883</v>
      </c>
      <c r="G1881" t="s">
        <v>2761</v>
      </c>
      <c r="H1881" t="s">
        <v>4413</v>
      </c>
      <c r="I1881" t="s">
        <v>4734</v>
      </c>
      <c r="J1881" t="s">
        <v>5320</v>
      </c>
      <c r="K1881">
        <v>11233</v>
      </c>
      <c r="L1881" t="s">
        <v>5355</v>
      </c>
      <c r="M1881" t="s">
        <v>5355</v>
      </c>
      <c r="N1881" t="s">
        <v>6051</v>
      </c>
      <c r="O1881" t="s">
        <v>6492</v>
      </c>
      <c r="P1881" t="s">
        <v>6530</v>
      </c>
      <c r="Q1881" t="s">
        <v>6534</v>
      </c>
      <c r="R1881" t="s">
        <v>6539</v>
      </c>
      <c r="U1881" t="s">
        <v>6557</v>
      </c>
      <c r="W1881" t="s">
        <v>516</v>
      </c>
      <c r="X1881">
        <v>995</v>
      </c>
      <c r="Y1881" t="s">
        <v>6605</v>
      </c>
      <c r="Z1881" t="s">
        <v>6611</v>
      </c>
      <c r="AA1881" t="s">
        <v>6637</v>
      </c>
      <c r="AB1881" t="s">
        <v>8217</v>
      </c>
      <c r="AD1881" t="s">
        <v>10548</v>
      </c>
      <c r="AE1881">
        <v>6</v>
      </c>
      <c r="AG1881" t="s">
        <v>11026</v>
      </c>
      <c r="AH1881">
        <v>4</v>
      </c>
      <c r="AI1881">
        <v>1</v>
      </c>
      <c r="AJ1881">
        <v>0</v>
      </c>
      <c r="AK1881">
        <v>86</v>
      </c>
      <c r="AN1881" t="s">
        <v>11050</v>
      </c>
      <c r="AO1881">
        <v>10440</v>
      </c>
      <c r="AR1881" t="s">
        <v>11210</v>
      </c>
      <c r="AS1881" t="s">
        <v>11253</v>
      </c>
      <c r="AT1881" t="s">
        <v>11362</v>
      </c>
      <c r="AU1881">
        <v>17.75</v>
      </c>
      <c r="AV1881" t="s">
        <v>666</v>
      </c>
      <c r="AW1881" t="s">
        <v>11503</v>
      </c>
    </row>
    <row r="1882" spans="1:50">
      <c r="A1882" s="1">
        <f>HYPERLINK("https://cms.ls-nyc.org/matter/dynamic-profile/view/1861395","18-1861395")</f>
        <v>0</v>
      </c>
      <c r="B1882" t="s">
        <v>217</v>
      </c>
      <c r="C1882" t="s">
        <v>235</v>
      </c>
      <c r="D1882" t="s">
        <v>330</v>
      </c>
      <c r="F1882" t="s">
        <v>902</v>
      </c>
      <c r="G1882" t="s">
        <v>3102</v>
      </c>
      <c r="H1882" t="s">
        <v>3944</v>
      </c>
      <c r="I1882" t="s">
        <v>5219</v>
      </c>
      <c r="J1882" t="s">
        <v>5326</v>
      </c>
      <c r="K1882">
        <v>11691</v>
      </c>
      <c r="L1882" t="s">
        <v>5355</v>
      </c>
      <c r="M1882" t="s">
        <v>5356</v>
      </c>
      <c r="N1882" t="s">
        <v>6052</v>
      </c>
      <c r="O1882" t="s">
        <v>6491</v>
      </c>
      <c r="P1882" t="s">
        <v>6530</v>
      </c>
      <c r="R1882" t="s">
        <v>6539</v>
      </c>
      <c r="S1882" t="s">
        <v>5357</v>
      </c>
      <c r="U1882" t="s">
        <v>6557</v>
      </c>
      <c r="W1882" t="s">
        <v>330</v>
      </c>
      <c r="X1882">
        <v>906</v>
      </c>
      <c r="Y1882" t="s">
        <v>6604</v>
      </c>
      <c r="Z1882" t="s">
        <v>6615</v>
      </c>
      <c r="AB1882" t="s">
        <v>8218</v>
      </c>
      <c r="AC1882" t="s">
        <v>9019</v>
      </c>
      <c r="AD1882" t="s">
        <v>10549</v>
      </c>
      <c r="AE1882">
        <v>375</v>
      </c>
      <c r="AF1882" t="s">
        <v>11010</v>
      </c>
      <c r="AG1882" t="s">
        <v>11020</v>
      </c>
      <c r="AH1882">
        <v>8</v>
      </c>
      <c r="AI1882">
        <v>1</v>
      </c>
      <c r="AJ1882">
        <v>0</v>
      </c>
      <c r="AK1882">
        <v>86.09999999999999</v>
      </c>
      <c r="AN1882" t="s">
        <v>11050</v>
      </c>
      <c r="AO1882">
        <v>10452</v>
      </c>
      <c r="AP1882" t="s">
        <v>11082</v>
      </c>
      <c r="AU1882">
        <v>31.15</v>
      </c>
      <c r="AV1882" t="s">
        <v>702</v>
      </c>
      <c r="AW1882" t="s">
        <v>11506</v>
      </c>
    </row>
    <row r="1883" spans="1:50">
      <c r="A1883" s="1">
        <f>HYPERLINK("https://cms.ls-nyc.org/matter/dynamic-profile/view/1839788","17-1839788")</f>
        <v>0</v>
      </c>
      <c r="B1883" t="s">
        <v>68</v>
      </c>
      <c r="C1883" t="s">
        <v>235</v>
      </c>
      <c r="D1883" t="s">
        <v>564</v>
      </c>
      <c r="F1883" t="s">
        <v>1409</v>
      </c>
      <c r="G1883" t="s">
        <v>2215</v>
      </c>
      <c r="H1883" t="s">
        <v>4414</v>
      </c>
      <c r="I1883" t="s">
        <v>4772</v>
      </c>
      <c r="J1883" t="s">
        <v>5323</v>
      </c>
      <c r="K1883">
        <v>10029</v>
      </c>
      <c r="L1883" t="s">
        <v>5355</v>
      </c>
      <c r="M1883" t="s">
        <v>5356</v>
      </c>
      <c r="N1883" t="s">
        <v>6053</v>
      </c>
      <c r="O1883" t="s">
        <v>6491</v>
      </c>
      <c r="P1883" t="s">
        <v>6530</v>
      </c>
      <c r="R1883" t="s">
        <v>6539</v>
      </c>
      <c r="S1883" t="s">
        <v>5357</v>
      </c>
      <c r="U1883" t="s">
        <v>6557</v>
      </c>
      <c r="V1883" t="s">
        <v>6566</v>
      </c>
      <c r="W1883" t="s">
        <v>262</v>
      </c>
      <c r="X1883">
        <v>637.2</v>
      </c>
      <c r="Y1883" t="s">
        <v>6608</v>
      </c>
      <c r="Z1883" t="s">
        <v>6614</v>
      </c>
      <c r="AB1883" t="s">
        <v>8219</v>
      </c>
      <c r="AD1883" t="s">
        <v>10550</v>
      </c>
      <c r="AE1883">
        <v>10</v>
      </c>
      <c r="AF1883" t="s">
        <v>11005</v>
      </c>
      <c r="AG1883" t="s">
        <v>5406</v>
      </c>
      <c r="AH1883">
        <v>11</v>
      </c>
      <c r="AI1883">
        <v>1</v>
      </c>
      <c r="AJ1883">
        <v>2</v>
      </c>
      <c r="AK1883">
        <v>86.15000000000001</v>
      </c>
      <c r="AN1883" t="s">
        <v>11049</v>
      </c>
      <c r="AO1883">
        <v>27216</v>
      </c>
      <c r="AU1883">
        <v>29.05</v>
      </c>
      <c r="AV1883" t="s">
        <v>691</v>
      </c>
      <c r="AW1883" t="s">
        <v>11497</v>
      </c>
      <c r="AX1883" t="s">
        <v>11564</v>
      </c>
    </row>
    <row r="1884" spans="1:50">
      <c r="A1884" s="1">
        <f>HYPERLINK("https://cms.ls-nyc.org/matter/dynamic-profile/view/1844969","17-1844969")</f>
        <v>0</v>
      </c>
      <c r="B1884" t="s">
        <v>97</v>
      </c>
      <c r="C1884" t="s">
        <v>235</v>
      </c>
      <c r="D1884" t="s">
        <v>419</v>
      </c>
      <c r="F1884" t="s">
        <v>1855</v>
      </c>
      <c r="G1884" t="s">
        <v>3163</v>
      </c>
      <c r="H1884" t="s">
        <v>4415</v>
      </c>
      <c r="I1884" t="s">
        <v>5220</v>
      </c>
      <c r="J1884" t="s">
        <v>5323</v>
      </c>
      <c r="K1884">
        <v>10025</v>
      </c>
      <c r="L1884" t="s">
        <v>5355</v>
      </c>
      <c r="M1884" t="s">
        <v>5356</v>
      </c>
      <c r="N1884" t="s">
        <v>6054</v>
      </c>
      <c r="O1884" t="s">
        <v>6491</v>
      </c>
      <c r="P1884" t="s">
        <v>6530</v>
      </c>
      <c r="R1884" t="s">
        <v>6540</v>
      </c>
      <c r="S1884" t="s">
        <v>5357</v>
      </c>
      <c r="U1884" t="s">
        <v>6557</v>
      </c>
      <c r="W1884" t="s">
        <v>6573</v>
      </c>
      <c r="X1884">
        <v>1127</v>
      </c>
      <c r="Y1884" t="s">
        <v>6608</v>
      </c>
      <c r="Z1884" t="s">
        <v>6610</v>
      </c>
      <c r="AB1884" t="s">
        <v>8220</v>
      </c>
      <c r="AD1884" t="s">
        <v>10551</v>
      </c>
      <c r="AE1884">
        <v>207</v>
      </c>
      <c r="AF1884" t="s">
        <v>8722</v>
      </c>
      <c r="AG1884" t="s">
        <v>5406</v>
      </c>
      <c r="AH1884">
        <v>4</v>
      </c>
      <c r="AI1884">
        <v>1</v>
      </c>
      <c r="AJ1884">
        <v>0</v>
      </c>
      <c r="AK1884">
        <v>86.23999999999999</v>
      </c>
      <c r="AL1884" t="s">
        <v>11028</v>
      </c>
      <c r="AN1884" t="s">
        <v>11050</v>
      </c>
      <c r="AO1884">
        <v>10400</v>
      </c>
      <c r="AU1884">
        <v>63.7</v>
      </c>
      <c r="AV1884" t="s">
        <v>664</v>
      </c>
      <c r="AW1884" t="s">
        <v>11525</v>
      </c>
    </row>
    <row r="1885" spans="1:50">
      <c r="A1885" s="1">
        <f>HYPERLINK("https://cms.ls-nyc.org/matter/dynamic-profile/view/1866753","18-1866753")</f>
        <v>0</v>
      </c>
      <c r="B1885" t="s">
        <v>72</v>
      </c>
      <c r="C1885" t="s">
        <v>234</v>
      </c>
      <c r="D1885" t="s">
        <v>335</v>
      </c>
      <c r="E1885" t="s">
        <v>675</v>
      </c>
      <c r="F1885" t="s">
        <v>1392</v>
      </c>
      <c r="G1885" t="s">
        <v>2654</v>
      </c>
      <c r="H1885" t="s">
        <v>3603</v>
      </c>
      <c r="I1885" t="s">
        <v>4783</v>
      </c>
      <c r="J1885" t="s">
        <v>5320</v>
      </c>
      <c r="K1885">
        <v>11213</v>
      </c>
      <c r="L1885" t="s">
        <v>5355</v>
      </c>
      <c r="M1885" t="s">
        <v>5356</v>
      </c>
      <c r="O1885" t="s">
        <v>6500</v>
      </c>
      <c r="P1885" t="s">
        <v>6530</v>
      </c>
      <c r="Q1885" t="s">
        <v>6538</v>
      </c>
      <c r="R1885" t="s">
        <v>6539</v>
      </c>
      <c r="S1885" t="s">
        <v>5355</v>
      </c>
      <c r="U1885" t="s">
        <v>6557</v>
      </c>
      <c r="W1885" t="s">
        <v>335</v>
      </c>
      <c r="X1885">
        <v>1122</v>
      </c>
      <c r="Y1885" t="s">
        <v>6605</v>
      </c>
      <c r="Z1885" t="s">
        <v>6622</v>
      </c>
      <c r="AA1885" t="s">
        <v>6637</v>
      </c>
      <c r="AB1885" t="s">
        <v>7397</v>
      </c>
      <c r="AD1885" t="s">
        <v>9769</v>
      </c>
      <c r="AE1885">
        <v>27</v>
      </c>
      <c r="AF1885" t="s">
        <v>11005</v>
      </c>
      <c r="AG1885" t="s">
        <v>5406</v>
      </c>
      <c r="AH1885">
        <v>13</v>
      </c>
      <c r="AI1885">
        <v>1</v>
      </c>
      <c r="AJ1885">
        <v>2</v>
      </c>
      <c r="AK1885">
        <v>86.62</v>
      </c>
      <c r="AN1885" t="s">
        <v>11050</v>
      </c>
      <c r="AO1885">
        <v>18000</v>
      </c>
      <c r="AU1885">
        <v>29.62</v>
      </c>
      <c r="AV1885" t="s">
        <v>11029</v>
      </c>
      <c r="AW1885" t="s">
        <v>11512</v>
      </c>
    </row>
    <row r="1886" spans="1:50">
      <c r="A1886" s="1">
        <f>HYPERLINK("https://cms.ls-nyc.org/matter/dynamic-profile/view/1867941","18-1867941")</f>
        <v>0</v>
      </c>
      <c r="B1886" t="s">
        <v>97</v>
      </c>
      <c r="C1886" t="s">
        <v>235</v>
      </c>
      <c r="D1886" t="s">
        <v>452</v>
      </c>
      <c r="F1886" t="s">
        <v>1393</v>
      </c>
      <c r="G1886" t="s">
        <v>2655</v>
      </c>
      <c r="H1886" t="s">
        <v>3998</v>
      </c>
      <c r="I1886" t="s">
        <v>4750</v>
      </c>
      <c r="J1886" t="s">
        <v>5323</v>
      </c>
      <c r="K1886">
        <v>10034</v>
      </c>
      <c r="L1886" t="s">
        <v>5355</v>
      </c>
      <c r="M1886" t="s">
        <v>5356</v>
      </c>
      <c r="N1886" t="s">
        <v>6055</v>
      </c>
      <c r="O1886" t="s">
        <v>6492</v>
      </c>
      <c r="P1886" t="s">
        <v>6530</v>
      </c>
      <c r="R1886" t="s">
        <v>6539</v>
      </c>
      <c r="S1886" t="s">
        <v>5357</v>
      </c>
      <c r="U1886" t="s">
        <v>6557</v>
      </c>
      <c r="W1886" t="s">
        <v>452</v>
      </c>
      <c r="X1886">
        <v>432.57</v>
      </c>
      <c r="Y1886" t="s">
        <v>6608</v>
      </c>
      <c r="Z1886" t="s">
        <v>6614</v>
      </c>
      <c r="AB1886" t="s">
        <v>7399</v>
      </c>
      <c r="AD1886" t="s">
        <v>9771</v>
      </c>
      <c r="AE1886">
        <v>41</v>
      </c>
      <c r="AF1886" t="s">
        <v>11006</v>
      </c>
      <c r="AG1886" t="s">
        <v>5406</v>
      </c>
      <c r="AH1886">
        <v>51</v>
      </c>
      <c r="AI1886">
        <v>1</v>
      </c>
      <c r="AJ1886">
        <v>0</v>
      </c>
      <c r="AK1886">
        <v>86.83</v>
      </c>
      <c r="AN1886" t="s">
        <v>11050</v>
      </c>
      <c r="AO1886">
        <v>10540.8</v>
      </c>
      <c r="AU1886">
        <v>8.199999999999999</v>
      </c>
      <c r="AV1886" t="s">
        <v>600</v>
      </c>
      <c r="AW1886" t="s">
        <v>11495</v>
      </c>
    </row>
    <row r="1887" spans="1:50">
      <c r="A1887" s="1">
        <f>HYPERLINK("https://cms.ls-nyc.org/matter/dynamic-profile/view/1836213","17-1836213")</f>
        <v>0</v>
      </c>
      <c r="B1887" t="s">
        <v>90</v>
      </c>
      <c r="C1887" t="s">
        <v>234</v>
      </c>
      <c r="D1887" t="s">
        <v>512</v>
      </c>
      <c r="E1887" t="s">
        <v>398</v>
      </c>
      <c r="F1887" t="s">
        <v>1805</v>
      </c>
      <c r="G1887" t="s">
        <v>1086</v>
      </c>
      <c r="H1887" t="s">
        <v>4361</v>
      </c>
      <c r="I1887" t="s">
        <v>5221</v>
      </c>
      <c r="J1887" t="s">
        <v>5321</v>
      </c>
      <c r="K1887">
        <v>10453</v>
      </c>
      <c r="L1887" t="s">
        <v>5355</v>
      </c>
      <c r="M1887" t="s">
        <v>5356</v>
      </c>
      <c r="N1887" t="s">
        <v>5968</v>
      </c>
      <c r="O1887" t="s">
        <v>6494</v>
      </c>
      <c r="P1887" t="s">
        <v>6530</v>
      </c>
      <c r="Q1887" t="s">
        <v>6538</v>
      </c>
      <c r="R1887" t="s">
        <v>6539</v>
      </c>
      <c r="S1887" t="s">
        <v>5355</v>
      </c>
      <c r="U1887" t="s">
        <v>6557</v>
      </c>
      <c r="W1887" t="s">
        <v>511</v>
      </c>
      <c r="X1887">
        <v>832.37</v>
      </c>
      <c r="Y1887" t="s">
        <v>6606</v>
      </c>
      <c r="AA1887" t="s">
        <v>6634</v>
      </c>
      <c r="AB1887" t="s">
        <v>8221</v>
      </c>
      <c r="AD1887" t="s">
        <v>10552</v>
      </c>
      <c r="AE1887">
        <v>111</v>
      </c>
      <c r="AF1887" t="s">
        <v>11005</v>
      </c>
      <c r="AH1887">
        <v>32</v>
      </c>
      <c r="AI1887">
        <v>2</v>
      </c>
      <c r="AJ1887">
        <v>3</v>
      </c>
      <c r="AK1887">
        <v>86.87</v>
      </c>
      <c r="AN1887" t="s">
        <v>11050</v>
      </c>
      <c r="AO1887">
        <v>25000</v>
      </c>
      <c r="AU1887">
        <v>0.2</v>
      </c>
      <c r="AV1887" t="s">
        <v>398</v>
      </c>
      <c r="AW1887" t="s">
        <v>11509</v>
      </c>
    </row>
    <row r="1888" spans="1:50">
      <c r="A1888" s="1">
        <f>HYPERLINK("https://cms.ls-nyc.org/matter/dynamic-profile/view/1847636","17-1847636")</f>
        <v>0</v>
      </c>
      <c r="B1888" t="s">
        <v>131</v>
      </c>
      <c r="C1888" t="s">
        <v>235</v>
      </c>
      <c r="D1888" t="s">
        <v>346</v>
      </c>
      <c r="F1888" t="s">
        <v>1856</v>
      </c>
      <c r="G1888" t="s">
        <v>3164</v>
      </c>
      <c r="H1888" t="s">
        <v>4269</v>
      </c>
      <c r="I1888" t="s">
        <v>4752</v>
      </c>
      <c r="J1888" t="s">
        <v>5323</v>
      </c>
      <c r="K1888">
        <v>10034</v>
      </c>
      <c r="L1888" t="s">
        <v>5355</v>
      </c>
      <c r="M1888" t="s">
        <v>5356</v>
      </c>
      <c r="O1888" t="s">
        <v>6494</v>
      </c>
      <c r="P1888" t="s">
        <v>6530</v>
      </c>
      <c r="R1888" t="s">
        <v>6539</v>
      </c>
      <c r="S1888" t="s">
        <v>5355</v>
      </c>
      <c r="U1888" t="s">
        <v>6557</v>
      </c>
      <c r="W1888" t="s">
        <v>390</v>
      </c>
      <c r="X1888">
        <v>981.25</v>
      </c>
      <c r="Y1888" t="s">
        <v>6608</v>
      </c>
      <c r="Z1888" t="s">
        <v>6616</v>
      </c>
      <c r="AB1888" t="s">
        <v>8222</v>
      </c>
      <c r="AD1888" t="s">
        <v>10553</v>
      </c>
      <c r="AE1888">
        <v>50</v>
      </c>
      <c r="AF1888" t="s">
        <v>11005</v>
      </c>
      <c r="AG1888" t="s">
        <v>5406</v>
      </c>
      <c r="AH1888">
        <v>11</v>
      </c>
      <c r="AI1888">
        <v>3</v>
      </c>
      <c r="AJ1888">
        <v>2</v>
      </c>
      <c r="AK1888">
        <v>86.87</v>
      </c>
      <c r="AN1888" t="s">
        <v>11049</v>
      </c>
      <c r="AO1888">
        <v>25000</v>
      </c>
      <c r="AU1888">
        <v>0</v>
      </c>
      <c r="AW1888" t="s">
        <v>11495</v>
      </c>
    </row>
    <row r="1889" spans="1:49">
      <c r="A1889" s="1">
        <f>HYPERLINK("https://cms.ls-nyc.org/matter/dynamic-profile/view/1864524","18-1864524")</f>
        <v>0</v>
      </c>
      <c r="B1889" t="s">
        <v>133</v>
      </c>
      <c r="C1889" t="s">
        <v>234</v>
      </c>
      <c r="D1889" t="s">
        <v>256</v>
      </c>
      <c r="E1889" t="s">
        <v>791</v>
      </c>
      <c r="F1889" t="s">
        <v>1857</v>
      </c>
      <c r="G1889" t="s">
        <v>3165</v>
      </c>
      <c r="H1889" t="s">
        <v>4416</v>
      </c>
      <c r="I1889" t="s">
        <v>5222</v>
      </c>
      <c r="J1889" t="s">
        <v>5324</v>
      </c>
      <c r="K1889">
        <v>11355</v>
      </c>
      <c r="L1889" t="s">
        <v>5355</v>
      </c>
      <c r="M1889" t="s">
        <v>5355</v>
      </c>
      <c r="N1889" t="s">
        <v>6056</v>
      </c>
      <c r="O1889" t="s">
        <v>6491</v>
      </c>
      <c r="P1889" t="s">
        <v>6530</v>
      </c>
      <c r="Q1889" t="s">
        <v>6534</v>
      </c>
      <c r="R1889" t="s">
        <v>6539</v>
      </c>
      <c r="S1889" t="s">
        <v>5357</v>
      </c>
      <c r="U1889" t="s">
        <v>6557</v>
      </c>
      <c r="V1889" t="s">
        <v>6566</v>
      </c>
      <c r="W1889" t="s">
        <v>256</v>
      </c>
      <c r="X1889">
        <v>800</v>
      </c>
      <c r="Y1889" t="s">
        <v>6604</v>
      </c>
      <c r="Z1889" t="s">
        <v>6620</v>
      </c>
      <c r="AA1889" t="s">
        <v>6632</v>
      </c>
      <c r="AB1889" t="s">
        <v>8223</v>
      </c>
      <c r="AC1889" t="s">
        <v>9020</v>
      </c>
      <c r="AD1889" t="s">
        <v>10554</v>
      </c>
      <c r="AE1889">
        <v>154</v>
      </c>
      <c r="AF1889" t="s">
        <v>11012</v>
      </c>
      <c r="AG1889" t="s">
        <v>5406</v>
      </c>
      <c r="AH1889">
        <v>1</v>
      </c>
      <c r="AI1889">
        <v>2</v>
      </c>
      <c r="AJ1889">
        <v>0</v>
      </c>
      <c r="AK1889">
        <v>87.01000000000001</v>
      </c>
      <c r="AN1889" t="s">
        <v>11053</v>
      </c>
      <c r="AO1889">
        <v>14322</v>
      </c>
      <c r="AQ1889" t="s">
        <v>11190</v>
      </c>
      <c r="AR1889" t="s">
        <v>11210</v>
      </c>
      <c r="AS1889" t="s">
        <v>11252</v>
      </c>
      <c r="AT1889" t="s">
        <v>11378</v>
      </c>
      <c r="AU1889">
        <v>38.9</v>
      </c>
      <c r="AV1889" t="s">
        <v>669</v>
      </c>
      <c r="AW1889" t="s">
        <v>133</v>
      </c>
    </row>
    <row r="1890" spans="1:49">
      <c r="A1890" s="1">
        <f>HYPERLINK("https://cms.ls-nyc.org/matter/dynamic-profile/view/0818096","16-0818096")</f>
        <v>0</v>
      </c>
      <c r="B1890" t="s">
        <v>66</v>
      </c>
      <c r="C1890" t="s">
        <v>234</v>
      </c>
      <c r="D1890" t="s">
        <v>507</v>
      </c>
      <c r="E1890" t="s">
        <v>402</v>
      </c>
      <c r="F1890" t="s">
        <v>1858</v>
      </c>
      <c r="G1890" t="s">
        <v>1739</v>
      </c>
      <c r="H1890" t="s">
        <v>4417</v>
      </c>
      <c r="I1890">
        <v>41</v>
      </c>
      <c r="J1890" t="s">
        <v>5323</v>
      </c>
      <c r="K1890">
        <v>10030</v>
      </c>
      <c r="L1890" t="s">
        <v>5355</v>
      </c>
      <c r="M1890" t="s">
        <v>5356</v>
      </c>
      <c r="N1890" t="s">
        <v>6057</v>
      </c>
      <c r="O1890" t="s">
        <v>6491</v>
      </c>
      <c r="P1890" t="s">
        <v>6530</v>
      </c>
      <c r="Q1890" t="s">
        <v>6534</v>
      </c>
      <c r="R1890" t="s">
        <v>6539</v>
      </c>
      <c r="S1890" t="s">
        <v>5357</v>
      </c>
      <c r="T1890" t="s">
        <v>6542</v>
      </c>
      <c r="U1890" t="s">
        <v>6557</v>
      </c>
      <c r="W1890" t="s">
        <v>322</v>
      </c>
      <c r="X1890">
        <v>2700</v>
      </c>
      <c r="Y1890" t="s">
        <v>6608</v>
      </c>
      <c r="AA1890" t="s">
        <v>6637</v>
      </c>
      <c r="AB1890" t="s">
        <v>8224</v>
      </c>
      <c r="AD1890" t="s">
        <v>10555</v>
      </c>
      <c r="AE1890">
        <v>0</v>
      </c>
      <c r="AF1890" t="s">
        <v>11005</v>
      </c>
      <c r="AG1890" t="s">
        <v>5406</v>
      </c>
      <c r="AH1890">
        <v>16</v>
      </c>
      <c r="AI1890">
        <v>1</v>
      </c>
      <c r="AJ1890">
        <v>0</v>
      </c>
      <c r="AK1890">
        <v>87.54000000000001</v>
      </c>
      <c r="AN1890" t="s">
        <v>11063</v>
      </c>
      <c r="AO1890">
        <v>10400</v>
      </c>
      <c r="AU1890">
        <v>37.95</v>
      </c>
      <c r="AV1890" t="s">
        <v>322</v>
      </c>
      <c r="AW1890" t="s">
        <v>11526</v>
      </c>
    </row>
    <row r="1891" spans="1:49">
      <c r="A1891" s="1">
        <f>HYPERLINK("https://cms.ls-nyc.org/matter/dynamic-profile/view/1840792","17-1840792")</f>
        <v>0</v>
      </c>
      <c r="B1891" t="s">
        <v>83</v>
      </c>
      <c r="C1891" t="s">
        <v>234</v>
      </c>
      <c r="D1891" t="s">
        <v>526</v>
      </c>
      <c r="E1891" t="s">
        <v>688</v>
      </c>
      <c r="F1891" t="s">
        <v>1859</v>
      </c>
      <c r="G1891" t="s">
        <v>2215</v>
      </c>
      <c r="H1891" t="s">
        <v>4418</v>
      </c>
      <c r="I1891">
        <v>1</v>
      </c>
      <c r="J1891" t="s">
        <v>5323</v>
      </c>
      <c r="K1891">
        <v>10029</v>
      </c>
      <c r="L1891" t="s">
        <v>5355</v>
      </c>
      <c r="M1891" t="s">
        <v>5355</v>
      </c>
      <c r="N1891" t="s">
        <v>6058</v>
      </c>
      <c r="O1891" t="s">
        <v>6491</v>
      </c>
      <c r="P1891" t="s">
        <v>6530</v>
      </c>
      <c r="Q1891" t="s">
        <v>6534</v>
      </c>
      <c r="R1891" t="s">
        <v>6539</v>
      </c>
      <c r="S1891" t="s">
        <v>5357</v>
      </c>
      <c r="U1891" t="s">
        <v>6557</v>
      </c>
      <c r="V1891" t="s">
        <v>6566</v>
      </c>
      <c r="W1891" t="s">
        <v>526</v>
      </c>
      <c r="X1891">
        <v>450</v>
      </c>
      <c r="Y1891" t="s">
        <v>6608</v>
      </c>
      <c r="Z1891" t="s">
        <v>6616</v>
      </c>
      <c r="AA1891" t="s">
        <v>6633</v>
      </c>
      <c r="AB1891" t="s">
        <v>8225</v>
      </c>
      <c r="AD1891" t="s">
        <v>10556</v>
      </c>
      <c r="AE1891">
        <v>5</v>
      </c>
      <c r="AF1891" t="s">
        <v>11005</v>
      </c>
      <c r="AG1891" t="s">
        <v>5406</v>
      </c>
      <c r="AH1891">
        <v>40</v>
      </c>
      <c r="AI1891">
        <v>1</v>
      </c>
      <c r="AJ1891">
        <v>0</v>
      </c>
      <c r="AK1891">
        <v>87.56</v>
      </c>
      <c r="AN1891" t="s">
        <v>11050</v>
      </c>
      <c r="AO1891">
        <v>10560</v>
      </c>
      <c r="AU1891">
        <v>23.8</v>
      </c>
      <c r="AV1891" t="s">
        <v>397</v>
      </c>
      <c r="AW1891" t="s">
        <v>11497</v>
      </c>
    </row>
    <row r="1892" spans="1:49">
      <c r="A1892" s="1">
        <f>HYPERLINK("https://cms.ls-nyc.org/matter/dynamic-profile/view/1845402","17-1845402")</f>
        <v>0</v>
      </c>
      <c r="B1892" t="s">
        <v>156</v>
      </c>
      <c r="C1892" t="s">
        <v>235</v>
      </c>
      <c r="D1892" t="s">
        <v>457</v>
      </c>
      <c r="F1892" t="s">
        <v>884</v>
      </c>
      <c r="G1892" t="s">
        <v>1484</v>
      </c>
      <c r="H1892" t="s">
        <v>4419</v>
      </c>
      <c r="I1892" t="s">
        <v>4780</v>
      </c>
      <c r="J1892" t="s">
        <v>5322</v>
      </c>
      <c r="K1892">
        <v>10304</v>
      </c>
      <c r="L1892" t="s">
        <v>5355</v>
      </c>
      <c r="M1892" t="s">
        <v>5356</v>
      </c>
      <c r="N1892" t="s">
        <v>6059</v>
      </c>
      <c r="O1892" t="s">
        <v>6492</v>
      </c>
      <c r="P1892" t="s">
        <v>6530</v>
      </c>
      <c r="R1892" t="s">
        <v>6539</v>
      </c>
      <c r="S1892" t="s">
        <v>5357</v>
      </c>
      <c r="U1892" t="s">
        <v>6557</v>
      </c>
      <c r="W1892" t="s">
        <v>419</v>
      </c>
      <c r="X1892">
        <v>0</v>
      </c>
      <c r="Y1892" t="s">
        <v>6607</v>
      </c>
      <c r="Z1892" t="s">
        <v>6614</v>
      </c>
      <c r="AB1892" t="s">
        <v>8226</v>
      </c>
      <c r="AC1892" t="s">
        <v>9021</v>
      </c>
      <c r="AD1892" t="s">
        <v>10557</v>
      </c>
      <c r="AE1892">
        <v>6</v>
      </c>
      <c r="AF1892" t="s">
        <v>11005</v>
      </c>
      <c r="AG1892" t="s">
        <v>5406</v>
      </c>
      <c r="AH1892">
        <v>4</v>
      </c>
      <c r="AI1892">
        <v>3</v>
      </c>
      <c r="AJ1892">
        <v>0</v>
      </c>
      <c r="AK1892">
        <v>87.68000000000001</v>
      </c>
      <c r="AN1892" t="s">
        <v>11050</v>
      </c>
      <c r="AO1892">
        <v>17904</v>
      </c>
      <c r="AU1892">
        <v>52.9</v>
      </c>
      <c r="AV1892" t="s">
        <v>11461</v>
      </c>
      <c r="AW1892" t="s">
        <v>11550</v>
      </c>
    </row>
    <row r="1893" spans="1:49">
      <c r="A1893" s="1">
        <f>HYPERLINK("https://cms.ls-nyc.org/matter/dynamic-profile/view/1843489","17-1843489")</f>
        <v>0</v>
      </c>
      <c r="B1893" t="s">
        <v>97</v>
      </c>
      <c r="C1893" t="s">
        <v>235</v>
      </c>
      <c r="D1893" t="s">
        <v>460</v>
      </c>
      <c r="F1893" t="s">
        <v>1830</v>
      </c>
      <c r="G1893" t="s">
        <v>3166</v>
      </c>
      <c r="H1893" t="s">
        <v>3836</v>
      </c>
      <c r="I1893">
        <v>33</v>
      </c>
      <c r="J1893" t="s">
        <v>5323</v>
      </c>
      <c r="K1893">
        <v>10031</v>
      </c>
      <c r="L1893" t="s">
        <v>5355</v>
      </c>
      <c r="M1893" t="s">
        <v>5356</v>
      </c>
      <c r="N1893" t="s">
        <v>6060</v>
      </c>
      <c r="O1893" t="s">
        <v>6491</v>
      </c>
      <c r="P1893" t="s">
        <v>6530</v>
      </c>
      <c r="R1893" t="s">
        <v>6539</v>
      </c>
      <c r="S1893" t="s">
        <v>5357</v>
      </c>
      <c r="U1893" t="s">
        <v>6557</v>
      </c>
      <c r="W1893" t="s">
        <v>472</v>
      </c>
      <c r="X1893">
        <v>424.4</v>
      </c>
      <c r="Y1893" t="s">
        <v>6608</v>
      </c>
      <c r="Z1893" t="s">
        <v>6616</v>
      </c>
      <c r="AB1893" t="s">
        <v>8227</v>
      </c>
      <c r="AD1893" t="s">
        <v>10558</v>
      </c>
      <c r="AE1893">
        <v>26</v>
      </c>
      <c r="AF1893" t="s">
        <v>11005</v>
      </c>
      <c r="AG1893" t="s">
        <v>5406</v>
      </c>
      <c r="AH1893">
        <v>60</v>
      </c>
      <c r="AI1893">
        <v>1</v>
      </c>
      <c r="AJ1893">
        <v>0</v>
      </c>
      <c r="AK1893">
        <v>88.06</v>
      </c>
      <c r="AL1893" t="s">
        <v>658</v>
      </c>
      <c r="AN1893" t="s">
        <v>11050</v>
      </c>
      <c r="AO1893">
        <v>10620</v>
      </c>
      <c r="AU1893">
        <v>22.1</v>
      </c>
      <c r="AV1893" t="s">
        <v>828</v>
      </c>
      <c r="AW1893" t="s">
        <v>11495</v>
      </c>
    </row>
    <row r="1894" spans="1:49">
      <c r="A1894" s="1">
        <f>HYPERLINK("https://cms.ls-nyc.org/matter/dynamic-profile/view/1869373","18-1869373")</f>
        <v>0</v>
      </c>
      <c r="B1894" t="s">
        <v>104</v>
      </c>
      <c r="C1894" t="s">
        <v>235</v>
      </c>
      <c r="D1894" t="s">
        <v>253</v>
      </c>
      <c r="F1894" t="s">
        <v>1860</v>
      </c>
      <c r="G1894" t="s">
        <v>2476</v>
      </c>
      <c r="H1894" t="s">
        <v>4420</v>
      </c>
      <c r="I1894" t="s">
        <v>4972</v>
      </c>
      <c r="J1894" t="s">
        <v>5321</v>
      </c>
      <c r="K1894">
        <v>10453</v>
      </c>
      <c r="L1894" t="s">
        <v>5355</v>
      </c>
      <c r="M1894" t="s">
        <v>5356</v>
      </c>
      <c r="N1894" t="s">
        <v>6061</v>
      </c>
      <c r="O1894" t="s">
        <v>6492</v>
      </c>
      <c r="P1894" t="s">
        <v>6530</v>
      </c>
      <c r="R1894" t="s">
        <v>6539</v>
      </c>
      <c r="S1894" t="s">
        <v>5357</v>
      </c>
      <c r="U1894" t="s">
        <v>6557</v>
      </c>
      <c r="W1894" t="s">
        <v>275</v>
      </c>
      <c r="X1894">
        <v>1450</v>
      </c>
      <c r="Y1894" t="s">
        <v>6606</v>
      </c>
      <c r="Z1894" t="s">
        <v>6613</v>
      </c>
      <c r="AB1894" t="s">
        <v>8228</v>
      </c>
      <c r="AC1894" t="s">
        <v>9022</v>
      </c>
      <c r="AD1894" t="s">
        <v>10559</v>
      </c>
      <c r="AE1894">
        <v>55</v>
      </c>
      <c r="AF1894" t="s">
        <v>11005</v>
      </c>
      <c r="AG1894" t="s">
        <v>5406</v>
      </c>
      <c r="AH1894">
        <v>1</v>
      </c>
      <c r="AI1894">
        <v>1</v>
      </c>
      <c r="AJ1894">
        <v>1</v>
      </c>
      <c r="AK1894">
        <v>88.45999999999999</v>
      </c>
      <c r="AO1894">
        <v>14560</v>
      </c>
      <c r="AU1894">
        <v>7.1</v>
      </c>
      <c r="AV1894" t="s">
        <v>820</v>
      </c>
      <c r="AW1894" t="s">
        <v>11499</v>
      </c>
    </row>
    <row r="1895" spans="1:49">
      <c r="A1895" s="1">
        <f>HYPERLINK("https://cms.ls-nyc.org/matter/dynamic-profile/view/1843299","17-1843299")</f>
        <v>0</v>
      </c>
      <c r="B1895" t="s">
        <v>212</v>
      </c>
      <c r="C1895" t="s">
        <v>234</v>
      </c>
      <c r="D1895" t="s">
        <v>438</v>
      </c>
      <c r="E1895" t="s">
        <v>738</v>
      </c>
      <c r="F1895" t="s">
        <v>1861</v>
      </c>
      <c r="G1895" t="s">
        <v>3167</v>
      </c>
      <c r="H1895" t="s">
        <v>4421</v>
      </c>
      <c r="I1895" t="s">
        <v>5223</v>
      </c>
      <c r="J1895" t="s">
        <v>5323</v>
      </c>
      <c r="K1895">
        <v>10031</v>
      </c>
      <c r="L1895" t="s">
        <v>5355</v>
      </c>
      <c r="M1895" t="s">
        <v>5357</v>
      </c>
      <c r="N1895" t="s">
        <v>6062</v>
      </c>
      <c r="O1895" t="s">
        <v>6492</v>
      </c>
      <c r="P1895" t="s">
        <v>6530</v>
      </c>
      <c r="Q1895" t="s">
        <v>6534</v>
      </c>
      <c r="R1895" t="s">
        <v>6539</v>
      </c>
      <c r="S1895" t="s">
        <v>5357</v>
      </c>
      <c r="T1895" t="s">
        <v>6550</v>
      </c>
      <c r="U1895" t="s">
        <v>6560</v>
      </c>
      <c r="V1895" t="s">
        <v>6566</v>
      </c>
      <c r="W1895" t="s">
        <v>438</v>
      </c>
      <c r="X1895">
        <v>1700</v>
      </c>
      <c r="Y1895" t="s">
        <v>6608</v>
      </c>
      <c r="Z1895" t="s">
        <v>6616</v>
      </c>
      <c r="AA1895" t="s">
        <v>6637</v>
      </c>
      <c r="AB1895" t="s">
        <v>8229</v>
      </c>
      <c r="AD1895" t="s">
        <v>10560</v>
      </c>
      <c r="AE1895">
        <v>25</v>
      </c>
      <c r="AF1895" t="s">
        <v>11008</v>
      </c>
      <c r="AG1895" t="s">
        <v>11020</v>
      </c>
      <c r="AH1895">
        <v>8</v>
      </c>
      <c r="AI1895">
        <v>1</v>
      </c>
      <c r="AJ1895">
        <v>1</v>
      </c>
      <c r="AK1895">
        <v>88.67</v>
      </c>
      <c r="AN1895" t="s">
        <v>11050</v>
      </c>
      <c r="AO1895">
        <v>14400</v>
      </c>
      <c r="AU1895">
        <v>24.1</v>
      </c>
      <c r="AV1895" t="s">
        <v>716</v>
      </c>
      <c r="AW1895" t="s">
        <v>11557</v>
      </c>
    </row>
    <row r="1896" spans="1:49">
      <c r="A1896" s="1">
        <f>HYPERLINK("https://cms.ls-nyc.org/matter/dynamic-profile/view/1864136","18-1864136")</f>
        <v>0</v>
      </c>
      <c r="B1896" t="s">
        <v>92</v>
      </c>
      <c r="C1896" t="s">
        <v>235</v>
      </c>
      <c r="D1896" t="s">
        <v>357</v>
      </c>
      <c r="F1896" t="s">
        <v>1308</v>
      </c>
      <c r="G1896" t="s">
        <v>2133</v>
      </c>
      <c r="H1896" t="s">
        <v>3579</v>
      </c>
      <c r="I1896">
        <v>514</v>
      </c>
      <c r="J1896" t="s">
        <v>5323</v>
      </c>
      <c r="K1896">
        <v>10029</v>
      </c>
      <c r="L1896" t="s">
        <v>5355</v>
      </c>
      <c r="M1896" t="s">
        <v>5355</v>
      </c>
      <c r="N1896" t="s">
        <v>5632</v>
      </c>
      <c r="O1896" t="s">
        <v>6494</v>
      </c>
      <c r="P1896" t="s">
        <v>6530</v>
      </c>
      <c r="R1896" t="s">
        <v>6539</v>
      </c>
      <c r="S1896" t="s">
        <v>5355</v>
      </c>
      <c r="U1896" t="s">
        <v>6557</v>
      </c>
      <c r="V1896" t="s">
        <v>6566</v>
      </c>
      <c r="W1896" t="s">
        <v>357</v>
      </c>
      <c r="X1896">
        <v>0</v>
      </c>
      <c r="Y1896" t="s">
        <v>6608</v>
      </c>
      <c r="Z1896" t="s">
        <v>6622</v>
      </c>
      <c r="AB1896" t="s">
        <v>8230</v>
      </c>
      <c r="AD1896" t="s">
        <v>10561</v>
      </c>
      <c r="AE1896">
        <v>108</v>
      </c>
      <c r="AF1896" t="s">
        <v>11008</v>
      </c>
      <c r="AG1896" t="s">
        <v>11020</v>
      </c>
      <c r="AH1896">
        <v>26</v>
      </c>
      <c r="AI1896">
        <v>1</v>
      </c>
      <c r="AJ1896">
        <v>0</v>
      </c>
      <c r="AK1896">
        <v>88.67</v>
      </c>
      <c r="AN1896" t="s">
        <v>11050</v>
      </c>
      <c r="AO1896">
        <v>10764</v>
      </c>
      <c r="AU1896">
        <v>0.5</v>
      </c>
      <c r="AV1896" t="s">
        <v>11453</v>
      </c>
      <c r="AW1896" t="s">
        <v>11497</v>
      </c>
    </row>
    <row r="1897" spans="1:49">
      <c r="A1897" s="1">
        <f>HYPERLINK("https://cms.ls-nyc.org/matter/dynamic-profile/view/1870125","18-1870125")</f>
        <v>0</v>
      </c>
      <c r="B1897" t="s">
        <v>114</v>
      </c>
      <c r="C1897" t="s">
        <v>234</v>
      </c>
      <c r="D1897" t="s">
        <v>349</v>
      </c>
      <c r="E1897" t="s">
        <v>722</v>
      </c>
      <c r="F1897" t="s">
        <v>987</v>
      </c>
      <c r="G1897" t="s">
        <v>2241</v>
      </c>
      <c r="H1897" t="s">
        <v>3583</v>
      </c>
      <c r="I1897" t="s">
        <v>4824</v>
      </c>
      <c r="J1897" t="s">
        <v>5320</v>
      </c>
      <c r="K1897">
        <v>11233</v>
      </c>
      <c r="L1897" t="s">
        <v>5355</v>
      </c>
      <c r="M1897" t="s">
        <v>5355</v>
      </c>
      <c r="N1897" t="s">
        <v>6063</v>
      </c>
      <c r="O1897" t="s">
        <v>6492</v>
      </c>
      <c r="P1897" t="s">
        <v>6530</v>
      </c>
      <c r="Q1897" t="s">
        <v>6535</v>
      </c>
      <c r="R1897" t="s">
        <v>6539</v>
      </c>
      <c r="U1897" t="s">
        <v>6557</v>
      </c>
      <c r="W1897" t="s">
        <v>328</v>
      </c>
      <c r="X1897">
        <v>1466.37</v>
      </c>
      <c r="Y1897" t="s">
        <v>6605</v>
      </c>
      <c r="Z1897" t="s">
        <v>6611</v>
      </c>
      <c r="AA1897" t="s">
        <v>6637</v>
      </c>
      <c r="AB1897" t="s">
        <v>6821</v>
      </c>
      <c r="AD1897" t="s">
        <v>9249</v>
      </c>
      <c r="AE1897">
        <v>40</v>
      </c>
      <c r="AF1897" t="s">
        <v>11005</v>
      </c>
      <c r="AG1897" t="s">
        <v>5406</v>
      </c>
      <c r="AH1897">
        <v>4</v>
      </c>
      <c r="AI1897">
        <v>2</v>
      </c>
      <c r="AJ1897">
        <v>0</v>
      </c>
      <c r="AK1897">
        <v>88.84</v>
      </c>
      <c r="AN1897" t="s">
        <v>11050</v>
      </c>
      <c r="AO1897">
        <v>14623</v>
      </c>
      <c r="AR1897" t="s">
        <v>11210</v>
      </c>
      <c r="AS1897" t="s">
        <v>11253</v>
      </c>
      <c r="AT1897" t="s">
        <v>11379</v>
      </c>
      <c r="AU1897">
        <v>9.800000000000001</v>
      </c>
      <c r="AV1897" t="s">
        <v>709</v>
      </c>
      <c r="AW1897" t="s">
        <v>11487</v>
      </c>
    </row>
    <row r="1898" spans="1:49">
      <c r="A1898" s="1">
        <f>HYPERLINK("https://cms.ls-nyc.org/matter/dynamic-profile/view/1840418","17-1840418")</f>
        <v>0</v>
      </c>
      <c r="B1898" t="s">
        <v>65</v>
      </c>
      <c r="C1898" t="s">
        <v>234</v>
      </c>
      <c r="D1898" t="s">
        <v>387</v>
      </c>
      <c r="E1898" t="s">
        <v>758</v>
      </c>
      <c r="F1898" t="s">
        <v>914</v>
      </c>
      <c r="G1898" t="s">
        <v>3168</v>
      </c>
      <c r="H1898" t="s">
        <v>3702</v>
      </c>
      <c r="I1898">
        <v>24</v>
      </c>
      <c r="J1898" t="s">
        <v>5323</v>
      </c>
      <c r="K1898">
        <v>10033</v>
      </c>
      <c r="L1898" t="s">
        <v>5355</v>
      </c>
      <c r="M1898" t="s">
        <v>5356</v>
      </c>
      <c r="N1898" t="s">
        <v>5871</v>
      </c>
      <c r="O1898" t="s">
        <v>6502</v>
      </c>
      <c r="P1898" t="s">
        <v>6530</v>
      </c>
      <c r="Q1898" t="s">
        <v>6534</v>
      </c>
      <c r="R1898" t="s">
        <v>6539</v>
      </c>
      <c r="S1898" t="s">
        <v>5355</v>
      </c>
      <c r="U1898" t="s">
        <v>6557</v>
      </c>
      <c r="W1898" t="s">
        <v>6578</v>
      </c>
      <c r="X1898">
        <v>1268.01</v>
      </c>
      <c r="Y1898" t="s">
        <v>6608</v>
      </c>
      <c r="Z1898" t="s">
        <v>6616</v>
      </c>
      <c r="AA1898" t="s">
        <v>6642</v>
      </c>
      <c r="AB1898" t="s">
        <v>8231</v>
      </c>
      <c r="AE1898">
        <v>33</v>
      </c>
      <c r="AF1898" t="s">
        <v>11005</v>
      </c>
      <c r="AG1898" t="s">
        <v>11020</v>
      </c>
      <c r="AH1898">
        <v>23</v>
      </c>
      <c r="AI1898">
        <v>2</v>
      </c>
      <c r="AJ1898">
        <v>0</v>
      </c>
      <c r="AK1898">
        <v>88.89</v>
      </c>
      <c r="AL1898" t="s">
        <v>11030</v>
      </c>
      <c r="AN1898" t="s">
        <v>11049</v>
      </c>
      <c r="AO1898">
        <v>14436</v>
      </c>
      <c r="AU1898">
        <v>2</v>
      </c>
      <c r="AV1898" t="s">
        <v>259</v>
      </c>
      <c r="AW1898" t="s">
        <v>11495</v>
      </c>
    </row>
    <row r="1899" spans="1:49">
      <c r="A1899" s="1">
        <f>HYPERLINK("https://cms.ls-nyc.org/matter/dynamic-profile/view/1860901","18-1860901")</f>
        <v>0</v>
      </c>
      <c r="B1899" t="s">
        <v>90</v>
      </c>
      <c r="C1899" t="s">
        <v>235</v>
      </c>
      <c r="D1899" t="s">
        <v>296</v>
      </c>
      <c r="F1899" t="s">
        <v>1862</v>
      </c>
      <c r="G1899" t="s">
        <v>2135</v>
      </c>
      <c r="H1899" t="s">
        <v>4147</v>
      </c>
      <c r="I1899" t="s">
        <v>5224</v>
      </c>
      <c r="J1899" t="s">
        <v>5321</v>
      </c>
      <c r="K1899">
        <v>10453</v>
      </c>
      <c r="L1899" t="s">
        <v>5355</v>
      </c>
      <c r="M1899" t="s">
        <v>5356</v>
      </c>
      <c r="N1899" t="s">
        <v>5670</v>
      </c>
      <c r="O1899" t="s">
        <v>6494</v>
      </c>
      <c r="P1899" t="s">
        <v>6530</v>
      </c>
      <c r="R1899" t="s">
        <v>6539</v>
      </c>
      <c r="S1899" t="s">
        <v>5355</v>
      </c>
      <c r="U1899" t="s">
        <v>6557</v>
      </c>
      <c r="W1899" t="s">
        <v>480</v>
      </c>
      <c r="X1899">
        <v>1325</v>
      </c>
      <c r="Y1899" t="s">
        <v>6606</v>
      </c>
      <c r="Z1899" t="s">
        <v>6616</v>
      </c>
      <c r="AB1899" t="s">
        <v>8232</v>
      </c>
      <c r="AC1899" t="s">
        <v>9023</v>
      </c>
      <c r="AD1899" t="s">
        <v>10562</v>
      </c>
      <c r="AE1899">
        <v>46</v>
      </c>
      <c r="AF1899" t="s">
        <v>11005</v>
      </c>
      <c r="AG1899" t="s">
        <v>11023</v>
      </c>
      <c r="AH1899">
        <v>4</v>
      </c>
      <c r="AI1899">
        <v>2</v>
      </c>
      <c r="AJ1899">
        <v>4</v>
      </c>
      <c r="AK1899">
        <v>88.92</v>
      </c>
      <c r="AN1899" t="s">
        <v>11050</v>
      </c>
      <c r="AO1899">
        <v>30000</v>
      </c>
      <c r="AU1899">
        <v>1.2</v>
      </c>
      <c r="AV1899" t="s">
        <v>785</v>
      </c>
      <c r="AW1899" t="s">
        <v>59</v>
      </c>
    </row>
    <row r="1900" spans="1:49">
      <c r="A1900" s="1">
        <f>HYPERLINK("https://cms.ls-nyc.org/matter/dynamic-profile/view/1860915","18-1860915")</f>
        <v>0</v>
      </c>
      <c r="B1900" t="s">
        <v>179</v>
      </c>
      <c r="C1900" t="s">
        <v>235</v>
      </c>
      <c r="D1900" t="s">
        <v>296</v>
      </c>
      <c r="F1900" t="s">
        <v>1511</v>
      </c>
      <c r="G1900" t="s">
        <v>2794</v>
      </c>
      <c r="H1900" t="s">
        <v>4083</v>
      </c>
      <c r="I1900" t="s">
        <v>5041</v>
      </c>
      <c r="J1900" t="s">
        <v>5320</v>
      </c>
      <c r="K1900">
        <v>11226</v>
      </c>
      <c r="L1900" t="s">
        <v>5355</v>
      </c>
      <c r="M1900" t="s">
        <v>5356</v>
      </c>
      <c r="N1900" t="s">
        <v>6064</v>
      </c>
      <c r="O1900" t="s">
        <v>6516</v>
      </c>
      <c r="P1900" t="s">
        <v>6530</v>
      </c>
      <c r="R1900" t="s">
        <v>6539</v>
      </c>
      <c r="S1900" t="s">
        <v>5357</v>
      </c>
      <c r="T1900" t="s">
        <v>6545</v>
      </c>
      <c r="U1900" t="s">
        <v>6557</v>
      </c>
      <c r="W1900" t="s">
        <v>6575</v>
      </c>
      <c r="X1900">
        <v>1300</v>
      </c>
      <c r="Y1900" t="s">
        <v>6605</v>
      </c>
      <c r="Z1900" t="s">
        <v>6612</v>
      </c>
      <c r="AB1900" t="s">
        <v>7607</v>
      </c>
      <c r="AC1900">
        <v>11225120</v>
      </c>
      <c r="AD1900" t="s">
        <v>9970</v>
      </c>
      <c r="AE1900">
        <v>61</v>
      </c>
      <c r="AF1900" t="s">
        <v>11005</v>
      </c>
      <c r="AG1900" t="s">
        <v>5406</v>
      </c>
      <c r="AH1900">
        <v>12</v>
      </c>
      <c r="AI1900">
        <v>1</v>
      </c>
      <c r="AJ1900">
        <v>0</v>
      </c>
      <c r="AK1900">
        <v>88.95999999999999</v>
      </c>
      <c r="AN1900" t="s">
        <v>11050</v>
      </c>
      <c r="AO1900">
        <v>10800</v>
      </c>
      <c r="AU1900">
        <v>1</v>
      </c>
      <c r="AV1900" t="s">
        <v>296</v>
      </c>
      <c r="AW1900" t="s">
        <v>11490</v>
      </c>
    </row>
    <row r="1901" spans="1:49">
      <c r="A1901" s="1">
        <f>HYPERLINK("https://cms.ls-nyc.org/matter/dynamic-profile/view/1865526","18-1865526")</f>
        <v>0</v>
      </c>
      <c r="B1901" t="s">
        <v>55</v>
      </c>
      <c r="C1901" t="s">
        <v>234</v>
      </c>
      <c r="D1901" t="s">
        <v>502</v>
      </c>
      <c r="E1901" t="s">
        <v>736</v>
      </c>
      <c r="F1901" t="s">
        <v>1512</v>
      </c>
      <c r="G1901" t="s">
        <v>2795</v>
      </c>
      <c r="H1901" t="s">
        <v>4084</v>
      </c>
      <c r="I1901">
        <v>4</v>
      </c>
      <c r="J1901" t="s">
        <v>5320</v>
      </c>
      <c r="K1901">
        <v>11205</v>
      </c>
      <c r="L1901" t="s">
        <v>5355</v>
      </c>
      <c r="M1901" t="s">
        <v>5356</v>
      </c>
      <c r="N1901" t="s">
        <v>6065</v>
      </c>
      <c r="O1901" t="s">
        <v>6494</v>
      </c>
      <c r="P1901" t="s">
        <v>6530</v>
      </c>
      <c r="Q1901" t="s">
        <v>6532</v>
      </c>
      <c r="R1901" t="s">
        <v>6539</v>
      </c>
      <c r="S1901" t="s">
        <v>5357</v>
      </c>
      <c r="U1901" t="s">
        <v>6557</v>
      </c>
      <c r="W1901" t="s">
        <v>516</v>
      </c>
      <c r="X1901">
        <v>356.66</v>
      </c>
      <c r="Y1901" t="s">
        <v>6605</v>
      </c>
      <c r="Z1901" t="s">
        <v>6612</v>
      </c>
      <c r="AA1901" t="s">
        <v>6634</v>
      </c>
      <c r="AB1901" t="s">
        <v>7608</v>
      </c>
      <c r="AD1901" t="s">
        <v>9971</v>
      </c>
      <c r="AE1901">
        <v>10</v>
      </c>
      <c r="AF1901" t="s">
        <v>11006</v>
      </c>
      <c r="AG1901" t="s">
        <v>5406</v>
      </c>
      <c r="AH1901">
        <v>49</v>
      </c>
      <c r="AI1901">
        <v>1</v>
      </c>
      <c r="AJ1901">
        <v>0</v>
      </c>
      <c r="AK1901">
        <v>88.95999999999999</v>
      </c>
      <c r="AN1901" t="s">
        <v>11049</v>
      </c>
      <c r="AO1901">
        <v>10800</v>
      </c>
      <c r="AU1901">
        <v>4.7</v>
      </c>
      <c r="AV1901" t="s">
        <v>736</v>
      </c>
      <c r="AW1901" t="s">
        <v>11490</v>
      </c>
    </row>
    <row r="1902" spans="1:49">
      <c r="A1902" s="1">
        <f>HYPERLINK("https://cms.ls-nyc.org/matter/dynamic-profile/view/1865535","18-1865535")</f>
        <v>0</v>
      </c>
      <c r="B1902" t="s">
        <v>55</v>
      </c>
      <c r="C1902" t="s">
        <v>234</v>
      </c>
      <c r="D1902" t="s">
        <v>502</v>
      </c>
      <c r="E1902" t="s">
        <v>761</v>
      </c>
      <c r="F1902" t="s">
        <v>1512</v>
      </c>
      <c r="G1902" t="s">
        <v>2795</v>
      </c>
      <c r="H1902" t="s">
        <v>4084</v>
      </c>
      <c r="I1902">
        <v>4</v>
      </c>
      <c r="J1902" t="s">
        <v>5320</v>
      </c>
      <c r="K1902">
        <v>11205</v>
      </c>
      <c r="L1902" t="s">
        <v>5355</v>
      </c>
      <c r="M1902" t="s">
        <v>5356</v>
      </c>
      <c r="N1902" t="s">
        <v>6066</v>
      </c>
      <c r="O1902" t="s">
        <v>6494</v>
      </c>
      <c r="P1902" t="s">
        <v>6530</v>
      </c>
      <c r="Q1902" t="s">
        <v>6535</v>
      </c>
      <c r="R1902" t="s">
        <v>6539</v>
      </c>
      <c r="S1902" t="s">
        <v>5357</v>
      </c>
      <c r="U1902" t="s">
        <v>6557</v>
      </c>
      <c r="W1902" t="s">
        <v>502</v>
      </c>
      <c r="X1902">
        <v>356.66</v>
      </c>
      <c r="Y1902" t="s">
        <v>6605</v>
      </c>
      <c r="Z1902" t="s">
        <v>6617</v>
      </c>
      <c r="AA1902" t="s">
        <v>6634</v>
      </c>
      <c r="AB1902" t="s">
        <v>7608</v>
      </c>
      <c r="AD1902" t="s">
        <v>9971</v>
      </c>
      <c r="AE1902">
        <v>10</v>
      </c>
      <c r="AF1902" t="s">
        <v>11006</v>
      </c>
      <c r="AG1902" t="s">
        <v>5406</v>
      </c>
      <c r="AH1902">
        <v>49</v>
      </c>
      <c r="AI1902">
        <v>1</v>
      </c>
      <c r="AJ1902">
        <v>0</v>
      </c>
      <c r="AK1902">
        <v>88.95999999999999</v>
      </c>
      <c r="AN1902" t="s">
        <v>11049</v>
      </c>
      <c r="AO1902">
        <v>10800</v>
      </c>
      <c r="AU1902">
        <v>28.25</v>
      </c>
      <c r="AV1902" t="s">
        <v>761</v>
      </c>
      <c r="AW1902" t="s">
        <v>11490</v>
      </c>
    </row>
    <row r="1903" spans="1:49">
      <c r="A1903" s="1">
        <f>HYPERLINK("https://cms.ls-nyc.org/matter/dynamic-profile/view/1856746","18-1856746")</f>
        <v>0</v>
      </c>
      <c r="B1903" t="s">
        <v>58</v>
      </c>
      <c r="C1903" t="s">
        <v>235</v>
      </c>
      <c r="D1903" t="s">
        <v>310</v>
      </c>
      <c r="F1903" t="s">
        <v>1363</v>
      </c>
      <c r="G1903" t="s">
        <v>2621</v>
      </c>
      <c r="H1903" t="s">
        <v>3965</v>
      </c>
      <c r="I1903" t="s">
        <v>4977</v>
      </c>
      <c r="J1903" t="s">
        <v>5321</v>
      </c>
      <c r="K1903">
        <v>10453</v>
      </c>
      <c r="L1903" t="s">
        <v>5355</v>
      </c>
      <c r="M1903" t="s">
        <v>5355</v>
      </c>
      <c r="N1903" t="s">
        <v>6067</v>
      </c>
      <c r="O1903" t="s">
        <v>6492</v>
      </c>
      <c r="P1903" t="s">
        <v>6530</v>
      </c>
      <c r="R1903" t="s">
        <v>6539</v>
      </c>
      <c r="S1903" t="s">
        <v>5357</v>
      </c>
      <c r="U1903" t="s">
        <v>6557</v>
      </c>
      <c r="W1903" t="s">
        <v>433</v>
      </c>
      <c r="X1903">
        <v>1074</v>
      </c>
      <c r="Y1903" t="s">
        <v>6606</v>
      </c>
      <c r="Z1903" t="s">
        <v>6614</v>
      </c>
      <c r="AB1903" t="s">
        <v>7335</v>
      </c>
      <c r="AC1903" t="s">
        <v>8788</v>
      </c>
      <c r="AD1903" t="s">
        <v>9720</v>
      </c>
      <c r="AE1903">
        <v>400</v>
      </c>
      <c r="AF1903" t="s">
        <v>11005</v>
      </c>
      <c r="AG1903" t="s">
        <v>11022</v>
      </c>
      <c r="AH1903">
        <v>31</v>
      </c>
      <c r="AI1903">
        <v>1</v>
      </c>
      <c r="AJ1903">
        <v>1</v>
      </c>
      <c r="AK1903">
        <v>89.04000000000001</v>
      </c>
      <c r="AN1903" t="s">
        <v>11050</v>
      </c>
      <c r="AO1903">
        <v>14460</v>
      </c>
      <c r="AP1903" t="s">
        <v>11075</v>
      </c>
      <c r="AU1903">
        <v>31.95</v>
      </c>
      <c r="AV1903" t="s">
        <v>765</v>
      </c>
      <c r="AW1903" t="s">
        <v>11507</v>
      </c>
    </row>
    <row r="1904" spans="1:49">
      <c r="A1904" s="1">
        <f>HYPERLINK("https://cms.ls-nyc.org/matter/dynamic-profile/view/1851293","17-1851293")</f>
        <v>0</v>
      </c>
      <c r="B1904" t="s">
        <v>177</v>
      </c>
      <c r="C1904" t="s">
        <v>234</v>
      </c>
      <c r="D1904" t="s">
        <v>384</v>
      </c>
      <c r="E1904" t="s">
        <v>777</v>
      </c>
      <c r="F1904" t="s">
        <v>1010</v>
      </c>
      <c r="G1904" t="s">
        <v>3169</v>
      </c>
      <c r="H1904" t="s">
        <v>3434</v>
      </c>
      <c r="I1904" t="s">
        <v>4734</v>
      </c>
      <c r="J1904" t="s">
        <v>5320</v>
      </c>
      <c r="K1904">
        <v>11208</v>
      </c>
      <c r="L1904" t="s">
        <v>5355</v>
      </c>
      <c r="M1904" t="s">
        <v>5356</v>
      </c>
      <c r="O1904" t="s">
        <v>6491</v>
      </c>
      <c r="P1904" t="s">
        <v>6530</v>
      </c>
      <c r="Q1904" t="s">
        <v>6537</v>
      </c>
      <c r="R1904" t="s">
        <v>6539</v>
      </c>
      <c r="S1904" t="s">
        <v>5355</v>
      </c>
      <c r="U1904" t="s">
        <v>6557</v>
      </c>
      <c r="W1904" t="s">
        <v>372</v>
      </c>
      <c r="X1904">
        <v>0</v>
      </c>
      <c r="Y1904" t="s">
        <v>6605</v>
      </c>
      <c r="AA1904" t="s">
        <v>6637</v>
      </c>
      <c r="AB1904" t="s">
        <v>8233</v>
      </c>
      <c r="AE1904">
        <v>6</v>
      </c>
      <c r="AH1904">
        <v>3</v>
      </c>
      <c r="AI1904">
        <v>3</v>
      </c>
      <c r="AJ1904">
        <v>0</v>
      </c>
      <c r="AK1904">
        <v>89.13</v>
      </c>
      <c r="AN1904" t="s">
        <v>11050</v>
      </c>
      <c r="AO1904">
        <v>18200</v>
      </c>
      <c r="AU1904">
        <v>6.8</v>
      </c>
      <c r="AV1904" t="s">
        <v>777</v>
      </c>
      <c r="AW1904" t="s">
        <v>11489</v>
      </c>
    </row>
    <row r="1905" spans="1:49">
      <c r="A1905" s="1">
        <f>HYPERLINK("https://cms.ls-nyc.org/matter/dynamic-profile/view/1857188","18-1857188")</f>
        <v>0</v>
      </c>
      <c r="B1905" t="s">
        <v>135</v>
      </c>
      <c r="C1905" t="s">
        <v>235</v>
      </c>
      <c r="D1905" t="s">
        <v>297</v>
      </c>
      <c r="F1905" t="s">
        <v>1223</v>
      </c>
      <c r="G1905" t="s">
        <v>2197</v>
      </c>
      <c r="H1905" t="s">
        <v>3775</v>
      </c>
      <c r="I1905" t="s">
        <v>4750</v>
      </c>
      <c r="J1905" t="s">
        <v>5320</v>
      </c>
      <c r="K1905">
        <v>11206</v>
      </c>
      <c r="L1905" t="s">
        <v>5355</v>
      </c>
      <c r="M1905" t="s">
        <v>5355</v>
      </c>
      <c r="O1905" t="s">
        <v>6494</v>
      </c>
      <c r="P1905" t="s">
        <v>6530</v>
      </c>
      <c r="R1905" t="s">
        <v>6539</v>
      </c>
      <c r="S1905" t="s">
        <v>5355</v>
      </c>
      <c r="U1905" t="s">
        <v>6557</v>
      </c>
      <c r="W1905" t="s">
        <v>290</v>
      </c>
      <c r="X1905">
        <v>611.9299999999999</v>
      </c>
      <c r="Y1905" t="s">
        <v>6605</v>
      </c>
      <c r="Z1905" t="s">
        <v>6493</v>
      </c>
      <c r="AB1905" t="s">
        <v>7125</v>
      </c>
      <c r="AC1905" t="s">
        <v>8769</v>
      </c>
      <c r="AD1905" t="s">
        <v>9515</v>
      </c>
      <c r="AE1905">
        <v>25</v>
      </c>
      <c r="AF1905" t="s">
        <v>11005</v>
      </c>
      <c r="AH1905">
        <v>7</v>
      </c>
      <c r="AI1905">
        <v>1</v>
      </c>
      <c r="AJ1905">
        <v>2</v>
      </c>
      <c r="AK1905">
        <v>89.13</v>
      </c>
      <c r="AN1905" t="s">
        <v>11050</v>
      </c>
      <c r="AO1905">
        <v>18200</v>
      </c>
      <c r="AP1905" t="s">
        <v>11166</v>
      </c>
      <c r="AU1905">
        <v>0</v>
      </c>
      <c r="AW1905" t="s">
        <v>11512</v>
      </c>
    </row>
    <row r="1906" spans="1:49">
      <c r="A1906" s="1">
        <f>HYPERLINK("https://cms.ls-nyc.org/matter/dynamic-profile/view/1865725","18-1865725")</f>
        <v>0</v>
      </c>
      <c r="B1906" t="s">
        <v>88</v>
      </c>
      <c r="C1906" t="s">
        <v>234</v>
      </c>
      <c r="D1906" t="s">
        <v>385</v>
      </c>
      <c r="E1906" t="s">
        <v>468</v>
      </c>
      <c r="F1906" t="s">
        <v>1720</v>
      </c>
      <c r="G1906" t="s">
        <v>3170</v>
      </c>
      <c r="H1906" t="s">
        <v>4422</v>
      </c>
      <c r="I1906" t="s">
        <v>5056</v>
      </c>
      <c r="J1906" t="s">
        <v>5320</v>
      </c>
      <c r="K1906">
        <v>11208</v>
      </c>
      <c r="L1906" t="s">
        <v>5355</v>
      </c>
      <c r="M1906" t="s">
        <v>5355</v>
      </c>
      <c r="N1906" t="s">
        <v>6068</v>
      </c>
      <c r="O1906" t="s">
        <v>6492</v>
      </c>
      <c r="P1906" t="s">
        <v>6530</v>
      </c>
      <c r="Q1906" t="s">
        <v>6534</v>
      </c>
      <c r="R1906" t="s">
        <v>6539</v>
      </c>
      <c r="S1906" t="s">
        <v>5357</v>
      </c>
      <c r="U1906" t="s">
        <v>6557</v>
      </c>
      <c r="W1906" t="s">
        <v>385</v>
      </c>
      <c r="X1906">
        <v>1515</v>
      </c>
      <c r="Y1906" t="s">
        <v>6605</v>
      </c>
      <c r="AA1906" t="s">
        <v>6637</v>
      </c>
      <c r="AB1906" t="s">
        <v>8234</v>
      </c>
      <c r="AC1906" t="s">
        <v>9024</v>
      </c>
      <c r="AD1906" t="s">
        <v>10563</v>
      </c>
      <c r="AE1906">
        <v>6</v>
      </c>
      <c r="AF1906" t="s">
        <v>11005</v>
      </c>
      <c r="AG1906" t="s">
        <v>11019</v>
      </c>
      <c r="AH1906">
        <v>3</v>
      </c>
      <c r="AI1906">
        <v>2</v>
      </c>
      <c r="AJ1906">
        <v>2</v>
      </c>
      <c r="AK1906">
        <v>89.16</v>
      </c>
      <c r="AN1906" t="s">
        <v>11050</v>
      </c>
      <c r="AO1906">
        <v>22380</v>
      </c>
      <c r="AR1906" t="s">
        <v>11210</v>
      </c>
      <c r="AS1906" t="s">
        <v>11253</v>
      </c>
      <c r="AT1906" t="s">
        <v>11321</v>
      </c>
      <c r="AU1906">
        <v>11.9</v>
      </c>
      <c r="AV1906" t="s">
        <v>241</v>
      </c>
      <c r="AW1906" t="s">
        <v>11490</v>
      </c>
    </row>
    <row r="1907" spans="1:49">
      <c r="A1907" s="1">
        <f>HYPERLINK("https://cms.ls-nyc.org/matter/dynamic-profile/view/1843453","17-1843453")</f>
        <v>0</v>
      </c>
      <c r="B1907" t="s">
        <v>142</v>
      </c>
      <c r="C1907" t="s">
        <v>234</v>
      </c>
      <c r="D1907" t="s">
        <v>460</v>
      </c>
      <c r="E1907" t="s">
        <v>513</v>
      </c>
      <c r="F1907" t="s">
        <v>1863</v>
      </c>
      <c r="G1907" t="s">
        <v>3171</v>
      </c>
      <c r="H1907" t="s">
        <v>4423</v>
      </c>
      <c r="I1907" t="s">
        <v>5225</v>
      </c>
      <c r="J1907" t="s">
        <v>5320</v>
      </c>
      <c r="K1907">
        <v>11207</v>
      </c>
      <c r="L1907" t="s">
        <v>5355</v>
      </c>
      <c r="M1907" t="s">
        <v>5356</v>
      </c>
      <c r="N1907" t="s">
        <v>6069</v>
      </c>
      <c r="O1907" t="s">
        <v>6492</v>
      </c>
      <c r="P1907" t="s">
        <v>6530</v>
      </c>
      <c r="Q1907" t="s">
        <v>6531</v>
      </c>
      <c r="R1907" t="s">
        <v>6539</v>
      </c>
      <c r="S1907" t="s">
        <v>5357</v>
      </c>
      <c r="U1907" t="s">
        <v>6557</v>
      </c>
      <c r="W1907" t="s">
        <v>266</v>
      </c>
      <c r="X1907">
        <v>1400</v>
      </c>
      <c r="Y1907" t="s">
        <v>6605</v>
      </c>
      <c r="Z1907" t="s">
        <v>6616</v>
      </c>
      <c r="AA1907" t="s">
        <v>6637</v>
      </c>
      <c r="AB1907" t="s">
        <v>8235</v>
      </c>
      <c r="AD1907" t="s">
        <v>10564</v>
      </c>
      <c r="AE1907">
        <v>16</v>
      </c>
      <c r="AF1907" t="s">
        <v>11005</v>
      </c>
      <c r="AG1907" t="s">
        <v>5406</v>
      </c>
      <c r="AH1907">
        <v>6</v>
      </c>
      <c r="AI1907">
        <v>1</v>
      </c>
      <c r="AJ1907">
        <v>0</v>
      </c>
      <c r="AK1907">
        <v>89.55</v>
      </c>
      <c r="AN1907" t="s">
        <v>11050</v>
      </c>
      <c r="AO1907">
        <v>10800</v>
      </c>
      <c r="AU1907">
        <v>157.35</v>
      </c>
      <c r="AV1907" t="s">
        <v>513</v>
      </c>
      <c r="AW1907" t="s">
        <v>11507</v>
      </c>
    </row>
    <row r="1908" spans="1:49">
      <c r="A1908" s="1">
        <f>HYPERLINK("https://cms.ls-nyc.org/matter/dynamic-profile/view/1854905","17-1854905")</f>
        <v>0</v>
      </c>
      <c r="B1908" t="s">
        <v>65</v>
      </c>
      <c r="C1908" t="s">
        <v>234</v>
      </c>
      <c r="D1908" t="s">
        <v>469</v>
      </c>
      <c r="E1908" t="s">
        <v>687</v>
      </c>
      <c r="F1908" t="s">
        <v>959</v>
      </c>
      <c r="G1908" t="s">
        <v>3172</v>
      </c>
      <c r="H1908" t="s">
        <v>3877</v>
      </c>
      <c r="I1908" t="s">
        <v>4772</v>
      </c>
      <c r="J1908" t="s">
        <v>5323</v>
      </c>
      <c r="K1908">
        <v>10034</v>
      </c>
      <c r="L1908" t="s">
        <v>5355</v>
      </c>
      <c r="M1908" t="s">
        <v>5356</v>
      </c>
      <c r="P1908" t="s">
        <v>6530</v>
      </c>
      <c r="Q1908" t="s">
        <v>6535</v>
      </c>
      <c r="R1908" t="s">
        <v>6539</v>
      </c>
      <c r="S1908" t="s">
        <v>5357</v>
      </c>
      <c r="U1908" t="s">
        <v>6557</v>
      </c>
      <c r="W1908" t="s">
        <v>469</v>
      </c>
      <c r="X1908">
        <v>900</v>
      </c>
      <c r="Y1908" t="s">
        <v>6608</v>
      </c>
      <c r="Z1908" t="s">
        <v>6614</v>
      </c>
      <c r="AA1908" t="s">
        <v>6634</v>
      </c>
      <c r="AB1908" t="s">
        <v>8236</v>
      </c>
      <c r="AD1908" t="s">
        <v>10565</v>
      </c>
      <c r="AE1908">
        <v>48</v>
      </c>
      <c r="AF1908" t="s">
        <v>11005</v>
      </c>
      <c r="AG1908" t="s">
        <v>11024</v>
      </c>
      <c r="AH1908">
        <v>38</v>
      </c>
      <c r="AI1908">
        <v>1</v>
      </c>
      <c r="AJ1908">
        <v>0</v>
      </c>
      <c r="AK1908">
        <v>89.55</v>
      </c>
      <c r="AN1908" t="s">
        <v>11050</v>
      </c>
      <c r="AO1908">
        <v>10800</v>
      </c>
      <c r="AU1908">
        <v>2.8</v>
      </c>
      <c r="AV1908" t="s">
        <v>668</v>
      </c>
      <c r="AW1908" t="s">
        <v>11495</v>
      </c>
    </row>
    <row r="1909" spans="1:49">
      <c r="A1909" s="1">
        <f>HYPERLINK("https://cms.ls-nyc.org/matter/dynamic-profile/view/1845563","17-1845563")</f>
        <v>0</v>
      </c>
      <c r="B1909" t="s">
        <v>137</v>
      </c>
      <c r="C1909" t="s">
        <v>235</v>
      </c>
      <c r="D1909" t="s">
        <v>462</v>
      </c>
      <c r="F1909" t="s">
        <v>1144</v>
      </c>
      <c r="G1909" t="s">
        <v>2395</v>
      </c>
      <c r="H1909" t="s">
        <v>3759</v>
      </c>
      <c r="J1909" t="s">
        <v>5320</v>
      </c>
      <c r="K1909">
        <v>11213</v>
      </c>
      <c r="L1909" t="s">
        <v>5355</v>
      </c>
      <c r="M1909" t="s">
        <v>5356</v>
      </c>
      <c r="O1909" t="s">
        <v>6494</v>
      </c>
      <c r="P1909" t="s">
        <v>6530</v>
      </c>
      <c r="R1909" t="s">
        <v>6539</v>
      </c>
      <c r="S1909" t="s">
        <v>5355</v>
      </c>
      <c r="U1909" t="s">
        <v>6557</v>
      </c>
      <c r="W1909" t="s">
        <v>404</v>
      </c>
      <c r="X1909">
        <v>0</v>
      </c>
      <c r="Y1909" t="s">
        <v>6605</v>
      </c>
      <c r="Z1909" t="s">
        <v>6612</v>
      </c>
      <c r="AB1909" t="s">
        <v>8237</v>
      </c>
      <c r="AD1909" t="s">
        <v>10566</v>
      </c>
      <c r="AE1909">
        <v>74</v>
      </c>
      <c r="AF1909" t="s">
        <v>11005</v>
      </c>
      <c r="AH1909">
        <v>0</v>
      </c>
      <c r="AI1909">
        <v>1</v>
      </c>
      <c r="AJ1909">
        <v>0</v>
      </c>
      <c r="AK1909">
        <v>89.65000000000001</v>
      </c>
      <c r="AL1909" t="s">
        <v>511</v>
      </c>
      <c r="AN1909" t="s">
        <v>11050</v>
      </c>
      <c r="AO1909">
        <v>10812</v>
      </c>
      <c r="AU1909">
        <v>0</v>
      </c>
      <c r="AW1909" t="s">
        <v>11489</v>
      </c>
    </row>
    <row r="1910" spans="1:49">
      <c r="A1910" s="1">
        <f>HYPERLINK("https://cms.ls-nyc.org/matter/dynamic-profile/view/1856136","18-1856136")</f>
        <v>0</v>
      </c>
      <c r="B1910" t="s">
        <v>104</v>
      </c>
      <c r="C1910" t="s">
        <v>234</v>
      </c>
      <c r="D1910" t="s">
        <v>290</v>
      </c>
      <c r="E1910" t="s">
        <v>665</v>
      </c>
      <c r="F1910" t="s">
        <v>1089</v>
      </c>
      <c r="G1910" t="s">
        <v>2105</v>
      </c>
      <c r="H1910" t="s">
        <v>4424</v>
      </c>
      <c r="I1910" t="s">
        <v>4908</v>
      </c>
      <c r="J1910" t="s">
        <v>5321</v>
      </c>
      <c r="K1910">
        <v>10452</v>
      </c>
      <c r="L1910" t="s">
        <v>5355</v>
      </c>
      <c r="M1910" t="s">
        <v>5356</v>
      </c>
      <c r="N1910" t="s">
        <v>6070</v>
      </c>
      <c r="O1910" t="s">
        <v>6492</v>
      </c>
      <c r="P1910" t="s">
        <v>6530</v>
      </c>
      <c r="Q1910" t="s">
        <v>6534</v>
      </c>
      <c r="R1910" t="s">
        <v>6539</v>
      </c>
      <c r="S1910" t="s">
        <v>5357</v>
      </c>
      <c r="U1910" t="s">
        <v>6557</v>
      </c>
      <c r="W1910" t="s">
        <v>290</v>
      </c>
      <c r="X1910">
        <v>1002</v>
      </c>
      <c r="Y1910" t="s">
        <v>6606</v>
      </c>
      <c r="Z1910" t="s">
        <v>6493</v>
      </c>
      <c r="AA1910" t="s">
        <v>6637</v>
      </c>
      <c r="AB1910" t="s">
        <v>8238</v>
      </c>
      <c r="AC1910" t="s">
        <v>9025</v>
      </c>
      <c r="AD1910" t="s">
        <v>10567</v>
      </c>
      <c r="AE1910">
        <v>30</v>
      </c>
      <c r="AF1910" t="s">
        <v>11005</v>
      </c>
      <c r="AG1910" t="s">
        <v>5406</v>
      </c>
      <c r="AH1910">
        <v>3</v>
      </c>
      <c r="AI1910">
        <v>1</v>
      </c>
      <c r="AJ1910">
        <v>1</v>
      </c>
      <c r="AK1910">
        <v>89.66</v>
      </c>
      <c r="AN1910" t="s">
        <v>11050</v>
      </c>
      <c r="AO1910">
        <v>14560</v>
      </c>
      <c r="AP1910" t="s">
        <v>11075</v>
      </c>
      <c r="AQ1910" t="s">
        <v>11195</v>
      </c>
      <c r="AR1910" t="s">
        <v>11213</v>
      </c>
      <c r="AS1910" t="s">
        <v>11253</v>
      </c>
      <c r="AT1910" t="s">
        <v>11380</v>
      </c>
      <c r="AU1910">
        <v>58.08</v>
      </c>
      <c r="AV1910" t="s">
        <v>770</v>
      </c>
      <c r="AW1910" t="s">
        <v>11511</v>
      </c>
    </row>
    <row r="1911" spans="1:49">
      <c r="A1911" s="1">
        <f>HYPERLINK("https://cms.ls-nyc.org/matter/dynamic-profile/view/1857864","18-1857864")</f>
        <v>0</v>
      </c>
      <c r="B1911" t="s">
        <v>156</v>
      </c>
      <c r="C1911" t="s">
        <v>234</v>
      </c>
      <c r="D1911" t="s">
        <v>347</v>
      </c>
      <c r="E1911" t="s">
        <v>676</v>
      </c>
      <c r="F1911" t="s">
        <v>901</v>
      </c>
      <c r="G1911" t="s">
        <v>2115</v>
      </c>
      <c r="H1911" t="s">
        <v>3932</v>
      </c>
      <c r="I1911" t="s">
        <v>4746</v>
      </c>
      <c r="J1911" t="s">
        <v>5322</v>
      </c>
      <c r="K1911">
        <v>10304</v>
      </c>
      <c r="L1911" t="s">
        <v>5355</v>
      </c>
      <c r="M1911" t="s">
        <v>5356</v>
      </c>
      <c r="N1911" t="s">
        <v>6071</v>
      </c>
      <c r="O1911" t="s">
        <v>6491</v>
      </c>
      <c r="P1911" t="s">
        <v>6530</v>
      </c>
      <c r="Q1911" t="s">
        <v>6538</v>
      </c>
      <c r="R1911" t="s">
        <v>6539</v>
      </c>
      <c r="S1911" t="s">
        <v>5355</v>
      </c>
      <c r="U1911" t="s">
        <v>6557</v>
      </c>
      <c r="W1911" t="s">
        <v>347</v>
      </c>
      <c r="X1911">
        <v>1300</v>
      </c>
      <c r="Y1911" t="s">
        <v>6607</v>
      </c>
      <c r="Z1911" t="s">
        <v>6622</v>
      </c>
      <c r="AA1911" t="s">
        <v>6637</v>
      </c>
      <c r="AB1911" t="s">
        <v>7990</v>
      </c>
      <c r="AD1911" t="s">
        <v>10568</v>
      </c>
      <c r="AE1911">
        <v>7</v>
      </c>
      <c r="AF1911" t="s">
        <v>11005</v>
      </c>
      <c r="AG1911" t="s">
        <v>5406</v>
      </c>
      <c r="AH1911">
        <v>6</v>
      </c>
      <c r="AI1911">
        <v>4</v>
      </c>
      <c r="AJ1911">
        <v>0</v>
      </c>
      <c r="AK1911">
        <v>89.79000000000001</v>
      </c>
      <c r="AN1911" t="s">
        <v>11050</v>
      </c>
      <c r="AO1911">
        <v>22088</v>
      </c>
      <c r="AU1911">
        <v>32.4</v>
      </c>
      <c r="AV1911" t="s">
        <v>11449</v>
      </c>
      <c r="AW1911" t="s">
        <v>11510</v>
      </c>
    </row>
    <row r="1912" spans="1:49">
      <c r="A1912" s="1">
        <f>HYPERLINK("https://cms.ls-nyc.org/matter/dynamic-profile/view/1844058","17-1844058")</f>
        <v>0</v>
      </c>
      <c r="B1912" t="s">
        <v>81</v>
      </c>
      <c r="C1912" t="s">
        <v>234</v>
      </c>
      <c r="D1912" t="s">
        <v>574</v>
      </c>
      <c r="E1912" t="s">
        <v>677</v>
      </c>
      <c r="F1912" t="s">
        <v>1864</v>
      </c>
      <c r="G1912" t="s">
        <v>3173</v>
      </c>
      <c r="H1912" t="s">
        <v>4425</v>
      </c>
      <c r="I1912" t="s">
        <v>4734</v>
      </c>
      <c r="J1912" t="s">
        <v>5324</v>
      </c>
      <c r="K1912">
        <v>11354</v>
      </c>
      <c r="L1912" t="s">
        <v>5355</v>
      </c>
      <c r="M1912" t="s">
        <v>5355</v>
      </c>
      <c r="N1912" t="s">
        <v>6072</v>
      </c>
      <c r="O1912" t="s">
        <v>6492</v>
      </c>
      <c r="P1912" t="s">
        <v>6530</v>
      </c>
      <c r="Q1912" t="s">
        <v>6534</v>
      </c>
      <c r="R1912" t="s">
        <v>6539</v>
      </c>
      <c r="S1912" t="s">
        <v>5357</v>
      </c>
      <c r="U1912" t="s">
        <v>6557</v>
      </c>
      <c r="V1912" t="s">
        <v>6566</v>
      </c>
      <c r="W1912" t="s">
        <v>574</v>
      </c>
      <c r="X1912">
        <v>1729</v>
      </c>
      <c r="Y1912" t="s">
        <v>6604</v>
      </c>
      <c r="Z1912" t="s">
        <v>6614</v>
      </c>
      <c r="AA1912" t="s">
        <v>6637</v>
      </c>
      <c r="AB1912" t="s">
        <v>8239</v>
      </c>
      <c r="AD1912" t="s">
        <v>10569</v>
      </c>
      <c r="AE1912">
        <v>175</v>
      </c>
      <c r="AF1912" t="s">
        <v>11005</v>
      </c>
      <c r="AG1912" t="s">
        <v>11024</v>
      </c>
      <c r="AH1912">
        <v>10</v>
      </c>
      <c r="AI1912">
        <v>2</v>
      </c>
      <c r="AJ1912">
        <v>0</v>
      </c>
      <c r="AK1912">
        <v>90.15000000000001</v>
      </c>
      <c r="AN1912" t="s">
        <v>11052</v>
      </c>
      <c r="AO1912">
        <v>14640</v>
      </c>
      <c r="AR1912" t="s">
        <v>6493</v>
      </c>
      <c r="AS1912" t="s">
        <v>11253</v>
      </c>
      <c r="AT1912" t="s">
        <v>11381</v>
      </c>
      <c r="AU1912">
        <v>13.65</v>
      </c>
      <c r="AV1912" t="s">
        <v>677</v>
      </c>
      <c r="AW1912" t="s">
        <v>120</v>
      </c>
    </row>
    <row r="1913" spans="1:49">
      <c r="A1913" s="1">
        <f>HYPERLINK("https://cms.ls-nyc.org/matter/dynamic-profile/view/1869719","18-1869719")</f>
        <v>0</v>
      </c>
      <c r="B1913" t="s">
        <v>56</v>
      </c>
      <c r="C1913" t="s">
        <v>234</v>
      </c>
      <c r="D1913" t="s">
        <v>275</v>
      </c>
      <c r="E1913" t="s">
        <v>691</v>
      </c>
      <c r="F1913" t="s">
        <v>1865</v>
      </c>
      <c r="G1913" t="s">
        <v>3174</v>
      </c>
      <c r="H1913" t="s">
        <v>3749</v>
      </c>
      <c r="I1913" t="s">
        <v>4914</v>
      </c>
      <c r="J1913" t="s">
        <v>5321</v>
      </c>
      <c r="K1913">
        <v>10453</v>
      </c>
      <c r="L1913" t="s">
        <v>5355</v>
      </c>
      <c r="M1913" t="s">
        <v>5356</v>
      </c>
      <c r="N1913" t="s">
        <v>6073</v>
      </c>
      <c r="O1913" t="s">
        <v>6492</v>
      </c>
      <c r="P1913" t="s">
        <v>6530</v>
      </c>
      <c r="Q1913" t="s">
        <v>6534</v>
      </c>
      <c r="R1913" t="s">
        <v>6539</v>
      </c>
      <c r="S1913" t="s">
        <v>5357</v>
      </c>
      <c r="U1913" t="s">
        <v>6557</v>
      </c>
      <c r="W1913" t="s">
        <v>375</v>
      </c>
      <c r="X1913">
        <v>1600</v>
      </c>
      <c r="Y1913" t="s">
        <v>6606</v>
      </c>
      <c r="Z1913" t="s">
        <v>6609</v>
      </c>
      <c r="AA1913" t="s">
        <v>6644</v>
      </c>
      <c r="AB1913" t="s">
        <v>8240</v>
      </c>
      <c r="AD1913" t="s">
        <v>10570</v>
      </c>
      <c r="AE1913">
        <v>300</v>
      </c>
      <c r="AF1913" t="s">
        <v>8722</v>
      </c>
      <c r="AG1913" t="s">
        <v>5406</v>
      </c>
      <c r="AH1913">
        <v>5</v>
      </c>
      <c r="AI1913">
        <v>1</v>
      </c>
      <c r="AJ1913">
        <v>0</v>
      </c>
      <c r="AK1913">
        <v>90.34999999999999</v>
      </c>
      <c r="AN1913" t="s">
        <v>11049</v>
      </c>
      <c r="AO1913">
        <v>10968</v>
      </c>
      <c r="AU1913">
        <v>78.5</v>
      </c>
      <c r="AV1913" t="s">
        <v>762</v>
      </c>
      <c r="AW1913" t="s">
        <v>11519</v>
      </c>
    </row>
    <row r="1914" spans="1:49">
      <c r="A1914" s="1">
        <f>HYPERLINK("https://cms.ls-nyc.org/matter/dynamic-profile/view/1855163","18-1855163")</f>
        <v>0</v>
      </c>
      <c r="B1914" t="s">
        <v>177</v>
      </c>
      <c r="C1914" t="s">
        <v>235</v>
      </c>
      <c r="D1914" t="s">
        <v>269</v>
      </c>
      <c r="F1914" t="s">
        <v>1286</v>
      </c>
      <c r="G1914" t="s">
        <v>1325</v>
      </c>
      <c r="H1914" t="s">
        <v>3884</v>
      </c>
      <c r="I1914" t="s">
        <v>4752</v>
      </c>
      <c r="J1914" t="s">
        <v>5320</v>
      </c>
      <c r="K1914">
        <v>11206</v>
      </c>
      <c r="L1914" t="s">
        <v>5355</v>
      </c>
      <c r="M1914" t="s">
        <v>5356</v>
      </c>
      <c r="N1914" t="s">
        <v>6074</v>
      </c>
      <c r="O1914" t="s">
        <v>6492</v>
      </c>
      <c r="P1914" t="s">
        <v>6530</v>
      </c>
      <c r="R1914" t="s">
        <v>6539</v>
      </c>
      <c r="S1914" t="s">
        <v>5355</v>
      </c>
      <c r="U1914" t="s">
        <v>6557</v>
      </c>
      <c r="W1914" t="s">
        <v>238</v>
      </c>
      <c r="X1914">
        <v>1155.44</v>
      </c>
      <c r="Y1914" t="s">
        <v>6605</v>
      </c>
      <c r="AB1914" t="s">
        <v>7223</v>
      </c>
      <c r="AD1914" t="s">
        <v>9611</v>
      </c>
      <c r="AE1914">
        <v>25</v>
      </c>
      <c r="AF1914" t="s">
        <v>11005</v>
      </c>
      <c r="AH1914">
        <v>0</v>
      </c>
      <c r="AI1914">
        <v>1</v>
      </c>
      <c r="AJ1914">
        <v>6</v>
      </c>
      <c r="AK1914">
        <v>90.47</v>
      </c>
      <c r="AN1914" t="s">
        <v>11050</v>
      </c>
      <c r="AO1914">
        <v>69600</v>
      </c>
      <c r="AU1914">
        <v>0.2</v>
      </c>
      <c r="AV1914" t="s">
        <v>281</v>
      </c>
      <c r="AW1914" t="s">
        <v>219</v>
      </c>
    </row>
    <row r="1915" spans="1:49">
      <c r="A1915" s="1">
        <f>HYPERLINK("https://cms.ls-nyc.org/matter/dynamic-profile/view/1868236","18-1868236")</f>
        <v>0</v>
      </c>
      <c r="B1915" t="s">
        <v>71</v>
      </c>
      <c r="C1915" t="s">
        <v>235</v>
      </c>
      <c r="D1915" t="s">
        <v>375</v>
      </c>
      <c r="F1915" t="s">
        <v>1866</v>
      </c>
      <c r="G1915" t="s">
        <v>2645</v>
      </c>
      <c r="H1915" t="s">
        <v>4426</v>
      </c>
      <c r="I1915" t="s">
        <v>5226</v>
      </c>
      <c r="J1915" t="s">
        <v>5321</v>
      </c>
      <c r="K1915">
        <v>10453</v>
      </c>
      <c r="L1915" t="s">
        <v>5355</v>
      </c>
      <c r="M1915" t="s">
        <v>5356</v>
      </c>
      <c r="N1915" t="s">
        <v>6075</v>
      </c>
      <c r="O1915" t="s">
        <v>6491</v>
      </c>
      <c r="P1915" t="s">
        <v>6530</v>
      </c>
      <c r="R1915" t="s">
        <v>6539</v>
      </c>
      <c r="S1915" t="s">
        <v>5357</v>
      </c>
      <c r="U1915" t="s">
        <v>6557</v>
      </c>
      <c r="W1915" t="s">
        <v>516</v>
      </c>
      <c r="X1915">
        <v>729</v>
      </c>
      <c r="Y1915" t="s">
        <v>6606</v>
      </c>
      <c r="Z1915" t="s">
        <v>6612</v>
      </c>
      <c r="AB1915" t="s">
        <v>8241</v>
      </c>
      <c r="AD1915" t="s">
        <v>10571</v>
      </c>
      <c r="AE1915">
        <v>0</v>
      </c>
      <c r="AG1915" t="s">
        <v>11020</v>
      </c>
      <c r="AH1915">
        <v>0</v>
      </c>
      <c r="AI1915">
        <v>1</v>
      </c>
      <c r="AJ1915">
        <v>0</v>
      </c>
      <c r="AK1915">
        <v>90.56999999999999</v>
      </c>
      <c r="AN1915" t="s">
        <v>11049</v>
      </c>
      <c r="AO1915">
        <v>10994.64</v>
      </c>
      <c r="AP1915" t="s">
        <v>11075</v>
      </c>
      <c r="AQ1915" t="s">
        <v>11192</v>
      </c>
      <c r="AR1915" t="s">
        <v>11210</v>
      </c>
      <c r="AS1915" t="s">
        <v>11253</v>
      </c>
      <c r="AT1915" t="s">
        <v>11294</v>
      </c>
      <c r="AU1915">
        <v>20.5</v>
      </c>
      <c r="AV1915" t="s">
        <v>763</v>
      </c>
      <c r="AW1915" t="s">
        <v>11539</v>
      </c>
    </row>
    <row r="1916" spans="1:49">
      <c r="A1916" s="1">
        <f>HYPERLINK("https://cms.ls-nyc.org/matter/dynamic-profile/view/1862681","18-1862681")</f>
        <v>0</v>
      </c>
      <c r="B1916" t="s">
        <v>131</v>
      </c>
      <c r="C1916" t="s">
        <v>234</v>
      </c>
      <c r="D1916" t="s">
        <v>242</v>
      </c>
      <c r="E1916" t="s">
        <v>780</v>
      </c>
      <c r="F1916" t="s">
        <v>1867</v>
      </c>
      <c r="G1916" t="s">
        <v>3175</v>
      </c>
      <c r="H1916" t="s">
        <v>4427</v>
      </c>
      <c r="I1916" t="s">
        <v>4752</v>
      </c>
      <c r="J1916" t="s">
        <v>5323</v>
      </c>
      <c r="K1916">
        <v>10034</v>
      </c>
      <c r="L1916" t="s">
        <v>5355</v>
      </c>
      <c r="M1916" t="s">
        <v>5356</v>
      </c>
      <c r="N1916" t="s">
        <v>6076</v>
      </c>
      <c r="O1916" t="s">
        <v>6492</v>
      </c>
      <c r="P1916" t="s">
        <v>6530</v>
      </c>
      <c r="Q1916" t="s">
        <v>6534</v>
      </c>
      <c r="R1916" t="s">
        <v>6539</v>
      </c>
      <c r="S1916" t="s">
        <v>5357</v>
      </c>
      <c r="U1916" t="s">
        <v>6557</v>
      </c>
      <c r="W1916" t="s">
        <v>242</v>
      </c>
      <c r="X1916">
        <v>896.53</v>
      </c>
      <c r="Y1916" t="s">
        <v>6608</v>
      </c>
      <c r="Z1916" t="s">
        <v>6616</v>
      </c>
      <c r="AA1916" t="s">
        <v>6637</v>
      </c>
      <c r="AB1916" t="s">
        <v>8242</v>
      </c>
      <c r="AD1916" t="s">
        <v>10572</v>
      </c>
      <c r="AE1916">
        <v>121</v>
      </c>
      <c r="AF1916" t="s">
        <v>11005</v>
      </c>
      <c r="AG1916" t="s">
        <v>5406</v>
      </c>
      <c r="AH1916">
        <v>27</v>
      </c>
      <c r="AI1916">
        <v>3</v>
      </c>
      <c r="AJ1916">
        <v>0</v>
      </c>
      <c r="AK1916">
        <v>90.90000000000001</v>
      </c>
      <c r="AN1916" t="s">
        <v>11049</v>
      </c>
      <c r="AO1916">
        <v>18888</v>
      </c>
      <c r="AU1916">
        <v>45.85</v>
      </c>
      <c r="AV1916" t="s">
        <v>783</v>
      </c>
      <c r="AW1916" t="s">
        <v>11495</v>
      </c>
    </row>
    <row r="1917" spans="1:49">
      <c r="A1917" s="1">
        <f>HYPERLINK("https://cms.ls-nyc.org/matter/dynamic-profile/view/1841095","17-1841095")</f>
        <v>0</v>
      </c>
      <c r="B1917" t="s">
        <v>101</v>
      </c>
      <c r="C1917" t="s">
        <v>234</v>
      </c>
      <c r="D1917" t="s">
        <v>473</v>
      </c>
      <c r="E1917" t="s">
        <v>804</v>
      </c>
      <c r="F1917" t="s">
        <v>1484</v>
      </c>
      <c r="G1917" t="s">
        <v>2355</v>
      </c>
      <c r="H1917" t="s">
        <v>4428</v>
      </c>
      <c r="I1917">
        <v>3</v>
      </c>
      <c r="J1917" t="s">
        <v>5320</v>
      </c>
      <c r="K1917">
        <v>11231</v>
      </c>
      <c r="L1917" t="s">
        <v>5355</v>
      </c>
      <c r="M1917" t="s">
        <v>5356</v>
      </c>
      <c r="N1917" t="s">
        <v>6077</v>
      </c>
      <c r="O1917" t="s">
        <v>6492</v>
      </c>
      <c r="P1917" t="s">
        <v>6530</v>
      </c>
      <c r="Q1917" t="s">
        <v>6534</v>
      </c>
      <c r="R1917" t="s">
        <v>6539</v>
      </c>
      <c r="S1917" t="s">
        <v>5357</v>
      </c>
      <c r="U1917" t="s">
        <v>6557</v>
      </c>
      <c r="W1917" t="s">
        <v>393</v>
      </c>
      <c r="X1917">
        <v>3000</v>
      </c>
      <c r="Y1917" t="s">
        <v>6605</v>
      </c>
      <c r="AA1917" t="s">
        <v>6633</v>
      </c>
      <c r="AB1917" t="s">
        <v>8243</v>
      </c>
      <c r="AD1917" t="s">
        <v>10573</v>
      </c>
      <c r="AE1917">
        <v>10</v>
      </c>
      <c r="AF1917" t="s">
        <v>11005</v>
      </c>
      <c r="AG1917" t="s">
        <v>5406</v>
      </c>
      <c r="AH1917">
        <v>17</v>
      </c>
      <c r="AI1917">
        <v>1</v>
      </c>
      <c r="AJ1917">
        <v>0</v>
      </c>
      <c r="AK1917">
        <v>91.20999999999999</v>
      </c>
      <c r="AM1917" t="s">
        <v>11045</v>
      </c>
      <c r="AN1917" t="s">
        <v>11050</v>
      </c>
      <c r="AO1917">
        <v>11000</v>
      </c>
      <c r="AU1917">
        <v>7.2</v>
      </c>
      <c r="AV1917" t="s">
        <v>284</v>
      </c>
      <c r="AW1917" t="s">
        <v>11512</v>
      </c>
    </row>
    <row r="1918" spans="1:49">
      <c r="A1918" s="1">
        <f>HYPERLINK("https://cms.ls-nyc.org/matter/dynamic-profile/view/1868285","18-1868285")</f>
        <v>0</v>
      </c>
      <c r="B1918" t="s">
        <v>92</v>
      </c>
      <c r="C1918" t="s">
        <v>234</v>
      </c>
      <c r="D1918" t="s">
        <v>365</v>
      </c>
      <c r="E1918" t="s">
        <v>676</v>
      </c>
      <c r="F1918" t="s">
        <v>1399</v>
      </c>
      <c r="G1918" t="s">
        <v>2662</v>
      </c>
      <c r="H1918" t="s">
        <v>3575</v>
      </c>
      <c r="I1918">
        <v>25</v>
      </c>
      <c r="J1918" t="s">
        <v>5323</v>
      </c>
      <c r="K1918">
        <v>10040</v>
      </c>
      <c r="L1918" t="s">
        <v>5355</v>
      </c>
      <c r="M1918" t="s">
        <v>5355</v>
      </c>
      <c r="N1918" t="s">
        <v>6078</v>
      </c>
      <c r="O1918" t="s">
        <v>6494</v>
      </c>
      <c r="P1918" t="s">
        <v>6530</v>
      </c>
      <c r="Q1918" t="s">
        <v>6534</v>
      </c>
      <c r="R1918" t="s">
        <v>6539</v>
      </c>
      <c r="S1918" t="s">
        <v>5357</v>
      </c>
      <c r="U1918" t="s">
        <v>6557</v>
      </c>
      <c r="W1918" t="s">
        <v>365</v>
      </c>
      <c r="X1918">
        <v>798</v>
      </c>
      <c r="Y1918" t="s">
        <v>6608</v>
      </c>
      <c r="Z1918" t="s">
        <v>6614</v>
      </c>
      <c r="AA1918" t="s">
        <v>6634</v>
      </c>
      <c r="AB1918" t="s">
        <v>7173</v>
      </c>
      <c r="AD1918" t="s">
        <v>9780</v>
      </c>
      <c r="AE1918">
        <v>45</v>
      </c>
      <c r="AF1918" t="s">
        <v>11005</v>
      </c>
      <c r="AG1918" t="s">
        <v>5406</v>
      </c>
      <c r="AH1918">
        <v>41</v>
      </c>
      <c r="AI1918">
        <v>2</v>
      </c>
      <c r="AJ1918">
        <v>1</v>
      </c>
      <c r="AK1918">
        <v>91.47</v>
      </c>
      <c r="AN1918" t="s">
        <v>11049</v>
      </c>
      <c r="AO1918">
        <v>19008</v>
      </c>
      <c r="AQ1918" t="s">
        <v>11190</v>
      </c>
      <c r="AR1918" t="s">
        <v>11206</v>
      </c>
      <c r="AS1918" t="s">
        <v>11253</v>
      </c>
      <c r="AT1918" t="s">
        <v>11263</v>
      </c>
      <c r="AU1918">
        <v>2.6</v>
      </c>
      <c r="AV1918" t="s">
        <v>676</v>
      </c>
      <c r="AW1918" t="s">
        <v>11495</v>
      </c>
    </row>
    <row r="1919" spans="1:49">
      <c r="A1919" s="1">
        <f>HYPERLINK("https://cms.ls-nyc.org/matter/dynamic-profile/view/1863301","18-1863301")</f>
        <v>0</v>
      </c>
      <c r="B1919" t="s">
        <v>109</v>
      </c>
      <c r="C1919" t="s">
        <v>234</v>
      </c>
      <c r="D1919" t="s">
        <v>377</v>
      </c>
      <c r="E1919" t="s">
        <v>456</v>
      </c>
      <c r="F1919" t="s">
        <v>1868</v>
      </c>
      <c r="G1919" t="s">
        <v>2567</v>
      </c>
      <c r="H1919" t="s">
        <v>4429</v>
      </c>
      <c r="I1919">
        <v>204</v>
      </c>
      <c r="J1919" t="s">
        <v>5320</v>
      </c>
      <c r="K1919">
        <v>11233</v>
      </c>
      <c r="L1919" t="s">
        <v>5355</v>
      </c>
      <c r="M1919" t="s">
        <v>5356</v>
      </c>
      <c r="N1919" t="s">
        <v>6079</v>
      </c>
      <c r="O1919" t="s">
        <v>6491</v>
      </c>
      <c r="P1919" t="s">
        <v>6530</v>
      </c>
      <c r="Q1919" t="s">
        <v>6535</v>
      </c>
      <c r="R1919" t="s">
        <v>6539</v>
      </c>
      <c r="S1919" t="s">
        <v>5357</v>
      </c>
      <c r="U1919" t="s">
        <v>6557</v>
      </c>
      <c r="W1919" t="s">
        <v>377</v>
      </c>
      <c r="X1919">
        <v>1005</v>
      </c>
      <c r="Y1919" t="s">
        <v>6605</v>
      </c>
      <c r="Z1919" t="s">
        <v>6623</v>
      </c>
      <c r="AA1919" t="s">
        <v>6651</v>
      </c>
      <c r="AB1919" t="s">
        <v>8244</v>
      </c>
      <c r="AD1919" t="s">
        <v>10574</v>
      </c>
      <c r="AE1919">
        <v>72</v>
      </c>
      <c r="AF1919" t="s">
        <v>8722</v>
      </c>
      <c r="AG1919" t="s">
        <v>6493</v>
      </c>
      <c r="AH1919">
        <v>7</v>
      </c>
      <c r="AI1919">
        <v>1</v>
      </c>
      <c r="AJ1919">
        <v>0</v>
      </c>
      <c r="AK1919">
        <v>91.93000000000001</v>
      </c>
      <c r="AN1919" t="s">
        <v>11050</v>
      </c>
      <c r="AO1919">
        <v>11160</v>
      </c>
      <c r="AU1919">
        <v>18.95</v>
      </c>
      <c r="AV1919" t="s">
        <v>416</v>
      </c>
      <c r="AW1919" t="s">
        <v>11512</v>
      </c>
    </row>
    <row r="1920" spans="1:49">
      <c r="A1920" s="1">
        <f>HYPERLINK("https://cms.ls-nyc.org/matter/dynamic-profile/view/1858991","18-1858991")</f>
        <v>0</v>
      </c>
      <c r="B1920" t="s">
        <v>55</v>
      </c>
      <c r="C1920" t="s">
        <v>234</v>
      </c>
      <c r="D1920" t="s">
        <v>424</v>
      </c>
      <c r="E1920" t="s">
        <v>786</v>
      </c>
      <c r="F1920" t="s">
        <v>1147</v>
      </c>
      <c r="G1920" t="s">
        <v>3176</v>
      </c>
      <c r="H1920" t="s">
        <v>3895</v>
      </c>
      <c r="I1920" t="s">
        <v>5227</v>
      </c>
      <c r="J1920" t="s">
        <v>5320</v>
      </c>
      <c r="K1920">
        <v>11203</v>
      </c>
      <c r="L1920" t="s">
        <v>5355</v>
      </c>
      <c r="M1920" t="s">
        <v>5356</v>
      </c>
      <c r="N1920" t="s">
        <v>5541</v>
      </c>
      <c r="O1920" t="s">
        <v>6494</v>
      </c>
      <c r="P1920" t="s">
        <v>6530</v>
      </c>
      <c r="Q1920" t="s">
        <v>6534</v>
      </c>
      <c r="R1920" t="s">
        <v>6539</v>
      </c>
      <c r="S1920" t="s">
        <v>5355</v>
      </c>
      <c r="T1920" t="s">
        <v>6545</v>
      </c>
      <c r="U1920" t="s">
        <v>6557</v>
      </c>
      <c r="W1920" t="s">
        <v>424</v>
      </c>
      <c r="X1920">
        <v>600</v>
      </c>
      <c r="Y1920" t="s">
        <v>6605</v>
      </c>
      <c r="Z1920" t="s">
        <v>6612</v>
      </c>
      <c r="AA1920" t="s">
        <v>6656</v>
      </c>
      <c r="AB1920" t="s">
        <v>8245</v>
      </c>
      <c r="AD1920" t="s">
        <v>10575</v>
      </c>
      <c r="AE1920">
        <v>50</v>
      </c>
      <c r="AF1920" t="s">
        <v>11005</v>
      </c>
      <c r="AH1920">
        <v>43</v>
      </c>
      <c r="AI1920">
        <v>1</v>
      </c>
      <c r="AJ1920">
        <v>0</v>
      </c>
      <c r="AK1920">
        <v>92.19</v>
      </c>
      <c r="AN1920" t="s">
        <v>11050</v>
      </c>
      <c r="AO1920">
        <v>11118</v>
      </c>
      <c r="AU1920">
        <v>0.95</v>
      </c>
      <c r="AV1920" t="s">
        <v>394</v>
      </c>
      <c r="AW1920" t="s">
        <v>11490</v>
      </c>
    </row>
    <row r="1921" spans="1:50">
      <c r="A1921" s="1">
        <f>HYPERLINK("https://cms.ls-nyc.org/matter/dynamic-profile/view/1862231","18-1862231")</f>
        <v>0</v>
      </c>
      <c r="B1921" t="s">
        <v>90</v>
      </c>
      <c r="C1921" t="s">
        <v>235</v>
      </c>
      <c r="D1921" t="s">
        <v>331</v>
      </c>
      <c r="F1921" t="s">
        <v>1396</v>
      </c>
      <c r="G1921" t="s">
        <v>2239</v>
      </c>
      <c r="H1921" t="s">
        <v>3589</v>
      </c>
      <c r="I1921" t="s">
        <v>4827</v>
      </c>
      <c r="J1921" t="s">
        <v>5321</v>
      </c>
      <c r="K1921">
        <v>10452</v>
      </c>
      <c r="L1921" t="s">
        <v>5355</v>
      </c>
      <c r="M1921" t="s">
        <v>5356</v>
      </c>
      <c r="N1921" t="s">
        <v>5792</v>
      </c>
      <c r="O1921" t="s">
        <v>6494</v>
      </c>
      <c r="P1921" t="s">
        <v>6530</v>
      </c>
      <c r="R1921" t="s">
        <v>6539</v>
      </c>
      <c r="S1921" t="s">
        <v>5355</v>
      </c>
      <c r="U1921" t="s">
        <v>6557</v>
      </c>
      <c r="W1921" t="s">
        <v>480</v>
      </c>
      <c r="X1921">
        <v>360</v>
      </c>
      <c r="Y1921" t="s">
        <v>6606</v>
      </c>
      <c r="Z1921" t="s">
        <v>6612</v>
      </c>
      <c r="AB1921" t="s">
        <v>7406</v>
      </c>
      <c r="AD1921" t="s">
        <v>9776</v>
      </c>
      <c r="AE1921">
        <v>60</v>
      </c>
      <c r="AF1921" t="s">
        <v>11005</v>
      </c>
      <c r="AG1921" t="s">
        <v>11024</v>
      </c>
      <c r="AH1921">
        <v>49</v>
      </c>
      <c r="AI1921">
        <v>2</v>
      </c>
      <c r="AJ1921">
        <v>0</v>
      </c>
      <c r="AK1921">
        <v>92.22</v>
      </c>
      <c r="AN1921" t="s">
        <v>11049</v>
      </c>
      <c r="AO1921">
        <v>15180</v>
      </c>
      <c r="AU1921">
        <v>0</v>
      </c>
      <c r="AW1921" t="s">
        <v>11492</v>
      </c>
    </row>
    <row r="1922" spans="1:50">
      <c r="A1922" s="1">
        <f>HYPERLINK("https://cms.ls-nyc.org/matter/dynamic-profile/view/1864115","18-1864115")</f>
        <v>0</v>
      </c>
      <c r="B1922" t="s">
        <v>111</v>
      </c>
      <c r="C1922" t="s">
        <v>235</v>
      </c>
      <c r="D1922" t="s">
        <v>357</v>
      </c>
      <c r="F1922" t="s">
        <v>1564</v>
      </c>
      <c r="G1922" t="s">
        <v>2215</v>
      </c>
      <c r="H1922" t="s">
        <v>4075</v>
      </c>
      <c r="I1922" t="s">
        <v>4833</v>
      </c>
      <c r="J1922" t="s">
        <v>5323</v>
      </c>
      <c r="K1922">
        <v>10040</v>
      </c>
      <c r="L1922" t="s">
        <v>5355</v>
      </c>
      <c r="M1922" t="s">
        <v>5356</v>
      </c>
      <c r="N1922" t="s">
        <v>5591</v>
      </c>
      <c r="O1922" t="s">
        <v>6494</v>
      </c>
      <c r="P1922" t="s">
        <v>6530</v>
      </c>
      <c r="R1922" t="s">
        <v>6539</v>
      </c>
      <c r="S1922" t="s">
        <v>5355</v>
      </c>
      <c r="U1922" t="s">
        <v>6557</v>
      </c>
      <c r="W1922" t="s">
        <v>6575</v>
      </c>
      <c r="X1922">
        <v>1045.94</v>
      </c>
      <c r="Y1922" t="s">
        <v>6608</v>
      </c>
      <c r="Z1922" t="s">
        <v>6614</v>
      </c>
      <c r="AB1922" t="s">
        <v>7692</v>
      </c>
      <c r="AD1922" t="s">
        <v>10052</v>
      </c>
      <c r="AE1922">
        <v>44</v>
      </c>
      <c r="AF1922" t="s">
        <v>11005</v>
      </c>
      <c r="AG1922" t="s">
        <v>5406</v>
      </c>
      <c r="AH1922">
        <v>36</v>
      </c>
      <c r="AI1922">
        <v>3</v>
      </c>
      <c r="AJ1922">
        <v>0</v>
      </c>
      <c r="AK1922">
        <v>92.22</v>
      </c>
      <c r="AL1922" t="s">
        <v>11035</v>
      </c>
      <c r="AN1922" t="s">
        <v>11049</v>
      </c>
      <c r="AO1922">
        <v>19164</v>
      </c>
      <c r="AU1922">
        <v>54.05</v>
      </c>
      <c r="AV1922" t="s">
        <v>11451</v>
      </c>
      <c r="AW1922" t="s">
        <v>11495</v>
      </c>
    </row>
    <row r="1923" spans="1:50">
      <c r="A1923" s="1">
        <f>HYPERLINK("https://cms.ls-nyc.org/matter/dynamic-profile/view/1857264","18-1857264")</f>
        <v>0</v>
      </c>
      <c r="B1923" t="s">
        <v>133</v>
      </c>
      <c r="C1923" t="s">
        <v>234</v>
      </c>
      <c r="D1923" t="s">
        <v>297</v>
      </c>
      <c r="E1923" t="s">
        <v>427</v>
      </c>
      <c r="F1923" t="s">
        <v>1869</v>
      </c>
      <c r="G1923" t="s">
        <v>3177</v>
      </c>
      <c r="H1923" t="s">
        <v>4430</v>
      </c>
      <c r="I1923" t="s">
        <v>4813</v>
      </c>
      <c r="J1923" t="s">
        <v>5352</v>
      </c>
      <c r="K1923">
        <v>11421</v>
      </c>
      <c r="L1923" t="s">
        <v>5355</v>
      </c>
      <c r="M1923" t="s">
        <v>5356</v>
      </c>
      <c r="N1923" t="s">
        <v>6080</v>
      </c>
      <c r="O1923" t="s">
        <v>6491</v>
      </c>
      <c r="P1923" t="s">
        <v>6530</v>
      </c>
      <c r="Q1923" t="s">
        <v>6534</v>
      </c>
      <c r="R1923" t="s">
        <v>6539</v>
      </c>
      <c r="S1923" t="s">
        <v>5357</v>
      </c>
      <c r="U1923" t="s">
        <v>6557</v>
      </c>
      <c r="W1923" t="s">
        <v>297</v>
      </c>
      <c r="X1923">
        <v>1100</v>
      </c>
      <c r="Y1923" t="s">
        <v>6604</v>
      </c>
      <c r="Z1923" t="s">
        <v>6615</v>
      </c>
      <c r="AA1923" t="s">
        <v>6633</v>
      </c>
      <c r="AB1923" t="s">
        <v>8246</v>
      </c>
      <c r="AC1923" t="s">
        <v>9026</v>
      </c>
      <c r="AD1923" t="s">
        <v>10576</v>
      </c>
      <c r="AE1923">
        <v>2</v>
      </c>
      <c r="AF1923" t="s">
        <v>11004</v>
      </c>
      <c r="AG1923" t="s">
        <v>5406</v>
      </c>
      <c r="AH1923">
        <v>2</v>
      </c>
      <c r="AI1923">
        <v>2</v>
      </c>
      <c r="AJ1923">
        <v>0</v>
      </c>
      <c r="AK1923">
        <v>92.36</v>
      </c>
      <c r="AN1923" t="s">
        <v>11050</v>
      </c>
      <c r="AO1923">
        <v>15000</v>
      </c>
      <c r="AU1923">
        <v>16.5</v>
      </c>
      <c r="AV1923" t="s">
        <v>364</v>
      </c>
      <c r="AW1923" t="s">
        <v>11506</v>
      </c>
    </row>
    <row r="1924" spans="1:50">
      <c r="A1924" s="1">
        <f>HYPERLINK("https://cms.ls-nyc.org/matter/dynamic-profile/view/1857091","18-1857091")</f>
        <v>0</v>
      </c>
      <c r="B1924" t="s">
        <v>55</v>
      </c>
      <c r="C1924" t="s">
        <v>234</v>
      </c>
      <c r="D1924" t="s">
        <v>286</v>
      </c>
      <c r="E1924" t="s">
        <v>459</v>
      </c>
      <c r="F1924" t="s">
        <v>1164</v>
      </c>
      <c r="G1924" t="s">
        <v>3178</v>
      </c>
      <c r="H1924" t="s">
        <v>4431</v>
      </c>
      <c r="I1924" t="s">
        <v>5129</v>
      </c>
      <c r="J1924" t="s">
        <v>5320</v>
      </c>
      <c r="K1924">
        <v>11210</v>
      </c>
      <c r="L1924" t="s">
        <v>5355</v>
      </c>
      <c r="M1924" t="s">
        <v>5356</v>
      </c>
      <c r="N1924" t="s">
        <v>6081</v>
      </c>
      <c r="O1924" t="s">
        <v>6491</v>
      </c>
      <c r="P1924" t="s">
        <v>6530</v>
      </c>
      <c r="Q1924" t="s">
        <v>6534</v>
      </c>
      <c r="R1924" t="s">
        <v>6539</v>
      </c>
      <c r="U1924" t="s">
        <v>6557</v>
      </c>
      <c r="W1924" t="s">
        <v>262</v>
      </c>
      <c r="X1924">
        <v>1690</v>
      </c>
      <c r="Y1924" t="s">
        <v>6605</v>
      </c>
      <c r="AA1924" t="s">
        <v>6642</v>
      </c>
      <c r="AB1924" t="s">
        <v>8247</v>
      </c>
      <c r="AD1924" t="s">
        <v>10577</v>
      </c>
      <c r="AE1924">
        <v>85</v>
      </c>
      <c r="AF1924" t="s">
        <v>11005</v>
      </c>
      <c r="AH1924">
        <v>3</v>
      </c>
      <c r="AI1924">
        <v>1</v>
      </c>
      <c r="AJ1924">
        <v>1</v>
      </c>
      <c r="AK1924">
        <v>92.36</v>
      </c>
      <c r="AN1924" t="s">
        <v>11050</v>
      </c>
      <c r="AO1924">
        <v>15000</v>
      </c>
      <c r="AU1924">
        <v>43.65</v>
      </c>
      <c r="AV1924" t="s">
        <v>265</v>
      </c>
      <c r="AW1924" t="s">
        <v>11488</v>
      </c>
    </row>
    <row r="1925" spans="1:50">
      <c r="A1925" s="1">
        <f>HYPERLINK("https://cms.ls-nyc.org/matter/dynamic-profile/view/1845235","17-1845235")</f>
        <v>0</v>
      </c>
      <c r="B1925" t="s">
        <v>53</v>
      </c>
      <c r="C1925" t="s">
        <v>235</v>
      </c>
      <c r="D1925" t="s">
        <v>417</v>
      </c>
      <c r="F1925" t="s">
        <v>1624</v>
      </c>
      <c r="G1925" t="s">
        <v>3179</v>
      </c>
      <c r="H1925" t="s">
        <v>3651</v>
      </c>
      <c r="I1925" t="s">
        <v>5228</v>
      </c>
      <c r="J1925" t="s">
        <v>5320</v>
      </c>
      <c r="K1925">
        <v>11208</v>
      </c>
      <c r="L1925" t="s">
        <v>5355</v>
      </c>
      <c r="M1925" t="s">
        <v>5356</v>
      </c>
      <c r="N1925" t="s">
        <v>6082</v>
      </c>
      <c r="O1925" t="s">
        <v>6491</v>
      </c>
      <c r="P1925" t="s">
        <v>6530</v>
      </c>
      <c r="R1925" t="s">
        <v>6539</v>
      </c>
      <c r="S1925" t="s">
        <v>5355</v>
      </c>
      <c r="U1925" t="s">
        <v>6557</v>
      </c>
      <c r="W1925" t="s">
        <v>417</v>
      </c>
      <c r="X1925">
        <v>878</v>
      </c>
      <c r="Y1925" t="s">
        <v>6605</v>
      </c>
      <c r="Z1925" t="s">
        <v>6623</v>
      </c>
      <c r="AB1925" t="s">
        <v>8248</v>
      </c>
      <c r="AD1925" t="s">
        <v>10578</v>
      </c>
      <c r="AE1925">
        <v>176</v>
      </c>
      <c r="AF1925" t="s">
        <v>11011</v>
      </c>
      <c r="AH1925">
        <v>5</v>
      </c>
      <c r="AI1925">
        <v>2</v>
      </c>
      <c r="AJ1925">
        <v>0</v>
      </c>
      <c r="AK1925">
        <v>92.36</v>
      </c>
      <c r="AN1925" t="s">
        <v>11050</v>
      </c>
      <c r="AO1925">
        <v>15000</v>
      </c>
      <c r="AU1925">
        <v>106.55</v>
      </c>
      <c r="AV1925" t="s">
        <v>729</v>
      </c>
      <c r="AW1925" t="s">
        <v>11512</v>
      </c>
    </row>
    <row r="1926" spans="1:50">
      <c r="A1926" s="1">
        <f>HYPERLINK("https://cms.ls-nyc.org/matter/dynamic-profile/view/1842934","17-1842934")</f>
        <v>0</v>
      </c>
      <c r="B1926" t="s">
        <v>52</v>
      </c>
      <c r="C1926" t="s">
        <v>234</v>
      </c>
      <c r="D1926" t="s">
        <v>472</v>
      </c>
      <c r="E1926" t="s">
        <v>710</v>
      </c>
      <c r="F1926" t="s">
        <v>1870</v>
      </c>
      <c r="G1926" t="s">
        <v>2234</v>
      </c>
      <c r="H1926" t="s">
        <v>4432</v>
      </c>
      <c r="I1926" t="s">
        <v>4824</v>
      </c>
      <c r="J1926" t="s">
        <v>5324</v>
      </c>
      <c r="K1926">
        <v>11354</v>
      </c>
      <c r="L1926" t="s">
        <v>5355</v>
      </c>
      <c r="M1926" t="s">
        <v>5355</v>
      </c>
      <c r="N1926" t="s">
        <v>6083</v>
      </c>
      <c r="O1926" t="s">
        <v>6492</v>
      </c>
      <c r="P1926" t="s">
        <v>6530</v>
      </c>
      <c r="Q1926" t="s">
        <v>6534</v>
      </c>
      <c r="R1926" t="s">
        <v>6539</v>
      </c>
      <c r="S1926" t="s">
        <v>5357</v>
      </c>
      <c r="U1926" t="s">
        <v>6557</v>
      </c>
      <c r="V1926" t="s">
        <v>6567</v>
      </c>
      <c r="W1926" t="s">
        <v>472</v>
      </c>
      <c r="X1926">
        <v>1141.42</v>
      </c>
      <c r="Y1926" t="s">
        <v>6604</v>
      </c>
      <c r="Z1926" t="s">
        <v>6617</v>
      </c>
      <c r="AA1926" t="s">
        <v>6637</v>
      </c>
      <c r="AB1926" t="s">
        <v>8249</v>
      </c>
      <c r="AD1926" t="s">
        <v>10579</v>
      </c>
      <c r="AE1926">
        <v>16</v>
      </c>
      <c r="AF1926" t="s">
        <v>11005</v>
      </c>
      <c r="AG1926" t="s">
        <v>5406</v>
      </c>
      <c r="AH1926">
        <v>37</v>
      </c>
      <c r="AI1926">
        <v>2</v>
      </c>
      <c r="AJ1926">
        <v>0</v>
      </c>
      <c r="AK1926">
        <v>92.95999999999999</v>
      </c>
      <c r="AN1926" t="s">
        <v>11049</v>
      </c>
      <c r="AO1926">
        <v>15096</v>
      </c>
      <c r="AR1926" t="s">
        <v>11227</v>
      </c>
      <c r="AS1926" t="s">
        <v>11253</v>
      </c>
      <c r="AT1926" t="s">
        <v>11297</v>
      </c>
      <c r="AU1926">
        <v>8.449999999999999</v>
      </c>
      <c r="AV1926" t="s">
        <v>498</v>
      </c>
      <c r="AW1926" t="s">
        <v>93</v>
      </c>
    </row>
    <row r="1927" spans="1:50">
      <c r="A1927" s="1">
        <f>HYPERLINK("https://cms.ls-nyc.org/matter/dynamic-profile/view/1852044","17-1852044")</f>
        <v>0</v>
      </c>
      <c r="B1927" t="s">
        <v>178</v>
      </c>
      <c r="C1927" t="s">
        <v>234</v>
      </c>
      <c r="D1927" t="s">
        <v>604</v>
      </c>
      <c r="E1927" t="s">
        <v>791</v>
      </c>
      <c r="F1927" t="s">
        <v>1272</v>
      </c>
      <c r="G1927" t="s">
        <v>3180</v>
      </c>
      <c r="H1927" t="s">
        <v>4433</v>
      </c>
      <c r="I1927" t="s">
        <v>5229</v>
      </c>
      <c r="J1927" t="s">
        <v>5320</v>
      </c>
      <c r="K1927">
        <v>11233</v>
      </c>
      <c r="L1927" t="s">
        <v>5356</v>
      </c>
      <c r="M1927" t="s">
        <v>5356</v>
      </c>
      <c r="N1927" t="s">
        <v>6084</v>
      </c>
      <c r="O1927" t="s">
        <v>6492</v>
      </c>
      <c r="P1927" t="s">
        <v>6530</v>
      </c>
      <c r="Q1927" t="s">
        <v>6534</v>
      </c>
      <c r="R1927" t="s">
        <v>6539</v>
      </c>
      <c r="U1927" t="s">
        <v>6557</v>
      </c>
      <c r="W1927" t="s">
        <v>294</v>
      </c>
      <c r="X1927">
        <v>600</v>
      </c>
      <c r="Y1927" t="s">
        <v>6605</v>
      </c>
      <c r="AA1927" t="s">
        <v>6637</v>
      </c>
      <c r="AB1927" t="s">
        <v>8250</v>
      </c>
      <c r="AD1927" t="s">
        <v>10580</v>
      </c>
      <c r="AE1927">
        <v>5</v>
      </c>
      <c r="AH1927">
        <v>0</v>
      </c>
      <c r="AI1927">
        <v>1</v>
      </c>
      <c r="AJ1927">
        <v>0</v>
      </c>
      <c r="AK1927">
        <v>93.13</v>
      </c>
      <c r="AN1927" t="s">
        <v>11050</v>
      </c>
      <c r="AO1927">
        <v>11232</v>
      </c>
      <c r="AR1927" t="s">
        <v>11210</v>
      </c>
      <c r="AS1927" t="s">
        <v>11253</v>
      </c>
      <c r="AT1927" t="s">
        <v>11303</v>
      </c>
      <c r="AU1927">
        <v>20.25</v>
      </c>
      <c r="AV1927" t="s">
        <v>11471</v>
      </c>
      <c r="AW1927" t="s">
        <v>178</v>
      </c>
    </row>
    <row r="1928" spans="1:50">
      <c r="A1928" s="1">
        <f>HYPERLINK("https://cms.ls-nyc.org/matter/dynamic-profile/view/1864507","18-1864507")</f>
        <v>0</v>
      </c>
      <c r="B1928" t="s">
        <v>92</v>
      </c>
      <c r="C1928" t="s">
        <v>235</v>
      </c>
      <c r="D1928" t="s">
        <v>256</v>
      </c>
      <c r="F1928" t="s">
        <v>1871</v>
      </c>
      <c r="G1928" t="s">
        <v>3181</v>
      </c>
      <c r="H1928" t="s">
        <v>3579</v>
      </c>
      <c r="I1928">
        <v>415</v>
      </c>
      <c r="J1928" t="s">
        <v>5323</v>
      </c>
      <c r="K1928">
        <v>10029</v>
      </c>
      <c r="L1928" t="s">
        <v>5355</v>
      </c>
      <c r="M1928" t="s">
        <v>5355</v>
      </c>
      <c r="N1928" t="s">
        <v>5632</v>
      </c>
      <c r="O1928" t="s">
        <v>6494</v>
      </c>
      <c r="P1928" t="s">
        <v>6530</v>
      </c>
      <c r="R1928" t="s">
        <v>6539</v>
      </c>
      <c r="S1928" t="s">
        <v>5355</v>
      </c>
      <c r="U1928" t="s">
        <v>6557</v>
      </c>
      <c r="V1928" t="s">
        <v>6566</v>
      </c>
      <c r="W1928" t="s">
        <v>256</v>
      </c>
      <c r="X1928">
        <v>0</v>
      </c>
      <c r="Y1928" t="s">
        <v>6608</v>
      </c>
      <c r="Z1928" t="s">
        <v>6622</v>
      </c>
      <c r="AB1928" t="s">
        <v>8251</v>
      </c>
      <c r="AE1928">
        <v>108</v>
      </c>
      <c r="AF1928" t="s">
        <v>11008</v>
      </c>
      <c r="AG1928" t="s">
        <v>11020</v>
      </c>
      <c r="AH1928">
        <v>2</v>
      </c>
      <c r="AI1928">
        <v>1</v>
      </c>
      <c r="AJ1928">
        <v>1</v>
      </c>
      <c r="AK1928">
        <v>93.2</v>
      </c>
      <c r="AN1928" t="s">
        <v>11050</v>
      </c>
      <c r="AO1928">
        <v>15340</v>
      </c>
      <c r="AU1928">
        <v>0.5</v>
      </c>
      <c r="AV1928" t="s">
        <v>11453</v>
      </c>
      <c r="AW1928" t="s">
        <v>11497</v>
      </c>
    </row>
    <row r="1929" spans="1:50">
      <c r="A1929" s="1">
        <f>HYPERLINK("https://cms.ls-nyc.org/matter/dynamic-profile/view/1864519","18-1864519")</f>
        <v>0</v>
      </c>
      <c r="B1929" t="s">
        <v>92</v>
      </c>
      <c r="C1929" t="s">
        <v>235</v>
      </c>
      <c r="D1929" t="s">
        <v>256</v>
      </c>
      <c r="F1929" t="s">
        <v>914</v>
      </c>
      <c r="G1929" t="s">
        <v>2243</v>
      </c>
      <c r="H1929" t="s">
        <v>3579</v>
      </c>
      <c r="I1929">
        <v>203</v>
      </c>
      <c r="J1929" t="s">
        <v>5323</v>
      </c>
      <c r="K1929">
        <v>10029</v>
      </c>
      <c r="L1929" t="s">
        <v>5355</v>
      </c>
      <c r="M1929" t="s">
        <v>5355</v>
      </c>
      <c r="N1929" t="s">
        <v>5936</v>
      </c>
      <c r="O1929" t="s">
        <v>6494</v>
      </c>
      <c r="P1929" t="s">
        <v>6530</v>
      </c>
      <c r="R1929" t="s">
        <v>6539</v>
      </c>
      <c r="S1929" t="s">
        <v>5355</v>
      </c>
      <c r="U1929" t="s">
        <v>6557</v>
      </c>
      <c r="V1929" t="s">
        <v>6566</v>
      </c>
      <c r="W1929" t="s">
        <v>256</v>
      </c>
      <c r="X1929">
        <v>0</v>
      </c>
      <c r="Y1929" t="s">
        <v>6608</v>
      </c>
      <c r="Z1929" t="s">
        <v>6622</v>
      </c>
      <c r="AB1929" t="s">
        <v>8252</v>
      </c>
      <c r="AE1929">
        <v>108</v>
      </c>
      <c r="AF1929" t="s">
        <v>11008</v>
      </c>
      <c r="AG1929" t="s">
        <v>11020</v>
      </c>
      <c r="AH1929">
        <v>33</v>
      </c>
      <c r="AI1929">
        <v>1</v>
      </c>
      <c r="AJ1929">
        <v>0</v>
      </c>
      <c r="AK1929">
        <v>93.90000000000001</v>
      </c>
      <c r="AN1929" t="s">
        <v>11049</v>
      </c>
      <c r="AO1929">
        <v>11400</v>
      </c>
      <c r="AU1929">
        <v>0</v>
      </c>
      <c r="AW1929" t="s">
        <v>11497</v>
      </c>
      <c r="AX1929" t="s">
        <v>11564</v>
      </c>
    </row>
    <row r="1930" spans="1:50">
      <c r="A1930" s="1">
        <f>HYPERLINK("https://cms.ls-nyc.org/matter/dynamic-profile/view/1840942","17-1840942")</f>
        <v>0</v>
      </c>
      <c r="B1930" t="s">
        <v>101</v>
      </c>
      <c r="C1930" t="s">
        <v>234</v>
      </c>
      <c r="D1930" t="s">
        <v>588</v>
      </c>
      <c r="E1930" t="s">
        <v>804</v>
      </c>
      <c r="F1930" t="s">
        <v>1872</v>
      </c>
      <c r="G1930" t="s">
        <v>3182</v>
      </c>
      <c r="H1930" t="s">
        <v>4434</v>
      </c>
      <c r="I1930" t="s">
        <v>4758</v>
      </c>
      <c r="J1930" t="s">
        <v>5320</v>
      </c>
      <c r="K1930">
        <v>11233</v>
      </c>
      <c r="L1930" t="s">
        <v>5355</v>
      </c>
      <c r="M1930" t="s">
        <v>5356</v>
      </c>
      <c r="N1930" t="s">
        <v>6085</v>
      </c>
      <c r="O1930" t="s">
        <v>6492</v>
      </c>
      <c r="P1930" t="s">
        <v>6530</v>
      </c>
      <c r="Q1930" t="s">
        <v>6534</v>
      </c>
      <c r="R1930" t="s">
        <v>6539</v>
      </c>
      <c r="S1930" t="s">
        <v>5355</v>
      </c>
      <c r="U1930" t="s">
        <v>6557</v>
      </c>
      <c r="W1930" t="s">
        <v>419</v>
      </c>
      <c r="X1930">
        <v>1550</v>
      </c>
      <c r="Y1930" t="s">
        <v>6605</v>
      </c>
      <c r="AA1930" t="s">
        <v>6637</v>
      </c>
      <c r="AB1930" t="s">
        <v>8253</v>
      </c>
      <c r="AD1930" t="s">
        <v>10581</v>
      </c>
      <c r="AE1930">
        <v>6</v>
      </c>
      <c r="AF1930" t="s">
        <v>11005</v>
      </c>
      <c r="AG1930" t="s">
        <v>11020</v>
      </c>
      <c r="AH1930">
        <v>6</v>
      </c>
      <c r="AI1930">
        <v>2</v>
      </c>
      <c r="AJ1930">
        <v>1</v>
      </c>
      <c r="AK1930">
        <v>94.03</v>
      </c>
      <c r="AN1930" t="s">
        <v>11050</v>
      </c>
      <c r="AO1930">
        <v>19200</v>
      </c>
      <c r="AU1930">
        <v>20.37</v>
      </c>
      <c r="AV1930" t="s">
        <v>385</v>
      </c>
      <c r="AW1930" t="s">
        <v>11489</v>
      </c>
    </row>
    <row r="1931" spans="1:50">
      <c r="A1931" s="1">
        <f>HYPERLINK("https://cms.ls-nyc.org/matter/dynamic-profile/view/1849907","17-1849907")</f>
        <v>0</v>
      </c>
      <c r="B1931" t="s">
        <v>189</v>
      </c>
      <c r="C1931" t="s">
        <v>234</v>
      </c>
      <c r="D1931" t="s">
        <v>400</v>
      </c>
      <c r="E1931" t="s">
        <v>665</v>
      </c>
      <c r="F1931" t="s">
        <v>1873</v>
      </c>
      <c r="G1931" t="s">
        <v>3183</v>
      </c>
      <c r="H1931" t="s">
        <v>4435</v>
      </c>
      <c r="I1931" t="s">
        <v>4743</v>
      </c>
      <c r="J1931" t="s">
        <v>5322</v>
      </c>
      <c r="K1931">
        <v>10301</v>
      </c>
      <c r="L1931" t="s">
        <v>5355</v>
      </c>
      <c r="M1931" t="s">
        <v>5355</v>
      </c>
      <c r="N1931" t="s">
        <v>6086</v>
      </c>
      <c r="O1931" t="s">
        <v>6491</v>
      </c>
      <c r="P1931" t="s">
        <v>6530</v>
      </c>
      <c r="Q1931" t="s">
        <v>6534</v>
      </c>
      <c r="R1931" t="s">
        <v>6539</v>
      </c>
      <c r="S1931" t="s">
        <v>5357</v>
      </c>
      <c r="U1931" t="s">
        <v>6557</v>
      </c>
      <c r="W1931" t="s">
        <v>400</v>
      </c>
      <c r="X1931">
        <v>1100</v>
      </c>
      <c r="Y1931" t="s">
        <v>6607</v>
      </c>
      <c r="Z1931" t="s">
        <v>6613</v>
      </c>
      <c r="AA1931" t="s">
        <v>6637</v>
      </c>
      <c r="AB1931" t="s">
        <v>8254</v>
      </c>
      <c r="AD1931" t="s">
        <v>10582</v>
      </c>
      <c r="AE1931">
        <v>2</v>
      </c>
      <c r="AF1931" t="s">
        <v>11004</v>
      </c>
      <c r="AG1931" t="s">
        <v>5406</v>
      </c>
      <c r="AH1931">
        <v>3</v>
      </c>
      <c r="AI1931">
        <v>1</v>
      </c>
      <c r="AJ1931">
        <v>2</v>
      </c>
      <c r="AK1931">
        <v>94.03</v>
      </c>
      <c r="AN1931" t="s">
        <v>11050</v>
      </c>
      <c r="AO1931">
        <v>19200</v>
      </c>
      <c r="AQ1931" t="s">
        <v>11191</v>
      </c>
      <c r="AS1931" t="s">
        <v>11254</v>
      </c>
      <c r="AT1931" t="s">
        <v>11382</v>
      </c>
      <c r="AU1931">
        <v>3.7</v>
      </c>
      <c r="AV1931" t="s">
        <v>665</v>
      </c>
      <c r="AW1931" t="s">
        <v>11510</v>
      </c>
    </row>
    <row r="1932" spans="1:50">
      <c r="A1932" s="1">
        <f>HYPERLINK("https://cms.ls-nyc.org/matter/dynamic-profile/view/1863004","18-1863004")</f>
        <v>0</v>
      </c>
      <c r="B1932" t="s">
        <v>111</v>
      </c>
      <c r="C1932" t="s">
        <v>235</v>
      </c>
      <c r="D1932" t="s">
        <v>369</v>
      </c>
      <c r="F1932" t="s">
        <v>1231</v>
      </c>
      <c r="G1932" t="s">
        <v>3184</v>
      </c>
      <c r="H1932" t="s">
        <v>4331</v>
      </c>
      <c r="I1932" t="s">
        <v>4778</v>
      </c>
      <c r="J1932" t="s">
        <v>5323</v>
      </c>
      <c r="K1932">
        <v>10034</v>
      </c>
      <c r="L1932" t="s">
        <v>5355</v>
      </c>
      <c r="M1932" t="s">
        <v>5356</v>
      </c>
      <c r="N1932" t="s">
        <v>6038</v>
      </c>
      <c r="O1932" t="s">
        <v>6494</v>
      </c>
      <c r="P1932" t="s">
        <v>6530</v>
      </c>
      <c r="R1932" t="s">
        <v>6539</v>
      </c>
      <c r="S1932" t="s">
        <v>5355</v>
      </c>
      <c r="U1932" t="s">
        <v>6557</v>
      </c>
      <c r="W1932" t="s">
        <v>369</v>
      </c>
      <c r="X1932">
        <v>1285.69</v>
      </c>
      <c r="Y1932" t="s">
        <v>6608</v>
      </c>
      <c r="Z1932" t="s">
        <v>6616</v>
      </c>
      <c r="AB1932" t="s">
        <v>8255</v>
      </c>
      <c r="AD1932" t="s">
        <v>10583</v>
      </c>
      <c r="AE1932">
        <v>60</v>
      </c>
      <c r="AF1932" t="s">
        <v>11005</v>
      </c>
      <c r="AG1932" t="s">
        <v>5406</v>
      </c>
      <c r="AH1932">
        <v>5</v>
      </c>
      <c r="AI1932">
        <v>3</v>
      </c>
      <c r="AJ1932">
        <v>0</v>
      </c>
      <c r="AK1932">
        <v>94.31</v>
      </c>
      <c r="AN1932" t="s">
        <v>11049</v>
      </c>
      <c r="AO1932">
        <v>19597.58</v>
      </c>
      <c r="AU1932">
        <v>54.7</v>
      </c>
      <c r="AV1932" t="s">
        <v>829</v>
      </c>
      <c r="AW1932" t="s">
        <v>11495</v>
      </c>
    </row>
    <row r="1933" spans="1:50">
      <c r="A1933" s="1">
        <f>HYPERLINK("https://cms.ls-nyc.org/matter/dynamic-profile/view/1842384","17-1842384")</f>
        <v>0</v>
      </c>
      <c r="B1933" t="s">
        <v>141</v>
      </c>
      <c r="C1933" t="s">
        <v>234</v>
      </c>
      <c r="D1933" t="s">
        <v>388</v>
      </c>
      <c r="E1933" t="s">
        <v>699</v>
      </c>
      <c r="F1933" t="s">
        <v>1874</v>
      </c>
      <c r="G1933" t="s">
        <v>3185</v>
      </c>
      <c r="H1933" t="s">
        <v>4436</v>
      </c>
      <c r="I1933" t="s">
        <v>5230</v>
      </c>
      <c r="J1933" t="s">
        <v>5320</v>
      </c>
      <c r="K1933">
        <v>11233</v>
      </c>
      <c r="L1933" t="s">
        <v>5355</v>
      </c>
      <c r="M1933" t="s">
        <v>5356</v>
      </c>
      <c r="N1933" t="s">
        <v>6087</v>
      </c>
      <c r="O1933" t="s">
        <v>6491</v>
      </c>
      <c r="P1933" t="s">
        <v>6530</v>
      </c>
      <c r="Q1933" t="s">
        <v>6531</v>
      </c>
      <c r="R1933" t="s">
        <v>6539</v>
      </c>
      <c r="U1933" t="s">
        <v>6557</v>
      </c>
      <c r="W1933" t="s">
        <v>419</v>
      </c>
      <c r="X1933">
        <v>1400</v>
      </c>
      <c r="Y1933" t="s">
        <v>6605</v>
      </c>
      <c r="AA1933" t="s">
        <v>6633</v>
      </c>
      <c r="AB1933" t="s">
        <v>7305</v>
      </c>
      <c r="AD1933" t="s">
        <v>10584</v>
      </c>
      <c r="AE1933">
        <v>4</v>
      </c>
      <c r="AF1933" t="s">
        <v>8722</v>
      </c>
      <c r="AH1933">
        <v>4</v>
      </c>
      <c r="AI1933">
        <v>2</v>
      </c>
      <c r="AJ1933">
        <v>4</v>
      </c>
      <c r="AK1933">
        <v>94.66</v>
      </c>
      <c r="AN1933" t="s">
        <v>11050</v>
      </c>
      <c r="AO1933">
        <v>31200</v>
      </c>
      <c r="AU1933">
        <v>12.9</v>
      </c>
      <c r="AV1933" t="s">
        <v>547</v>
      </c>
      <c r="AW1933" t="s">
        <v>11520</v>
      </c>
    </row>
    <row r="1934" spans="1:50">
      <c r="A1934" s="1">
        <f>HYPERLINK("https://cms.ls-nyc.org/matter/dynamic-profile/view/1852645","17-1852645")</f>
        <v>0</v>
      </c>
      <c r="B1934" t="s">
        <v>136</v>
      </c>
      <c r="C1934" t="s">
        <v>235</v>
      </c>
      <c r="D1934" t="s">
        <v>549</v>
      </c>
      <c r="F1934" t="s">
        <v>1446</v>
      </c>
      <c r="G1934" t="s">
        <v>2592</v>
      </c>
      <c r="H1934" t="s">
        <v>4437</v>
      </c>
      <c r="I1934" t="s">
        <v>4734</v>
      </c>
      <c r="J1934" t="s">
        <v>5320</v>
      </c>
      <c r="K1934">
        <v>11212</v>
      </c>
      <c r="L1934" t="s">
        <v>5355</v>
      </c>
      <c r="M1934" t="s">
        <v>5356</v>
      </c>
      <c r="O1934" t="s">
        <v>6494</v>
      </c>
      <c r="P1934" t="s">
        <v>6530</v>
      </c>
      <c r="R1934" t="s">
        <v>6539</v>
      </c>
      <c r="S1934" t="s">
        <v>5355</v>
      </c>
      <c r="U1934" t="s">
        <v>6557</v>
      </c>
      <c r="W1934" t="s">
        <v>262</v>
      </c>
      <c r="X1934">
        <v>1450</v>
      </c>
      <c r="Y1934" t="s">
        <v>6605</v>
      </c>
      <c r="Z1934" t="s">
        <v>6614</v>
      </c>
      <c r="AB1934" t="s">
        <v>8256</v>
      </c>
      <c r="AD1934" t="s">
        <v>10585</v>
      </c>
      <c r="AE1934">
        <v>4</v>
      </c>
      <c r="AF1934" t="s">
        <v>11004</v>
      </c>
      <c r="AH1934">
        <v>3</v>
      </c>
      <c r="AI1934">
        <v>2</v>
      </c>
      <c r="AJ1934">
        <v>4</v>
      </c>
      <c r="AK1934">
        <v>94.66</v>
      </c>
      <c r="AN1934" t="s">
        <v>11050</v>
      </c>
      <c r="AO1934">
        <v>31200</v>
      </c>
      <c r="AU1934">
        <v>11.5</v>
      </c>
      <c r="AV1934" t="s">
        <v>347</v>
      </c>
      <c r="AW1934" t="s">
        <v>11489</v>
      </c>
    </row>
    <row r="1935" spans="1:50">
      <c r="A1935" s="1">
        <f>HYPERLINK("https://cms.ls-nyc.org/matter/dynamic-profile/view/1870059","18-1870059")</f>
        <v>0</v>
      </c>
      <c r="B1935" t="s">
        <v>56</v>
      </c>
      <c r="C1935" t="s">
        <v>234</v>
      </c>
      <c r="D1935" t="s">
        <v>307</v>
      </c>
      <c r="E1935" t="s">
        <v>716</v>
      </c>
      <c r="F1935" t="s">
        <v>1875</v>
      </c>
      <c r="G1935" t="s">
        <v>2303</v>
      </c>
      <c r="H1935" t="s">
        <v>4438</v>
      </c>
      <c r="I1935">
        <v>52</v>
      </c>
      <c r="J1935" t="s">
        <v>5321</v>
      </c>
      <c r="K1935">
        <v>10452</v>
      </c>
      <c r="L1935" t="s">
        <v>5355</v>
      </c>
      <c r="M1935" t="s">
        <v>5356</v>
      </c>
      <c r="N1935" t="s">
        <v>6088</v>
      </c>
      <c r="O1935" t="s">
        <v>6492</v>
      </c>
      <c r="P1935" t="s">
        <v>6530</v>
      </c>
      <c r="Q1935" t="s">
        <v>6534</v>
      </c>
      <c r="R1935" t="s">
        <v>6539</v>
      </c>
      <c r="S1935" t="s">
        <v>5357</v>
      </c>
      <c r="U1935" t="s">
        <v>6557</v>
      </c>
      <c r="W1935" t="s">
        <v>516</v>
      </c>
      <c r="X1935">
        <v>1168</v>
      </c>
      <c r="Y1935" t="s">
        <v>6606</v>
      </c>
      <c r="Z1935" t="s">
        <v>6612</v>
      </c>
      <c r="AA1935" t="s">
        <v>6637</v>
      </c>
      <c r="AB1935" t="s">
        <v>8257</v>
      </c>
      <c r="AC1935" t="s">
        <v>5406</v>
      </c>
      <c r="AD1935" t="s">
        <v>10586</v>
      </c>
      <c r="AE1935">
        <v>54</v>
      </c>
      <c r="AF1935" t="s">
        <v>11005</v>
      </c>
      <c r="AG1935" t="s">
        <v>5406</v>
      </c>
      <c r="AH1935">
        <v>14</v>
      </c>
      <c r="AI1935">
        <v>3</v>
      </c>
      <c r="AJ1935">
        <v>0</v>
      </c>
      <c r="AK1935">
        <v>95.09</v>
      </c>
      <c r="AN1935" t="s">
        <v>11049</v>
      </c>
      <c r="AO1935">
        <v>19760</v>
      </c>
      <c r="AT1935" t="s">
        <v>11383</v>
      </c>
      <c r="AU1935">
        <v>15.3</v>
      </c>
      <c r="AV1935" t="s">
        <v>245</v>
      </c>
      <c r="AW1935" t="s">
        <v>56</v>
      </c>
    </row>
    <row r="1936" spans="1:50">
      <c r="A1936" s="1">
        <f>HYPERLINK("https://cms.ls-nyc.org/matter/dynamic-profile/view/1837719","17-1837719")</f>
        <v>0</v>
      </c>
      <c r="B1936" t="s">
        <v>150</v>
      </c>
      <c r="C1936" t="s">
        <v>234</v>
      </c>
      <c r="D1936" t="s">
        <v>554</v>
      </c>
      <c r="E1936" t="s">
        <v>674</v>
      </c>
      <c r="F1936" t="s">
        <v>1622</v>
      </c>
      <c r="G1936" t="s">
        <v>1643</v>
      </c>
      <c r="H1936" t="s">
        <v>4439</v>
      </c>
      <c r="I1936" t="s">
        <v>5231</v>
      </c>
      <c r="J1936" t="s">
        <v>5320</v>
      </c>
      <c r="K1936">
        <v>11213</v>
      </c>
      <c r="L1936" t="s">
        <v>5355</v>
      </c>
      <c r="M1936" t="s">
        <v>5356</v>
      </c>
      <c r="N1936" t="s">
        <v>6089</v>
      </c>
      <c r="O1936" t="s">
        <v>6494</v>
      </c>
      <c r="P1936" t="s">
        <v>6530</v>
      </c>
      <c r="Q1936" t="s">
        <v>6534</v>
      </c>
      <c r="R1936" t="s">
        <v>6539</v>
      </c>
      <c r="T1936" t="s">
        <v>6544</v>
      </c>
      <c r="U1936" t="s">
        <v>6557</v>
      </c>
      <c r="W1936" t="s">
        <v>6583</v>
      </c>
      <c r="X1936">
        <v>1080</v>
      </c>
      <c r="Y1936" t="s">
        <v>6605</v>
      </c>
      <c r="AA1936" t="s">
        <v>6634</v>
      </c>
      <c r="AB1936" t="s">
        <v>8258</v>
      </c>
      <c r="AD1936" t="s">
        <v>10587</v>
      </c>
      <c r="AE1936">
        <v>20</v>
      </c>
      <c r="AG1936" t="s">
        <v>11020</v>
      </c>
      <c r="AH1936">
        <v>21</v>
      </c>
      <c r="AI1936">
        <v>2</v>
      </c>
      <c r="AJ1936">
        <v>0</v>
      </c>
      <c r="AK1936">
        <v>95.09999999999999</v>
      </c>
      <c r="AN1936" t="s">
        <v>11050</v>
      </c>
      <c r="AO1936">
        <v>15444</v>
      </c>
      <c r="AU1936">
        <v>8.6</v>
      </c>
      <c r="AV1936" t="s">
        <v>674</v>
      </c>
      <c r="AW1936" t="s">
        <v>11503</v>
      </c>
    </row>
    <row r="1937" spans="1:50">
      <c r="A1937" s="1">
        <f>HYPERLINK("https://cms.ls-nyc.org/matter/dynamic-profile/view/1844364","17-1844364")</f>
        <v>0</v>
      </c>
      <c r="B1937" t="s">
        <v>171</v>
      </c>
      <c r="C1937" t="s">
        <v>234</v>
      </c>
      <c r="D1937" t="s">
        <v>478</v>
      </c>
      <c r="E1937" t="s">
        <v>744</v>
      </c>
      <c r="F1937" t="s">
        <v>1876</v>
      </c>
      <c r="G1937" t="s">
        <v>3186</v>
      </c>
      <c r="H1937" t="s">
        <v>4440</v>
      </c>
      <c r="I1937" t="s">
        <v>4752</v>
      </c>
      <c r="J1937" t="s">
        <v>5320</v>
      </c>
      <c r="K1937">
        <v>11217</v>
      </c>
      <c r="L1937" t="s">
        <v>5355</v>
      </c>
      <c r="M1937" t="s">
        <v>5356</v>
      </c>
      <c r="N1937" t="s">
        <v>6090</v>
      </c>
      <c r="O1937" t="s">
        <v>6492</v>
      </c>
      <c r="P1937" t="s">
        <v>6530</v>
      </c>
      <c r="Q1937" t="s">
        <v>6532</v>
      </c>
      <c r="R1937" t="s">
        <v>6539</v>
      </c>
      <c r="S1937" t="s">
        <v>5355</v>
      </c>
      <c r="U1937" t="s">
        <v>6557</v>
      </c>
      <c r="W1937" t="s">
        <v>419</v>
      </c>
      <c r="X1937">
        <v>900</v>
      </c>
      <c r="Y1937" t="s">
        <v>6605</v>
      </c>
      <c r="AA1937" t="s">
        <v>6637</v>
      </c>
      <c r="AB1937" t="s">
        <v>8259</v>
      </c>
      <c r="AC1937" t="s">
        <v>9027</v>
      </c>
      <c r="AD1937" t="s">
        <v>10588</v>
      </c>
      <c r="AE1937">
        <v>8</v>
      </c>
      <c r="AF1937" t="s">
        <v>11005</v>
      </c>
      <c r="AG1937" t="s">
        <v>11020</v>
      </c>
      <c r="AH1937">
        <v>55</v>
      </c>
      <c r="AI1937">
        <v>1</v>
      </c>
      <c r="AJ1937">
        <v>0</v>
      </c>
      <c r="AK1937">
        <v>95.42</v>
      </c>
      <c r="AN1937" t="s">
        <v>11050</v>
      </c>
      <c r="AO1937">
        <v>11508</v>
      </c>
      <c r="AQ1937" t="s">
        <v>11190</v>
      </c>
      <c r="AR1937" t="s">
        <v>11210</v>
      </c>
      <c r="AS1937" t="s">
        <v>11253</v>
      </c>
      <c r="AT1937" t="s">
        <v>11384</v>
      </c>
      <c r="AU1937">
        <v>15.2</v>
      </c>
      <c r="AV1937" t="s">
        <v>744</v>
      </c>
      <c r="AW1937" t="s">
        <v>11512</v>
      </c>
      <c r="AX1937" t="s">
        <v>11564</v>
      </c>
    </row>
    <row r="1938" spans="1:50">
      <c r="A1938" s="1">
        <f>HYPERLINK("https://cms.ls-nyc.org/matter/dynamic-profile/view/1842302","17-1842302")</f>
        <v>0</v>
      </c>
      <c r="B1938" t="s">
        <v>97</v>
      </c>
      <c r="C1938" t="s">
        <v>235</v>
      </c>
      <c r="D1938" t="s">
        <v>404</v>
      </c>
      <c r="F1938" t="s">
        <v>1877</v>
      </c>
      <c r="G1938" t="s">
        <v>1742</v>
      </c>
      <c r="H1938" t="s">
        <v>3917</v>
      </c>
      <c r="I1938" t="s">
        <v>4862</v>
      </c>
      <c r="J1938" t="s">
        <v>5323</v>
      </c>
      <c r="K1938">
        <v>10034</v>
      </c>
      <c r="L1938" t="s">
        <v>5355</v>
      </c>
      <c r="M1938" t="s">
        <v>5356</v>
      </c>
      <c r="N1938" t="s">
        <v>6091</v>
      </c>
      <c r="O1938" t="s">
        <v>6492</v>
      </c>
      <c r="P1938" t="s">
        <v>6530</v>
      </c>
      <c r="R1938" t="s">
        <v>6539</v>
      </c>
      <c r="S1938" t="s">
        <v>5357</v>
      </c>
      <c r="U1938" t="s">
        <v>6557</v>
      </c>
      <c r="W1938" t="s">
        <v>404</v>
      </c>
      <c r="X1938">
        <v>916.29</v>
      </c>
      <c r="Y1938" t="s">
        <v>6608</v>
      </c>
      <c r="Z1938" t="s">
        <v>6616</v>
      </c>
      <c r="AB1938" t="s">
        <v>8260</v>
      </c>
      <c r="AD1938" t="s">
        <v>10589</v>
      </c>
      <c r="AE1938">
        <v>47</v>
      </c>
      <c r="AF1938" t="s">
        <v>11005</v>
      </c>
      <c r="AG1938" t="s">
        <v>5406</v>
      </c>
      <c r="AH1938">
        <v>17</v>
      </c>
      <c r="AI1938">
        <v>2</v>
      </c>
      <c r="AJ1938">
        <v>0</v>
      </c>
      <c r="AK1938">
        <v>95.42</v>
      </c>
      <c r="AN1938" t="s">
        <v>11050</v>
      </c>
      <c r="AO1938">
        <v>15496</v>
      </c>
      <c r="AU1938">
        <v>76.55</v>
      </c>
      <c r="AV1938" t="s">
        <v>781</v>
      </c>
      <c r="AW1938" t="s">
        <v>11495</v>
      </c>
    </row>
    <row r="1939" spans="1:50">
      <c r="A1939" s="1">
        <f>HYPERLINK("https://cms.ls-nyc.org/matter/dynamic-profile/view/1879577","18-1879577")</f>
        <v>0</v>
      </c>
      <c r="B1939" t="s">
        <v>99</v>
      </c>
      <c r="C1939" t="s">
        <v>235</v>
      </c>
      <c r="D1939" t="s">
        <v>605</v>
      </c>
      <c r="F1939" t="s">
        <v>1750</v>
      </c>
      <c r="G1939" t="s">
        <v>3187</v>
      </c>
      <c r="H1939" t="s">
        <v>4441</v>
      </c>
      <c r="I1939" t="s">
        <v>4772</v>
      </c>
      <c r="J1939" t="s">
        <v>5320</v>
      </c>
      <c r="K1939">
        <v>11212</v>
      </c>
      <c r="L1939" t="s">
        <v>5355</v>
      </c>
      <c r="M1939" t="s">
        <v>5355</v>
      </c>
      <c r="O1939" t="s">
        <v>6502</v>
      </c>
      <c r="P1939" t="s">
        <v>6530</v>
      </c>
      <c r="R1939" t="s">
        <v>6539</v>
      </c>
      <c r="U1939" t="s">
        <v>6557</v>
      </c>
      <c r="W1939" t="s">
        <v>380</v>
      </c>
      <c r="X1939">
        <v>1350</v>
      </c>
      <c r="Y1939" t="s">
        <v>6605</v>
      </c>
      <c r="Z1939" t="s">
        <v>6614</v>
      </c>
      <c r="AB1939" t="s">
        <v>8261</v>
      </c>
      <c r="AD1939" t="s">
        <v>10590</v>
      </c>
      <c r="AE1939">
        <v>6</v>
      </c>
      <c r="AF1939" t="s">
        <v>11005</v>
      </c>
      <c r="AH1939">
        <v>4</v>
      </c>
      <c r="AI1939">
        <v>1</v>
      </c>
      <c r="AJ1939">
        <v>3</v>
      </c>
      <c r="AK1939">
        <v>95.62</v>
      </c>
      <c r="AN1939" t="s">
        <v>11050</v>
      </c>
      <c r="AO1939">
        <v>24000</v>
      </c>
      <c r="AU1939">
        <v>0.6</v>
      </c>
      <c r="AV1939" t="s">
        <v>809</v>
      </c>
      <c r="AW1939" t="s">
        <v>11512</v>
      </c>
    </row>
    <row r="1940" spans="1:50">
      <c r="A1940" s="1">
        <f>HYPERLINK("https://cms.ls-nyc.org/matter/dynamic-profile/view/0812927","16-0812927")</f>
        <v>0</v>
      </c>
      <c r="B1940" t="s">
        <v>194</v>
      </c>
      <c r="C1940" t="s">
        <v>234</v>
      </c>
      <c r="D1940" t="s">
        <v>606</v>
      </c>
      <c r="E1940" t="s">
        <v>800</v>
      </c>
      <c r="F1940" t="s">
        <v>1748</v>
      </c>
      <c r="G1940" t="s">
        <v>3188</v>
      </c>
      <c r="H1940" t="s">
        <v>4442</v>
      </c>
      <c r="I1940" t="s">
        <v>4734</v>
      </c>
      <c r="J1940" t="s">
        <v>5320</v>
      </c>
      <c r="K1940">
        <v>11207</v>
      </c>
      <c r="L1940" t="s">
        <v>5355</v>
      </c>
      <c r="M1940" t="s">
        <v>5356</v>
      </c>
      <c r="N1940" t="s">
        <v>6092</v>
      </c>
      <c r="O1940" t="s">
        <v>6492</v>
      </c>
      <c r="P1940" t="s">
        <v>6530</v>
      </c>
      <c r="Q1940" t="s">
        <v>6533</v>
      </c>
      <c r="R1940" t="s">
        <v>6539</v>
      </c>
      <c r="S1940" t="s">
        <v>5357</v>
      </c>
      <c r="U1940" t="s">
        <v>6560</v>
      </c>
      <c r="W1940" t="s">
        <v>6583</v>
      </c>
      <c r="X1940">
        <v>1990</v>
      </c>
      <c r="Y1940" t="s">
        <v>6605</v>
      </c>
      <c r="Z1940" t="s">
        <v>6613</v>
      </c>
      <c r="AA1940" t="s">
        <v>6637</v>
      </c>
      <c r="AB1940" t="s">
        <v>8262</v>
      </c>
      <c r="AD1940" t="s">
        <v>10591</v>
      </c>
      <c r="AE1940">
        <v>8</v>
      </c>
      <c r="AF1940" t="s">
        <v>11005</v>
      </c>
      <c r="AG1940" t="s">
        <v>11020</v>
      </c>
      <c r="AH1940">
        <v>12</v>
      </c>
      <c r="AI1940">
        <v>1</v>
      </c>
      <c r="AJ1940">
        <v>5</v>
      </c>
      <c r="AK1940">
        <v>95.76000000000001</v>
      </c>
      <c r="AN1940" t="s">
        <v>11050</v>
      </c>
      <c r="AO1940">
        <v>31200</v>
      </c>
      <c r="AU1940">
        <v>24.1</v>
      </c>
      <c r="AV1940" t="s">
        <v>329</v>
      </c>
      <c r="AW1940" t="s">
        <v>11533</v>
      </c>
    </row>
    <row r="1941" spans="1:50">
      <c r="A1941" s="1">
        <f>HYPERLINK("https://cms.ls-nyc.org/matter/dynamic-profile/view/1856175","18-1856175")</f>
        <v>0</v>
      </c>
      <c r="B1941" t="s">
        <v>141</v>
      </c>
      <c r="C1941" t="s">
        <v>235</v>
      </c>
      <c r="D1941" t="s">
        <v>290</v>
      </c>
      <c r="F1941" t="s">
        <v>942</v>
      </c>
      <c r="G1941" t="s">
        <v>2120</v>
      </c>
      <c r="H1941" t="s">
        <v>4443</v>
      </c>
      <c r="I1941" t="s">
        <v>4781</v>
      </c>
      <c r="J1941" t="s">
        <v>5320</v>
      </c>
      <c r="K1941">
        <v>11233</v>
      </c>
      <c r="L1941" t="s">
        <v>5355</v>
      </c>
      <c r="M1941" t="s">
        <v>5356</v>
      </c>
      <c r="N1941" t="s">
        <v>6093</v>
      </c>
      <c r="O1941" t="s">
        <v>6491</v>
      </c>
      <c r="P1941" t="s">
        <v>6530</v>
      </c>
      <c r="R1941" t="s">
        <v>6539</v>
      </c>
      <c r="S1941" t="s">
        <v>5357</v>
      </c>
      <c r="U1941" t="s">
        <v>6557</v>
      </c>
      <c r="W1941" t="s">
        <v>290</v>
      </c>
      <c r="X1941">
        <v>370.26</v>
      </c>
      <c r="Y1941" t="s">
        <v>6605</v>
      </c>
      <c r="Z1941" t="s">
        <v>6614</v>
      </c>
      <c r="AB1941" t="s">
        <v>8263</v>
      </c>
      <c r="AC1941">
        <v>3499647</v>
      </c>
      <c r="AD1941" t="s">
        <v>10592</v>
      </c>
      <c r="AE1941">
        <v>6</v>
      </c>
      <c r="AF1941" t="s">
        <v>11005</v>
      </c>
      <c r="AH1941">
        <v>41</v>
      </c>
      <c r="AI1941">
        <v>3</v>
      </c>
      <c r="AJ1941">
        <v>0</v>
      </c>
      <c r="AK1941">
        <v>95.84</v>
      </c>
      <c r="AN1941" t="s">
        <v>11050</v>
      </c>
      <c r="AO1941">
        <v>19570</v>
      </c>
      <c r="AU1941">
        <v>65.42</v>
      </c>
      <c r="AV1941" t="s">
        <v>649</v>
      </c>
      <c r="AW1941" t="s">
        <v>11512</v>
      </c>
    </row>
    <row r="1942" spans="1:50">
      <c r="A1942" s="1">
        <f>HYPERLINK("https://cms.ls-nyc.org/matter/dynamic-profile/view/0831799","17-0831799")</f>
        <v>0</v>
      </c>
      <c r="B1942" t="s">
        <v>90</v>
      </c>
      <c r="C1942" t="s">
        <v>234</v>
      </c>
      <c r="D1942" t="s">
        <v>432</v>
      </c>
      <c r="E1942" t="s">
        <v>398</v>
      </c>
      <c r="F1942" t="s">
        <v>1878</v>
      </c>
      <c r="G1942" t="s">
        <v>2476</v>
      </c>
      <c r="H1942" t="s">
        <v>4361</v>
      </c>
      <c r="I1942" t="s">
        <v>4768</v>
      </c>
      <c r="J1942" t="s">
        <v>5321</v>
      </c>
      <c r="K1942">
        <v>10453</v>
      </c>
      <c r="L1942" t="s">
        <v>5355</v>
      </c>
      <c r="M1942" t="s">
        <v>5356</v>
      </c>
      <c r="N1942" t="s">
        <v>5968</v>
      </c>
      <c r="O1942" t="s">
        <v>6494</v>
      </c>
      <c r="P1942" t="s">
        <v>6530</v>
      </c>
      <c r="Q1942" t="s">
        <v>6538</v>
      </c>
      <c r="R1942" t="s">
        <v>6539</v>
      </c>
      <c r="S1942" t="s">
        <v>5355</v>
      </c>
      <c r="U1942" t="s">
        <v>6557</v>
      </c>
      <c r="W1942" t="s">
        <v>406</v>
      </c>
      <c r="X1942">
        <v>1028.78</v>
      </c>
      <c r="Y1942" t="s">
        <v>6606</v>
      </c>
      <c r="Z1942" t="s">
        <v>6616</v>
      </c>
      <c r="AA1942" t="s">
        <v>6634</v>
      </c>
      <c r="AB1942" t="s">
        <v>8264</v>
      </c>
      <c r="AD1942" t="s">
        <v>10593</v>
      </c>
      <c r="AE1942">
        <v>111</v>
      </c>
      <c r="AF1942" t="s">
        <v>11005</v>
      </c>
      <c r="AG1942" t="s">
        <v>5406</v>
      </c>
      <c r="AH1942">
        <v>25</v>
      </c>
      <c r="AI1942">
        <v>2</v>
      </c>
      <c r="AJ1942">
        <v>0</v>
      </c>
      <c r="AK1942">
        <v>96.06</v>
      </c>
      <c r="AN1942" t="s">
        <v>11049</v>
      </c>
      <c r="AO1942">
        <v>15600</v>
      </c>
      <c r="AU1942">
        <v>0.2</v>
      </c>
      <c r="AV1942" t="s">
        <v>398</v>
      </c>
      <c r="AW1942" t="s">
        <v>11509</v>
      </c>
    </row>
    <row r="1943" spans="1:50">
      <c r="A1943" s="1">
        <f>HYPERLINK("https://cms.ls-nyc.org/matter/dynamic-profile/view/1857702","18-1857702")</f>
        <v>0</v>
      </c>
      <c r="B1943" t="s">
        <v>56</v>
      </c>
      <c r="C1943" t="s">
        <v>234</v>
      </c>
      <c r="D1943" t="s">
        <v>436</v>
      </c>
      <c r="E1943" t="s">
        <v>622</v>
      </c>
      <c r="F1943" t="s">
        <v>1879</v>
      </c>
      <c r="G1943" t="s">
        <v>2460</v>
      </c>
      <c r="H1943" t="s">
        <v>4444</v>
      </c>
      <c r="I1943" t="s">
        <v>5232</v>
      </c>
      <c r="J1943" t="s">
        <v>5321</v>
      </c>
      <c r="K1943">
        <v>10452</v>
      </c>
      <c r="L1943" t="s">
        <v>5355</v>
      </c>
      <c r="M1943" t="s">
        <v>5356</v>
      </c>
      <c r="N1943" t="s">
        <v>6094</v>
      </c>
      <c r="O1943" t="s">
        <v>6492</v>
      </c>
      <c r="P1943" t="s">
        <v>6530</v>
      </c>
      <c r="Q1943" t="s">
        <v>6534</v>
      </c>
      <c r="R1943" t="s">
        <v>6539</v>
      </c>
      <c r="S1943" t="s">
        <v>5357</v>
      </c>
      <c r="U1943" t="s">
        <v>6557</v>
      </c>
      <c r="W1943" t="s">
        <v>319</v>
      </c>
      <c r="X1943">
        <v>1700</v>
      </c>
      <c r="Y1943" t="s">
        <v>6606</v>
      </c>
      <c r="Z1943" t="s">
        <v>6614</v>
      </c>
      <c r="AA1943" t="s">
        <v>6633</v>
      </c>
      <c r="AB1943" t="s">
        <v>8265</v>
      </c>
      <c r="AC1943" t="s">
        <v>9028</v>
      </c>
      <c r="AD1943" t="s">
        <v>10594</v>
      </c>
      <c r="AE1943">
        <v>40</v>
      </c>
      <c r="AF1943" t="s">
        <v>11005</v>
      </c>
      <c r="AG1943" t="s">
        <v>5406</v>
      </c>
      <c r="AH1943">
        <v>3</v>
      </c>
      <c r="AI1943">
        <v>1</v>
      </c>
      <c r="AJ1943">
        <v>1</v>
      </c>
      <c r="AK1943">
        <v>96.06</v>
      </c>
      <c r="AN1943" t="s">
        <v>11049</v>
      </c>
      <c r="AO1943">
        <v>15600</v>
      </c>
      <c r="AT1943" t="s">
        <v>11259</v>
      </c>
      <c r="AU1943">
        <v>42.25</v>
      </c>
      <c r="AV1943" t="s">
        <v>447</v>
      </c>
      <c r="AW1943" t="s">
        <v>11504</v>
      </c>
    </row>
    <row r="1944" spans="1:50">
      <c r="A1944" s="1">
        <f>HYPERLINK("https://cms.ls-nyc.org/matter/dynamic-profile/view/1863034","18-1863034")</f>
        <v>0</v>
      </c>
      <c r="B1944" t="s">
        <v>141</v>
      </c>
      <c r="C1944" t="s">
        <v>234</v>
      </c>
      <c r="D1944" t="s">
        <v>369</v>
      </c>
      <c r="E1944" t="s">
        <v>699</v>
      </c>
      <c r="F1944" t="s">
        <v>1880</v>
      </c>
      <c r="G1944" t="s">
        <v>3189</v>
      </c>
      <c r="H1944" t="s">
        <v>4445</v>
      </c>
      <c r="I1944">
        <v>1</v>
      </c>
      <c r="J1944" t="s">
        <v>5320</v>
      </c>
      <c r="K1944">
        <v>11221</v>
      </c>
      <c r="L1944" t="s">
        <v>5355</v>
      </c>
      <c r="M1944" t="s">
        <v>5356</v>
      </c>
      <c r="P1944" t="s">
        <v>6530</v>
      </c>
      <c r="Q1944" t="s">
        <v>6531</v>
      </c>
      <c r="R1944" t="s">
        <v>6539</v>
      </c>
      <c r="U1944" t="s">
        <v>6557</v>
      </c>
      <c r="W1944" t="s">
        <v>6575</v>
      </c>
      <c r="X1944">
        <v>1300</v>
      </c>
      <c r="Y1944" t="s">
        <v>6605</v>
      </c>
      <c r="AA1944" t="s">
        <v>6633</v>
      </c>
      <c r="AB1944" t="s">
        <v>8266</v>
      </c>
      <c r="AE1944">
        <v>2</v>
      </c>
      <c r="AF1944" t="s">
        <v>11004</v>
      </c>
      <c r="AH1944">
        <v>8</v>
      </c>
      <c r="AI1944">
        <v>1</v>
      </c>
      <c r="AJ1944">
        <v>2</v>
      </c>
      <c r="AK1944">
        <v>96.25</v>
      </c>
      <c r="AO1944">
        <v>20000.01</v>
      </c>
      <c r="AU1944">
        <v>7.5</v>
      </c>
      <c r="AV1944" t="s">
        <v>395</v>
      </c>
      <c r="AW1944" t="s">
        <v>11512</v>
      </c>
    </row>
    <row r="1945" spans="1:50">
      <c r="A1945" s="1">
        <f>HYPERLINK("https://cms.ls-nyc.org/matter/dynamic-profile/view/1863602","18-1863602")</f>
        <v>0</v>
      </c>
      <c r="B1945" t="s">
        <v>53</v>
      </c>
      <c r="C1945" t="s">
        <v>234</v>
      </c>
      <c r="D1945" t="s">
        <v>373</v>
      </c>
      <c r="E1945" t="s">
        <v>665</v>
      </c>
      <c r="F1945" t="s">
        <v>1690</v>
      </c>
      <c r="G1945" t="s">
        <v>3190</v>
      </c>
      <c r="H1945" t="s">
        <v>3434</v>
      </c>
      <c r="I1945" t="s">
        <v>4941</v>
      </c>
      <c r="J1945" t="s">
        <v>5320</v>
      </c>
      <c r="K1945">
        <v>11208</v>
      </c>
      <c r="L1945" t="s">
        <v>5355</v>
      </c>
      <c r="M1945" t="s">
        <v>5356</v>
      </c>
      <c r="P1945" t="s">
        <v>6530</v>
      </c>
      <c r="Q1945" t="s">
        <v>6532</v>
      </c>
      <c r="R1945" t="s">
        <v>6539</v>
      </c>
      <c r="S1945" t="s">
        <v>5355</v>
      </c>
      <c r="U1945" t="s">
        <v>6557</v>
      </c>
      <c r="W1945" t="s">
        <v>298</v>
      </c>
      <c r="X1945">
        <v>700</v>
      </c>
      <c r="Y1945" t="s">
        <v>6605</v>
      </c>
      <c r="Z1945" t="s">
        <v>6609</v>
      </c>
      <c r="AA1945" t="s">
        <v>6636</v>
      </c>
      <c r="AB1945" t="s">
        <v>8267</v>
      </c>
      <c r="AD1945" t="s">
        <v>10595</v>
      </c>
      <c r="AE1945">
        <v>0</v>
      </c>
      <c r="AF1945" t="s">
        <v>11005</v>
      </c>
      <c r="AG1945" t="s">
        <v>5406</v>
      </c>
      <c r="AH1945">
        <v>5</v>
      </c>
      <c r="AI1945">
        <v>1</v>
      </c>
      <c r="AJ1945">
        <v>0</v>
      </c>
      <c r="AK1945">
        <v>96.38</v>
      </c>
      <c r="AN1945" t="s">
        <v>11050</v>
      </c>
      <c r="AO1945">
        <v>11700</v>
      </c>
      <c r="AU1945">
        <v>15</v>
      </c>
      <c r="AV1945" t="s">
        <v>275</v>
      </c>
      <c r="AW1945" t="s">
        <v>11512</v>
      </c>
    </row>
    <row r="1946" spans="1:50">
      <c r="A1946" s="1">
        <f>HYPERLINK("https://cms.ls-nyc.org/matter/dynamic-profile/view/0806134","16-0806134")</f>
        <v>0</v>
      </c>
      <c r="B1946" t="s">
        <v>58</v>
      </c>
      <c r="C1946" t="s">
        <v>235</v>
      </c>
      <c r="D1946" t="s">
        <v>607</v>
      </c>
      <c r="F1946" t="s">
        <v>860</v>
      </c>
      <c r="G1946" t="s">
        <v>2620</v>
      </c>
      <c r="H1946" t="s">
        <v>4007</v>
      </c>
      <c r="J1946" t="s">
        <v>5321</v>
      </c>
      <c r="K1946">
        <v>10452</v>
      </c>
      <c r="L1946" t="s">
        <v>5355</v>
      </c>
      <c r="M1946" t="s">
        <v>5356</v>
      </c>
      <c r="N1946" t="s">
        <v>6095</v>
      </c>
      <c r="O1946" t="s">
        <v>6502</v>
      </c>
      <c r="P1946" t="s">
        <v>6530</v>
      </c>
      <c r="R1946" t="s">
        <v>6539</v>
      </c>
      <c r="S1946" t="s">
        <v>5355</v>
      </c>
      <c r="U1946" t="s">
        <v>6557</v>
      </c>
      <c r="W1946" t="s">
        <v>236</v>
      </c>
      <c r="X1946">
        <v>669</v>
      </c>
      <c r="Y1946" t="s">
        <v>6606</v>
      </c>
      <c r="Z1946" t="s">
        <v>6612</v>
      </c>
      <c r="AB1946" t="s">
        <v>7611</v>
      </c>
      <c r="AD1946" t="s">
        <v>9973</v>
      </c>
      <c r="AE1946">
        <v>122</v>
      </c>
      <c r="AF1946" t="s">
        <v>11005</v>
      </c>
      <c r="AH1946">
        <v>0</v>
      </c>
      <c r="AI1946">
        <v>2</v>
      </c>
      <c r="AJ1946">
        <v>0</v>
      </c>
      <c r="AK1946">
        <v>97.38</v>
      </c>
      <c r="AN1946" t="s">
        <v>11049</v>
      </c>
      <c r="AO1946">
        <v>15600</v>
      </c>
      <c r="AU1946">
        <v>0.1</v>
      </c>
      <c r="AV1946" t="s">
        <v>11475</v>
      </c>
      <c r="AW1946" t="s">
        <v>11539</v>
      </c>
    </row>
    <row r="1947" spans="1:50">
      <c r="A1947" s="1">
        <f>HYPERLINK("https://cms.ls-nyc.org/matter/dynamic-profile/view/1852487","17-1852487")</f>
        <v>0</v>
      </c>
      <c r="B1947" t="s">
        <v>136</v>
      </c>
      <c r="C1947" t="s">
        <v>235</v>
      </c>
      <c r="D1947" t="s">
        <v>608</v>
      </c>
      <c r="F1947" t="s">
        <v>1282</v>
      </c>
      <c r="G1947" t="s">
        <v>2107</v>
      </c>
      <c r="H1947" t="s">
        <v>4027</v>
      </c>
      <c r="I1947" t="s">
        <v>5003</v>
      </c>
      <c r="J1947" t="s">
        <v>5320</v>
      </c>
      <c r="K1947">
        <v>11208</v>
      </c>
      <c r="L1947" t="s">
        <v>5355</v>
      </c>
      <c r="M1947" t="s">
        <v>5356</v>
      </c>
      <c r="O1947" t="s">
        <v>6494</v>
      </c>
      <c r="P1947" t="s">
        <v>6530</v>
      </c>
      <c r="R1947" t="s">
        <v>6539</v>
      </c>
      <c r="S1947" t="s">
        <v>5357</v>
      </c>
      <c r="U1947" t="s">
        <v>6557</v>
      </c>
      <c r="W1947" t="s">
        <v>294</v>
      </c>
      <c r="X1947">
        <v>1515</v>
      </c>
      <c r="Y1947" t="s">
        <v>6605</v>
      </c>
      <c r="Z1947" t="s">
        <v>6616</v>
      </c>
      <c r="AB1947" t="s">
        <v>7452</v>
      </c>
      <c r="AD1947" t="s">
        <v>9823</v>
      </c>
      <c r="AE1947">
        <v>6</v>
      </c>
      <c r="AF1947" t="s">
        <v>11005</v>
      </c>
      <c r="AG1947" t="s">
        <v>11022</v>
      </c>
      <c r="AH1947">
        <v>2</v>
      </c>
      <c r="AI1947">
        <v>2</v>
      </c>
      <c r="AJ1947">
        <v>2</v>
      </c>
      <c r="AK1947">
        <v>97.56</v>
      </c>
      <c r="AN1947" t="s">
        <v>11050</v>
      </c>
      <c r="AO1947">
        <v>24000</v>
      </c>
      <c r="AU1947">
        <v>8.6</v>
      </c>
      <c r="AV1947" t="s">
        <v>652</v>
      </c>
      <c r="AW1947" t="s">
        <v>228</v>
      </c>
    </row>
    <row r="1948" spans="1:50">
      <c r="A1948" s="1">
        <f>HYPERLINK("https://cms.ls-nyc.org/matter/dynamic-profile/view/1858007","18-1858007")</f>
        <v>0</v>
      </c>
      <c r="B1948" t="s">
        <v>102</v>
      </c>
      <c r="C1948" t="s">
        <v>234</v>
      </c>
      <c r="D1948" t="s">
        <v>272</v>
      </c>
      <c r="E1948" t="s">
        <v>744</v>
      </c>
      <c r="F1948" t="s">
        <v>1514</v>
      </c>
      <c r="G1948" t="s">
        <v>2486</v>
      </c>
      <c r="H1948" t="s">
        <v>3526</v>
      </c>
      <c r="I1948">
        <v>308</v>
      </c>
      <c r="J1948" t="s">
        <v>5321</v>
      </c>
      <c r="K1948">
        <v>10453</v>
      </c>
      <c r="L1948" t="s">
        <v>5355</v>
      </c>
      <c r="M1948" t="s">
        <v>5356</v>
      </c>
      <c r="N1948" t="s">
        <v>5883</v>
      </c>
      <c r="O1948" t="s">
        <v>6494</v>
      </c>
      <c r="P1948" t="s">
        <v>6530</v>
      </c>
      <c r="Q1948" t="s">
        <v>6534</v>
      </c>
      <c r="R1948" t="s">
        <v>6539</v>
      </c>
      <c r="S1948" t="s">
        <v>5355</v>
      </c>
      <c r="U1948" t="s">
        <v>6557</v>
      </c>
      <c r="W1948" t="s">
        <v>247</v>
      </c>
      <c r="X1948">
        <v>896</v>
      </c>
      <c r="Y1948" t="s">
        <v>6606</v>
      </c>
      <c r="Z1948" t="s">
        <v>6622</v>
      </c>
      <c r="AA1948" t="s">
        <v>6634</v>
      </c>
      <c r="AB1948" t="s">
        <v>7614</v>
      </c>
      <c r="AD1948" t="s">
        <v>9976</v>
      </c>
      <c r="AE1948">
        <v>146</v>
      </c>
      <c r="AF1948" t="s">
        <v>11005</v>
      </c>
      <c r="AG1948" t="s">
        <v>5406</v>
      </c>
      <c r="AH1948">
        <v>12</v>
      </c>
      <c r="AI1948">
        <v>2</v>
      </c>
      <c r="AJ1948">
        <v>2</v>
      </c>
      <c r="AK1948">
        <v>97.56</v>
      </c>
      <c r="AN1948" t="s">
        <v>11049</v>
      </c>
      <c r="AO1948">
        <v>24000</v>
      </c>
      <c r="AU1948">
        <v>0.9</v>
      </c>
      <c r="AV1948" t="s">
        <v>745</v>
      </c>
      <c r="AW1948" t="s">
        <v>60</v>
      </c>
    </row>
    <row r="1949" spans="1:50">
      <c r="A1949" s="1">
        <f>HYPERLINK("https://cms.ls-nyc.org/matter/dynamic-profile/view/1839947","17-1839947")</f>
        <v>0</v>
      </c>
      <c r="B1949" t="s">
        <v>92</v>
      </c>
      <c r="C1949" t="s">
        <v>234</v>
      </c>
      <c r="D1949" t="s">
        <v>412</v>
      </c>
      <c r="E1949" t="s">
        <v>665</v>
      </c>
      <c r="F1949" t="s">
        <v>1293</v>
      </c>
      <c r="G1949" t="s">
        <v>2665</v>
      </c>
      <c r="H1949" t="s">
        <v>3994</v>
      </c>
      <c r="I1949" t="s">
        <v>4788</v>
      </c>
      <c r="J1949" t="s">
        <v>5323</v>
      </c>
      <c r="K1949">
        <v>10040</v>
      </c>
      <c r="L1949" t="s">
        <v>5355</v>
      </c>
      <c r="M1949" t="s">
        <v>5355</v>
      </c>
      <c r="N1949" t="s">
        <v>6096</v>
      </c>
      <c r="O1949" t="s">
        <v>6492</v>
      </c>
      <c r="P1949" t="s">
        <v>6530</v>
      </c>
      <c r="Q1949" t="s">
        <v>6534</v>
      </c>
      <c r="R1949" t="s">
        <v>6539</v>
      </c>
      <c r="S1949" t="s">
        <v>5357</v>
      </c>
      <c r="U1949" t="s">
        <v>6557</v>
      </c>
      <c r="V1949" t="s">
        <v>6566</v>
      </c>
      <c r="W1949" t="s">
        <v>412</v>
      </c>
      <c r="X1949">
        <v>1094.37</v>
      </c>
      <c r="Y1949" t="s">
        <v>6608</v>
      </c>
      <c r="Z1949" t="s">
        <v>6616</v>
      </c>
      <c r="AA1949" t="s">
        <v>6637</v>
      </c>
      <c r="AB1949" t="s">
        <v>7412</v>
      </c>
      <c r="AD1949" t="s">
        <v>9784</v>
      </c>
      <c r="AE1949">
        <v>42</v>
      </c>
      <c r="AF1949" t="s">
        <v>11005</v>
      </c>
      <c r="AG1949" t="s">
        <v>5406</v>
      </c>
      <c r="AH1949">
        <v>19</v>
      </c>
      <c r="AI1949">
        <v>1</v>
      </c>
      <c r="AJ1949">
        <v>1</v>
      </c>
      <c r="AK1949">
        <v>97.65000000000001</v>
      </c>
      <c r="AL1949" t="s">
        <v>301</v>
      </c>
      <c r="AN1949" t="s">
        <v>11049</v>
      </c>
      <c r="AO1949">
        <v>15858</v>
      </c>
      <c r="AQ1949" t="s">
        <v>11190</v>
      </c>
      <c r="AR1949" t="s">
        <v>11239</v>
      </c>
      <c r="AS1949" t="s">
        <v>11253</v>
      </c>
      <c r="AT1949" t="s">
        <v>11385</v>
      </c>
      <c r="AU1949">
        <v>38.2</v>
      </c>
      <c r="AV1949" t="s">
        <v>677</v>
      </c>
      <c r="AW1949" t="s">
        <v>11495</v>
      </c>
    </row>
    <row r="1950" spans="1:50">
      <c r="A1950" s="1">
        <f>HYPERLINK("https://cms.ls-nyc.org/matter/dynamic-profile/view/1856547","18-1856547")</f>
        <v>0</v>
      </c>
      <c r="B1950" t="s">
        <v>71</v>
      </c>
      <c r="C1950" t="s">
        <v>235</v>
      </c>
      <c r="D1950" t="s">
        <v>490</v>
      </c>
      <c r="F1950" t="s">
        <v>1337</v>
      </c>
      <c r="G1950" t="s">
        <v>2101</v>
      </c>
      <c r="H1950" t="s">
        <v>3931</v>
      </c>
      <c r="I1950" t="s">
        <v>4891</v>
      </c>
      <c r="J1950" t="s">
        <v>5321</v>
      </c>
      <c r="K1950">
        <v>10453</v>
      </c>
      <c r="L1950" t="s">
        <v>5355</v>
      </c>
      <c r="M1950" t="s">
        <v>5356</v>
      </c>
      <c r="N1950" t="s">
        <v>6097</v>
      </c>
      <c r="O1950" t="s">
        <v>6492</v>
      </c>
      <c r="P1950" t="s">
        <v>6530</v>
      </c>
      <c r="R1950" t="s">
        <v>6539</v>
      </c>
      <c r="S1950" t="s">
        <v>5357</v>
      </c>
      <c r="U1950" t="s">
        <v>6557</v>
      </c>
      <c r="W1950" t="s">
        <v>319</v>
      </c>
      <c r="X1950">
        <v>1086.1</v>
      </c>
      <c r="Y1950" t="s">
        <v>6606</v>
      </c>
      <c r="AB1950" t="s">
        <v>7312</v>
      </c>
      <c r="AC1950" t="s">
        <v>9029</v>
      </c>
      <c r="AD1950" t="s">
        <v>9687</v>
      </c>
      <c r="AE1950">
        <v>20</v>
      </c>
      <c r="AF1950" t="s">
        <v>11006</v>
      </c>
      <c r="AH1950">
        <v>18</v>
      </c>
      <c r="AI1950">
        <v>2</v>
      </c>
      <c r="AJ1950">
        <v>1</v>
      </c>
      <c r="AK1950">
        <v>97.84999999999999</v>
      </c>
      <c r="AN1950" t="s">
        <v>11049</v>
      </c>
      <c r="AO1950">
        <v>20334</v>
      </c>
      <c r="AU1950">
        <v>36.7</v>
      </c>
      <c r="AV1950" t="s">
        <v>11464</v>
      </c>
      <c r="AW1950" t="s">
        <v>71</v>
      </c>
    </row>
    <row r="1951" spans="1:50">
      <c r="A1951" s="1">
        <f>HYPERLINK("https://cms.ls-nyc.org/matter/dynamic-profile/view/1865543","18-1865543")</f>
        <v>0</v>
      </c>
      <c r="B1951" t="s">
        <v>134</v>
      </c>
      <c r="C1951" t="s">
        <v>235</v>
      </c>
      <c r="D1951" t="s">
        <v>239</v>
      </c>
      <c r="F1951" t="s">
        <v>1881</v>
      </c>
      <c r="G1951" t="s">
        <v>3191</v>
      </c>
      <c r="H1951" t="s">
        <v>4446</v>
      </c>
      <c r="I1951" t="s">
        <v>5179</v>
      </c>
      <c r="J1951" t="s">
        <v>5317</v>
      </c>
      <c r="K1951">
        <v>11434</v>
      </c>
      <c r="L1951" t="s">
        <v>5355</v>
      </c>
      <c r="M1951" t="s">
        <v>5356</v>
      </c>
      <c r="N1951" t="s">
        <v>6098</v>
      </c>
      <c r="O1951" t="s">
        <v>6492</v>
      </c>
      <c r="P1951" t="s">
        <v>6530</v>
      </c>
      <c r="R1951" t="s">
        <v>6540</v>
      </c>
      <c r="S1951" t="s">
        <v>5357</v>
      </c>
      <c r="U1951" t="s">
        <v>6557</v>
      </c>
      <c r="W1951" t="s">
        <v>239</v>
      </c>
      <c r="X1951">
        <v>0</v>
      </c>
      <c r="Y1951" t="s">
        <v>6604</v>
      </c>
      <c r="Z1951" t="s">
        <v>6610</v>
      </c>
      <c r="AB1951" t="s">
        <v>8268</v>
      </c>
      <c r="AC1951" t="s">
        <v>5392</v>
      </c>
      <c r="AD1951" t="s">
        <v>10596</v>
      </c>
      <c r="AE1951">
        <v>2</v>
      </c>
      <c r="AF1951" t="s">
        <v>11004</v>
      </c>
      <c r="AG1951" t="s">
        <v>5406</v>
      </c>
      <c r="AH1951">
        <v>8</v>
      </c>
      <c r="AI1951">
        <v>1</v>
      </c>
      <c r="AJ1951">
        <v>4</v>
      </c>
      <c r="AK1951">
        <v>97.89</v>
      </c>
      <c r="AL1951" t="s">
        <v>11028</v>
      </c>
      <c r="AN1951" t="s">
        <v>11050</v>
      </c>
      <c r="AO1951">
        <v>28800</v>
      </c>
      <c r="AU1951">
        <v>3.88</v>
      </c>
      <c r="AV1951" t="s">
        <v>679</v>
      </c>
      <c r="AW1951" t="s">
        <v>52</v>
      </c>
    </row>
    <row r="1952" spans="1:50">
      <c r="A1952" s="1">
        <f>HYPERLINK("https://cms.ls-nyc.org/matter/dynamic-profile/view/1849794","17-1849794")</f>
        <v>0</v>
      </c>
      <c r="B1952" t="s">
        <v>94</v>
      </c>
      <c r="C1952" t="s">
        <v>234</v>
      </c>
      <c r="D1952" t="s">
        <v>324</v>
      </c>
      <c r="E1952" t="s">
        <v>427</v>
      </c>
      <c r="F1952" t="s">
        <v>990</v>
      </c>
      <c r="G1952" t="s">
        <v>3192</v>
      </c>
      <c r="H1952" t="s">
        <v>4447</v>
      </c>
      <c r="I1952" t="s">
        <v>4791</v>
      </c>
      <c r="J1952" t="s">
        <v>5320</v>
      </c>
      <c r="K1952">
        <v>11207</v>
      </c>
      <c r="L1952" t="s">
        <v>5357</v>
      </c>
      <c r="M1952" t="s">
        <v>5356</v>
      </c>
      <c r="N1952" t="s">
        <v>6099</v>
      </c>
      <c r="O1952" t="s">
        <v>6492</v>
      </c>
      <c r="P1952" t="s">
        <v>6530</v>
      </c>
      <c r="Q1952" t="s">
        <v>6535</v>
      </c>
      <c r="R1952" t="s">
        <v>6539</v>
      </c>
      <c r="S1952" t="s">
        <v>5357</v>
      </c>
      <c r="U1952" t="s">
        <v>6557</v>
      </c>
      <c r="W1952" t="s">
        <v>324</v>
      </c>
      <c r="X1952">
        <v>0</v>
      </c>
      <c r="Y1952" t="s">
        <v>6605</v>
      </c>
      <c r="Z1952" t="s">
        <v>6614</v>
      </c>
      <c r="AA1952" t="s">
        <v>6637</v>
      </c>
      <c r="AB1952" t="s">
        <v>8269</v>
      </c>
      <c r="AC1952" t="s">
        <v>8869</v>
      </c>
      <c r="AD1952" t="s">
        <v>10597</v>
      </c>
      <c r="AE1952">
        <v>25</v>
      </c>
      <c r="AF1952" t="s">
        <v>11005</v>
      </c>
      <c r="AG1952" t="s">
        <v>11020</v>
      </c>
      <c r="AH1952">
        <v>6</v>
      </c>
      <c r="AI1952">
        <v>2</v>
      </c>
      <c r="AJ1952">
        <v>0</v>
      </c>
      <c r="AK1952">
        <v>98.5</v>
      </c>
      <c r="AN1952" t="s">
        <v>11050</v>
      </c>
      <c r="AO1952">
        <v>24816</v>
      </c>
      <c r="AR1952" t="s">
        <v>11210</v>
      </c>
      <c r="AS1952" t="s">
        <v>11253</v>
      </c>
      <c r="AT1952" t="s">
        <v>11293</v>
      </c>
      <c r="AU1952">
        <v>21.75</v>
      </c>
      <c r="AV1952" t="s">
        <v>258</v>
      </c>
      <c r="AW1952" t="s">
        <v>94</v>
      </c>
    </row>
    <row r="1953" spans="1:49">
      <c r="A1953" s="1">
        <f>HYPERLINK("https://cms.ls-nyc.org/matter/dynamic-profile/view/1853275","17-1853275")</f>
        <v>0</v>
      </c>
      <c r="B1953" t="s">
        <v>58</v>
      </c>
      <c r="C1953" t="s">
        <v>235</v>
      </c>
      <c r="D1953" t="s">
        <v>289</v>
      </c>
      <c r="F1953" t="s">
        <v>925</v>
      </c>
      <c r="G1953" t="s">
        <v>2667</v>
      </c>
      <c r="H1953" t="s">
        <v>4008</v>
      </c>
      <c r="I1953" t="s">
        <v>4992</v>
      </c>
      <c r="J1953" t="s">
        <v>5321</v>
      </c>
      <c r="K1953">
        <v>10472</v>
      </c>
      <c r="L1953" t="s">
        <v>5355</v>
      </c>
      <c r="M1953" t="s">
        <v>5356</v>
      </c>
      <c r="N1953" t="s">
        <v>6100</v>
      </c>
      <c r="O1953" t="s">
        <v>6494</v>
      </c>
      <c r="P1953" t="s">
        <v>6530</v>
      </c>
      <c r="R1953" t="s">
        <v>6539</v>
      </c>
      <c r="S1953" t="s">
        <v>5357</v>
      </c>
      <c r="U1953" t="s">
        <v>6557</v>
      </c>
      <c r="W1953" t="s">
        <v>343</v>
      </c>
      <c r="X1953">
        <v>990</v>
      </c>
      <c r="Y1953" t="s">
        <v>6606</v>
      </c>
      <c r="Z1953" t="s">
        <v>6615</v>
      </c>
      <c r="AB1953" t="s">
        <v>7414</v>
      </c>
      <c r="AD1953" t="s">
        <v>9786</v>
      </c>
      <c r="AE1953">
        <v>78</v>
      </c>
      <c r="AF1953" t="s">
        <v>11005</v>
      </c>
      <c r="AG1953" t="s">
        <v>11021</v>
      </c>
      <c r="AH1953">
        <v>6</v>
      </c>
      <c r="AI1953">
        <v>1</v>
      </c>
      <c r="AJ1953">
        <v>0</v>
      </c>
      <c r="AK1953">
        <v>98.51000000000001</v>
      </c>
      <c r="AN1953" t="s">
        <v>11050</v>
      </c>
      <c r="AO1953">
        <v>11880</v>
      </c>
      <c r="AU1953">
        <v>25.3</v>
      </c>
      <c r="AV1953" t="s">
        <v>683</v>
      </c>
      <c r="AW1953" t="s">
        <v>11523</v>
      </c>
    </row>
    <row r="1954" spans="1:49">
      <c r="A1954" s="1">
        <f>HYPERLINK("https://cms.ls-nyc.org/matter/dynamic-profile/view/1865021","18-1865021")</f>
        <v>0</v>
      </c>
      <c r="B1954" t="s">
        <v>83</v>
      </c>
      <c r="C1954" t="s">
        <v>234</v>
      </c>
      <c r="D1954" t="s">
        <v>251</v>
      </c>
      <c r="E1954" t="s">
        <v>716</v>
      </c>
      <c r="F1954" t="s">
        <v>1136</v>
      </c>
      <c r="G1954" t="s">
        <v>3193</v>
      </c>
      <c r="H1954" t="s">
        <v>3842</v>
      </c>
      <c r="I1954" t="s">
        <v>4787</v>
      </c>
      <c r="J1954" t="s">
        <v>5323</v>
      </c>
      <c r="K1954">
        <v>10035</v>
      </c>
      <c r="L1954" t="s">
        <v>5355</v>
      </c>
      <c r="M1954" t="s">
        <v>5355</v>
      </c>
      <c r="N1954" t="s">
        <v>6101</v>
      </c>
      <c r="O1954" t="s">
        <v>6492</v>
      </c>
      <c r="P1954" t="s">
        <v>6530</v>
      </c>
      <c r="Q1954" t="s">
        <v>6534</v>
      </c>
      <c r="R1954" t="s">
        <v>6539</v>
      </c>
      <c r="S1954" t="s">
        <v>5357</v>
      </c>
      <c r="U1954" t="s">
        <v>6557</v>
      </c>
      <c r="V1954" t="s">
        <v>6566</v>
      </c>
      <c r="W1954" t="s">
        <v>251</v>
      </c>
      <c r="X1954">
        <v>1700</v>
      </c>
      <c r="Y1954" t="s">
        <v>6608</v>
      </c>
      <c r="Z1954" t="s">
        <v>6614</v>
      </c>
      <c r="AA1954" t="s">
        <v>6637</v>
      </c>
      <c r="AB1954" t="s">
        <v>8270</v>
      </c>
      <c r="AD1954" t="s">
        <v>10598</v>
      </c>
      <c r="AE1954">
        <v>35</v>
      </c>
      <c r="AF1954" t="s">
        <v>11005</v>
      </c>
      <c r="AG1954" t="s">
        <v>5406</v>
      </c>
      <c r="AH1954">
        <v>2</v>
      </c>
      <c r="AI1954">
        <v>1</v>
      </c>
      <c r="AJ1954">
        <v>0</v>
      </c>
      <c r="AK1954">
        <v>98.84999999999999</v>
      </c>
      <c r="AN1954" t="s">
        <v>11050</v>
      </c>
      <c r="AO1954">
        <v>12000</v>
      </c>
      <c r="AU1954">
        <v>16.4</v>
      </c>
      <c r="AV1954" t="s">
        <v>468</v>
      </c>
      <c r="AW1954" t="s">
        <v>11497</v>
      </c>
    </row>
    <row r="1955" spans="1:49">
      <c r="A1955" s="1">
        <f>HYPERLINK("https://cms.ls-nyc.org/matter/dynamic-profile/view/1838950","17-1838950")</f>
        <v>0</v>
      </c>
      <c r="B1955" t="s">
        <v>131</v>
      </c>
      <c r="C1955" t="s">
        <v>234</v>
      </c>
      <c r="D1955" t="s">
        <v>446</v>
      </c>
      <c r="E1955" t="s">
        <v>758</v>
      </c>
      <c r="F1955" t="s">
        <v>1693</v>
      </c>
      <c r="G1955" t="s">
        <v>2106</v>
      </c>
      <c r="H1955" t="s">
        <v>4448</v>
      </c>
      <c r="I1955" t="s">
        <v>5027</v>
      </c>
      <c r="J1955" t="s">
        <v>5323</v>
      </c>
      <c r="K1955">
        <v>10034</v>
      </c>
      <c r="L1955" t="s">
        <v>5355</v>
      </c>
      <c r="M1955" t="s">
        <v>5356</v>
      </c>
      <c r="N1955" t="s">
        <v>6102</v>
      </c>
      <c r="O1955" t="s">
        <v>6492</v>
      </c>
      <c r="P1955" t="s">
        <v>6530</v>
      </c>
      <c r="Q1955" t="s">
        <v>6534</v>
      </c>
      <c r="R1955" t="s">
        <v>6539</v>
      </c>
      <c r="S1955" t="s">
        <v>5357</v>
      </c>
      <c r="U1955" t="s">
        <v>6557</v>
      </c>
      <c r="W1955" t="s">
        <v>273</v>
      </c>
      <c r="X1955">
        <v>1216</v>
      </c>
      <c r="Y1955" t="s">
        <v>6608</v>
      </c>
      <c r="Z1955" t="s">
        <v>6616</v>
      </c>
      <c r="AA1955" t="s">
        <v>6637</v>
      </c>
      <c r="AB1955" t="s">
        <v>8271</v>
      </c>
      <c r="AD1955" t="s">
        <v>10599</v>
      </c>
      <c r="AE1955">
        <v>100</v>
      </c>
      <c r="AF1955" t="s">
        <v>11014</v>
      </c>
      <c r="AG1955" t="s">
        <v>11020</v>
      </c>
      <c r="AH1955">
        <v>10</v>
      </c>
      <c r="AI1955">
        <v>1</v>
      </c>
      <c r="AJ1955">
        <v>0</v>
      </c>
      <c r="AK1955">
        <v>99.17</v>
      </c>
      <c r="AN1955" t="s">
        <v>11050</v>
      </c>
      <c r="AO1955">
        <v>11960</v>
      </c>
      <c r="AU1955">
        <v>19.5</v>
      </c>
      <c r="AV1955" t="s">
        <v>667</v>
      </c>
      <c r="AW1955" t="s">
        <v>11546</v>
      </c>
    </row>
    <row r="1956" spans="1:49">
      <c r="A1956" s="1">
        <f>HYPERLINK("https://cms.ls-nyc.org/matter/dynamic-profile/view/0804116","16-0804116")</f>
        <v>0</v>
      </c>
      <c r="B1956" t="s">
        <v>115</v>
      </c>
      <c r="C1956" t="s">
        <v>235</v>
      </c>
      <c r="D1956" t="s">
        <v>609</v>
      </c>
      <c r="F1956" t="s">
        <v>1882</v>
      </c>
      <c r="G1956" t="s">
        <v>2128</v>
      </c>
      <c r="H1956" t="s">
        <v>4449</v>
      </c>
      <c r="I1956" t="s">
        <v>5233</v>
      </c>
      <c r="J1956" t="s">
        <v>5320</v>
      </c>
      <c r="K1956">
        <v>11225</v>
      </c>
      <c r="L1956" t="s">
        <v>5355</v>
      </c>
      <c r="M1956" t="s">
        <v>5356</v>
      </c>
      <c r="N1956" t="s">
        <v>6103</v>
      </c>
      <c r="O1956" t="s">
        <v>6502</v>
      </c>
      <c r="P1956" t="s">
        <v>6530</v>
      </c>
      <c r="R1956" t="s">
        <v>6539</v>
      </c>
      <c r="S1956" t="s">
        <v>5355</v>
      </c>
      <c r="U1956" t="s">
        <v>6557</v>
      </c>
      <c r="W1956" t="s">
        <v>404</v>
      </c>
      <c r="X1956">
        <v>1129</v>
      </c>
      <c r="Y1956" t="s">
        <v>6605</v>
      </c>
      <c r="Z1956" t="s">
        <v>6612</v>
      </c>
      <c r="AB1956" t="s">
        <v>8272</v>
      </c>
      <c r="AE1956">
        <v>8</v>
      </c>
      <c r="AF1956" t="s">
        <v>11005</v>
      </c>
      <c r="AH1956">
        <v>34</v>
      </c>
      <c r="AI1956">
        <v>2</v>
      </c>
      <c r="AJ1956">
        <v>0</v>
      </c>
      <c r="AK1956">
        <v>99.33</v>
      </c>
      <c r="AN1956" t="s">
        <v>11050</v>
      </c>
      <c r="AO1956">
        <v>15912</v>
      </c>
      <c r="AU1956">
        <v>0.9</v>
      </c>
      <c r="AV1956" t="s">
        <v>530</v>
      </c>
      <c r="AW1956" t="s">
        <v>11503</v>
      </c>
    </row>
    <row r="1957" spans="1:49">
      <c r="A1957" s="1">
        <f>HYPERLINK("https://cms.ls-nyc.org/matter/dynamic-profile/view/1867573","18-1867573")</f>
        <v>0</v>
      </c>
      <c r="B1957" t="s">
        <v>61</v>
      </c>
      <c r="C1957" t="s">
        <v>234</v>
      </c>
      <c r="D1957" t="s">
        <v>317</v>
      </c>
      <c r="E1957" t="s">
        <v>712</v>
      </c>
      <c r="F1957" t="s">
        <v>1883</v>
      </c>
      <c r="G1957" t="s">
        <v>1742</v>
      </c>
      <c r="H1957" t="s">
        <v>4450</v>
      </c>
      <c r="I1957" t="s">
        <v>5234</v>
      </c>
      <c r="J1957" t="s">
        <v>5321</v>
      </c>
      <c r="K1957">
        <v>10453</v>
      </c>
      <c r="L1957" t="s">
        <v>5355</v>
      </c>
      <c r="M1957" t="s">
        <v>5355</v>
      </c>
      <c r="N1957" t="s">
        <v>6104</v>
      </c>
      <c r="O1957" t="s">
        <v>6491</v>
      </c>
      <c r="P1957" t="s">
        <v>6530</v>
      </c>
      <c r="Q1957" t="s">
        <v>6534</v>
      </c>
      <c r="R1957" t="s">
        <v>6539</v>
      </c>
      <c r="S1957" t="s">
        <v>5357</v>
      </c>
      <c r="U1957" t="s">
        <v>6557</v>
      </c>
      <c r="W1957" t="s">
        <v>6573</v>
      </c>
      <c r="X1957">
        <v>880</v>
      </c>
      <c r="Y1957" t="s">
        <v>6606</v>
      </c>
      <c r="Z1957" t="s">
        <v>6612</v>
      </c>
      <c r="AA1957" t="s">
        <v>6637</v>
      </c>
      <c r="AB1957" t="s">
        <v>8273</v>
      </c>
      <c r="AC1957" t="s">
        <v>9030</v>
      </c>
      <c r="AD1957" t="s">
        <v>10600</v>
      </c>
      <c r="AE1957">
        <v>98</v>
      </c>
      <c r="AF1957" t="s">
        <v>11005</v>
      </c>
      <c r="AG1957" t="s">
        <v>5406</v>
      </c>
      <c r="AH1957">
        <v>2</v>
      </c>
      <c r="AI1957">
        <v>2</v>
      </c>
      <c r="AJ1957">
        <v>1</v>
      </c>
      <c r="AK1957">
        <v>99.33</v>
      </c>
      <c r="AN1957" t="s">
        <v>11050</v>
      </c>
      <c r="AO1957">
        <v>20640</v>
      </c>
      <c r="AP1957" t="s">
        <v>11075</v>
      </c>
      <c r="AQ1957" t="s">
        <v>11191</v>
      </c>
      <c r="AR1957" t="s">
        <v>11210</v>
      </c>
      <c r="AS1957" t="s">
        <v>11253</v>
      </c>
      <c r="AT1957" t="s">
        <v>11350</v>
      </c>
      <c r="AU1957">
        <v>2.35</v>
      </c>
      <c r="AV1957" t="s">
        <v>299</v>
      </c>
      <c r="AW1957" t="s">
        <v>11499</v>
      </c>
    </row>
    <row r="1958" spans="1:49">
      <c r="A1958" s="1">
        <f>HYPERLINK("https://cms.ls-nyc.org/matter/dynamic-profile/view/1840080","17-1840080")</f>
        <v>0</v>
      </c>
      <c r="B1958" t="s">
        <v>92</v>
      </c>
      <c r="C1958" t="s">
        <v>234</v>
      </c>
      <c r="D1958" t="s">
        <v>359</v>
      </c>
      <c r="E1958" t="s">
        <v>676</v>
      </c>
      <c r="F1958" t="s">
        <v>1884</v>
      </c>
      <c r="G1958" t="s">
        <v>2440</v>
      </c>
      <c r="H1958" t="s">
        <v>3575</v>
      </c>
      <c r="I1958">
        <v>66</v>
      </c>
      <c r="J1958" t="s">
        <v>5323</v>
      </c>
      <c r="K1958">
        <v>10040</v>
      </c>
      <c r="L1958" t="s">
        <v>5355</v>
      </c>
      <c r="M1958" t="s">
        <v>5355</v>
      </c>
      <c r="N1958" t="s">
        <v>5439</v>
      </c>
      <c r="O1958" t="s">
        <v>6494</v>
      </c>
      <c r="P1958" t="s">
        <v>6530</v>
      </c>
      <c r="Q1958" t="s">
        <v>6534</v>
      </c>
      <c r="R1958" t="s">
        <v>6539</v>
      </c>
      <c r="S1958" t="s">
        <v>5355</v>
      </c>
      <c r="U1958" t="s">
        <v>6557</v>
      </c>
      <c r="V1958" t="s">
        <v>6566</v>
      </c>
      <c r="W1958" t="s">
        <v>236</v>
      </c>
      <c r="X1958">
        <v>2454.61</v>
      </c>
      <c r="Y1958" t="s">
        <v>6608</v>
      </c>
      <c r="Z1958" t="s">
        <v>6622</v>
      </c>
      <c r="AA1958" t="s">
        <v>6634</v>
      </c>
      <c r="AB1958" t="s">
        <v>8274</v>
      </c>
      <c r="AD1958" t="s">
        <v>10601</v>
      </c>
      <c r="AE1958">
        <v>45</v>
      </c>
      <c r="AF1958" t="s">
        <v>11005</v>
      </c>
      <c r="AG1958" t="s">
        <v>5406</v>
      </c>
      <c r="AH1958">
        <v>3</v>
      </c>
      <c r="AI1958">
        <v>1</v>
      </c>
      <c r="AJ1958">
        <v>0</v>
      </c>
      <c r="AK1958">
        <v>99.5</v>
      </c>
      <c r="AL1958" t="s">
        <v>301</v>
      </c>
      <c r="AN1958" t="s">
        <v>11050</v>
      </c>
      <c r="AO1958">
        <v>12000</v>
      </c>
      <c r="AQ1958" t="s">
        <v>11190</v>
      </c>
      <c r="AR1958" t="s">
        <v>11206</v>
      </c>
      <c r="AS1958" t="s">
        <v>11253</v>
      </c>
      <c r="AT1958" t="s">
        <v>11263</v>
      </c>
      <c r="AU1958">
        <v>2.9</v>
      </c>
      <c r="AV1958" t="s">
        <v>676</v>
      </c>
      <c r="AW1958" t="s">
        <v>11495</v>
      </c>
    </row>
    <row r="1959" spans="1:49">
      <c r="A1959" s="1">
        <f>HYPERLINK("https://cms.ls-nyc.org/matter/dynamic-profile/view/1855460","18-1855460")</f>
        <v>0</v>
      </c>
      <c r="B1959" t="s">
        <v>74</v>
      </c>
      <c r="C1959" t="s">
        <v>234</v>
      </c>
      <c r="D1959" t="s">
        <v>329</v>
      </c>
      <c r="E1959" t="s">
        <v>665</v>
      </c>
      <c r="F1959" t="s">
        <v>1325</v>
      </c>
      <c r="G1959" t="s">
        <v>3194</v>
      </c>
      <c r="H1959" t="s">
        <v>4451</v>
      </c>
      <c r="J1959" t="s">
        <v>5322</v>
      </c>
      <c r="K1959">
        <v>10312</v>
      </c>
      <c r="L1959" t="s">
        <v>5355</v>
      </c>
      <c r="M1959" t="s">
        <v>5355</v>
      </c>
      <c r="N1959" t="s">
        <v>6105</v>
      </c>
      <c r="O1959" t="s">
        <v>6520</v>
      </c>
      <c r="P1959" t="s">
        <v>6530</v>
      </c>
      <c r="Q1959" t="s">
        <v>6537</v>
      </c>
      <c r="R1959" t="s">
        <v>6539</v>
      </c>
      <c r="S1959" t="s">
        <v>5357</v>
      </c>
      <c r="U1959" t="s">
        <v>6557</v>
      </c>
      <c r="W1959" t="s">
        <v>329</v>
      </c>
      <c r="X1959">
        <v>0</v>
      </c>
      <c r="Y1959" t="s">
        <v>6607</v>
      </c>
      <c r="Z1959" t="s">
        <v>6612</v>
      </c>
      <c r="AA1959" t="s">
        <v>6637</v>
      </c>
      <c r="AB1959" t="s">
        <v>8275</v>
      </c>
      <c r="AC1959" t="s">
        <v>5392</v>
      </c>
      <c r="AD1959" t="s">
        <v>10602</v>
      </c>
      <c r="AE1959">
        <v>1</v>
      </c>
      <c r="AF1959" t="s">
        <v>11004</v>
      </c>
      <c r="AG1959" t="s">
        <v>5406</v>
      </c>
      <c r="AH1959">
        <v>30</v>
      </c>
      <c r="AI1959">
        <v>3</v>
      </c>
      <c r="AJ1959">
        <v>1</v>
      </c>
      <c r="AK1959">
        <v>99.59</v>
      </c>
      <c r="AN1959" t="s">
        <v>11050</v>
      </c>
      <c r="AO1959">
        <v>34500</v>
      </c>
      <c r="AU1959">
        <v>193.79</v>
      </c>
      <c r="AV1959" t="s">
        <v>11454</v>
      </c>
      <c r="AW1959" t="s">
        <v>11510</v>
      </c>
    </row>
    <row r="1960" spans="1:49">
      <c r="A1960" s="1">
        <f>HYPERLINK("https://cms.ls-nyc.org/matter/dynamic-profile/view/1862289","18-1862289")</f>
        <v>0</v>
      </c>
      <c r="B1960" t="s">
        <v>92</v>
      </c>
      <c r="C1960" t="s">
        <v>235</v>
      </c>
      <c r="D1960" t="s">
        <v>336</v>
      </c>
      <c r="F1960" t="s">
        <v>912</v>
      </c>
      <c r="G1960" t="s">
        <v>3195</v>
      </c>
      <c r="H1960" t="s">
        <v>4331</v>
      </c>
      <c r="I1960" t="s">
        <v>4841</v>
      </c>
      <c r="J1960" t="s">
        <v>5323</v>
      </c>
      <c r="K1960">
        <v>10034</v>
      </c>
      <c r="L1960" t="s">
        <v>5355</v>
      </c>
      <c r="M1960" t="s">
        <v>5356</v>
      </c>
      <c r="N1960" t="s">
        <v>5935</v>
      </c>
      <c r="O1960" t="s">
        <v>6494</v>
      </c>
      <c r="P1960" t="s">
        <v>6530</v>
      </c>
      <c r="R1960" t="s">
        <v>6539</v>
      </c>
      <c r="S1960" t="s">
        <v>5355</v>
      </c>
      <c r="U1960" t="s">
        <v>6557</v>
      </c>
      <c r="W1960" t="s">
        <v>336</v>
      </c>
      <c r="X1960">
        <v>758</v>
      </c>
      <c r="Y1960" t="s">
        <v>6608</v>
      </c>
      <c r="Z1960" t="s">
        <v>6616</v>
      </c>
      <c r="AB1960" t="s">
        <v>8276</v>
      </c>
      <c r="AD1960" t="s">
        <v>10603</v>
      </c>
      <c r="AE1960">
        <v>60</v>
      </c>
      <c r="AF1960" t="s">
        <v>11005</v>
      </c>
      <c r="AG1960" t="s">
        <v>5406</v>
      </c>
      <c r="AH1960">
        <v>25</v>
      </c>
      <c r="AI1960">
        <v>3</v>
      </c>
      <c r="AJ1960">
        <v>1</v>
      </c>
      <c r="AK1960">
        <v>99.59999999999999</v>
      </c>
      <c r="AN1960" t="s">
        <v>11049</v>
      </c>
      <c r="AO1960">
        <v>25000</v>
      </c>
      <c r="AU1960">
        <v>7.5</v>
      </c>
      <c r="AV1960" t="s">
        <v>335</v>
      </c>
      <c r="AW1960" t="s">
        <v>11495</v>
      </c>
    </row>
    <row r="1961" spans="1:49">
      <c r="A1961" s="1">
        <f>HYPERLINK("https://cms.ls-nyc.org/matter/dynamic-profile/view/1862256","18-1862256")</f>
        <v>0</v>
      </c>
      <c r="B1961" t="s">
        <v>97</v>
      </c>
      <c r="C1961" t="s">
        <v>235</v>
      </c>
      <c r="D1961" t="s">
        <v>331</v>
      </c>
      <c r="F1961" t="s">
        <v>1885</v>
      </c>
      <c r="G1961" t="s">
        <v>3196</v>
      </c>
      <c r="H1961" t="s">
        <v>3815</v>
      </c>
      <c r="I1961">
        <v>42</v>
      </c>
      <c r="J1961" t="s">
        <v>5323</v>
      </c>
      <c r="K1961">
        <v>10034</v>
      </c>
      <c r="L1961" t="s">
        <v>5355</v>
      </c>
      <c r="M1961" t="s">
        <v>5356</v>
      </c>
      <c r="N1961" t="s">
        <v>6106</v>
      </c>
      <c r="O1961" t="s">
        <v>6492</v>
      </c>
      <c r="P1961" t="s">
        <v>6530</v>
      </c>
      <c r="R1961" t="s">
        <v>6539</v>
      </c>
      <c r="S1961" t="s">
        <v>5357</v>
      </c>
      <c r="U1961" t="s">
        <v>6557</v>
      </c>
      <c r="W1961" t="s">
        <v>395</v>
      </c>
      <c r="X1961">
        <v>1400</v>
      </c>
      <c r="Y1961" t="s">
        <v>6608</v>
      </c>
      <c r="Z1961" t="s">
        <v>6619</v>
      </c>
      <c r="AB1961" t="s">
        <v>8277</v>
      </c>
      <c r="AD1961" t="s">
        <v>10604</v>
      </c>
      <c r="AE1961">
        <v>130</v>
      </c>
      <c r="AF1961" t="s">
        <v>11005</v>
      </c>
      <c r="AG1961" t="s">
        <v>5406</v>
      </c>
      <c r="AH1961">
        <v>10</v>
      </c>
      <c r="AI1961">
        <v>3</v>
      </c>
      <c r="AJ1961">
        <v>1</v>
      </c>
      <c r="AK1961">
        <v>99.59999999999999</v>
      </c>
      <c r="AN1961" t="s">
        <v>11049</v>
      </c>
      <c r="AO1961">
        <v>25000</v>
      </c>
      <c r="AU1961">
        <v>109.9</v>
      </c>
      <c r="AV1961" t="s">
        <v>475</v>
      </c>
      <c r="AW1961" t="s">
        <v>11511</v>
      </c>
    </row>
    <row r="1962" spans="1:49">
      <c r="A1962" s="1">
        <f>HYPERLINK("https://cms.ls-nyc.org/matter/dynamic-profile/view/1866918","18-1866918")</f>
        <v>0</v>
      </c>
      <c r="B1962" t="s">
        <v>111</v>
      </c>
      <c r="C1962" t="s">
        <v>234</v>
      </c>
      <c r="D1962" t="s">
        <v>355</v>
      </c>
      <c r="E1962" t="s">
        <v>708</v>
      </c>
      <c r="F1962" t="s">
        <v>912</v>
      </c>
      <c r="G1962" t="s">
        <v>3195</v>
      </c>
      <c r="H1962" t="s">
        <v>4331</v>
      </c>
      <c r="I1962" t="s">
        <v>4841</v>
      </c>
      <c r="J1962" t="s">
        <v>5323</v>
      </c>
      <c r="K1962">
        <v>10034</v>
      </c>
      <c r="L1962" t="s">
        <v>5355</v>
      </c>
      <c r="M1962" t="s">
        <v>5355</v>
      </c>
      <c r="O1962" t="s">
        <v>6492</v>
      </c>
      <c r="P1962" t="s">
        <v>6530</v>
      </c>
      <c r="Q1962" t="s">
        <v>6534</v>
      </c>
      <c r="R1962" t="s">
        <v>6539</v>
      </c>
      <c r="S1962" t="s">
        <v>5357</v>
      </c>
      <c r="U1962" t="s">
        <v>6557</v>
      </c>
      <c r="W1962" t="s">
        <v>355</v>
      </c>
      <c r="X1962">
        <v>758</v>
      </c>
      <c r="Y1962" t="s">
        <v>6608</v>
      </c>
      <c r="Z1962" t="s">
        <v>6614</v>
      </c>
      <c r="AA1962" t="s">
        <v>6637</v>
      </c>
      <c r="AB1962" t="s">
        <v>8276</v>
      </c>
      <c r="AD1962" t="s">
        <v>10603</v>
      </c>
      <c r="AE1962">
        <v>60</v>
      </c>
      <c r="AF1962" t="s">
        <v>11005</v>
      </c>
      <c r="AG1962" t="s">
        <v>5406</v>
      </c>
      <c r="AH1962">
        <v>25</v>
      </c>
      <c r="AI1962">
        <v>3</v>
      </c>
      <c r="AJ1962">
        <v>1</v>
      </c>
      <c r="AK1962">
        <v>99.59999999999999</v>
      </c>
      <c r="AN1962" t="s">
        <v>11049</v>
      </c>
      <c r="AO1962">
        <v>25000</v>
      </c>
      <c r="AU1962">
        <v>6.5</v>
      </c>
      <c r="AV1962" t="s">
        <v>722</v>
      </c>
      <c r="AW1962" t="s">
        <v>11495</v>
      </c>
    </row>
    <row r="1963" spans="1:49">
      <c r="A1963" s="1">
        <f>HYPERLINK("https://cms.ls-nyc.org/matter/dynamic-profile/view/1863624","18-1863624")</f>
        <v>0</v>
      </c>
      <c r="B1963" t="s">
        <v>65</v>
      </c>
      <c r="C1963" t="s">
        <v>234</v>
      </c>
      <c r="D1963" t="s">
        <v>263</v>
      </c>
      <c r="E1963" t="s">
        <v>820</v>
      </c>
      <c r="F1963" t="s">
        <v>1886</v>
      </c>
      <c r="G1963" t="s">
        <v>2240</v>
      </c>
      <c r="H1963" t="s">
        <v>4452</v>
      </c>
      <c r="I1963">
        <v>704</v>
      </c>
      <c r="J1963" t="s">
        <v>5323</v>
      </c>
      <c r="K1963">
        <v>10029</v>
      </c>
      <c r="L1963" t="s">
        <v>5355</v>
      </c>
      <c r="M1963" t="s">
        <v>5355</v>
      </c>
      <c r="O1963" t="s">
        <v>5393</v>
      </c>
      <c r="P1963" t="s">
        <v>6530</v>
      </c>
      <c r="Q1963" t="s">
        <v>6534</v>
      </c>
      <c r="R1963" t="s">
        <v>6539</v>
      </c>
      <c r="S1963" t="s">
        <v>5357</v>
      </c>
      <c r="U1963" t="s">
        <v>6557</v>
      </c>
      <c r="W1963" t="s">
        <v>263</v>
      </c>
      <c r="X1963">
        <v>916</v>
      </c>
      <c r="Y1963" t="s">
        <v>6608</v>
      </c>
      <c r="Z1963" t="s">
        <v>6614</v>
      </c>
      <c r="AA1963" t="s">
        <v>6637</v>
      </c>
      <c r="AB1963" t="s">
        <v>8278</v>
      </c>
      <c r="AD1963" t="s">
        <v>10605</v>
      </c>
      <c r="AE1963">
        <v>426</v>
      </c>
      <c r="AF1963" t="s">
        <v>11010</v>
      </c>
      <c r="AG1963" t="s">
        <v>11023</v>
      </c>
      <c r="AH1963">
        <v>14</v>
      </c>
      <c r="AI1963">
        <v>3</v>
      </c>
      <c r="AJ1963">
        <v>2</v>
      </c>
      <c r="AK1963">
        <v>100.75</v>
      </c>
      <c r="AN1963" t="s">
        <v>11050</v>
      </c>
      <c r="AO1963">
        <v>38676</v>
      </c>
      <c r="AU1963">
        <v>5.5</v>
      </c>
      <c r="AV1963" t="s">
        <v>447</v>
      </c>
      <c r="AW1963" t="s">
        <v>11497</v>
      </c>
    </row>
    <row r="1964" spans="1:49">
      <c r="A1964" s="1">
        <f>HYPERLINK("https://cms.ls-nyc.org/matter/dynamic-profile/view/1867494","18-1867494")</f>
        <v>0</v>
      </c>
      <c r="B1964" t="s">
        <v>138</v>
      </c>
      <c r="C1964" t="s">
        <v>234</v>
      </c>
      <c r="D1964" t="s">
        <v>317</v>
      </c>
      <c r="E1964" t="s">
        <v>674</v>
      </c>
      <c r="F1964" t="s">
        <v>1887</v>
      </c>
      <c r="G1964" t="s">
        <v>3197</v>
      </c>
      <c r="H1964" t="s">
        <v>4453</v>
      </c>
      <c r="I1964" t="s">
        <v>4772</v>
      </c>
      <c r="J1964" t="s">
        <v>5320</v>
      </c>
      <c r="K1964">
        <v>11207</v>
      </c>
      <c r="L1964" t="s">
        <v>5355</v>
      </c>
      <c r="M1964" t="s">
        <v>5356</v>
      </c>
      <c r="N1964" t="s">
        <v>6107</v>
      </c>
      <c r="O1964" t="s">
        <v>6492</v>
      </c>
      <c r="P1964" t="s">
        <v>6530</v>
      </c>
      <c r="Q1964" t="s">
        <v>6534</v>
      </c>
      <c r="R1964" t="s">
        <v>6539</v>
      </c>
      <c r="S1964" t="s">
        <v>5357</v>
      </c>
      <c r="U1964" t="s">
        <v>6557</v>
      </c>
      <c r="V1964" t="s">
        <v>6566</v>
      </c>
      <c r="W1964" t="s">
        <v>317</v>
      </c>
      <c r="X1964">
        <v>875</v>
      </c>
      <c r="Y1964" t="s">
        <v>6605</v>
      </c>
      <c r="Z1964" t="s">
        <v>6611</v>
      </c>
      <c r="AA1964" t="s">
        <v>6637</v>
      </c>
      <c r="AB1964" t="s">
        <v>8279</v>
      </c>
      <c r="AD1964" t="s">
        <v>10606</v>
      </c>
      <c r="AE1964">
        <v>8</v>
      </c>
      <c r="AF1964" t="s">
        <v>11013</v>
      </c>
      <c r="AH1964">
        <v>29</v>
      </c>
      <c r="AI1964">
        <v>3</v>
      </c>
      <c r="AJ1964">
        <v>1</v>
      </c>
      <c r="AK1964">
        <v>100.99</v>
      </c>
      <c r="AN1964" t="s">
        <v>11050</v>
      </c>
      <c r="AO1964">
        <v>25348</v>
      </c>
      <c r="AU1964">
        <v>26.6</v>
      </c>
      <c r="AV1964" t="s">
        <v>674</v>
      </c>
      <c r="AW1964" t="s">
        <v>11487</v>
      </c>
    </row>
    <row r="1965" spans="1:49">
      <c r="A1965" s="1">
        <f>HYPERLINK("https://cms.ls-nyc.org/matter/dynamic-profile/view/0802856","16-0802856")</f>
        <v>0</v>
      </c>
      <c r="B1965" t="s">
        <v>150</v>
      </c>
      <c r="C1965" t="s">
        <v>235</v>
      </c>
      <c r="D1965" t="s">
        <v>610</v>
      </c>
      <c r="F1965" t="s">
        <v>1888</v>
      </c>
      <c r="G1965" t="s">
        <v>3198</v>
      </c>
      <c r="H1965" t="s">
        <v>4439</v>
      </c>
      <c r="I1965" t="s">
        <v>5235</v>
      </c>
      <c r="J1965" t="s">
        <v>5320</v>
      </c>
      <c r="K1965">
        <v>11213</v>
      </c>
      <c r="L1965" t="s">
        <v>5355</v>
      </c>
      <c r="M1965" t="s">
        <v>5356</v>
      </c>
      <c r="N1965" t="s">
        <v>6108</v>
      </c>
      <c r="O1965" t="s">
        <v>6491</v>
      </c>
      <c r="P1965" t="s">
        <v>6530</v>
      </c>
      <c r="R1965" t="s">
        <v>6539</v>
      </c>
      <c r="S1965" t="s">
        <v>5355</v>
      </c>
      <c r="T1965" t="s">
        <v>6544</v>
      </c>
      <c r="U1965" t="s">
        <v>6557</v>
      </c>
      <c r="W1965" t="s">
        <v>262</v>
      </c>
      <c r="X1965">
        <v>1068</v>
      </c>
      <c r="Y1965" t="s">
        <v>6605</v>
      </c>
      <c r="Z1965" t="s">
        <v>6609</v>
      </c>
      <c r="AB1965" t="s">
        <v>8280</v>
      </c>
      <c r="AD1965" t="s">
        <v>10607</v>
      </c>
      <c r="AE1965">
        <v>20</v>
      </c>
      <c r="AF1965" t="s">
        <v>11005</v>
      </c>
      <c r="AH1965">
        <v>19</v>
      </c>
      <c r="AI1965">
        <v>1</v>
      </c>
      <c r="AJ1965">
        <v>0</v>
      </c>
      <c r="AK1965">
        <v>101.01</v>
      </c>
      <c r="AN1965" t="s">
        <v>11050</v>
      </c>
      <c r="AO1965">
        <v>12000</v>
      </c>
      <c r="AU1965">
        <v>165.72</v>
      </c>
      <c r="AV1965" t="s">
        <v>11476</v>
      </c>
      <c r="AW1965" t="s">
        <v>11503</v>
      </c>
    </row>
    <row r="1966" spans="1:49">
      <c r="A1966" s="1">
        <f>HYPERLINK("https://cms.ls-nyc.org/matter/dynamic-profile/view/1856415","18-1856415")</f>
        <v>0</v>
      </c>
      <c r="B1966" t="s">
        <v>140</v>
      </c>
      <c r="C1966" t="s">
        <v>235</v>
      </c>
      <c r="D1966" t="s">
        <v>261</v>
      </c>
      <c r="F1966" t="s">
        <v>1889</v>
      </c>
      <c r="G1966" t="s">
        <v>3199</v>
      </c>
      <c r="H1966" t="s">
        <v>4454</v>
      </c>
      <c r="J1966" t="s">
        <v>5322</v>
      </c>
      <c r="K1966">
        <v>10302</v>
      </c>
      <c r="L1966" t="s">
        <v>5355</v>
      </c>
      <c r="M1966" t="s">
        <v>5355</v>
      </c>
      <c r="N1966" t="s">
        <v>6109</v>
      </c>
      <c r="O1966" t="s">
        <v>6492</v>
      </c>
      <c r="P1966" t="s">
        <v>6530</v>
      </c>
      <c r="R1966" t="s">
        <v>6539</v>
      </c>
      <c r="S1966" t="s">
        <v>5357</v>
      </c>
      <c r="U1966" t="s">
        <v>6557</v>
      </c>
      <c r="V1966" t="s">
        <v>6566</v>
      </c>
      <c r="W1966" t="s">
        <v>261</v>
      </c>
      <c r="X1966">
        <v>650</v>
      </c>
      <c r="Y1966" t="s">
        <v>6607</v>
      </c>
      <c r="Z1966" t="s">
        <v>6614</v>
      </c>
      <c r="AB1966" t="s">
        <v>8281</v>
      </c>
      <c r="AD1966" t="s">
        <v>10608</v>
      </c>
      <c r="AE1966">
        <v>18</v>
      </c>
      <c r="AF1966" t="s">
        <v>11005</v>
      </c>
      <c r="AG1966" t="s">
        <v>5406</v>
      </c>
      <c r="AH1966">
        <v>4</v>
      </c>
      <c r="AI1966">
        <v>2</v>
      </c>
      <c r="AJ1966">
        <v>0</v>
      </c>
      <c r="AK1966">
        <v>101.31</v>
      </c>
      <c r="AN1966" t="s">
        <v>11050</v>
      </c>
      <c r="AO1966">
        <v>16452</v>
      </c>
      <c r="AQ1966" t="s">
        <v>11192</v>
      </c>
      <c r="AU1966">
        <v>7.8</v>
      </c>
      <c r="AV1966" t="s">
        <v>434</v>
      </c>
      <c r="AW1966" t="s">
        <v>140</v>
      </c>
    </row>
    <row r="1967" spans="1:49">
      <c r="A1967" s="1">
        <f>HYPERLINK("https://cms.ls-nyc.org/matter/dynamic-profile/view/1851146","17-1851146")</f>
        <v>0</v>
      </c>
      <c r="B1967" t="s">
        <v>194</v>
      </c>
      <c r="C1967" t="s">
        <v>234</v>
      </c>
      <c r="D1967" t="s">
        <v>367</v>
      </c>
      <c r="E1967" t="s">
        <v>791</v>
      </c>
      <c r="F1967" t="s">
        <v>1890</v>
      </c>
      <c r="G1967" t="s">
        <v>2106</v>
      </c>
      <c r="H1967" t="s">
        <v>4455</v>
      </c>
      <c r="I1967" t="s">
        <v>4838</v>
      </c>
      <c r="J1967" t="s">
        <v>5320</v>
      </c>
      <c r="K1967">
        <v>11206</v>
      </c>
      <c r="L1967" t="s">
        <v>5355</v>
      </c>
      <c r="M1967" t="s">
        <v>5355</v>
      </c>
      <c r="N1967" t="s">
        <v>6110</v>
      </c>
      <c r="O1967" t="s">
        <v>6492</v>
      </c>
      <c r="P1967" t="s">
        <v>6530</v>
      </c>
      <c r="Q1967" t="s">
        <v>6534</v>
      </c>
      <c r="R1967" t="s">
        <v>6539</v>
      </c>
      <c r="S1967" t="s">
        <v>5357</v>
      </c>
      <c r="U1967" t="s">
        <v>6557</v>
      </c>
      <c r="W1967" t="s">
        <v>562</v>
      </c>
      <c r="X1967">
        <v>1109</v>
      </c>
      <c r="Y1967" t="s">
        <v>6605</v>
      </c>
      <c r="Z1967" t="s">
        <v>6613</v>
      </c>
      <c r="AA1967" t="s">
        <v>6637</v>
      </c>
      <c r="AB1967" t="s">
        <v>8282</v>
      </c>
      <c r="AD1967" t="s">
        <v>10609</v>
      </c>
      <c r="AE1967">
        <v>46</v>
      </c>
      <c r="AF1967" t="s">
        <v>11005</v>
      </c>
      <c r="AG1967" t="s">
        <v>11020</v>
      </c>
      <c r="AH1967">
        <v>6</v>
      </c>
      <c r="AI1967">
        <v>2</v>
      </c>
      <c r="AJ1967">
        <v>2</v>
      </c>
      <c r="AK1967">
        <v>101.46</v>
      </c>
      <c r="AN1967" t="s">
        <v>11050</v>
      </c>
      <c r="AO1967">
        <v>24960</v>
      </c>
      <c r="AR1967" t="s">
        <v>11210</v>
      </c>
      <c r="AS1967" t="s">
        <v>11253</v>
      </c>
      <c r="AT1967" t="s">
        <v>11303</v>
      </c>
      <c r="AU1967">
        <v>27.9</v>
      </c>
      <c r="AV1967" t="s">
        <v>312</v>
      </c>
      <c r="AW1967" t="s">
        <v>11512</v>
      </c>
    </row>
    <row r="1968" spans="1:49">
      <c r="A1968" s="1">
        <f>HYPERLINK("https://cms.ls-nyc.org/matter/dynamic-profile/view/1858016","18-1858016")</f>
        <v>0</v>
      </c>
      <c r="B1968" t="s">
        <v>52</v>
      </c>
      <c r="C1968" t="s">
        <v>234</v>
      </c>
      <c r="D1968" t="s">
        <v>272</v>
      </c>
      <c r="E1968" t="s">
        <v>733</v>
      </c>
      <c r="F1968" t="s">
        <v>1891</v>
      </c>
      <c r="G1968" t="s">
        <v>2360</v>
      </c>
      <c r="H1968" t="s">
        <v>4456</v>
      </c>
      <c r="I1968" t="s">
        <v>5044</v>
      </c>
      <c r="J1968" t="s">
        <v>5324</v>
      </c>
      <c r="K1968">
        <v>11354</v>
      </c>
      <c r="L1968" t="s">
        <v>5355</v>
      </c>
      <c r="M1968" t="s">
        <v>5355</v>
      </c>
      <c r="N1968" t="s">
        <v>6111</v>
      </c>
      <c r="O1968" t="s">
        <v>6492</v>
      </c>
      <c r="P1968" t="s">
        <v>6530</v>
      </c>
      <c r="Q1968" t="s">
        <v>6534</v>
      </c>
      <c r="R1968" t="s">
        <v>6539</v>
      </c>
      <c r="S1968" t="s">
        <v>5357</v>
      </c>
      <c r="U1968" t="s">
        <v>6557</v>
      </c>
      <c r="V1968" t="s">
        <v>6566</v>
      </c>
      <c r="W1968" t="s">
        <v>272</v>
      </c>
      <c r="X1968">
        <v>1555.5</v>
      </c>
      <c r="Y1968" t="s">
        <v>6604</v>
      </c>
      <c r="Z1968" t="s">
        <v>6620</v>
      </c>
      <c r="AA1968" t="s">
        <v>6637</v>
      </c>
      <c r="AB1968" t="s">
        <v>8283</v>
      </c>
      <c r="AD1968" t="s">
        <v>10610</v>
      </c>
      <c r="AE1968">
        <v>121</v>
      </c>
      <c r="AF1968" t="s">
        <v>11005</v>
      </c>
      <c r="AG1968" t="s">
        <v>5406</v>
      </c>
      <c r="AH1968">
        <v>2</v>
      </c>
      <c r="AI1968">
        <v>2</v>
      </c>
      <c r="AJ1968">
        <v>2</v>
      </c>
      <c r="AK1968">
        <v>101.63</v>
      </c>
      <c r="AN1968" t="s">
        <v>11051</v>
      </c>
      <c r="AO1968">
        <v>25000</v>
      </c>
      <c r="AR1968" t="s">
        <v>11211</v>
      </c>
      <c r="AS1968" t="s">
        <v>11253</v>
      </c>
      <c r="AT1968" t="s">
        <v>11386</v>
      </c>
      <c r="AU1968">
        <v>9.73</v>
      </c>
      <c r="AV1968" t="s">
        <v>814</v>
      </c>
      <c r="AW1968" t="s">
        <v>52</v>
      </c>
    </row>
    <row r="1969" spans="1:49">
      <c r="A1969" s="1">
        <f>HYPERLINK("https://cms.ls-nyc.org/matter/dynamic-profile/view/1869944","18-1869944")</f>
        <v>0</v>
      </c>
      <c r="B1969" t="s">
        <v>136</v>
      </c>
      <c r="C1969" t="s">
        <v>235</v>
      </c>
      <c r="D1969" t="s">
        <v>313</v>
      </c>
      <c r="F1969" t="s">
        <v>1892</v>
      </c>
      <c r="G1969" t="s">
        <v>1484</v>
      </c>
      <c r="H1969" t="s">
        <v>4457</v>
      </c>
      <c r="I1969" t="s">
        <v>4775</v>
      </c>
      <c r="J1969" t="s">
        <v>5320</v>
      </c>
      <c r="K1969">
        <v>11233</v>
      </c>
      <c r="L1969" t="s">
        <v>5355</v>
      </c>
      <c r="M1969" t="s">
        <v>5356</v>
      </c>
      <c r="N1969" t="s">
        <v>6112</v>
      </c>
      <c r="O1969" t="s">
        <v>6492</v>
      </c>
      <c r="P1969" t="s">
        <v>6530</v>
      </c>
      <c r="R1969" t="s">
        <v>6539</v>
      </c>
      <c r="S1969" t="s">
        <v>5357</v>
      </c>
      <c r="U1969" t="s">
        <v>6557</v>
      </c>
      <c r="W1969" t="s">
        <v>404</v>
      </c>
      <c r="X1969">
        <v>1005.38</v>
      </c>
      <c r="Y1969" t="s">
        <v>6605</v>
      </c>
      <c r="Z1969" t="s">
        <v>6613</v>
      </c>
      <c r="AB1969" t="s">
        <v>8284</v>
      </c>
      <c r="AC1969" t="s">
        <v>9031</v>
      </c>
      <c r="AD1969" t="s">
        <v>10611</v>
      </c>
      <c r="AE1969">
        <v>11</v>
      </c>
      <c r="AF1969" t="s">
        <v>11005</v>
      </c>
      <c r="AG1969" t="s">
        <v>5406</v>
      </c>
      <c r="AH1969">
        <v>4</v>
      </c>
      <c r="AI1969">
        <v>2</v>
      </c>
      <c r="AJ1969">
        <v>3</v>
      </c>
      <c r="AK1969">
        <v>101.97</v>
      </c>
      <c r="AN1969" t="s">
        <v>11050</v>
      </c>
      <c r="AO1969">
        <v>30000</v>
      </c>
      <c r="AU1969">
        <v>8.5</v>
      </c>
      <c r="AV1969" t="s">
        <v>287</v>
      </c>
      <c r="AW1969" t="s">
        <v>11512</v>
      </c>
    </row>
    <row r="1970" spans="1:49">
      <c r="A1970" s="1">
        <f>HYPERLINK("https://cms.ls-nyc.org/matter/dynamic-profile/view/1863128","18-1863128")</f>
        <v>0</v>
      </c>
      <c r="B1970" t="s">
        <v>88</v>
      </c>
      <c r="C1970" t="s">
        <v>234</v>
      </c>
      <c r="D1970" t="s">
        <v>369</v>
      </c>
      <c r="E1970" t="s">
        <v>746</v>
      </c>
      <c r="F1970" t="s">
        <v>1893</v>
      </c>
      <c r="G1970" t="s">
        <v>3134</v>
      </c>
      <c r="H1970" t="s">
        <v>3781</v>
      </c>
      <c r="I1970" t="s">
        <v>4743</v>
      </c>
      <c r="J1970" t="s">
        <v>5320</v>
      </c>
      <c r="K1970">
        <v>11212</v>
      </c>
      <c r="L1970" t="s">
        <v>5355</v>
      </c>
      <c r="M1970" t="s">
        <v>5355</v>
      </c>
      <c r="N1970" t="s">
        <v>6113</v>
      </c>
      <c r="P1970" t="s">
        <v>6530</v>
      </c>
      <c r="Q1970" t="s">
        <v>6538</v>
      </c>
      <c r="R1970" t="s">
        <v>6539</v>
      </c>
      <c r="U1970" t="s">
        <v>6557</v>
      </c>
      <c r="W1970" t="s">
        <v>480</v>
      </c>
      <c r="X1970">
        <v>0</v>
      </c>
      <c r="Y1970" t="s">
        <v>6605</v>
      </c>
      <c r="AA1970" t="s">
        <v>6637</v>
      </c>
      <c r="AB1970" t="s">
        <v>8285</v>
      </c>
      <c r="AD1970" t="s">
        <v>10612</v>
      </c>
      <c r="AE1970">
        <v>4</v>
      </c>
      <c r="AH1970">
        <v>0</v>
      </c>
      <c r="AI1970">
        <v>2</v>
      </c>
      <c r="AJ1970">
        <v>0</v>
      </c>
      <c r="AK1970">
        <v>102.07</v>
      </c>
      <c r="AN1970" t="s">
        <v>11050</v>
      </c>
      <c r="AO1970">
        <v>16800</v>
      </c>
      <c r="AR1970" t="s">
        <v>11210</v>
      </c>
      <c r="AS1970" t="s">
        <v>11253</v>
      </c>
      <c r="AT1970" t="s">
        <v>11305</v>
      </c>
      <c r="AU1970">
        <v>25.5</v>
      </c>
      <c r="AV1970" t="s">
        <v>315</v>
      </c>
      <c r="AW1970" t="s">
        <v>88</v>
      </c>
    </row>
    <row r="1971" spans="1:49">
      <c r="A1971" s="1">
        <f>HYPERLINK("https://cms.ls-nyc.org/matter/dynamic-profile/view/0817301","16-0817301")</f>
        <v>0</v>
      </c>
      <c r="B1971" t="s">
        <v>112</v>
      </c>
      <c r="C1971" t="s">
        <v>235</v>
      </c>
      <c r="D1971" t="s">
        <v>611</v>
      </c>
      <c r="F1971" t="s">
        <v>1735</v>
      </c>
      <c r="G1971" t="s">
        <v>3200</v>
      </c>
      <c r="H1971" t="s">
        <v>3576</v>
      </c>
      <c r="I1971" t="s">
        <v>5236</v>
      </c>
      <c r="J1971" t="s">
        <v>5317</v>
      </c>
      <c r="K1971">
        <v>11432</v>
      </c>
      <c r="L1971" t="s">
        <v>5355</v>
      </c>
      <c r="M1971" t="s">
        <v>5356</v>
      </c>
      <c r="N1971" t="s">
        <v>5359</v>
      </c>
      <c r="O1971" t="s">
        <v>6494</v>
      </c>
      <c r="P1971" t="s">
        <v>6530</v>
      </c>
      <c r="R1971" t="s">
        <v>6539</v>
      </c>
      <c r="S1971" t="s">
        <v>5355</v>
      </c>
      <c r="U1971" t="s">
        <v>6557</v>
      </c>
      <c r="W1971" t="s">
        <v>264</v>
      </c>
      <c r="X1971">
        <v>1637.08</v>
      </c>
      <c r="Y1971" t="s">
        <v>6604</v>
      </c>
      <c r="Z1971" t="s">
        <v>6609</v>
      </c>
      <c r="AB1971" t="s">
        <v>8286</v>
      </c>
      <c r="AC1971" t="s">
        <v>5392</v>
      </c>
      <c r="AD1971" t="s">
        <v>9166</v>
      </c>
      <c r="AE1971">
        <v>60</v>
      </c>
      <c r="AF1971" t="s">
        <v>11005</v>
      </c>
      <c r="AG1971" t="s">
        <v>5406</v>
      </c>
      <c r="AH1971">
        <v>17</v>
      </c>
      <c r="AI1971">
        <v>2</v>
      </c>
      <c r="AJ1971">
        <v>3</v>
      </c>
      <c r="AK1971">
        <v>102.12</v>
      </c>
      <c r="AL1971" t="s">
        <v>485</v>
      </c>
      <c r="AN1971" t="s">
        <v>11049</v>
      </c>
      <c r="AO1971">
        <v>29044</v>
      </c>
      <c r="AU1971">
        <v>3.45</v>
      </c>
      <c r="AV1971" t="s">
        <v>726</v>
      </c>
      <c r="AW1971" t="s">
        <v>93</v>
      </c>
    </row>
    <row r="1972" spans="1:49">
      <c r="A1972" s="1">
        <f>HYPERLINK("https://cms.ls-nyc.org/matter/dynamic-profile/view/1864121","18-1864121")</f>
        <v>0</v>
      </c>
      <c r="B1972" t="s">
        <v>111</v>
      </c>
      <c r="C1972" t="s">
        <v>235</v>
      </c>
      <c r="D1972" t="s">
        <v>357</v>
      </c>
      <c r="F1972" t="s">
        <v>1517</v>
      </c>
      <c r="G1972" t="s">
        <v>2802</v>
      </c>
      <c r="H1972" t="s">
        <v>4075</v>
      </c>
      <c r="I1972" t="s">
        <v>4796</v>
      </c>
      <c r="J1972" t="s">
        <v>5323</v>
      </c>
      <c r="K1972">
        <v>10040</v>
      </c>
      <c r="L1972" t="s">
        <v>5355</v>
      </c>
      <c r="M1972" t="s">
        <v>5356</v>
      </c>
      <c r="N1972" t="s">
        <v>5591</v>
      </c>
      <c r="O1972" t="s">
        <v>6494</v>
      </c>
      <c r="P1972" t="s">
        <v>6530</v>
      </c>
      <c r="R1972" t="s">
        <v>6539</v>
      </c>
      <c r="S1972" t="s">
        <v>5355</v>
      </c>
      <c r="U1972" t="s">
        <v>6557</v>
      </c>
      <c r="W1972" t="s">
        <v>357</v>
      </c>
      <c r="X1972">
        <v>892.52</v>
      </c>
      <c r="Y1972" t="s">
        <v>6608</v>
      </c>
      <c r="Z1972" t="s">
        <v>6614</v>
      </c>
      <c r="AB1972" t="s">
        <v>7622</v>
      </c>
      <c r="AD1972" t="s">
        <v>9983</v>
      </c>
      <c r="AE1972">
        <v>44</v>
      </c>
      <c r="AF1972" t="s">
        <v>11005</v>
      </c>
      <c r="AG1972" t="s">
        <v>5406</v>
      </c>
      <c r="AH1972">
        <v>13</v>
      </c>
      <c r="AI1972">
        <v>2</v>
      </c>
      <c r="AJ1972">
        <v>1</v>
      </c>
      <c r="AK1972">
        <v>102.6</v>
      </c>
      <c r="AL1972" t="s">
        <v>11035</v>
      </c>
      <c r="AN1972" t="s">
        <v>11049</v>
      </c>
      <c r="AO1972">
        <v>26520</v>
      </c>
      <c r="AU1972">
        <v>0</v>
      </c>
      <c r="AW1972" t="s">
        <v>11495</v>
      </c>
    </row>
    <row r="1973" spans="1:49">
      <c r="A1973" s="1">
        <f>HYPERLINK("https://cms.ls-nyc.org/matter/dynamic-profile/view/1840151","17-1840151")</f>
        <v>0</v>
      </c>
      <c r="B1973" t="s">
        <v>92</v>
      </c>
      <c r="C1973" t="s">
        <v>234</v>
      </c>
      <c r="D1973" t="s">
        <v>359</v>
      </c>
      <c r="E1973" t="s">
        <v>676</v>
      </c>
      <c r="F1973" t="s">
        <v>1817</v>
      </c>
      <c r="G1973" t="s">
        <v>2280</v>
      </c>
      <c r="H1973" t="s">
        <v>3575</v>
      </c>
      <c r="I1973">
        <v>57</v>
      </c>
      <c r="J1973" t="s">
        <v>5323</v>
      </c>
      <c r="K1973">
        <v>10040</v>
      </c>
      <c r="L1973" t="s">
        <v>5355</v>
      </c>
      <c r="M1973" t="s">
        <v>5355</v>
      </c>
      <c r="N1973" t="s">
        <v>5439</v>
      </c>
      <c r="O1973" t="s">
        <v>6494</v>
      </c>
      <c r="P1973" t="s">
        <v>6530</v>
      </c>
      <c r="Q1973" t="s">
        <v>6534</v>
      </c>
      <c r="R1973" t="s">
        <v>6539</v>
      </c>
      <c r="S1973" t="s">
        <v>5355</v>
      </c>
      <c r="U1973" t="s">
        <v>6557</v>
      </c>
      <c r="W1973" t="s">
        <v>460</v>
      </c>
      <c r="X1973">
        <v>909.16</v>
      </c>
      <c r="Y1973" t="s">
        <v>6608</v>
      </c>
      <c r="Z1973" t="s">
        <v>6622</v>
      </c>
      <c r="AA1973" t="s">
        <v>6634</v>
      </c>
      <c r="AB1973" t="s">
        <v>8287</v>
      </c>
      <c r="AD1973" t="s">
        <v>10613</v>
      </c>
      <c r="AE1973">
        <v>45</v>
      </c>
      <c r="AF1973" t="s">
        <v>11005</v>
      </c>
      <c r="AG1973" t="s">
        <v>5406</v>
      </c>
      <c r="AH1973">
        <v>1</v>
      </c>
      <c r="AI1973">
        <v>1</v>
      </c>
      <c r="AJ1973">
        <v>0</v>
      </c>
      <c r="AK1973">
        <v>102.79</v>
      </c>
      <c r="AL1973" t="s">
        <v>301</v>
      </c>
      <c r="AN1973" t="s">
        <v>11049</v>
      </c>
      <c r="AO1973">
        <v>12396</v>
      </c>
      <c r="AQ1973" t="s">
        <v>11190</v>
      </c>
      <c r="AR1973" t="s">
        <v>11206</v>
      </c>
      <c r="AS1973" t="s">
        <v>11253</v>
      </c>
      <c r="AT1973" t="s">
        <v>11263</v>
      </c>
      <c r="AU1973">
        <v>1.2</v>
      </c>
      <c r="AV1973" t="s">
        <v>676</v>
      </c>
      <c r="AW1973" t="s">
        <v>11495</v>
      </c>
    </row>
    <row r="1974" spans="1:49">
      <c r="A1974" s="1">
        <f>HYPERLINK("https://cms.ls-nyc.org/matter/dynamic-profile/view/1867522","18-1867522")</f>
        <v>0</v>
      </c>
      <c r="B1974" t="s">
        <v>179</v>
      </c>
      <c r="C1974" t="s">
        <v>235</v>
      </c>
      <c r="D1974" t="s">
        <v>334</v>
      </c>
      <c r="F1974" t="s">
        <v>1894</v>
      </c>
      <c r="G1974" t="s">
        <v>3201</v>
      </c>
      <c r="H1974" t="s">
        <v>4458</v>
      </c>
      <c r="I1974" t="s">
        <v>5156</v>
      </c>
      <c r="J1974" t="s">
        <v>5320</v>
      </c>
      <c r="K1974">
        <v>11226</v>
      </c>
      <c r="L1974" t="s">
        <v>5355</v>
      </c>
      <c r="M1974" t="s">
        <v>5355</v>
      </c>
      <c r="N1974" t="s">
        <v>6114</v>
      </c>
      <c r="P1974" t="s">
        <v>6530</v>
      </c>
      <c r="R1974" t="s">
        <v>6539</v>
      </c>
      <c r="S1974" t="s">
        <v>5355</v>
      </c>
      <c r="T1974" t="s">
        <v>6545</v>
      </c>
      <c r="U1974" t="s">
        <v>6557</v>
      </c>
      <c r="W1974" t="s">
        <v>516</v>
      </c>
      <c r="X1974">
        <v>1529.97</v>
      </c>
      <c r="Y1974" t="s">
        <v>6605</v>
      </c>
      <c r="Z1974" t="s">
        <v>6609</v>
      </c>
      <c r="AB1974" t="s">
        <v>8288</v>
      </c>
      <c r="AE1974">
        <v>6</v>
      </c>
      <c r="AF1974" t="s">
        <v>11005</v>
      </c>
      <c r="AG1974" t="s">
        <v>5406</v>
      </c>
      <c r="AH1974">
        <v>6</v>
      </c>
      <c r="AI1974">
        <v>2</v>
      </c>
      <c r="AJ1974">
        <v>0</v>
      </c>
      <c r="AK1974">
        <v>103.28</v>
      </c>
      <c r="AO1974">
        <v>17000</v>
      </c>
      <c r="AU1974">
        <v>98.5</v>
      </c>
      <c r="AV1974" t="s">
        <v>803</v>
      </c>
      <c r="AW1974" t="s">
        <v>11490</v>
      </c>
    </row>
    <row r="1975" spans="1:49">
      <c r="A1975" s="1">
        <f>HYPERLINK("https://cms.ls-nyc.org/matter/dynamic-profile/view/1864083","18-1864083")</f>
        <v>0</v>
      </c>
      <c r="B1975" t="s">
        <v>111</v>
      </c>
      <c r="C1975" t="s">
        <v>235</v>
      </c>
      <c r="D1975" t="s">
        <v>357</v>
      </c>
      <c r="F1975" t="s">
        <v>1895</v>
      </c>
      <c r="G1975" t="s">
        <v>2785</v>
      </c>
      <c r="H1975" t="s">
        <v>4075</v>
      </c>
      <c r="I1975" t="s">
        <v>4923</v>
      </c>
      <c r="J1975" t="s">
        <v>5323</v>
      </c>
      <c r="K1975">
        <v>10040</v>
      </c>
      <c r="L1975" t="s">
        <v>5355</v>
      </c>
      <c r="M1975" t="s">
        <v>5356</v>
      </c>
      <c r="N1975" t="s">
        <v>5591</v>
      </c>
      <c r="O1975" t="s">
        <v>6494</v>
      </c>
      <c r="P1975" t="s">
        <v>6530</v>
      </c>
      <c r="R1975" t="s">
        <v>6539</v>
      </c>
      <c r="S1975" t="s">
        <v>5355</v>
      </c>
      <c r="U1975" t="s">
        <v>6557</v>
      </c>
      <c r="W1975" t="s">
        <v>357</v>
      </c>
      <c r="X1975">
        <v>340</v>
      </c>
      <c r="Y1975" t="s">
        <v>6608</v>
      </c>
      <c r="Z1975" t="s">
        <v>6614</v>
      </c>
      <c r="AB1975" t="s">
        <v>8289</v>
      </c>
      <c r="AD1975" t="s">
        <v>10614</v>
      </c>
      <c r="AE1975">
        <v>44</v>
      </c>
      <c r="AF1975" t="s">
        <v>11005</v>
      </c>
      <c r="AG1975" t="s">
        <v>11020</v>
      </c>
      <c r="AH1975">
        <v>22</v>
      </c>
      <c r="AI1975">
        <v>2</v>
      </c>
      <c r="AJ1975">
        <v>0</v>
      </c>
      <c r="AK1975">
        <v>103.28</v>
      </c>
      <c r="AL1975" t="s">
        <v>11035</v>
      </c>
      <c r="AN1975" t="s">
        <v>11049</v>
      </c>
      <c r="AO1975">
        <v>17000</v>
      </c>
      <c r="AU1975">
        <v>0.1</v>
      </c>
      <c r="AV1975" t="s">
        <v>379</v>
      </c>
      <c r="AW1975" t="s">
        <v>11495</v>
      </c>
    </row>
    <row r="1976" spans="1:49">
      <c r="A1976" s="1">
        <f>HYPERLINK("https://cms.ls-nyc.org/matter/dynamic-profile/view/1854582","17-1854582")</f>
        <v>0</v>
      </c>
      <c r="B1976" t="s">
        <v>56</v>
      </c>
      <c r="C1976" t="s">
        <v>235</v>
      </c>
      <c r="D1976" t="s">
        <v>302</v>
      </c>
      <c r="F1976" t="s">
        <v>1004</v>
      </c>
      <c r="G1976" t="s">
        <v>2355</v>
      </c>
      <c r="H1976" t="s">
        <v>4147</v>
      </c>
      <c r="I1976" t="s">
        <v>4787</v>
      </c>
      <c r="J1976" t="s">
        <v>5321</v>
      </c>
      <c r="K1976">
        <v>10453</v>
      </c>
      <c r="L1976" t="s">
        <v>5355</v>
      </c>
      <c r="M1976" t="s">
        <v>5356</v>
      </c>
      <c r="N1976" t="s">
        <v>6115</v>
      </c>
      <c r="O1976" t="s">
        <v>6491</v>
      </c>
      <c r="P1976" t="s">
        <v>6530</v>
      </c>
      <c r="R1976" t="s">
        <v>6539</v>
      </c>
      <c r="S1976" t="s">
        <v>5357</v>
      </c>
      <c r="U1976" t="s">
        <v>6557</v>
      </c>
      <c r="W1976" t="s">
        <v>243</v>
      </c>
      <c r="X1976">
        <v>1172.21</v>
      </c>
      <c r="Y1976" t="s">
        <v>6606</v>
      </c>
      <c r="Z1976" t="s">
        <v>6614</v>
      </c>
      <c r="AB1976" t="s">
        <v>8290</v>
      </c>
      <c r="AC1976" t="s">
        <v>9032</v>
      </c>
      <c r="AD1976" t="s">
        <v>10504</v>
      </c>
      <c r="AE1976">
        <v>46</v>
      </c>
      <c r="AF1976" t="s">
        <v>11005</v>
      </c>
      <c r="AG1976" t="s">
        <v>11023</v>
      </c>
      <c r="AH1976">
        <v>10</v>
      </c>
      <c r="AI1976">
        <v>2</v>
      </c>
      <c r="AJ1976">
        <v>3</v>
      </c>
      <c r="AK1976">
        <v>103.36</v>
      </c>
      <c r="AN1976" t="s">
        <v>11050</v>
      </c>
      <c r="AO1976">
        <v>29748</v>
      </c>
      <c r="AP1976" t="s">
        <v>11075</v>
      </c>
      <c r="AU1976">
        <v>8.1</v>
      </c>
      <c r="AV1976" t="s">
        <v>261</v>
      </c>
      <c r="AW1976" t="s">
        <v>11509</v>
      </c>
    </row>
    <row r="1977" spans="1:49">
      <c r="A1977" s="1">
        <f>HYPERLINK("https://cms.ls-nyc.org/matter/dynamic-profile/view/1847899","17-1847899")</f>
        <v>0</v>
      </c>
      <c r="B1977" t="s">
        <v>52</v>
      </c>
      <c r="C1977" t="s">
        <v>234</v>
      </c>
      <c r="D1977" t="s">
        <v>426</v>
      </c>
      <c r="E1977" t="s">
        <v>791</v>
      </c>
      <c r="F1977" t="s">
        <v>1896</v>
      </c>
      <c r="G1977" t="s">
        <v>3202</v>
      </c>
      <c r="H1977" t="s">
        <v>4459</v>
      </c>
      <c r="I1977" t="s">
        <v>4783</v>
      </c>
      <c r="J1977" t="s">
        <v>5324</v>
      </c>
      <c r="K1977">
        <v>11358</v>
      </c>
      <c r="L1977" t="s">
        <v>5355</v>
      </c>
      <c r="M1977" t="s">
        <v>5355</v>
      </c>
      <c r="N1977" t="s">
        <v>6116</v>
      </c>
      <c r="O1977" t="s">
        <v>6492</v>
      </c>
      <c r="P1977" t="s">
        <v>6530</v>
      </c>
      <c r="Q1977" t="s">
        <v>6534</v>
      </c>
      <c r="R1977" t="s">
        <v>6539</v>
      </c>
      <c r="S1977" t="s">
        <v>5357</v>
      </c>
      <c r="U1977" t="s">
        <v>6557</v>
      </c>
      <c r="V1977" t="s">
        <v>6567</v>
      </c>
      <c r="W1977" t="s">
        <v>426</v>
      </c>
      <c r="X1977">
        <v>1088</v>
      </c>
      <c r="Y1977" t="s">
        <v>6604</v>
      </c>
      <c r="Z1977" t="s">
        <v>6612</v>
      </c>
      <c r="AA1977" t="s">
        <v>6637</v>
      </c>
      <c r="AB1977" t="s">
        <v>8291</v>
      </c>
      <c r="AC1977" t="s">
        <v>5392</v>
      </c>
      <c r="AD1977" t="s">
        <v>10615</v>
      </c>
      <c r="AE1977">
        <v>16</v>
      </c>
      <c r="AF1977" t="s">
        <v>11005</v>
      </c>
      <c r="AG1977" t="s">
        <v>5406</v>
      </c>
      <c r="AH1977">
        <v>6</v>
      </c>
      <c r="AI1977">
        <v>2</v>
      </c>
      <c r="AJ1977">
        <v>0</v>
      </c>
      <c r="AK1977">
        <v>103.45</v>
      </c>
      <c r="AN1977" t="s">
        <v>11052</v>
      </c>
      <c r="AO1977">
        <v>16800</v>
      </c>
      <c r="AQ1977" t="s">
        <v>11191</v>
      </c>
      <c r="AR1977" t="s">
        <v>11230</v>
      </c>
      <c r="AS1977" t="s">
        <v>11253</v>
      </c>
      <c r="AT1977" t="s">
        <v>11327</v>
      </c>
      <c r="AU1977">
        <v>29.42</v>
      </c>
      <c r="AV1977" t="s">
        <v>770</v>
      </c>
      <c r="AW1977" t="s">
        <v>93</v>
      </c>
    </row>
    <row r="1978" spans="1:49">
      <c r="A1978" s="1">
        <f>HYPERLINK("https://cms.ls-nyc.org/matter/dynamic-profile/view/1860565","18-1860565")</f>
        <v>0</v>
      </c>
      <c r="B1978" t="s">
        <v>63</v>
      </c>
      <c r="C1978" t="s">
        <v>234</v>
      </c>
      <c r="D1978" t="s">
        <v>612</v>
      </c>
      <c r="E1978" t="s">
        <v>757</v>
      </c>
      <c r="F1978" t="s">
        <v>1220</v>
      </c>
      <c r="G1978" t="s">
        <v>3203</v>
      </c>
      <c r="H1978" t="s">
        <v>4460</v>
      </c>
      <c r="I1978" t="s">
        <v>5237</v>
      </c>
      <c r="J1978" t="s">
        <v>5322</v>
      </c>
      <c r="K1978">
        <v>10304</v>
      </c>
      <c r="L1978" t="s">
        <v>5355</v>
      </c>
      <c r="M1978" t="s">
        <v>5355</v>
      </c>
      <c r="N1978" t="s">
        <v>6117</v>
      </c>
      <c r="O1978" t="s">
        <v>6493</v>
      </c>
      <c r="P1978" t="s">
        <v>6530</v>
      </c>
      <c r="Q1978" t="s">
        <v>6534</v>
      </c>
      <c r="R1978" t="s">
        <v>6539</v>
      </c>
      <c r="S1978" t="s">
        <v>5357</v>
      </c>
      <c r="U1978" t="s">
        <v>6557</v>
      </c>
      <c r="V1978" t="s">
        <v>6566</v>
      </c>
      <c r="W1978" t="s">
        <v>612</v>
      </c>
      <c r="X1978">
        <v>0</v>
      </c>
      <c r="Y1978" t="s">
        <v>6607</v>
      </c>
      <c r="Z1978" t="s">
        <v>6614</v>
      </c>
      <c r="AA1978" t="s">
        <v>6632</v>
      </c>
      <c r="AB1978" t="s">
        <v>8292</v>
      </c>
      <c r="AD1978" t="s">
        <v>10616</v>
      </c>
      <c r="AE1978">
        <v>0</v>
      </c>
      <c r="AF1978" t="s">
        <v>11008</v>
      </c>
      <c r="AH1978">
        <v>1</v>
      </c>
      <c r="AI1978">
        <v>1</v>
      </c>
      <c r="AJ1978">
        <v>3</v>
      </c>
      <c r="AK1978">
        <v>103.59</v>
      </c>
      <c r="AN1978" t="s">
        <v>11050</v>
      </c>
      <c r="AO1978">
        <v>26000</v>
      </c>
      <c r="AQ1978" t="s">
        <v>11196</v>
      </c>
      <c r="AR1978" t="s">
        <v>11240</v>
      </c>
      <c r="AS1978" t="s">
        <v>11253</v>
      </c>
      <c r="AT1978" t="s">
        <v>11387</v>
      </c>
      <c r="AU1978">
        <v>19.8</v>
      </c>
      <c r="AV1978" t="s">
        <v>757</v>
      </c>
      <c r="AW1978" t="s">
        <v>148</v>
      </c>
    </row>
    <row r="1979" spans="1:49">
      <c r="A1979" s="1">
        <f>HYPERLINK("https://cms.ls-nyc.org/matter/dynamic-profile/view/1868067","18-1868067")</f>
        <v>0</v>
      </c>
      <c r="B1979" t="s">
        <v>136</v>
      </c>
      <c r="C1979" t="s">
        <v>235</v>
      </c>
      <c r="D1979" t="s">
        <v>270</v>
      </c>
      <c r="F1979" t="s">
        <v>1897</v>
      </c>
      <c r="G1979" t="s">
        <v>2278</v>
      </c>
      <c r="H1979" t="s">
        <v>4461</v>
      </c>
      <c r="I1979" t="s">
        <v>5097</v>
      </c>
      <c r="J1979" t="s">
        <v>5320</v>
      </c>
      <c r="K1979">
        <v>11209</v>
      </c>
      <c r="L1979" t="s">
        <v>5355</v>
      </c>
      <c r="M1979" t="s">
        <v>5356</v>
      </c>
      <c r="N1979" t="s">
        <v>6118</v>
      </c>
      <c r="O1979" t="s">
        <v>6492</v>
      </c>
      <c r="P1979" t="s">
        <v>6530</v>
      </c>
      <c r="R1979" t="s">
        <v>6539</v>
      </c>
      <c r="U1979" t="s">
        <v>6557</v>
      </c>
      <c r="W1979" t="s">
        <v>365</v>
      </c>
      <c r="X1979">
        <v>0</v>
      </c>
      <c r="Y1979" t="s">
        <v>6605</v>
      </c>
      <c r="AB1979" t="s">
        <v>6805</v>
      </c>
      <c r="AD1979" t="s">
        <v>10617</v>
      </c>
      <c r="AE1979">
        <v>0</v>
      </c>
      <c r="AH1979">
        <v>33</v>
      </c>
      <c r="AI1979">
        <v>4</v>
      </c>
      <c r="AJ1979">
        <v>0</v>
      </c>
      <c r="AK1979">
        <v>103.65</v>
      </c>
      <c r="AL1979" t="s">
        <v>365</v>
      </c>
      <c r="AO1979">
        <v>26016</v>
      </c>
      <c r="AU1979">
        <v>15</v>
      </c>
      <c r="AV1979" t="s">
        <v>11449</v>
      </c>
      <c r="AW1979" t="s">
        <v>11488</v>
      </c>
    </row>
    <row r="1980" spans="1:49">
      <c r="A1980" s="1">
        <f>HYPERLINK("https://cms.ls-nyc.org/matter/dynamic-profile/view/1869087","18-1869087")</f>
        <v>0</v>
      </c>
      <c r="B1980" t="s">
        <v>94</v>
      </c>
      <c r="C1980" t="s">
        <v>234</v>
      </c>
      <c r="D1980" t="s">
        <v>375</v>
      </c>
      <c r="E1980" t="s">
        <v>724</v>
      </c>
      <c r="F1980" t="s">
        <v>1898</v>
      </c>
      <c r="G1980" t="s">
        <v>3204</v>
      </c>
      <c r="H1980" t="s">
        <v>4462</v>
      </c>
      <c r="I1980" t="s">
        <v>4738</v>
      </c>
      <c r="J1980" t="s">
        <v>5320</v>
      </c>
      <c r="K1980">
        <v>11208</v>
      </c>
      <c r="L1980" t="s">
        <v>5355</v>
      </c>
      <c r="M1980" t="s">
        <v>5355</v>
      </c>
      <c r="N1980" t="s">
        <v>6119</v>
      </c>
      <c r="O1980" t="s">
        <v>6492</v>
      </c>
      <c r="P1980" t="s">
        <v>6530</v>
      </c>
      <c r="Q1980" t="s">
        <v>6537</v>
      </c>
      <c r="R1980" t="s">
        <v>6539</v>
      </c>
      <c r="S1980" t="s">
        <v>5357</v>
      </c>
      <c r="U1980" t="s">
        <v>6557</v>
      </c>
      <c r="W1980" t="s">
        <v>309</v>
      </c>
      <c r="X1980">
        <v>1425</v>
      </c>
      <c r="Y1980" t="s">
        <v>6605</v>
      </c>
      <c r="Z1980" t="s">
        <v>6613</v>
      </c>
      <c r="AA1980" t="s">
        <v>6637</v>
      </c>
      <c r="AB1980" t="s">
        <v>8293</v>
      </c>
      <c r="AD1980" t="s">
        <v>10618</v>
      </c>
      <c r="AE1980">
        <v>9</v>
      </c>
      <c r="AF1980" t="s">
        <v>11005</v>
      </c>
      <c r="AG1980" t="s">
        <v>5406</v>
      </c>
      <c r="AH1980">
        <v>-1</v>
      </c>
      <c r="AI1980">
        <v>1</v>
      </c>
      <c r="AJ1980">
        <v>1</v>
      </c>
      <c r="AK1980">
        <v>103.89</v>
      </c>
      <c r="AN1980" t="s">
        <v>11049</v>
      </c>
      <c r="AO1980">
        <v>17100</v>
      </c>
      <c r="AR1980" t="s">
        <v>11210</v>
      </c>
      <c r="AS1980" t="s">
        <v>11253</v>
      </c>
      <c r="AT1980" t="s">
        <v>11353</v>
      </c>
      <c r="AU1980">
        <v>22</v>
      </c>
      <c r="AV1980" t="s">
        <v>724</v>
      </c>
      <c r="AW1980" t="s">
        <v>11517</v>
      </c>
    </row>
    <row r="1981" spans="1:49">
      <c r="A1981" s="1">
        <f>HYPERLINK("https://cms.ls-nyc.org/matter/dynamic-profile/view/1853022","17-1853022")</f>
        <v>0</v>
      </c>
      <c r="B1981" t="s">
        <v>76</v>
      </c>
      <c r="C1981" t="s">
        <v>234</v>
      </c>
      <c r="D1981" t="s">
        <v>464</v>
      </c>
      <c r="E1981" t="s">
        <v>761</v>
      </c>
      <c r="F1981" t="s">
        <v>1224</v>
      </c>
      <c r="G1981" t="s">
        <v>3205</v>
      </c>
      <c r="H1981" t="s">
        <v>4463</v>
      </c>
      <c r="I1981" t="s">
        <v>5197</v>
      </c>
      <c r="J1981" t="s">
        <v>5323</v>
      </c>
      <c r="K1981">
        <v>10029</v>
      </c>
      <c r="L1981" t="s">
        <v>5355</v>
      </c>
      <c r="M1981" t="s">
        <v>5355</v>
      </c>
      <c r="N1981" t="s">
        <v>6120</v>
      </c>
      <c r="O1981" t="s">
        <v>6492</v>
      </c>
      <c r="P1981" t="s">
        <v>6530</v>
      </c>
      <c r="Q1981" t="s">
        <v>6534</v>
      </c>
      <c r="R1981" t="s">
        <v>6539</v>
      </c>
      <c r="S1981" t="s">
        <v>5357</v>
      </c>
      <c r="U1981" t="s">
        <v>6557</v>
      </c>
      <c r="W1981" t="s">
        <v>464</v>
      </c>
      <c r="X1981">
        <v>1394</v>
      </c>
      <c r="Y1981" t="s">
        <v>6608</v>
      </c>
      <c r="Z1981" t="s">
        <v>6616</v>
      </c>
      <c r="AA1981" t="s">
        <v>6637</v>
      </c>
      <c r="AB1981" t="s">
        <v>8294</v>
      </c>
      <c r="AD1981" t="s">
        <v>10619</v>
      </c>
      <c r="AE1981">
        <v>23</v>
      </c>
      <c r="AF1981" t="s">
        <v>11005</v>
      </c>
      <c r="AG1981" t="s">
        <v>5406</v>
      </c>
      <c r="AH1981">
        <v>4</v>
      </c>
      <c r="AI1981">
        <v>2</v>
      </c>
      <c r="AJ1981">
        <v>0</v>
      </c>
      <c r="AK1981">
        <v>104.19</v>
      </c>
      <c r="AN1981" t="s">
        <v>11050</v>
      </c>
      <c r="AO1981">
        <v>16920</v>
      </c>
      <c r="AU1981">
        <v>32.8</v>
      </c>
      <c r="AV1981" t="s">
        <v>11477</v>
      </c>
      <c r="AW1981" t="s">
        <v>11497</v>
      </c>
    </row>
    <row r="1982" spans="1:49">
      <c r="A1982" s="1">
        <f>HYPERLINK("https://cms.ls-nyc.org/matter/dynamic-profile/view/1859459","18-1859459")</f>
        <v>0</v>
      </c>
      <c r="B1982" t="s">
        <v>71</v>
      </c>
      <c r="C1982" t="s">
        <v>235</v>
      </c>
      <c r="D1982" t="s">
        <v>433</v>
      </c>
      <c r="F1982" t="s">
        <v>1899</v>
      </c>
      <c r="G1982" t="s">
        <v>3206</v>
      </c>
      <c r="H1982" t="s">
        <v>4464</v>
      </c>
      <c r="I1982" t="s">
        <v>4775</v>
      </c>
      <c r="J1982" t="s">
        <v>5321</v>
      </c>
      <c r="K1982">
        <v>10453</v>
      </c>
      <c r="L1982" t="s">
        <v>5355</v>
      </c>
      <c r="M1982" t="s">
        <v>5356</v>
      </c>
      <c r="N1982" t="s">
        <v>6121</v>
      </c>
      <c r="O1982" t="s">
        <v>6491</v>
      </c>
      <c r="P1982" t="s">
        <v>6530</v>
      </c>
      <c r="R1982" t="s">
        <v>6539</v>
      </c>
      <c r="S1982" t="s">
        <v>5357</v>
      </c>
      <c r="U1982" t="s">
        <v>6557</v>
      </c>
      <c r="W1982" t="s">
        <v>312</v>
      </c>
      <c r="X1982">
        <v>896</v>
      </c>
      <c r="Y1982" t="s">
        <v>6606</v>
      </c>
      <c r="Z1982" t="s">
        <v>6614</v>
      </c>
      <c r="AB1982" t="s">
        <v>8295</v>
      </c>
      <c r="AC1982" t="s">
        <v>9033</v>
      </c>
      <c r="AD1982" t="s">
        <v>10620</v>
      </c>
      <c r="AE1982">
        <v>20</v>
      </c>
      <c r="AF1982" t="s">
        <v>11014</v>
      </c>
      <c r="AG1982" t="s">
        <v>11022</v>
      </c>
      <c r="AH1982">
        <v>18</v>
      </c>
      <c r="AI1982">
        <v>2</v>
      </c>
      <c r="AJ1982">
        <v>3</v>
      </c>
      <c r="AK1982">
        <v>104.24</v>
      </c>
      <c r="AN1982" t="s">
        <v>11050</v>
      </c>
      <c r="AO1982">
        <v>38796</v>
      </c>
      <c r="AU1982">
        <v>6</v>
      </c>
      <c r="AV1982" t="s">
        <v>696</v>
      </c>
      <c r="AW1982" t="s">
        <v>71</v>
      </c>
    </row>
    <row r="1983" spans="1:49">
      <c r="A1983" s="1">
        <f>HYPERLINK("https://cms.ls-nyc.org/matter/dynamic-profile/view/1842809","17-1842809")</f>
        <v>0</v>
      </c>
      <c r="B1983" t="s">
        <v>80</v>
      </c>
      <c r="C1983" t="s">
        <v>234</v>
      </c>
      <c r="D1983" t="s">
        <v>472</v>
      </c>
      <c r="E1983" t="s">
        <v>652</v>
      </c>
      <c r="F1983" t="s">
        <v>1570</v>
      </c>
      <c r="G1983" t="s">
        <v>2231</v>
      </c>
      <c r="H1983" t="s">
        <v>3721</v>
      </c>
      <c r="I1983" t="s">
        <v>4921</v>
      </c>
      <c r="J1983" t="s">
        <v>5321</v>
      </c>
      <c r="K1983">
        <v>10453</v>
      </c>
      <c r="L1983" t="s">
        <v>5355</v>
      </c>
      <c r="M1983" t="s">
        <v>5356</v>
      </c>
      <c r="N1983" t="s">
        <v>6122</v>
      </c>
      <c r="O1983" t="s">
        <v>6492</v>
      </c>
      <c r="P1983" t="s">
        <v>6530</v>
      </c>
      <c r="Q1983" t="s">
        <v>6534</v>
      </c>
      <c r="R1983" t="s">
        <v>6539</v>
      </c>
      <c r="S1983" t="s">
        <v>5357</v>
      </c>
      <c r="U1983" t="s">
        <v>6557</v>
      </c>
      <c r="W1983" t="s">
        <v>406</v>
      </c>
      <c r="X1983">
        <v>856.46</v>
      </c>
      <c r="Y1983" t="s">
        <v>6606</v>
      </c>
      <c r="Z1983" t="s">
        <v>6625</v>
      </c>
      <c r="AA1983" t="s">
        <v>6637</v>
      </c>
      <c r="AB1983" t="s">
        <v>8296</v>
      </c>
      <c r="AC1983" t="s">
        <v>9034</v>
      </c>
      <c r="AD1983" t="s">
        <v>10621</v>
      </c>
      <c r="AE1983">
        <v>170</v>
      </c>
      <c r="AF1983" t="s">
        <v>11005</v>
      </c>
      <c r="AG1983" t="s">
        <v>11023</v>
      </c>
      <c r="AH1983">
        <v>16</v>
      </c>
      <c r="AI1983">
        <v>2</v>
      </c>
      <c r="AJ1983">
        <v>2</v>
      </c>
      <c r="AK1983">
        <v>104.58</v>
      </c>
      <c r="AN1983" t="s">
        <v>11049</v>
      </c>
      <c r="AO1983">
        <v>42367</v>
      </c>
      <c r="AQ1983" t="s">
        <v>11192</v>
      </c>
      <c r="AR1983" t="s">
        <v>11227</v>
      </c>
      <c r="AS1983" t="s">
        <v>11253</v>
      </c>
      <c r="AT1983" t="s">
        <v>11388</v>
      </c>
      <c r="AU1983">
        <v>21.2</v>
      </c>
      <c r="AV1983" t="s">
        <v>652</v>
      </c>
      <c r="AW1983" t="s">
        <v>11492</v>
      </c>
    </row>
    <row r="1984" spans="1:49">
      <c r="A1984" s="1">
        <f>HYPERLINK("https://cms.ls-nyc.org/matter/dynamic-profile/view/1859120","18-1859120")</f>
        <v>0</v>
      </c>
      <c r="B1984" t="s">
        <v>111</v>
      </c>
      <c r="C1984" t="s">
        <v>234</v>
      </c>
      <c r="D1984" t="s">
        <v>424</v>
      </c>
      <c r="E1984" t="s">
        <v>821</v>
      </c>
      <c r="F1984" t="s">
        <v>1900</v>
      </c>
      <c r="G1984" t="s">
        <v>3207</v>
      </c>
      <c r="H1984" t="s">
        <v>4465</v>
      </c>
      <c r="I1984">
        <v>48</v>
      </c>
      <c r="J1984" t="s">
        <v>5323</v>
      </c>
      <c r="K1984">
        <v>10034</v>
      </c>
      <c r="L1984" t="s">
        <v>5355</v>
      </c>
      <c r="M1984" t="s">
        <v>5356</v>
      </c>
      <c r="O1984" t="s">
        <v>6491</v>
      </c>
      <c r="P1984" t="s">
        <v>6530</v>
      </c>
      <c r="Q1984" t="s">
        <v>6534</v>
      </c>
      <c r="R1984" t="s">
        <v>6539</v>
      </c>
      <c r="S1984" t="s">
        <v>5357</v>
      </c>
      <c r="U1984" t="s">
        <v>6557</v>
      </c>
      <c r="W1984" t="s">
        <v>424</v>
      </c>
      <c r="X1984">
        <v>1265.8</v>
      </c>
      <c r="Y1984" t="s">
        <v>6608</v>
      </c>
      <c r="Z1984" t="s">
        <v>6616</v>
      </c>
      <c r="AA1984" t="s">
        <v>6637</v>
      </c>
      <c r="AB1984" t="s">
        <v>8297</v>
      </c>
      <c r="AD1984" t="s">
        <v>10622</v>
      </c>
      <c r="AE1984">
        <v>41</v>
      </c>
      <c r="AF1984" t="s">
        <v>11005</v>
      </c>
      <c r="AG1984" t="s">
        <v>11024</v>
      </c>
      <c r="AH1984">
        <v>26</v>
      </c>
      <c r="AI1984">
        <v>1</v>
      </c>
      <c r="AJ1984">
        <v>0</v>
      </c>
      <c r="AK1984">
        <v>104.68</v>
      </c>
      <c r="AN1984" t="s">
        <v>11050</v>
      </c>
      <c r="AO1984">
        <v>12624</v>
      </c>
      <c r="AU1984">
        <v>41.33</v>
      </c>
      <c r="AV1984" t="s">
        <v>11478</v>
      </c>
      <c r="AW1984" t="s">
        <v>11495</v>
      </c>
    </row>
    <row r="1985" spans="1:50">
      <c r="A1985" s="1">
        <f>HYPERLINK("https://cms.ls-nyc.org/matter/dynamic-profile/view/1856641","18-1856641")</f>
        <v>0</v>
      </c>
      <c r="B1985" t="s">
        <v>218</v>
      </c>
      <c r="C1985" t="s">
        <v>235</v>
      </c>
      <c r="D1985" t="s">
        <v>389</v>
      </c>
      <c r="F1985" t="s">
        <v>1901</v>
      </c>
      <c r="G1985" t="s">
        <v>3208</v>
      </c>
      <c r="H1985" t="s">
        <v>4466</v>
      </c>
      <c r="I1985" t="s">
        <v>4775</v>
      </c>
      <c r="J1985" t="s">
        <v>5323</v>
      </c>
      <c r="K1985">
        <v>10029</v>
      </c>
      <c r="L1985" t="s">
        <v>5355</v>
      </c>
      <c r="M1985" t="s">
        <v>5356</v>
      </c>
      <c r="N1985" t="s">
        <v>6123</v>
      </c>
      <c r="O1985" t="s">
        <v>6491</v>
      </c>
      <c r="P1985" t="s">
        <v>6530</v>
      </c>
      <c r="R1985" t="s">
        <v>6539</v>
      </c>
      <c r="S1985" t="s">
        <v>5357</v>
      </c>
      <c r="U1985" t="s">
        <v>6557</v>
      </c>
      <c r="W1985" t="s">
        <v>297</v>
      </c>
      <c r="X1985">
        <v>771</v>
      </c>
      <c r="Y1985" t="s">
        <v>6608</v>
      </c>
      <c r="Z1985" t="s">
        <v>6616</v>
      </c>
      <c r="AB1985" t="s">
        <v>8298</v>
      </c>
      <c r="AD1985" t="s">
        <v>10623</v>
      </c>
      <c r="AE1985">
        <v>23</v>
      </c>
      <c r="AF1985" t="s">
        <v>11005</v>
      </c>
      <c r="AG1985" t="s">
        <v>5406</v>
      </c>
      <c r="AH1985">
        <v>20</v>
      </c>
      <c r="AI1985">
        <v>5</v>
      </c>
      <c r="AJ1985">
        <v>2</v>
      </c>
      <c r="AK1985">
        <v>105.01</v>
      </c>
      <c r="AN1985" t="s">
        <v>11050</v>
      </c>
      <c r="AO1985">
        <v>39000</v>
      </c>
      <c r="AU1985">
        <v>33.6</v>
      </c>
      <c r="AV1985" t="s">
        <v>385</v>
      </c>
      <c r="AW1985" t="s">
        <v>11494</v>
      </c>
    </row>
    <row r="1986" spans="1:50">
      <c r="A1986" s="1">
        <f>HYPERLINK("https://cms.ls-nyc.org/matter/dynamic-profile/view/1865057","18-1865057")</f>
        <v>0</v>
      </c>
      <c r="B1986" t="s">
        <v>84</v>
      </c>
      <c r="C1986" t="s">
        <v>234</v>
      </c>
      <c r="D1986" t="s">
        <v>251</v>
      </c>
      <c r="E1986" t="s">
        <v>822</v>
      </c>
      <c r="F1986" t="s">
        <v>1231</v>
      </c>
      <c r="G1986" t="s">
        <v>2208</v>
      </c>
      <c r="H1986" t="s">
        <v>4467</v>
      </c>
      <c r="I1986">
        <v>14</v>
      </c>
      <c r="J1986" t="s">
        <v>5320</v>
      </c>
      <c r="K1986">
        <v>11207</v>
      </c>
      <c r="L1986" t="s">
        <v>5355</v>
      </c>
      <c r="M1986" t="s">
        <v>5355</v>
      </c>
      <c r="N1986" t="s">
        <v>6124</v>
      </c>
      <c r="O1986" t="s">
        <v>6492</v>
      </c>
      <c r="P1986" t="s">
        <v>6530</v>
      </c>
      <c r="Q1986" t="s">
        <v>6535</v>
      </c>
      <c r="R1986" t="s">
        <v>6539</v>
      </c>
      <c r="S1986" t="s">
        <v>5357</v>
      </c>
      <c r="U1986" t="s">
        <v>6557</v>
      </c>
      <c r="W1986" t="s">
        <v>298</v>
      </c>
      <c r="X1986">
        <v>1525</v>
      </c>
      <c r="Y1986" t="s">
        <v>6605</v>
      </c>
      <c r="Z1986" t="s">
        <v>6613</v>
      </c>
      <c r="AA1986" t="s">
        <v>6637</v>
      </c>
      <c r="AB1986" t="s">
        <v>8299</v>
      </c>
      <c r="AC1986" t="s">
        <v>9035</v>
      </c>
      <c r="AD1986" t="s">
        <v>10624</v>
      </c>
      <c r="AE1986">
        <v>15</v>
      </c>
      <c r="AF1986" t="s">
        <v>11005</v>
      </c>
      <c r="AG1986" t="s">
        <v>5406</v>
      </c>
      <c r="AH1986">
        <v>3</v>
      </c>
      <c r="AI1986">
        <v>2</v>
      </c>
      <c r="AJ1986">
        <v>5</v>
      </c>
      <c r="AK1986">
        <v>105.1</v>
      </c>
      <c r="AO1986">
        <v>40000</v>
      </c>
      <c r="AR1986" t="s">
        <v>11210</v>
      </c>
      <c r="AS1986" t="s">
        <v>11253</v>
      </c>
      <c r="AT1986" t="s">
        <v>11389</v>
      </c>
      <c r="AU1986">
        <v>44.3</v>
      </c>
      <c r="AV1986" t="s">
        <v>665</v>
      </c>
      <c r="AW1986" t="s">
        <v>11490</v>
      </c>
    </row>
    <row r="1987" spans="1:50">
      <c r="A1987" s="1">
        <f>HYPERLINK("https://cms.ls-nyc.org/matter/dynamic-profile/view/1856920","18-1856920")</f>
        <v>0</v>
      </c>
      <c r="B1987" t="s">
        <v>58</v>
      </c>
      <c r="C1987" t="s">
        <v>234</v>
      </c>
      <c r="D1987" t="s">
        <v>249</v>
      </c>
      <c r="E1987" t="s">
        <v>402</v>
      </c>
      <c r="F1987" t="s">
        <v>1144</v>
      </c>
      <c r="G1987" t="s">
        <v>3209</v>
      </c>
      <c r="H1987" t="s">
        <v>3937</v>
      </c>
      <c r="I1987" t="s">
        <v>5238</v>
      </c>
      <c r="J1987" t="s">
        <v>5321</v>
      </c>
      <c r="K1987">
        <v>10453</v>
      </c>
      <c r="L1987" t="s">
        <v>5355</v>
      </c>
      <c r="M1987" t="s">
        <v>5356</v>
      </c>
      <c r="N1987" t="s">
        <v>6125</v>
      </c>
      <c r="O1987" t="s">
        <v>6492</v>
      </c>
      <c r="P1987" t="s">
        <v>6530</v>
      </c>
      <c r="Q1987" t="s">
        <v>6534</v>
      </c>
      <c r="R1987" t="s">
        <v>6539</v>
      </c>
      <c r="U1987" t="s">
        <v>6557</v>
      </c>
      <c r="W1987" t="s">
        <v>397</v>
      </c>
      <c r="X1987">
        <v>395</v>
      </c>
      <c r="Y1987" t="s">
        <v>6606</v>
      </c>
      <c r="Z1987" t="s">
        <v>6616</v>
      </c>
      <c r="AA1987" t="s">
        <v>6637</v>
      </c>
      <c r="AB1987" t="s">
        <v>8300</v>
      </c>
      <c r="AD1987" t="s">
        <v>10625</v>
      </c>
      <c r="AE1987">
        <v>768</v>
      </c>
      <c r="AF1987" t="s">
        <v>11008</v>
      </c>
      <c r="AG1987" t="s">
        <v>11020</v>
      </c>
      <c r="AH1987">
        <v>40</v>
      </c>
      <c r="AI1987">
        <v>2</v>
      </c>
      <c r="AJ1987">
        <v>0</v>
      </c>
      <c r="AK1987">
        <v>105.15</v>
      </c>
      <c r="AN1987" t="s">
        <v>11050</v>
      </c>
      <c r="AO1987">
        <v>26004</v>
      </c>
      <c r="AP1987" t="s">
        <v>11075</v>
      </c>
      <c r="AT1987" t="s">
        <v>11382</v>
      </c>
      <c r="AU1987">
        <v>11.2</v>
      </c>
      <c r="AV1987" t="s">
        <v>672</v>
      </c>
      <c r="AW1987" t="s">
        <v>11523</v>
      </c>
    </row>
    <row r="1988" spans="1:50">
      <c r="A1988" s="1">
        <f>HYPERLINK("https://cms.ls-nyc.org/matter/dynamic-profile/view/1860835","18-1860835")</f>
        <v>0</v>
      </c>
      <c r="B1988" t="s">
        <v>94</v>
      </c>
      <c r="C1988" t="s">
        <v>234</v>
      </c>
      <c r="D1988" t="s">
        <v>306</v>
      </c>
      <c r="E1988" t="s">
        <v>703</v>
      </c>
      <c r="F1988" t="s">
        <v>1902</v>
      </c>
      <c r="G1988" t="s">
        <v>2480</v>
      </c>
      <c r="H1988" t="s">
        <v>4468</v>
      </c>
      <c r="I1988" t="s">
        <v>4765</v>
      </c>
      <c r="J1988" t="s">
        <v>5320</v>
      </c>
      <c r="K1988">
        <v>11233</v>
      </c>
      <c r="L1988" t="s">
        <v>5355</v>
      </c>
      <c r="M1988" t="s">
        <v>5356</v>
      </c>
      <c r="N1988" t="s">
        <v>6126</v>
      </c>
      <c r="O1988" t="s">
        <v>6492</v>
      </c>
      <c r="P1988" t="s">
        <v>6530</v>
      </c>
      <c r="Q1988" t="s">
        <v>6534</v>
      </c>
      <c r="R1988" t="s">
        <v>6539</v>
      </c>
      <c r="S1988" t="s">
        <v>5357</v>
      </c>
      <c r="U1988" t="s">
        <v>6557</v>
      </c>
      <c r="W1988" t="s">
        <v>339</v>
      </c>
      <c r="X1988">
        <v>1638</v>
      </c>
      <c r="Y1988" t="s">
        <v>6605</v>
      </c>
      <c r="Z1988" t="s">
        <v>6616</v>
      </c>
      <c r="AA1988" t="s">
        <v>6637</v>
      </c>
      <c r="AB1988" t="s">
        <v>8301</v>
      </c>
      <c r="AD1988" t="s">
        <v>10626</v>
      </c>
      <c r="AE1988">
        <v>16</v>
      </c>
      <c r="AF1988" t="s">
        <v>8722</v>
      </c>
      <c r="AG1988" t="s">
        <v>5406</v>
      </c>
      <c r="AH1988">
        <v>1</v>
      </c>
      <c r="AI1988">
        <v>1</v>
      </c>
      <c r="AJ1988">
        <v>2</v>
      </c>
      <c r="AK1988">
        <v>105.56</v>
      </c>
      <c r="AN1988" t="s">
        <v>11050</v>
      </c>
      <c r="AO1988">
        <v>21936</v>
      </c>
      <c r="AU1988">
        <v>23.9</v>
      </c>
      <c r="AV1988" t="s">
        <v>835</v>
      </c>
      <c r="AW1988" t="s">
        <v>11512</v>
      </c>
    </row>
    <row r="1989" spans="1:50">
      <c r="A1989" s="1">
        <f>HYPERLINK("https://cms.ls-nyc.org/matter/dynamic-profile/view/1839297","17-1839297")</f>
        <v>0</v>
      </c>
      <c r="B1989" t="s">
        <v>131</v>
      </c>
      <c r="C1989" t="s">
        <v>234</v>
      </c>
      <c r="D1989" t="s">
        <v>613</v>
      </c>
      <c r="E1989" t="s">
        <v>713</v>
      </c>
      <c r="F1989" t="s">
        <v>1262</v>
      </c>
      <c r="G1989" t="s">
        <v>1742</v>
      </c>
      <c r="H1989" t="s">
        <v>4469</v>
      </c>
      <c r="I1989" t="s">
        <v>4925</v>
      </c>
      <c r="J1989" t="s">
        <v>5323</v>
      </c>
      <c r="K1989">
        <v>10033</v>
      </c>
      <c r="L1989" t="s">
        <v>5355</v>
      </c>
      <c r="M1989" t="s">
        <v>5356</v>
      </c>
      <c r="N1989" t="s">
        <v>6127</v>
      </c>
      <c r="O1989" t="s">
        <v>6492</v>
      </c>
      <c r="P1989" t="s">
        <v>6530</v>
      </c>
      <c r="Q1989" t="s">
        <v>6534</v>
      </c>
      <c r="R1989" t="s">
        <v>6539</v>
      </c>
      <c r="S1989" t="s">
        <v>5357</v>
      </c>
      <c r="U1989" t="s">
        <v>6557</v>
      </c>
      <c r="W1989" t="s">
        <v>404</v>
      </c>
      <c r="X1989">
        <v>878.51</v>
      </c>
      <c r="Y1989" t="s">
        <v>6608</v>
      </c>
      <c r="Z1989" t="s">
        <v>6616</v>
      </c>
      <c r="AA1989" t="s">
        <v>6644</v>
      </c>
      <c r="AB1989" t="s">
        <v>8302</v>
      </c>
      <c r="AD1989" t="s">
        <v>10627</v>
      </c>
      <c r="AE1989">
        <v>49</v>
      </c>
      <c r="AF1989" t="s">
        <v>11005</v>
      </c>
      <c r="AG1989" t="s">
        <v>11020</v>
      </c>
      <c r="AH1989">
        <v>27</v>
      </c>
      <c r="AI1989">
        <v>2</v>
      </c>
      <c r="AJ1989">
        <v>0</v>
      </c>
      <c r="AK1989">
        <v>105.67</v>
      </c>
      <c r="AL1989" t="s">
        <v>466</v>
      </c>
      <c r="AN1989" t="s">
        <v>11049</v>
      </c>
      <c r="AO1989">
        <v>17160</v>
      </c>
      <c r="AU1989">
        <v>34.55</v>
      </c>
      <c r="AV1989" t="s">
        <v>335</v>
      </c>
      <c r="AW1989" t="s">
        <v>11495</v>
      </c>
    </row>
    <row r="1990" spans="1:50">
      <c r="A1990" s="1">
        <f>HYPERLINK("https://cms.ls-nyc.org/matter/dynamic-profile/view/1863899","18-1863899")</f>
        <v>0</v>
      </c>
      <c r="B1990" t="s">
        <v>63</v>
      </c>
      <c r="C1990" t="s">
        <v>235</v>
      </c>
      <c r="D1990" t="s">
        <v>391</v>
      </c>
      <c r="F1990" t="s">
        <v>1903</v>
      </c>
      <c r="G1990" t="s">
        <v>3210</v>
      </c>
      <c r="H1990" t="s">
        <v>4470</v>
      </c>
      <c r="I1990" t="s">
        <v>4756</v>
      </c>
      <c r="J1990" t="s">
        <v>5322</v>
      </c>
      <c r="K1990">
        <v>10301</v>
      </c>
      <c r="L1990" t="s">
        <v>5355</v>
      </c>
      <c r="M1990" t="s">
        <v>5356</v>
      </c>
      <c r="N1990" t="s">
        <v>6128</v>
      </c>
      <c r="O1990" t="s">
        <v>6492</v>
      </c>
      <c r="P1990" t="s">
        <v>6530</v>
      </c>
      <c r="R1990" t="s">
        <v>6539</v>
      </c>
      <c r="S1990" t="s">
        <v>5357</v>
      </c>
      <c r="U1990" t="s">
        <v>6557</v>
      </c>
      <c r="W1990" t="s">
        <v>288</v>
      </c>
      <c r="X1990">
        <v>409</v>
      </c>
      <c r="Y1990" t="s">
        <v>6607</v>
      </c>
      <c r="Z1990" t="s">
        <v>6615</v>
      </c>
      <c r="AB1990" t="s">
        <v>8303</v>
      </c>
      <c r="AC1990" t="s">
        <v>9036</v>
      </c>
      <c r="AD1990" t="s">
        <v>10628</v>
      </c>
      <c r="AE1990">
        <v>454</v>
      </c>
      <c r="AF1990" t="s">
        <v>11013</v>
      </c>
      <c r="AG1990" t="s">
        <v>11020</v>
      </c>
      <c r="AH1990">
        <v>2</v>
      </c>
      <c r="AI1990">
        <v>1</v>
      </c>
      <c r="AJ1990">
        <v>0</v>
      </c>
      <c r="AK1990">
        <v>105.96</v>
      </c>
      <c r="AN1990" t="s">
        <v>11050</v>
      </c>
      <c r="AO1990">
        <v>12864</v>
      </c>
      <c r="AU1990">
        <v>87.5</v>
      </c>
      <c r="AV1990" t="s">
        <v>11478</v>
      </c>
      <c r="AW1990" t="s">
        <v>148</v>
      </c>
    </row>
    <row r="1991" spans="1:50">
      <c r="A1991" s="1">
        <f>HYPERLINK("https://cms.ls-nyc.org/matter/dynamic-profile/view/1848260","17-1848260")</f>
        <v>0</v>
      </c>
      <c r="B1991" t="s">
        <v>53</v>
      </c>
      <c r="C1991" t="s">
        <v>234</v>
      </c>
      <c r="D1991" t="s">
        <v>411</v>
      </c>
      <c r="E1991" t="s">
        <v>454</v>
      </c>
      <c r="F1991" t="s">
        <v>1904</v>
      </c>
      <c r="G1991" t="s">
        <v>3211</v>
      </c>
      <c r="H1991" t="s">
        <v>4471</v>
      </c>
      <c r="I1991" t="s">
        <v>4746</v>
      </c>
      <c r="J1991" t="s">
        <v>5320</v>
      </c>
      <c r="K1991">
        <v>11206</v>
      </c>
      <c r="L1991" t="s">
        <v>5355</v>
      </c>
      <c r="M1991" t="s">
        <v>5355</v>
      </c>
      <c r="N1991" t="s">
        <v>6129</v>
      </c>
      <c r="O1991" t="s">
        <v>6492</v>
      </c>
      <c r="P1991" t="s">
        <v>6530</v>
      </c>
      <c r="Q1991" t="s">
        <v>6534</v>
      </c>
      <c r="R1991" t="s">
        <v>6539</v>
      </c>
      <c r="S1991" t="s">
        <v>5357</v>
      </c>
      <c r="U1991" t="s">
        <v>6557</v>
      </c>
      <c r="W1991" t="s">
        <v>363</v>
      </c>
      <c r="X1991">
        <v>506</v>
      </c>
      <c r="Y1991" t="s">
        <v>6605</v>
      </c>
      <c r="Z1991" t="s">
        <v>6614</v>
      </c>
      <c r="AA1991" t="s">
        <v>6637</v>
      </c>
      <c r="AB1991" t="s">
        <v>8304</v>
      </c>
      <c r="AE1991">
        <v>4</v>
      </c>
      <c r="AF1991" t="s">
        <v>8722</v>
      </c>
      <c r="AG1991" t="s">
        <v>5406</v>
      </c>
      <c r="AH1991">
        <v>2006</v>
      </c>
      <c r="AI1991">
        <v>1</v>
      </c>
      <c r="AJ1991">
        <v>1</v>
      </c>
      <c r="AK1991">
        <v>106.11</v>
      </c>
      <c r="AN1991" t="s">
        <v>11050</v>
      </c>
      <c r="AO1991">
        <v>17232</v>
      </c>
      <c r="AR1991" t="s">
        <v>11210</v>
      </c>
      <c r="AS1991" t="s">
        <v>11253</v>
      </c>
      <c r="AT1991" t="s">
        <v>11339</v>
      </c>
      <c r="AU1991">
        <v>37.2</v>
      </c>
      <c r="AV1991" t="s">
        <v>454</v>
      </c>
      <c r="AW1991" t="s">
        <v>11507</v>
      </c>
    </row>
    <row r="1992" spans="1:50">
      <c r="A1992" s="1">
        <f>HYPERLINK("https://cms.ls-nyc.org/matter/dynamic-profile/view/1848555","17-1848555")</f>
        <v>0</v>
      </c>
      <c r="B1992" t="s">
        <v>56</v>
      </c>
      <c r="C1992" t="s">
        <v>235</v>
      </c>
      <c r="D1992" t="s">
        <v>553</v>
      </c>
      <c r="F1992" t="s">
        <v>897</v>
      </c>
      <c r="G1992" t="s">
        <v>2105</v>
      </c>
      <c r="H1992" t="s">
        <v>4472</v>
      </c>
      <c r="I1992" t="s">
        <v>4791</v>
      </c>
      <c r="J1992" t="s">
        <v>5321</v>
      </c>
      <c r="K1992">
        <v>10452</v>
      </c>
      <c r="L1992" t="s">
        <v>5355</v>
      </c>
      <c r="M1992" t="s">
        <v>5356</v>
      </c>
      <c r="N1992" t="s">
        <v>6130</v>
      </c>
      <c r="O1992" t="s">
        <v>6494</v>
      </c>
      <c r="P1992" t="s">
        <v>6530</v>
      </c>
      <c r="R1992" t="s">
        <v>6539</v>
      </c>
      <c r="S1992" t="s">
        <v>5357</v>
      </c>
      <c r="U1992" t="s">
        <v>6557</v>
      </c>
      <c r="W1992" t="s">
        <v>418</v>
      </c>
      <c r="X1992">
        <v>1029.33</v>
      </c>
      <c r="Y1992" t="s">
        <v>6606</v>
      </c>
      <c r="Z1992" t="s">
        <v>6623</v>
      </c>
      <c r="AB1992" t="s">
        <v>8305</v>
      </c>
      <c r="AC1992" t="s">
        <v>9037</v>
      </c>
      <c r="AD1992" t="s">
        <v>10629</v>
      </c>
      <c r="AE1992">
        <v>102</v>
      </c>
      <c r="AF1992" t="s">
        <v>8722</v>
      </c>
      <c r="AG1992" t="s">
        <v>5406</v>
      </c>
      <c r="AH1992">
        <v>19</v>
      </c>
      <c r="AI1992">
        <v>4</v>
      </c>
      <c r="AJ1992">
        <v>1</v>
      </c>
      <c r="AK1992">
        <v>106.48</v>
      </c>
      <c r="AN1992" t="s">
        <v>11050</v>
      </c>
      <c r="AO1992">
        <v>30644</v>
      </c>
      <c r="AU1992">
        <v>195.78</v>
      </c>
      <c r="AV1992" t="s">
        <v>11463</v>
      </c>
      <c r="AW1992" t="s">
        <v>11500</v>
      </c>
    </row>
    <row r="1993" spans="1:50">
      <c r="A1993" s="1">
        <f>HYPERLINK("https://cms.ls-nyc.org/matter/dynamic-profile/view/1865124","18-1865124")</f>
        <v>0</v>
      </c>
      <c r="B1993" t="s">
        <v>88</v>
      </c>
      <c r="C1993" t="s">
        <v>234</v>
      </c>
      <c r="D1993" t="s">
        <v>251</v>
      </c>
      <c r="E1993" t="s">
        <v>814</v>
      </c>
      <c r="F1993" t="s">
        <v>902</v>
      </c>
      <c r="G1993" t="s">
        <v>3212</v>
      </c>
      <c r="H1993" t="s">
        <v>4473</v>
      </c>
      <c r="I1993">
        <v>1</v>
      </c>
      <c r="J1993" t="s">
        <v>5320</v>
      </c>
      <c r="K1993">
        <v>11217</v>
      </c>
      <c r="L1993" t="s">
        <v>5355</v>
      </c>
      <c r="M1993" t="s">
        <v>5355</v>
      </c>
      <c r="N1993" t="s">
        <v>6131</v>
      </c>
      <c r="O1993" t="s">
        <v>6491</v>
      </c>
      <c r="P1993" t="s">
        <v>6530</v>
      </c>
      <c r="Q1993" t="s">
        <v>6534</v>
      </c>
      <c r="R1993" t="s">
        <v>6539</v>
      </c>
      <c r="U1993" t="s">
        <v>6557</v>
      </c>
      <c r="W1993" t="s">
        <v>251</v>
      </c>
      <c r="X1993">
        <v>725</v>
      </c>
      <c r="Y1993" t="s">
        <v>6605</v>
      </c>
      <c r="Z1993" t="s">
        <v>6611</v>
      </c>
      <c r="AA1993" t="s">
        <v>6633</v>
      </c>
      <c r="AB1993" t="s">
        <v>8306</v>
      </c>
      <c r="AD1993" t="s">
        <v>10630</v>
      </c>
      <c r="AE1993">
        <v>8</v>
      </c>
      <c r="AH1993">
        <v>4</v>
      </c>
      <c r="AI1993">
        <v>1</v>
      </c>
      <c r="AJ1993">
        <v>0</v>
      </c>
      <c r="AK1993">
        <v>107.08</v>
      </c>
      <c r="AN1993" t="s">
        <v>11050</v>
      </c>
      <c r="AO1993">
        <v>13000</v>
      </c>
      <c r="AQ1993" t="s">
        <v>11192</v>
      </c>
      <c r="AR1993" t="s">
        <v>6493</v>
      </c>
      <c r="AS1993" t="s">
        <v>11252</v>
      </c>
      <c r="AT1993" t="s">
        <v>11363</v>
      </c>
      <c r="AU1993">
        <v>40.8</v>
      </c>
      <c r="AV1993" t="s">
        <v>420</v>
      </c>
      <c r="AW1993" t="s">
        <v>11503</v>
      </c>
    </row>
    <row r="1994" spans="1:50">
      <c r="A1994" s="1">
        <f>HYPERLINK("https://cms.ls-nyc.org/matter/dynamic-profile/view/1863846","18-1863846")</f>
        <v>0</v>
      </c>
      <c r="B1994" t="s">
        <v>58</v>
      </c>
      <c r="C1994" t="s">
        <v>235</v>
      </c>
      <c r="D1994" t="s">
        <v>288</v>
      </c>
      <c r="F1994" t="s">
        <v>1069</v>
      </c>
      <c r="G1994" t="s">
        <v>2563</v>
      </c>
      <c r="H1994" t="s">
        <v>3523</v>
      </c>
      <c r="I1994" t="s">
        <v>4752</v>
      </c>
      <c r="J1994" t="s">
        <v>5321</v>
      </c>
      <c r="K1994">
        <v>10452</v>
      </c>
      <c r="L1994" t="s">
        <v>5355</v>
      </c>
      <c r="M1994" t="s">
        <v>5356</v>
      </c>
      <c r="N1994" t="s">
        <v>6132</v>
      </c>
      <c r="O1994" t="s">
        <v>6491</v>
      </c>
      <c r="P1994" t="s">
        <v>6530</v>
      </c>
      <c r="R1994" t="s">
        <v>6539</v>
      </c>
      <c r="U1994" t="s">
        <v>6557</v>
      </c>
      <c r="W1994" t="s">
        <v>288</v>
      </c>
      <c r="X1994">
        <v>530</v>
      </c>
      <c r="Y1994" t="s">
        <v>6606</v>
      </c>
      <c r="Z1994" t="s">
        <v>6613</v>
      </c>
      <c r="AB1994" t="s">
        <v>8307</v>
      </c>
      <c r="AC1994" t="s">
        <v>9038</v>
      </c>
      <c r="AD1994" t="s">
        <v>10631</v>
      </c>
      <c r="AE1994">
        <v>0</v>
      </c>
      <c r="AF1994" t="s">
        <v>11008</v>
      </c>
      <c r="AG1994" t="s">
        <v>11027</v>
      </c>
      <c r="AH1994">
        <v>13</v>
      </c>
      <c r="AI1994">
        <v>1</v>
      </c>
      <c r="AJ1994">
        <v>0</v>
      </c>
      <c r="AK1994">
        <v>107.08</v>
      </c>
      <c r="AN1994" t="s">
        <v>11050</v>
      </c>
      <c r="AO1994">
        <v>13000</v>
      </c>
      <c r="AP1994" t="s">
        <v>11075</v>
      </c>
      <c r="AU1994">
        <v>64.65000000000001</v>
      </c>
      <c r="AV1994" t="s">
        <v>812</v>
      </c>
      <c r="AW1994" t="s">
        <v>11538</v>
      </c>
    </row>
    <row r="1995" spans="1:50">
      <c r="A1995" s="1">
        <f>HYPERLINK("https://cms.ls-nyc.org/matter/dynamic-profile/view/1851857","17-1851857")</f>
        <v>0</v>
      </c>
      <c r="B1995" t="s">
        <v>52</v>
      </c>
      <c r="C1995" t="s">
        <v>234</v>
      </c>
      <c r="D1995" t="s">
        <v>300</v>
      </c>
      <c r="E1995" t="s">
        <v>682</v>
      </c>
      <c r="F1995" t="s">
        <v>914</v>
      </c>
      <c r="G1995" t="s">
        <v>3213</v>
      </c>
      <c r="H1995" t="s">
        <v>4474</v>
      </c>
      <c r="I1995" t="s">
        <v>5199</v>
      </c>
      <c r="J1995" t="s">
        <v>5324</v>
      </c>
      <c r="K1995">
        <v>11355</v>
      </c>
      <c r="L1995" t="s">
        <v>5355</v>
      </c>
      <c r="M1995" t="s">
        <v>5355</v>
      </c>
      <c r="N1995" t="s">
        <v>6133</v>
      </c>
      <c r="O1995" t="s">
        <v>6492</v>
      </c>
      <c r="P1995" t="s">
        <v>6530</v>
      </c>
      <c r="Q1995" t="s">
        <v>6534</v>
      </c>
      <c r="R1995" t="s">
        <v>6539</v>
      </c>
      <c r="S1995" t="s">
        <v>5357</v>
      </c>
      <c r="U1995" t="s">
        <v>6557</v>
      </c>
      <c r="V1995" t="s">
        <v>6566</v>
      </c>
      <c r="W1995" t="s">
        <v>300</v>
      </c>
      <c r="X1995">
        <v>1245</v>
      </c>
      <c r="Y1995" t="s">
        <v>6604</v>
      </c>
      <c r="Z1995" t="s">
        <v>6614</v>
      </c>
      <c r="AA1995" t="s">
        <v>6637</v>
      </c>
      <c r="AB1995" t="s">
        <v>8308</v>
      </c>
      <c r="AC1995" t="s">
        <v>9039</v>
      </c>
      <c r="AD1995" t="s">
        <v>10632</v>
      </c>
      <c r="AE1995">
        <v>70</v>
      </c>
      <c r="AF1995" t="s">
        <v>11004</v>
      </c>
      <c r="AG1995" t="s">
        <v>5406</v>
      </c>
      <c r="AH1995">
        <v>1</v>
      </c>
      <c r="AI1995">
        <v>2</v>
      </c>
      <c r="AJ1995">
        <v>1</v>
      </c>
      <c r="AK1995">
        <v>107.13</v>
      </c>
      <c r="AL1995" t="s">
        <v>463</v>
      </c>
      <c r="AN1995" t="s">
        <v>11049</v>
      </c>
      <c r="AO1995">
        <v>21876.4</v>
      </c>
      <c r="AQ1995" t="s">
        <v>11196</v>
      </c>
      <c r="AR1995" t="s">
        <v>11211</v>
      </c>
      <c r="AS1995" t="s">
        <v>11253</v>
      </c>
      <c r="AT1995" t="s">
        <v>11390</v>
      </c>
      <c r="AU1995">
        <v>10.98</v>
      </c>
      <c r="AV1995" t="s">
        <v>697</v>
      </c>
      <c r="AW1995" t="s">
        <v>93</v>
      </c>
    </row>
    <row r="1996" spans="1:50">
      <c r="A1996" s="1">
        <f>HYPERLINK("https://cms.ls-nyc.org/matter/dynamic-profile/view/1864472","18-1864472")</f>
        <v>0</v>
      </c>
      <c r="B1996" t="s">
        <v>92</v>
      </c>
      <c r="C1996" t="s">
        <v>235</v>
      </c>
      <c r="D1996" t="s">
        <v>256</v>
      </c>
      <c r="F1996" t="s">
        <v>959</v>
      </c>
      <c r="G1996" t="s">
        <v>2133</v>
      </c>
      <c r="H1996" t="s">
        <v>3579</v>
      </c>
      <c r="I1996">
        <v>610</v>
      </c>
      <c r="J1996" t="s">
        <v>5323</v>
      </c>
      <c r="K1996">
        <v>10029</v>
      </c>
      <c r="L1996" t="s">
        <v>5355</v>
      </c>
      <c r="M1996" t="s">
        <v>5356</v>
      </c>
      <c r="N1996" t="s">
        <v>5632</v>
      </c>
      <c r="O1996" t="s">
        <v>6494</v>
      </c>
      <c r="P1996" t="s">
        <v>6530</v>
      </c>
      <c r="R1996" t="s">
        <v>6539</v>
      </c>
      <c r="S1996" t="s">
        <v>5355</v>
      </c>
      <c r="U1996" t="s">
        <v>6557</v>
      </c>
      <c r="V1996" t="s">
        <v>6566</v>
      </c>
      <c r="W1996" t="s">
        <v>256</v>
      </c>
      <c r="X1996">
        <v>0</v>
      </c>
      <c r="Y1996" t="s">
        <v>6608</v>
      </c>
      <c r="Z1996" t="s">
        <v>6622</v>
      </c>
      <c r="AB1996" t="s">
        <v>6817</v>
      </c>
      <c r="AD1996" t="s">
        <v>9245</v>
      </c>
      <c r="AE1996">
        <v>108</v>
      </c>
      <c r="AF1996" t="s">
        <v>11008</v>
      </c>
      <c r="AG1996" t="s">
        <v>11020</v>
      </c>
      <c r="AH1996">
        <v>21</v>
      </c>
      <c r="AI1996">
        <v>1</v>
      </c>
      <c r="AJ1996">
        <v>2</v>
      </c>
      <c r="AK1996">
        <v>107.35</v>
      </c>
      <c r="AN1996" t="s">
        <v>11050</v>
      </c>
      <c r="AO1996">
        <v>22308</v>
      </c>
      <c r="AU1996">
        <v>80.84999999999999</v>
      </c>
      <c r="AV1996" t="s">
        <v>445</v>
      </c>
      <c r="AW1996" t="s">
        <v>11497</v>
      </c>
      <c r="AX1996" t="s">
        <v>11564</v>
      </c>
    </row>
    <row r="1997" spans="1:50">
      <c r="A1997" s="1">
        <f>HYPERLINK("https://cms.ls-nyc.org/matter/dynamic-profile/view/1844650","17-1844650")</f>
        <v>0</v>
      </c>
      <c r="B1997" t="s">
        <v>97</v>
      </c>
      <c r="C1997" t="s">
        <v>234</v>
      </c>
      <c r="D1997" t="s">
        <v>453</v>
      </c>
      <c r="E1997" t="s">
        <v>665</v>
      </c>
      <c r="F1997" t="s">
        <v>1238</v>
      </c>
      <c r="G1997" t="s">
        <v>2363</v>
      </c>
      <c r="H1997" t="s">
        <v>4475</v>
      </c>
      <c r="I1997" t="s">
        <v>4921</v>
      </c>
      <c r="J1997" t="s">
        <v>5323</v>
      </c>
      <c r="K1997">
        <v>10034</v>
      </c>
      <c r="L1997" t="s">
        <v>5355</v>
      </c>
      <c r="M1997" t="s">
        <v>5356</v>
      </c>
      <c r="N1997" t="s">
        <v>6134</v>
      </c>
      <c r="O1997" t="s">
        <v>6491</v>
      </c>
      <c r="P1997" t="s">
        <v>6530</v>
      </c>
      <c r="Q1997" t="s">
        <v>6534</v>
      </c>
      <c r="R1997" t="s">
        <v>6539</v>
      </c>
      <c r="S1997" t="s">
        <v>5357</v>
      </c>
      <c r="U1997" t="s">
        <v>6557</v>
      </c>
      <c r="W1997" t="s">
        <v>404</v>
      </c>
      <c r="X1997">
        <v>917.98</v>
      </c>
      <c r="Y1997" t="s">
        <v>6608</v>
      </c>
      <c r="Z1997" t="s">
        <v>6616</v>
      </c>
      <c r="AA1997" t="s">
        <v>6637</v>
      </c>
      <c r="AB1997" t="s">
        <v>7146</v>
      </c>
      <c r="AD1997" t="s">
        <v>9536</v>
      </c>
      <c r="AE1997">
        <v>73</v>
      </c>
      <c r="AF1997" t="s">
        <v>11005</v>
      </c>
      <c r="AG1997" t="s">
        <v>11024</v>
      </c>
      <c r="AH1997">
        <v>38</v>
      </c>
      <c r="AI1997">
        <v>2</v>
      </c>
      <c r="AJ1997">
        <v>1</v>
      </c>
      <c r="AK1997">
        <v>107.37</v>
      </c>
      <c r="AN1997" t="s">
        <v>11049</v>
      </c>
      <c r="AO1997">
        <v>21924</v>
      </c>
      <c r="AU1997">
        <v>19.1</v>
      </c>
      <c r="AV1997" t="s">
        <v>416</v>
      </c>
      <c r="AW1997" t="s">
        <v>11495</v>
      </c>
    </row>
    <row r="1998" spans="1:50">
      <c r="A1998" s="1">
        <f>HYPERLINK("https://cms.ls-nyc.org/matter/dynamic-profile/view/0813174","16-0813174")</f>
        <v>0</v>
      </c>
      <c r="B1998" t="s">
        <v>214</v>
      </c>
      <c r="C1998" t="s">
        <v>234</v>
      </c>
      <c r="D1998" t="s">
        <v>614</v>
      </c>
      <c r="E1998" t="s">
        <v>823</v>
      </c>
      <c r="F1998" t="s">
        <v>1302</v>
      </c>
      <c r="G1998" t="s">
        <v>3214</v>
      </c>
      <c r="H1998" t="s">
        <v>4476</v>
      </c>
      <c r="I1998" t="s">
        <v>4740</v>
      </c>
      <c r="J1998" t="s">
        <v>5320</v>
      </c>
      <c r="K1998">
        <v>11206</v>
      </c>
      <c r="L1998" t="s">
        <v>5355</v>
      </c>
      <c r="M1998" t="s">
        <v>5356</v>
      </c>
      <c r="O1998" t="s">
        <v>6504</v>
      </c>
      <c r="P1998" t="s">
        <v>6530</v>
      </c>
      <c r="Q1998" t="s">
        <v>6534</v>
      </c>
      <c r="R1998" t="s">
        <v>6539</v>
      </c>
      <c r="T1998" t="s">
        <v>6544</v>
      </c>
      <c r="U1998" t="s">
        <v>6560</v>
      </c>
      <c r="W1998" t="s">
        <v>262</v>
      </c>
      <c r="X1998">
        <v>1254.01</v>
      </c>
      <c r="Y1998" t="s">
        <v>6605</v>
      </c>
      <c r="AA1998" t="s">
        <v>6644</v>
      </c>
      <c r="AB1998" t="s">
        <v>8309</v>
      </c>
      <c r="AD1998" t="s">
        <v>10633</v>
      </c>
      <c r="AE1998">
        <v>24</v>
      </c>
      <c r="AF1998" t="s">
        <v>11005</v>
      </c>
      <c r="AG1998" t="s">
        <v>11020</v>
      </c>
      <c r="AH1998">
        <v>19</v>
      </c>
      <c r="AI1998">
        <v>4</v>
      </c>
      <c r="AJ1998">
        <v>2</v>
      </c>
      <c r="AK1998">
        <v>107.46</v>
      </c>
      <c r="AN1998" t="s">
        <v>11050</v>
      </c>
      <c r="AO1998">
        <v>35012</v>
      </c>
      <c r="AU1998">
        <v>122.5</v>
      </c>
      <c r="AV1998" t="s">
        <v>11479</v>
      </c>
      <c r="AW1998" t="s">
        <v>11511</v>
      </c>
    </row>
    <row r="1999" spans="1:50">
      <c r="A1999" s="1">
        <f>HYPERLINK("https://cms.ls-nyc.org/matter/dynamic-profile/view/1869567","18-1869567")</f>
        <v>0</v>
      </c>
      <c r="B1999" t="s">
        <v>102</v>
      </c>
      <c r="C1999" t="s">
        <v>234</v>
      </c>
      <c r="D1999" t="s">
        <v>364</v>
      </c>
      <c r="E1999" t="s">
        <v>751</v>
      </c>
      <c r="F1999" t="s">
        <v>1905</v>
      </c>
      <c r="G1999" t="s">
        <v>3215</v>
      </c>
      <c r="H1999" t="s">
        <v>4477</v>
      </c>
      <c r="I1999" t="s">
        <v>4862</v>
      </c>
      <c r="J1999" t="s">
        <v>5321</v>
      </c>
      <c r="K1999">
        <v>10468</v>
      </c>
      <c r="L1999" t="s">
        <v>5355</v>
      </c>
      <c r="M1999" t="s">
        <v>5356</v>
      </c>
      <c r="N1999" t="s">
        <v>6135</v>
      </c>
      <c r="O1999" t="s">
        <v>6492</v>
      </c>
      <c r="P1999" t="s">
        <v>6530</v>
      </c>
      <c r="Q1999" t="s">
        <v>6534</v>
      </c>
      <c r="R1999" t="s">
        <v>6539</v>
      </c>
      <c r="S1999" t="s">
        <v>5357</v>
      </c>
      <c r="U1999" t="s">
        <v>6557</v>
      </c>
      <c r="W1999" t="s">
        <v>275</v>
      </c>
      <c r="X1999">
        <v>1385</v>
      </c>
      <c r="Y1999" t="s">
        <v>6606</v>
      </c>
      <c r="Z1999" t="s">
        <v>6614</v>
      </c>
      <c r="AA1999" t="s">
        <v>6637</v>
      </c>
      <c r="AB1999" t="s">
        <v>7426</v>
      </c>
      <c r="AC1999" t="s">
        <v>9040</v>
      </c>
      <c r="AD1999" t="s">
        <v>10634</v>
      </c>
      <c r="AE1999">
        <v>0</v>
      </c>
      <c r="AF1999" t="s">
        <v>11005</v>
      </c>
      <c r="AG1999" t="s">
        <v>5406</v>
      </c>
      <c r="AH1999">
        <v>10</v>
      </c>
      <c r="AI1999">
        <v>2</v>
      </c>
      <c r="AJ1999">
        <v>2</v>
      </c>
      <c r="AK1999">
        <v>107.57</v>
      </c>
      <c r="AO1999">
        <v>27000</v>
      </c>
      <c r="AQ1999" t="s">
        <v>11191</v>
      </c>
      <c r="AR1999" t="s">
        <v>11222</v>
      </c>
      <c r="AS1999" t="s">
        <v>11253</v>
      </c>
      <c r="AT1999" t="s">
        <v>11325</v>
      </c>
      <c r="AU1999">
        <v>15.9</v>
      </c>
      <c r="AV1999" t="s">
        <v>751</v>
      </c>
      <c r="AW1999" t="s">
        <v>11538</v>
      </c>
    </row>
    <row r="2000" spans="1:50">
      <c r="A2000" s="1">
        <f>HYPERLINK("https://cms.ls-nyc.org/matter/dynamic-profile/view/1847419","17-1847419")</f>
        <v>0</v>
      </c>
      <c r="B2000" t="s">
        <v>149</v>
      </c>
      <c r="C2000" t="s">
        <v>234</v>
      </c>
      <c r="D2000" t="s">
        <v>283</v>
      </c>
      <c r="E2000" t="s">
        <v>718</v>
      </c>
      <c r="F2000" t="s">
        <v>1906</v>
      </c>
      <c r="G2000" t="s">
        <v>3216</v>
      </c>
      <c r="H2000" t="s">
        <v>4478</v>
      </c>
      <c r="I2000" t="s">
        <v>5239</v>
      </c>
      <c r="J2000" t="s">
        <v>5324</v>
      </c>
      <c r="K2000">
        <v>11354</v>
      </c>
      <c r="L2000" t="s">
        <v>5355</v>
      </c>
      <c r="M2000" t="s">
        <v>5355</v>
      </c>
      <c r="N2000" t="s">
        <v>6136</v>
      </c>
      <c r="O2000" t="s">
        <v>6492</v>
      </c>
      <c r="P2000" t="s">
        <v>6530</v>
      </c>
      <c r="Q2000" t="s">
        <v>6534</v>
      </c>
      <c r="R2000" t="s">
        <v>6539</v>
      </c>
      <c r="S2000" t="s">
        <v>5357</v>
      </c>
      <c r="U2000" t="s">
        <v>6557</v>
      </c>
      <c r="V2000" t="s">
        <v>6566</v>
      </c>
      <c r="W2000" t="s">
        <v>283</v>
      </c>
      <c r="X2000">
        <v>1969.5</v>
      </c>
      <c r="Y2000" t="s">
        <v>6604</v>
      </c>
      <c r="Z2000" t="s">
        <v>6615</v>
      </c>
      <c r="AA2000" t="s">
        <v>6637</v>
      </c>
      <c r="AB2000" t="s">
        <v>8310</v>
      </c>
      <c r="AD2000" t="s">
        <v>10635</v>
      </c>
      <c r="AE2000">
        <v>42</v>
      </c>
      <c r="AF2000" t="s">
        <v>11005</v>
      </c>
      <c r="AG2000" t="s">
        <v>5406</v>
      </c>
      <c r="AH2000">
        <v>6</v>
      </c>
      <c r="AI2000">
        <v>1</v>
      </c>
      <c r="AJ2000">
        <v>2</v>
      </c>
      <c r="AK2000">
        <v>107.74</v>
      </c>
      <c r="AN2000" t="s">
        <v>11049</v>
      </c>
      <c r="AO2000">
        <v>22000</v>
      </c>
      <c r="AQ2000" t="s">
        <v>11190</v>
      </c>
      <c r="AR2000" t="s">
        <v>6493</v>
      </c>
      <c r="AS2000" t="s">
        <v>11253</v>
      </c>
      <c r="AT2000" t="s">
        <v>11359</v>
      </c>
      <c r="AU2000">
        <v>31</v>
      </c>
      <c r="AV2000" t="s">
        <v>708</v>
      </c>
      <c r="AW2000" t="s">
        <v>116</v>
      </c>
    </row>
    <row r="2001" spans="1:50">
      <c r="A2001" s="1">
        <f>HYPERLINK("https://cms.ls-nyc.org/matter/dynamic-profile/view/1844569","17-1844569")</f>
        <v>0</v>
      </c>
      <c r="B2001" t="s">
        <v>182</v>
      </c>
      <c r="C2001" t="s">
        <v>235</v>
      </c>
      <c r="D2001" t="s">
        <v>435</v>
      </c>
      <c r="F2001" t="s">
        <v>1907</v>
      </c>
      <c r="G2001" t="s">
        <v>3217</v>
      </c>
      <c r="H2001" t="s">
        <v>4479</v>
      </c>
      <c r="I2001" t="s">
        <v>5240</v>
      </c>
      <c r="J2001" t="s">
        <v>5320</v>
      </c>
      <c r="K2001">
        <v>11249</v>
      </c>
      <c r="L2001" t="s">
        <v>5355</v>
      </c>
      <c r="M2001" t="s">
        <v>5356</v>
      </c>
      <c r="O2001" t="s">
        <v>6492</v>
      </c>
      <c r="P2001" t="s">
        <v>6530</v>
      </c>
      <c r="R2001" t="s">
        <v>6539</v>
      </c>
      <c r="S2001" t="s">
        <v>5355</v>
      </c>
      <c r="U2001" t="s">
        <v>6557</v>
      </c>
      <c r="W2001" t="s">
        <v>6575</v>
      </c>
      <c r="X2001">
        <v>2500</v>
      </c>
      <c r="Y2001" t="s">
        <v>6605</v>
      </c>
      <c r="AB2001" t="s">
        <v>8311</v>
      </c>
      <c r="AE2001">
        <v>36</v>
      </c>
      <c r="AF2001" t="s">
        <v>11005</v>
      </c>
      <c r="AH2001">
        <v>2</v>
      </c>
      <c r="AI2001">
        <v>1</v>
      </c>
      <c r="AJ2001">
        <v>0</v>
      </c>
      <c r="AK2001">
        <v>107.79</v>
      </c>
      <c r="AL2001" t="s">
        <v>354</v>
      </c>
      <c r="AO2001">
        <v>35800</v>
      </c>
      <c r="AU2001">
        <v>21.3</v>
      </c>
      <c r="AV2001" t="s">
        <v>502</v>
      </c>
      <c r="AW2001" t="s">
        <v>11512</v>
      </c>
    </row>
    <row r="2002" spans="1:50">
      <c r="A2002" s="1">
        <f>HYPERLINK("https://cms.ls-nyc.org/matter/dynamic-profile/view/1840732","17-1840732")</f>
        <v>0</v>
      </c>
      <c r="B2002" t="s">
        <v>106</v>
      </c>
      <c r="C2002" t="s">
        <v>235</v>
      </c>
      <c r="D2002" t="s">
        <v>348</v>
      </c>
      <c r="F2002" t="s">
        <v>1908</v>
      </c>
      <c r="G2002" t="s">
        <v>2718</v>
      </c>
      <c r="H2002" t="s">
        <v>4480</v>
      </c>
      <c r="J2002" t="s">
        <v>5321</v>
      </c>
      <c r="K2002">
        <v>10460</v>
      </c>
      <c r="L2002" t="s">
        <v>5355</v>
      </c>
      <c r="M2002" t="s">
        <v>5356</v>
      </c>
      <c r="N2002" t="s">
        <v>6137</v>
      </c>
      <c r="O2002" t="s">
        <v>6492</v>
      </c>
      <c r="P2002" t="s">
        <v>6530</v>
      </c>
      <c r="R2002" t="s">
        <v>6540</v>
      </c>
      <c r="S2002" t="s">
        <v>5357</v>
      </c>
      <c r="U2002" t="s">
        <v>6557</v>
      </c>
      <c r="W2002" t="s">
        <v>372</v>
      </c>
      <c r="X2002">
        <v>1450</v>
      </c>
      <c r="Y2002" t="s">
        <v>6606</v>
      </c>
      <c r="Z2002" t="s">
        <v>6610</v>
      </c>
      <c r="AB2002" t="s">
        <v>8312</v>
      </c>
      <c r="AD2002" t="s">
        <v>10636</v>
      </c>
      <c r="AE2002">
        <v>50</v>
      </c>
      <c r="AF2002" t="s">
        <v>11005</v>
      </c>
      <c r="AG2002" t="s">
        <v>5406</v>
      </c>
      <c r="AH2002">
        <v>1</v>
      </c>
      <c r="AI2002">
        <v>1</v>
      </c>
      <c r="AJ2002">
        <v>0</v>
      </c>
      <c r="AK2002">
        <v>107.79</v>
      </c>
      <c r="AL2002" t="s">
        <v>11028</v>
      </c>
      <c r="AN2002" t="s">
        <v>11050</v>
      </c>
      <c r="AO2002">
        <v>13000</v>
      </c>
      <c r="AP2002" t="s">
        <v>11167</v>
      </c>
      <c r="AT2002" t="s">
        <v>11324</v>
      </c>
      <c r="AU2002">
        <v>78.7</v>
      </c>
      <c r="AV2002" t="s">
        <v>345</v>
      </c>
      <c r="AW2002" t="s">
        <v>11498</v>
      </c>
    </row>
    <row r="2003" spans="1:50">
      <c r="A2003" s="1">
        <f>HYPERLINK("https://cms.ls-nyc.org/matter/dynamic-profile/view/1852592","17-1852592")</f>
        <v>0</v>
      </c>
      <c r="B2003" t="s">
        <v>71</v>
      </c>
      <c r="C2003" t="s">
        <v>234</v>
      </c>
      <c r="D2003" t="s">
        <v>549</v>
      </c>
      <c r="E2003" t="s">
        <v>684</v>
      </c>
      <c r="F2003" t="s">
        <v>1461</v>
      </c>
      <c r="G2003" t="s">
        <v>2102</v>
      </c>
      <c r="H2003" t="s">
        <v>4481</v>
      </c>
      <c r="I2003" t="s">
        <v>4841</v>
      </c>
      <c r="J2003" t="s">
        <v>5321</v>
      </c>
      <c r="K2003">
        <v>10452</v>
      </c>
      <c r="L2003" t="s">
        <v>5355</v>
      </c>
      <c r="M2003" t="s">
        <v>5356</v>
      </c>
      <c r="N2003" t="s">
        <v>6138</v>
      </c>
      <c r="O2003" t="s">
        <v>6491</v>
      </c>
      <c r="P2003" t="s">
        <v>6530</v>
      </c>
      <c r="Q2003" t="s">
        <v>6534</v>
      </c>
      <c r="R2003" t="s">
        <v>6539</v>
      </c>
      <c r="U2003" t="s">
        <v>6557</v>
      </c>
      <c r="W2003" t="s">
        <v>516</v>
      </c>
      <c r="X2003">
        <v>2000</v>
      </c>
      <c r="Y2003" t="s">
        <v>6606</v>
      </c>
      <c r="AA2003" t="s">
        <v>6633</v>
      </c>
      <c r="AB2003" t="s">
        <v>8313</v>
      </c>
      <c r="AD2003" t="s">
        <v>10637</v>
      </c>
      <c r="AE2003">
        <v>2</v>
      </c>
      <c r="AG2003" t="s">
        <v>11020</v>
      </c>
      <c r="AH2003">
        <v>7</v>
      </c>
      <c r="AI2003">
        <v>1</v>
      </c>
      <c r="AJ2003">
        <v>0</v>
      </c>
      <c r="AK2003">
        <v>107.79</v>
      </c>
      <c r="AN2003" t="s">
        <v>11049</v>
      </c>
      <c r="AO2003">
        <v>13000</v>
      </c>
      <c r="AP2003" t="s">
        <v>11083</v>
      </c>
      <c r="AU2003">
        <v>34.9</v>
      </c>
      <c r="AV2003" t="s">
        <v>622</v>
      </c>
      <c r="AW2003" t="s">
        <v>11511</v>
      </c>
    </row>
    <row r="2004" spans="1:50">
      <c r="A2004" s="1">
        <f>HYPERLINK("https://cms.ls-nyc.org/matter/dynamic-profile/view/1847647","17-1847647")</f>
        <v>0</v>
      </c>
      <c r="B2004" t="s">
        <v>131</v>
      </c>
      <c r="C2004" t="s">
        <v>235</v>
      </c>
      <c r="D2004" t="s">
        <v>346</v>
      </c>
      <c r="F2004" t="s">
        <v>1489</v>
      </c>
      <c r="G2004" t="s">
        <v>3218</v>
      </c>
      <c r="H2004" t="s">
        <v>4269</v>
      </c>
      <c r="I2004" t="s">
        <v>4907</v>
      </c>
      <c r="J2004" t="s">
        <v>5323</v>
      </c>
      <c r="K2004">
        <v>10034</v>
      </c>
      <c r="L2004" t="s">
        <v>5355</v>
      </c>
      <c r="M2004" t="s">
        <v>5356</v>
      </c>
      <c r="O2004" t="s">
        <v>6494</v>
      </c>
      <c r="P2004" t="s">
        <v>6530</v>
      </c>
      <c r="R2004" t="s">
        <v>6539</v>
      </c>
      <c r="S2004" t="s">
        <v>5355</v>
      </c>
      <c r="U2004" t="s">
        <v>6557</v>
      </c>
      <c r="W2004" t="s">
        <v>390</v>
      </c>
      <c r="X2004">
        <v>1484.84</v>
      </c>
      <c r="Y2004" t="s">
        <v>6608</v>
      </c>
      <c r="Z2004" t="s">
        <v>6616</v>
      </c>
      <c r="AB2004" t="s">
        <v>8314</v>
      </c>
      <c r="AE2004">
        <v>50</v>
      </c>
      <c r="AF2004" t="s">
        <v>11005</v>
      </c>
      <c r="AG2004" t="s">
        <v>5406</v>
      </c>
      <c r="AH2004">
        <v>12</v>
      </c>
      <c r="AI2004">
        <v>1</v>
      </c>
      <c r="AJ2004">
        <v>0</v>
      </c>
      <c r="AK2004">
        <v>107.79</v>
      </c>
      <c r="AN2004" t="s">
        <v>11049</v>
      </c>
      <c r="AO2004">
        <v>13000</v>
      </c>
      <c r="AU2004">
        <v>0</v>
      </c>
      <c r="AW2004" t="s">
        <v>11495</v>
      </c>
    </row>
    <row r="2005" spans="1:50">
      <c r="A2005" s="1">
        <f>HYPERLINK("https://cms.ls-nyc.org/matter/dynamic-profile/view/1852249","17-1852249")</f>
        <v>0</v>
      </c>
      <c r="B2005" t="s">
        <v>63</v>
      </c>
      <c r="C2005" t="s">
        <v>234</v>
      </c>
      <c r="D2005" t="s">
        <v>372</v>
      </c>
      <c r="E2005" t="s">
        <v>793</v>
      </c>
      <c r="F2005" t="s">
        <v>1909</v>
      </c>
      <c r="G2005" t="s">
        <v>3219</v>
      </c>
      <c r="H2005" t="s">
        <v>3746</v>
      </c>
      <c r="J2005" t="s">
        <v>5322</v>
      </c>
      <c r="K2005">
        <v>10301</v>
      </c>
      <c r="L2005" t="s">
        <v>5355</v>
      </c>
      <c r="M2005" t="s">
        <v>5355</v>
      </c>
      <c r="N2005" t="s">
        <v>6139</v>
      </c>
      <c r="O2005" t="s">
        <v>6492</v>
      </c>
      <c r="P2005" t="s">
        <v>6530</v>
      </c>
      <c r="Q2005" t="s">
        <v>6534</v>
      </c>
      <c r="R2005" t="s">
        <v>6539</v>
      </c>
      <c r="S2005" t="s">
        <v>5357</v>
      </c>
      <c r="U2005" t="s">
        <v>6557</v>
      </c>
      <c r="V2005" t="s">
        <v>6566</v>
      </c>
      <c r="W2005" t="s">
        <v>463</v>
      </c>
      <c r="X2005">
        <v>350</v>
      </c>
      <c r="Y2005" t="s">
        <v>6607</v>
      </c>
      <c r="Z2005" t="s">
        <v>6622</v>
      </c>
      <c r="AA2005" t="s">
        <v>6637</v>
      </c>
      <c r="AB2005" t="s">
        <v>8315</v>
      </c>
      <c r="AD2005" t="s">
        <v>10638</v>
      </c>
      <c r="AE2005">
        <v>17</v>
      </c>
      <c r="AF2005" t="s">
        <v>11005</v>
      </c>
      <c r="AG2005" t="s">
        <v>5406</v>
      </c>
      <c r="AH2005">
        <v>4</v>
      </c>
      <c r="AI2005">
        <v>1</v>
      </c>
      <c r="AJ2005">
        <v>0</v>
      </c>
      <c r="AK2005">
        <v>107.86</v>
      </c>
      <c r="AN2005" t="s">
        <v>11050</v>
      </c>
      <c r="AO2005">
        <v>13008</v>
      </c>
      <c r="AR2005" t="s">
        <v>11213</v>
      </c>
      <c r="AS2005" t="s">
        <v>11253</v>
      </c>
      <c r="AT2005" t="s">
        <v>11391</v>
      </c>
      <c r="AU2005">
        <v>17.8</v>
      </c>
      <c r="AV2005" t="s">
        <v>793</v>
      </c>
      <c r="AW2005" t="s">
        <v>140</v>
      </c>
    </row>
    <row r="2006" spans="1:50">
      <c r="A2006" s="1">
        <f>HYPERLINK("https://cms.ls-nyc.org/matter/dynamic-profile/view/1845995","17-1845995")</f>
        <v>0</v>
      </c>
      <c r="B2006" t="s">
        <v>81</v>
      </c>
      <c r="C2006" t="s">
        <v>234</v>
      </c>
      <c r="D2006" t="s">
        <v>443</v>
      </c>
      <c r="E2006" t="s">
        <v>704</v>
      </c>
      <c r="F2006" t="s">
        <v>1910</v>
      </c>
      <c r="G2006" t="s">
        <v>3220</v>
      </c>
      <c r="H2006" t="s">
        <v>4482</v>
      </c>
      <c r="I2006">
        <v>35</v>
      </c>
      <c r="J2006" t="s">
        <v>5327</v>
      </c>
      <c r="K2006">
        <v>11101</v>
      </c>
      <c r="L2006" t="s">
        <v>5355</v>
      </c>
      <c r="M2006" t="s">
        <v>5355</v>
      </c>
      <c r="N2006" t="s">
        <v>6140</v>
      </c>
      <c r="O2006" t="s">
        <v>6492</v>
      </c>
      <c r="P2006" t="s">
        <v>6530</v>
      </c>
      <c r="Q2006" t="s">
        <v>6534</v>
      </c>
      <c r="R2006" t="s">
        <v>6539</v>
      </c>
      <c r="S2006" t="s">
        <v>5357</v>
      </c>
      <c r="U2006" t="s">
        <v>6557</v>
      </c>
      <c r="V2006" t="s">
        <v>6566</v>
      </c>
      <c r="W2006" t="s">
        <v>443</v>
      </c>
      <c r="X2006">
        <v>1248</v>
      </c>
      <c r="Y2006" t="s">
        <v>6604</v>
      </c>
      <c r="Z2006" t="s">
        <v>6625</v>
      </c>
      <c r="AA2006" t="s">
        <v>6637</v>
      </c>
      <c r="AB2006" t="s">
        <v>8316</v>
      </c>
      <c r="AD2006" t="s">
        <v>10639</v>
      </c>
      <c r="AE2006">
        <v>35</v>
      </c>
      <c r="AF2006" t="s">
        <v>11005</v>
      </c>
      <c r="AG2006" t="s">
        <v>5406</v>
      </c>
      <c r="AH2006">
        <v>5</v>
      </c>
      <c r="AI2006">
        <v>2</v>
      </c>
      <c r="AJ2006">
        <v>2</v>
      </c>
      <c r="AK2006">
        <v>108</v>
      </c>
      <c r="AN2006" t="s">
        <v>11059</v>
      </c>
      <c r="AO2006">
        <v>26568</v>
      </c>
      <c r="AQ2006" t="s">
        <v>11191</v>
      </c>
      <c r="AR2006" t="s">
        <v>6493</v>
      </c>
      <c r="AS2006" t="s">
        <v>11253</v>
      </c>
      <c r="AT2006" t="s">
        <v>11338</v>
      </c>
      <c r="AU2006">
        <v>19.25</v>
      </c>
      <c r="AV2006" t="s">
        <v>743</v>
      </c>
      <c r="AW2006" t="s">
        <v>86</v>
      </c>
    </row>
    <row r="2007" spans="1:50">
      <c r="A2007" s="1">
        <f>HYPERLINK("https://cms.ls-nyc.org/matter/dynamic-profile/view/1859588","18-1859588")</f>
        <v>0</v>
      </c>
      <c r="B2007" t="s">
        <v>134</v>
      </c>
      <c r="C2007" t="s">
        <v>235</v>
      </c>
      <c r="D2007" t="s">
        <v>523</v>
      </c>
      <c r="F2007" t="s">
        <v>1911</v>
      </c>
      <c r="G2007" t="s">
        <v>3221</v>
      </c>
      <c r="H2007" t="s">
        <v>4483</v>
      </c>
      <c r="I2007">
        <v>414</v>
      </c>
      <c r="J2007" t="s">
        <v>5353</v>
      </c>
      <c r="K2007">
        <v>11101</v>
      </c>
      <c r="L2007" t="s">
        <v>5355</v>
      </c>
      <c r="M2007" t="s">
        <v>5356</v>
      </c>
      <c r="N2007" t="s">
        <v>6141</v>
      </c>
      <c r="O2007" t="s">
        <v>6492</v>
      </c>
      <c r="P2007" t="s">
        <v>6530</v>
      </c>
      <c r="R2007" t="s">
        <v>6539</v>
      </c>
      <c r="S2007" t="s">
        <v>5357</v>
      </c>
      <c r="U2007" t="s">
        <v>6557</v>
      </c>
      <c r="W2007" t="s">
        <v>316</v>
      </c>
      <c r="X2007">
        <v>850</v>
      </c>
      <c r="Y2007" t="s">
        <v>6604</v>
      </c>
      <c r="Z2007" t="s">
        <v>6615</v>
      </c>
      <c r="AB2007" t="s">
        <v>8317</v>
      </c>
      <c r="AC2007" t="s">
        <v>9041</v>
      </c>
      <c r="AD2007" t="s">
        <v>10640</v>
      </c>
      <c r="AE2007">
        <v>175</v>
      </c>
      <c r="AF2007" t="s">
        <v>11005</v>
      </c>
      <c r="AG2007" t="s">
        <v>11019</v>
      </c>
      <c r="AH2007">
        <v>-1</v>
      </c>
      <c r="AI2007">
        <v>2</v>
      </c>
      <c r="AJ2007">
        <v>0</v>
      </c>
      <c r="AK2007">
        <v>108.63</v>
      </c>
      <c r="AN2007" t="s">
        <v>11050</v>
      </c>
      <c r="AO2007">
        <v>17880</v>
      </c>
      <c r="AP2007" t="s">
        <v>11082</v>
      </c>
      <c r="AU2007">
        <v>27.45</v>
      </c>
      <c r="AV2007" t="s">
        <v>763</v>
      </c>
      <c r="AW2007" t="s">
        <v>96</v>
      </c>
    </row>
    <row r="2008" spans="1:50">
      <c r="A2008" s="1">
        <f>HYPERLINK("https://cms.ls-nyc.org/matter/dynamic-profile/view/1870297","18-1870297")</f>
        <v>0</v>
      </c>
      <c r="B2008" t="s">
        <v>61</v>
      </c>
      <c r="C2008" t="s">
        <v>234</v>
      </c>
      <c r="D2008" t="s">
        <v>322</v>
      </c>
      <c r="E2008" t="s">
        <v>810</v>
      </c>
      <c r="F2008" t="s">
        <v>1069</v>
      </c>
      <c r="G2008" t="s">
        <v>2149</v>
      </c>
      <c r="H2008" t="s">
        <v>4484</v>
      </c>
      <c r="I2008" t="s">
        <v>4746</v>
      </c>
      <c r="J2008" t="s">
        <v>5321</v>
      </c>
      <c r="K2008">
        <v>10457</v>
      </c>
      <c r="L2008" t="s">
        <v>5355</v>
      </c>
      <c r="M2008" t="s">
        <v>5355</v>
      </c>
      <c r="N2008" t="s">
        <v>6142</v>
      </c>
      <c r="O2008" t="s">
        <v>6492</v>
      </c>
      <c r="P2008" t="s">
        <v>6530</v>
      </c>
      <c r="Q2008" t="s">
        <v>6535</v>
      </c>
      <c r="R2008" t="s">
        <v>6539</v>
      </c>
      <c r="S2008" t="s">
        <v>5357</v>
      </c>
      <c r="U2008" t="s">
        <v>6557</v>
      </c>
      <c r="W2008" t="s">
        <v>516</v>
      </c>
      <c r="X2008">
        <v>825</v>
      </c>
      <c r="Y2008" t="s">
        <v>6606</v>
      </c>
      <c r="Z2008" t="s">
        <v>6619</v>
      </c>
      <c r="AA2008" t="s">
        <v>6637</v>
      </c>
      <c r="AB2008" t="s">
        <v>8318</v>
      </c>
      <c r="AC2008" t="s">
        <v>9042</v>
      </c>
      <c r="AD2008" t="s">
        <v>10641</v>
      </c>
      <c r="AE2008">
        <v>72</v>
      </c>
      <c r="AF2008" t="s">
        <v>11008</v>
      </c>
      <c r="AG2008" t="s">
        <v>11020</v>
      </c>
      <c r="AH2008">
        <v>9</v>
      </c>
      <c r="AI2008">
        <v>1</v>
      </c>
      <c r="AJ2008">
        <v>0</v>
      </c>
      <c r="AK2008">
        <v>108.73</v>
      </c>
      <c r="AN2008" t="s">
        <v>11050</v>
      </c>
      <c r="AO2008">
        <v>13200</v>
      </c>
      <c r="AU2008">
        <v>21</v>
      </c>
      <c r="AV2008" t="s">
        <v>773</v>
      </c>
      <c r="AW2008" t="s">
        <v>11511</v>
      </c>
    </row>
    <row r="2009" spans="1:50">
      <c r="A2009" s="1">
        <f>HYPERLINK("https://cms.ls-nyc.org/matter/dynamic-profile/view/1864138","18-1864138")</f>
        <v>0</v>
      </c>
      <c r="B2009" t="s">
        <v>163</v>
      </c>
      <c r="C2009" t="s">
        <v>234</v>
      </c>
      <c r="D2009" t="s">
        <v>357</v>
      </c>
      <c r="E2009" t="s">
        <v>824</v>
      </c>
      <c r="F2009" t="s">
        <v>1912</v>
      </c>
      <c r="G2009" t="s">
        <v>3222</v>
      </c>
      <c r="H2009" t="s">
        <v>4485</v>
      </c>
      <c r="I2009" t="s">
        <v>4816</v>
      </c>
      <c r="J2009" t="s">
        <v>5321</v>
      </c>
      <c r="K2009">
        <v>10459</v>
      </c>
      <c r="L2009" t="s">
        <v>5355</v>
      </c>
      <c r="M2009" t="s">
        <v>5356</v>
      </c>
      <c r="N2009" t="s">
        <v>6143</v>
      </c>
      <c r="O2009" t="s">
        <v>6516</v>
      </c>
      <c r="P2009" t="s">
        <v>6530</v>
      </c>
      <c r="Q2009" t="s">
        <v>6534</v>
      </c>
      <c r="R2009" t="s">
        <v>6539</v>
      </c>
      <c r="S2009" t="s">
        <v>5357</v>
      </c>
      <c r="U2009" t="s">
        <v>6560</v>
      </c>
      <c r="W2009" t="s">
        <v>342</v>
      </c>
      <c r="X2009">
        <v>1400</v>
      </c>
      <c r="Y2009" t="s">
        <v>6606</v>
      </c>
      <c r="Z2009" t="s">
        <v>6616</v>
      </c>
      <c r="AA2009" t="s">
        <v>6632</v>
      </c>
      <c r="AB2009" t="s">
        <v>7938</v>
      </c>
      <c r="AC2009" t="s">
        <v>9043</v>
      </c>
      <c r="AD2009" t="s">
        <v>10642</v>
      </c>
      <c r="AE2009">
        <v>72</v>
      </c>
      <c r="AF2009" t="s">
        <v>11005</v>
      </c>
      <c r="AG2009" t="s">
        <v>11020</v>
      </c>
      <c r="AH2009">
        <v>15</v>
      </c>
      <c r="AI2009">
        <v>3</v>
      </c>
      <c r="AJ2009">
        <v>6</v>
      </c>
      <c r="AK2009">
        <v>108.82</v>
      </c>
      <c r="AN2009" t="s">
        <v>11050</v>
      </c>
      <c r="AO2009">
        <v>89332</v>
      </c>
      <c r="AU2009">
        <v>20.95</v>
      </c>
      <c r="AV2009" t="s">
        <v>673</v>
      </c>
      <c r="AW2009" t="s">
        <v>11524</v>
      </c>
    </row>
    <row r="2010" spans="1:50">
      <c r="A2010" s="1">
        <f>HYPERLINK("https://cms.ls-nyc.org/matter/dynamic-profile/view/1871661","18-1871661")</f>
        <v>0</v>
      </c>
      <c r="B2010" t="s">
        <v>128</v>
      </c>
      <c r="C2010" t="s">
        <v>234</v>
      </c>
      <c r="D2010" t="s">
        <v>394</v>
      </c>
      <c r="E2010" t="s">
        <v>665</v>
      </c>
      <c r="F2010" t="s">
        <v>1243</v>
      </c>
      <c r="G2010" t="s">
        <v>1965</v>
      </c>
      <c r="H2010" t="s">
        <v>3739</v>
      </c>
      <c r="I2010" t="s">
        <v>4738</v>
      </c>
      <c r="J2010" t="s">
        <v>5320</v>
      </c>
      <c r="K2010">
        <v>11212</v>
      </c>
      <c r="L2010" t="s">
        <v>5355</v>
      </c>
      <c r="M2010" t="s">
        <v>5356</v>
      </c>
      <c r="N2010" t="s">
        <v>6144</v>
      </c>
      <c r="O2010" t="s">
        <v>6491</v>
      </c>
      <c r="P2010" t="s">
        <v>6530</v>
      </c>
      <c r="Q2010" t="s">
        <v>6535</v>
      </c>
      <c r="R2010" t="s">
        <v>6539</v>
      </c>
      <c r="S2010" t="s">
        <v>5355</v>
      </c>
      <c r="U2010" t="s">
        <v>6557</v>
      </c>
      <c r="W2010" t="s">
        <v>253</v>
      </c>
      <c r="X2010">
        <v>1100</v>
      </c>
      <c r="Y2010" t="s">
        <v>6605</v>
      </c>
      <c r="Z2010" t="s">
        <v>6614</v>
      </c>
      <c r="AA2010" t="s">
        <v>6633</v>
      </c>
      <c r="AB2010" t="s">
        <v>7157</v>
      </c>
      <c r="AD2010" t="s">
        <v>9547</v>
      </c>
      <c r="AE2010">
        <v>31</v>
      </c>
      <c r="AF2010" t="s">
        <v>11005</v>
      </c>
      <c r="AH2010">
        <v>16</v>
      </c>
      <c r="AI2010">
        <v>1</v>
      </c>
      <c r="AJ2010">
        <v>0</v>
      </c>
      <c r="AK2010">
        <v>109.28</v>
      </c>
      <c r="AN2010" t="s">
        <v>11050</v>
      </c>
      <c r="AO2010">
        <v>13266.72</v>
      </c>
      <c r="AU2010">
        <v>13.8</v>
      </c>
      <c r="AV2010" t="s">
        <v>437</v>
      </c>
      <c r="AW2010" t="s">
        <v>11517</v>
      </c>
    </row>
    <row r="2011" spans="1:50">
      <c r="A2011" s="1">
        <f>HYPERLINK("https://cms.ls-nyc.org/matter/dynamic-profile/view/0831618","17-0831618")</f>
        <v>0</v>
      </c>
      <c r="B2011" t="s">
        <v>194</v>
      </c>
      <c r="C2011" t="s">
        <v>234</v>
      </c>
      <c r="D2011" t="s">
        <v>589</v>
      </c>
      <c r="E2011" t="s">
        <v>791</v>
      </c>
      <c r="F2011" t="s">
        <v>1461</v>
      </c>
      <c r="G2011" t="s">
        <v>3223</v>
      </c>
      <c r="H2011" t="s">
        <v>4486</v>
      </c>
      <c r="I2011" t="s">
        <v>4868</v>
      </c>
      <c r="J2011" t="s">
        <v>5320</v>
      </c>
      <c r="K2011">
        <v>11203</v>
      </c>
      <c r="L2011" t="s">
        <v>5355</v>
      </c>
      <c r="M2011" t="s">
        <v>5356</v>
      </c>
      <c r="N2011" t="s">
        <v>6145</v>
      </c>
      <c r="O2011" t="s">
        <v>6491</v>
      </c>
      <c r="P2011" t="s">
        <v>6530</v>
      </c>
      <c r="Q2011" t="s">
        <v>6534</v>
      </c>
      <c r="R2011" t="s">
        <v>6539</v>
      </c>
      <c r="U2011" t="s">
        <v>6557</v>
      </c>
      <c r="W2011" t="s">
        <v>6583</v>
      </c>
      <c r="X2011">
        <v>997</v>
      </c>
      <c r="Y2011" t="s">
        <v>6605</v>
      </c>
      <c r="AA2011" t="s">
        <v>6637</v>
      </c>
      <c r="AB2011" t="s">
        <v>8319</v>
      </c>
      <c r="AE2011">
        <v>32</v>
      </c>
      <c r="AF2011" t="s">
        <v>11005</v>
      </c>
      <c r="AH2011">
        <v>30</v>
      </c>
      <c r="AI2011">
        <v>1</v>
      </c>
      <c r="AJ2011">
        <v>0</v>
      </c>
      <c r="AK2011">
        <v>109.45</v>
      </c>
      <c r="AL2011" t="s">
        <v>438</v>
      </c>
      <c r="AN2011" t="s">
        <v>11050</v>
      </c>
      <c r="AO2011">
        <v>13200</v>
      </c>
      <c r="AQ2011" t="s">
        <v>11192</v>
      </c>
      <c r="AR2011" t="s">
        <v>11210</v>
      </c>
      <c r="AS2011" t="s">
        <v>11253</v>
      </c>
      <c r="AT2011" t="s">
        <v>11303</v>
      </c>
      <c r="AU2011">
        <v>43.4</v>
      </c>
      <c r="AV2011" t="s">
        <v>412</v>
      </c>
      <c r="AW2011" t="s">
        <v>11489</v>
      </c>
    </row>
    <row r="2012" spans="1:50">
      <c r="A2012" s="1">
        <f>HYPERLINK("https://cms.ls-nyc.org/matter/dynamic-profile/view/1862949","18-1862949")</f>
        <v>0</v>
      </c>
      <c r="B2012" t="s">
        <v>133</v>
      </c>
      <c r="C2012" t="s">
        <v>234</v>
      </c>
      <c r="D2012" t="s">
        <v>373</v>
      </c>
      <c r="E2012" t="s">
        <v>541</v>
      </c>
      <c r="F2012" t="s">
        <v>883</v>
      </c>
      <c r="G2012" t="s">
        <v>2597</v>
      </c>
      <c r="H2012" t="s">
        <v>4487</v>
      </c>
      <c r="I2012" t="s">
        <v>4924</v>
      </c>
      <c r="J2012" t="s">
        <v>5331</v>
      </c>
      <c r="K2012">
        <v>11418</v>
      </c>
      <c r="L2012" t="s">
        <v>5355</v>
      </c>
      <c r="M2012" t="s">
        <v>5356</v>
      </c>
      <c r="N2012" t="s">
        <v>6146</v>
      </c>
      <c r="O2012" t="s">
        <v>6491</v>
      </c>
      <c r="P2012" t="s">
        <v>6530</v>
      </c>
      <c r="Q2012" t="s">
        <v>6534</v>
      </c>
      <c r="R2012" t="s">
        <v>6539</v>
      </c>
      <c r="S2012" t="s">
        <v>5357</v>
      </c>
      <c r="U2012" t="s">
        <v>6557</v>
      </c>
      <c r="W2012" t="s">
        <v>373</v>
      </c>
      <c r="X2012">
        <v>1100</v>
      </c>
      <c r="Y2012" t="s">
        <v>6604</v>
      </c>
      <c r="Z2012" t="s">
        <v>6615</v>
      </c>
      <c r="AA2012" t="s">
        <v>6637</v>
      </c>
      <c r="AB2012" t="s">
        <v>8320</v>
      </c>
      <c r="AC2012" t="s">
        <v>9044</v>
      </c>
      <c r="AD2012" t="s">
        <v>10643</v>
      </c>
      <c r="AE2012">
        <v>2</v>
      </c>
      <c r="AF2012" t="s">
        <v>11004</v>
      </c>
      <c r="AG2012" t="s">
        <v>5406</v>
      </c>
      <c r="AH2012">
        <v>20</v>
      </c>
      <c r="AI2012">
        <v>1</v>
      </c>
      <c r="AJ2012">
        <v>0</v>
      </c>
      <c r="AK2012">
        <v>109.72</v>
      </c>
      <c r="AN2012" t="s">
        <v>11050</v>
      </c>
      <c r="AO2012">
        <v>13320</v>
      </c>
      <c r="AP2012" t="s">
        <v>11082</v>
      </c>
      <c r="AU2012">
        <v>31.9</v>
      </c>
      <c r="AV2012" t="s">
        <v>402</v>
      </c>
      <c r="AW2012" t="s">
        <v>133</v>
      </c>
    </row>
    <row r="2013" spans="1:50">
      <c r="A2013" s="1">
        <f>HYPERLINK("https://cms.ls-nyc.org/matter/dynamic-profile/view/1858600","18-1858600")</f>
        <v>0</v>
      </c>
      <c r="B2013" t="s">
        <v>112</v>
      </c>
      <c r="C2013" t="s">
        <v>235</v>
      </c>
      <c r="D2013" t="s">
        <v>279</v>
      </c>
      <c r="F2013" t="s">
        <v>1583</v>
      </c>
      <c r="G2013" t="s">
        <v>2865</v>
      </c>
      <c r="H2013" t="s">
        <v>3576</v>
      </c>
      <c r="I2013" t="s">
        <v>5097</v>
      </c>
      <c r="J2013" t="s">
        <v>5317</v>
      </c>
      <c r="K2013">
        <v>11432</v>
      </c>
      <c r="L2013" t="s">
        <v>5355</v>
      </c>
      <c r="M2013" t="s">
        <v>5356</v>
      </c>
      <c r="N2013" t="s">
        <v>6147</v>
      </c>
      <c r="O2013" t="s">
        <v>6494</v>
      </c>
      <c r="P2013" t="s">
        <v>6530</v>
      </c>
      <c r="R2013" t="s">
        <v>6539</v>
      </c>
      <c r="S2013" t="s">
        <v>5355</v>
      </c>
      <c r="U2013" t="s">
        <v>6557</v>
      </c>
      <c r="W2013" t="s">
        <v>279</v>
      </c>
      <c r="X2013">
        <v>2000</v>
      </c>
      <c r="Y2013" t="s">
        <v>6604</v>
      </c>
      <c r="Z2013" t="s">
        <v>6616</v>
      </c>
      <c r="AB2013" t="s">
        <v>7724</v>
      </c>
      <c r="AC2013" t="s">
        <v>5392</v>
      </c>
      <c r="AD2013" t="s">
        <v>10079</v>
      </c>
      <c r="AE2013">
        <v>70</v>
      </c>
      <c r="AF2013" t="s">
        <v>11005</v>
      </c>
      <c r="AG2013" t="s">
        <v>5406</v>
      </c>
      <c r="AH2013">
        <v>13</v>
      </c>
      <c r="AI2013">
        <v>4</v>
      </c>
      <c r="AJ2013">
        <v>0</v>
      </c>
      <c r="AK2013">
        <v>109.76</v>
      </c>
      <c r="AL2013" t="s">
        <v>485</v>
      </c>
      <c r="AN2013" t="s">
        <v>11050</v>
      </c>
      <c r="AO2013">
        <v>27000</v>
      </c>
      <c r="AU2013">
        <v>6.4</v>
      </c>
      <c r="AV2013" t="s">
        <v>385</v>
      </c>
      <c r="AW2013" t="s">
        <v>11506</v>
      </c>
    </row>
    <row r="2014" spans="1:50">
      <c r="A2014" s="1">
        <f>HYPERLINK("https://cms.ls-nyc.org/matter/dynamic-profile/view/1864356","18-1864356")</f>
        <v>0</v>
      </c>
      <c r="B2014" t="s">
        <v>68</v>
      </c>
      <c r="C2014" t="s">
        <v>235</v>
      </c>
      <c r="D2014" t="s">
        <v>342</v>
      </c>
      <c r="F2014" t="s">
        <v>1913</v>
      </c>
      <c r="G2014" t="s">
        <v>3224</v>
      </c>
      <c r="H2014" t="s">
        <v>4488</v>
      </c>
      <c r="I2014" t="s">
        <v>4787</v>
      </c>
      <c r="J2014" t="s">
        <v>5323</v>
      </c>
      <c r="K2014">
        <v>10035</v>
      </c>
      <c r="L2014" t="s">
        <v>5355</v>
      </c>
      <c r="M2014" t="s">
        <v>5355</v>
      </c>
      <c r="N2014" t="s">
        <v>6148</v>
      </c>
      <c r="O2014" t="s">
        <v>6492</v>
      </c>
      <c r="P2014" t="s">
        <v>6530</v>
      </c>
      <c r="R2014" t="s">
        <v>6539</v>
      </c>
      <c r="S2014" t="s">
        <v>5357</v>
      </c>
      <c r="U2014" t="s">
        <v>6557</v>
      </c>
      <c r="V2014" t="s">
        <v>6566</v>
      </c>
      <c r="W2014" t="s">
        <v>342</v>
      </c>
      <c r="X2014">
        <v>550</v>
      </c>
      <c r="Y2014" t="s">
        <v>6608</v>
      </c>
      <c r="Z2014" t="s">
        <v>6493</v>
      </c>
      <c r="AB2014" t="s">
        <v>8321</v>
      </c>
      <c r="AD2014" t="s">
        <v>10644</v>
      </c>
      <c r="AE2014">
        <v>30</v>
      </c>
      <c r="AF2014" t="s">
        <v>11005</v>
      </c>
      <c r="AG2014" t="s">
        <v>5406</v>
      </c>
      <c r="AH2014">
        <v>20</v>
      </c>
      <c r="AI2014">
        <v>1</v>
      </c>
      <c r="AJ2014">
        <v>2</v>
      </c>
      <c r="AK2014">
        <v>110.11</v>
      </c>
      <c r="AN2014" t="s">
        <v>11050</v>
      </c>
      <c r="AO2014">
        <v>22880</v>
      </c>
      <c r="AU2014">
        <v>40.5</v>
      </c>
      <c r="AV2014" t="s">
        <v>698</v>
      </c>
      <c r="AW2014" t="s">
        <v>11497</v>
      </c>
      <c r="AX2014" t="s">
        <v>11564</v>
      </c>
    </row>
    <row r="2015" spans="1:50">
      <c r="A2015" s="1">
        <f>HYPERLINK("https://cms.ls-nyc.org/matter/dynamic-profile/view/1852118","17-1852118")</f>
        <v>0</v>
      </c>
      <c r="B2015" t="s">
        <v>106</v>
      </c>
      <c r="C2015" t="s">
        <v>234</v>
      </c>
      <c r="D2015" t="s">
        <v>463</v>
      </c>
      <c r="E2015" t="s">
        <v>665</v>
      </c>
      <c r="F2015" t="s">
        <v>1914</v>
      </c>
      <c r="G2015" t="s">
        <v>2617</v>
      </c>
      <c r="H2015" t="s">
        <v>4489</v>
      </c>
      <c r="I2015" t="s">
        <v>5028</v>
      </c>
      <c r="J2015" t="s">
        <v>5321</v>
      </c>
      <c r="K2015">
        <v>10453</v>
      </c>
      <c r="L2015" t="s">
        <v>5355</v>
      </c>
      <c r="M2015" t="s">
        <v>5356</v>
      </c>
      <c r="N2015" t="s">
        <v>6149</v>
      </c>
      <c r="O2015" t="s">
        <v>6494</v>
      </c>
      <c r="P2015" t="s">
        <v>6530</v>
      </c>
      <c r="Q2015" t="s">
        <v>6534</v>
      </c>
      <c r="R2015" t="s">
        <v>6539</v>
      </c>
      <c r="S2015" t="s">
        <v>5357</v>
      </c>
      <c r="U2015" t="s">
        <v>6557</v>
      </c>
      <c r="W2015" t="s">
        <v>418</v>
      </c>
      <c r="X2015">
        <v>818</v>
      </c>
      <c r="Y2015" t="s">
        <v>6606</v>
      </c>
      <c r="Z2015" t="s">
        <v>6619</v>
      </c>
      <c r="AA2015" t="s">
        <v>6634</v>
      </c>
      <c r="AB2015" t="s">
        <v>8322</v>
      </c>
      <c r="AC2015" t="s">
        <v>9045</v>
      </c>
      <c r="AD2015" t="s">
        <v>10645</v>
      </c>
      <c r="AE2015">
        <v>87</v>
      </c>
      <c r="AF2015" t="s">
        <v>11013</v>
      </c>
      <c r="AG2015" t="s">
        <v>5406</v>
      </c>
      <c r="AH2015">
        <v>14</v>
      </c>
      <c r="AI2015">
        <v>1</v>
      </c>
      <c r="AJ2015">
        <v>1</v>
      </c>
      <c r="AK2015">
        <v>110.17</v>
      </c>
      <c r="AN2015" t="s">
        <v>11050</v>
      </c>
      <c r="AO2015">
        <v>23748</v>
      </c>
      <c r="AU2015">
        <v>7.05</v>
      </c>
      <c r="AV2015" t="s">
        <v>422</v>
      </c>
      <c r="AW2015" t="s">
        <v>11499</v>
      </c>
    </row>
    <row r="2016" spans="1:50">
      <c r="A2016" s="1">
        <f>HYPERLINK("https://cms.ls-nyc.org/matter/dynamic-profile/view/1844707","17-1844707")</f>
        <v>0</v>
      </c>
      <c r="B2016" t="s">
        <v>80</v>
      </c>
      <c r="C2016" t="s">
        <v>234</v>
      </c>
      <c r="D2016" t="s">
        <v>453</v>
      </c>
      <c r="E2016" t="s">
        <v>652</v>
      </c>
      <c r="F2016" t="s">
        <v>1465</v>
      </c>
      <c r="G2016" t="s">
        <v>2355</v>
      </c>
      <c r="H2016" t="s">
        <v>4490</v>
      </c>
      <c r="I2016" t="s">
        <v>4768</v>
      </c>
      <c r="J2016" t="s">
        <v>5321</v>
      </c>
      <c r="K2016">
        <v>10452</v>
      </c>
      <c r="L2016" t="s">
        <v>5355</v>
      </c>
      <c r="M2016" t="s">
        <v>5356</v>
      </c>
      <c r="N2016" t="s">
        <v>6150</v>
      </c>
      <c r="O2016" t="s">
        <v>6492</v>
      </c>
      <c r="P2016" t="s">
        <v>6530</v>
      </c>
      <c r="Q2016" t="s">
        <v>6534</v>
      </c>
      <c r="R2016" t="s">
        <v>6539</v>
      </c>
      <c r="S2016" t="s">
        <v>5357</v>
      </c>
      <c r="U2016" t="s">
        <v>6557</v>
      </c>
      <c r="W2016" t="s">
        <v>418</v>
      </c>
      <c r="X2016">
        <v>1357</v>
      </c>
      <c r="Y2016" t="s">
        <v>6606</v>
      </c>
      <c r="Z2016" t="s">
        <v>6613</v>
      </c>
      <c r="AA2016" t="s">
        <v>6637</v>
      </c>
      <c r="AB2016" t="s">
        <v>8323</v>
      </c>
      <c r="AC2016" t="s">
        <v>9046</v>
      </c>
      <c r="AD2016" t="s">
        <v>10646</v>
      </c>
      <c r="AE2016">
        <v>60</v>
      </c>
      <c r="AF2016" t="s">
        <v>11005</v>
      </c>
      <c r="AG2016" t="s">
        <v>11020</v>
      </c>
      <c r="AH2016">
        <v>20</v>
      </c>
      <c r="AI2016">
        <v>1</v>
      </c>
      <c r="AJ2016">
        <v>1</v>
      </c>
      <c r="AK2016">
        <v>110.17</v>
      </c>
      <c r="AN2016" t="s">
        <v>11050</v>
      </c>
      <c r="AO2016">
        <v>17892</v>
      </c>
      <c r="AQ2016" t="s">
        <v>11192</v>
      </c>
      <c r="AR2016" t="s">
        <v>11211</v>
      </c>
      <c r="AS2016" t="s">
        <v>11253</v>
      </c>
      <c r="AT2016" t="s">
        <v>11392</v>
      </c>
      <c r="AU2016">
        <v>27.85</v>
      </c>
      <c r="AV2016" t="s">
        <v>280</v>
      </c>
      <c r="AW2016" t="s">
        <v>11524</v>
      </c>
    </row>
    <row r="2017" spans="1:50">
      <c r="A2017" s="1">
        <f>HYPERLINK("https://cms.ls-nyc.org/matter/dynamic-profile/view/0796336","16-0796336")</f>
        <v>0</v>
      </c>
      <c r="B2017" t="s">
        <v>88</v>
      </c>
      <c r="C2017" t="s">
        <v>235</v>
      </c>
      <c r="D2017" t="s">
        <v>615</v>
      </c>
      <c r="F2017" t="s">
        <v>1237</v>
      </c>
      <c r="G2017" t="s">
        <v>3225</v>
      </c>
      <c r="H2017" t="s">
        <v>4491</v>
      </c>
      <c r="I2017" t="s">
        <v>4735</v>
      </c>
      <c r="J2017" t="s">
        <v>5320</v>
      </c>
      <c r="K2017">
        <v>11213</v>
      </c>
      <c r="L2017" t="s">
        <v>5355</v>
      </c>
      <c r="M2017" t="s">
        <v>5356</v>
      </c>
      <c r="N2017" t="s">
        <v>6151</v>
      </c>
      <c r="O2017" t="s">
        <v>6491</v>
      </c>
      <c r="P2017" t="s">
        <v>6530</v>
      </c>
      <c r="R2017" t="s">
        <v>6539</v>
      </c>
      <c r="T2017" t="s">
        <v>6544</v>
      </c>
      <c r="U2017" t="s">
        <v>6557</v>
      </c>
      <c r="W2017" t="s">
        <v>262</v>
      </c>
      <c r="X2017">
        <v>835.42</v>
      </c>
      <c r="Y2017" t="s">
        <v>6605</v>
      </c>
      <c r="Z2017" t="s">
        <v>6613</v>
      </c>
      <c r="AB2017" t="s">
        <v>8324</v>
      </c>
      <c r="AD2017" t="s">
        <v>10647</v>
      </c>
      <c r="AE2017">
        <v>24</v>
      </c>
      <c r="AF2017" t="s">
        <v>11005</v>
      </c>
      <c r="AG2017" t="s">
        <v>11024</v>
      </c>
      <c r="AH2017">
        <v>10</v>
      </c>
      <c r="AI2017">
        <v>1</v>
      </c>
      <c r="AJ2017">
        <v>0</v>
      </c>
      <c r="AK2017">
        <v>110.45</v>
      </c>
      <c r="AN2017" t="s">
        <v>11050</v>
      </c>
      <c r="AO2017">
        <v>13000</v>
      </c>
      <c r="AU2017">
        <v>176.5</v>
      </c>
      <c r="AV2017" t="s">
        <v>744</v>
      </c>
      <c r="AW2017" t="s">
        <v>11488</v>
      </c>
      <c r="AX2017" t="s">
        <v>11564</v>
      </c>
    </row>
    <row r="2018" spans="1:50">
      <c r="A2018" s="1">
        <f>HYPERLINK("https://cms.ls-nyc.org/matter/dynamic-profile/view/1863839","18-1863839")</f>
        <v>0</v>
      </c>
      <c r="B2018" t="s">
        <v>92</v>
      </c>
      <c r="C2018" t="s">
        <v>235</v>
      </c>
      <c r="D2018" t="s">
        <v>288</v>
      </c>
      <c r="F2018" t="s">
        <v>959</v>
      </c>
      <c r="G2018" t="s">
        <v>2193</v>
      </c>
      <c r="H2018" t="s">
        <v>3579</v>
      </c>
      <c r="I2018">
        <v>810</v>
      </c>
      <c r="J2018" t="s">
        <v>5323</v>
      </c>
      <c r="K2018">
        <v>10029</v>
      </c>
      <c r="L2018" t="s">
        <v>5355</v>
      </c>
      <c r="M2018" t="s">
        <v>5355</v>
      </c>
      <c r="N2018" t="s">
        <v>5632</v>
      </c>
      <c r="O2018" t="s">
        <v>6494</v>
      </c>
      <c r="P2018" t="s">
        <v>6530</v>
      </c>
      <c r="R2018" t="s">
        <v>6539</v>
      </c>
      <c r="S2018" t="s">
        <v>5355</v>
      </c>
      <c r="U2018" t="s">
        <v>6557</v>
      </c>
      <c r="V2018" t="s">
        <v>6566</v>
      </c>
      <c r="W2018" t="s">
        <v>263</v>
      </c>
      <c r="X2018">
        <v>0</v>
      </c>
      <c r="Y2018" t="s">
        <v>6608</v>
      </c>
      <c r="Z2018" t="s">
        <v>6622</v>
      </c>
      <c r="AB2018" t="s">
        <v>8325</v>
      </c>
      <c r="AD2018" t="s">
        <v>10648</v>
      </c>
      <c r="AE2018">
        <v>108</v>
      </c>
      <c r="AF2018" t="s">
        <v>11008</v>
      </c>
      <c r="AG2018" t="s">
        <v>11020</v>
      </c>
      <c r="AH2018">
        <v>6</v>
      </c>
      <c r="AI2018">
        <v>1</v>
      </c>
      <c r="AJ2018">
        <v>1</v>
      </c>
      <c r="AK2018">
        <v>110.52</v>
      </c>
      <c r="AN2018" t="s">
        <v>11050</v>
      </c>
      <c r="AO2018">
        <v>18192</v>
      </c>
      <c r="AP2018" t="s">
        <v>11097</v>
      </c>
      <c r="AU2018">
        <v>0.35</v>
      </c>
      <c r="AV2018" t="s">
        <v>777</v>
      </c>
      <c r="AW2018" t="s">
        <v>11497</v>
      </c>
    </row>
    <row r="2019" spans="1:50">
      <c r="A2019" s="1">
        <f>HYPERLINK("https://cms.ls-nyc.org/matter/dynamic-profile/view/1854958","18-1854958")</f>
        <v>0</v>
      </c>
      <c r="B2019" t="s">
        <v>97</v>
      </c>
      <c r="C2019" t="s">
        <v>235</v>
      </c>
      <c r="D2019" t="s">
        <v>521</v>
      </c>
      <c r="F2019" t="s">
        <v>1915</v>
      </c>
      <c r="G2019" t="s">
        <v>2101</v>
      </c>
      <c r="H2019" t="s">
        <v>3638</v>
      </c>
      <c r="I2019" t="s">
        <v>4833</v>
      </c>
      <c r="J2019" t="s">
        <v>5323</v>
      </c>
      <c r="K2019">
        <v>10034</v>
      </c>
      <c r="L2019" t="s">
        <v>5355</v>
      </c>
      <c r="M2019" t="s">
        <v>5356</v>
      </c>
      <c r="N2019" t="s">
        <v>6152</v>
      </c>
      <c r="O2019" t="s">
        <v>6492</v>
      </c>
      <c r="P2019" t="s">
        <v>6530</v>
      </c>
      <c r="R2019" t="s">
        <v>6539</v>
      </c>
      <c r="S2019" t="s">
        <v>5357</v>
      </c>
      <c r="U2019" t="s">
        <v>6557</v>
      </c>
      <c r="W2019" t="s">
        <v>521</v>
      </c>
      <c r="X2019">
        <v>1291.19</v>
      </c>
      <c r="Y2019" t="s">
        <v>6608</v>
      </c>
      <c r="Z2019" t="s">
        <v>6616</v>
      </c>
      <c r="AB2019" t="s">
        <v>8326</v>
      </c>
      <c r="AD2019" t="s">
        <v>10649</v>
      </c>
      <c r="AE2019">
        <v>89</v>
      </c>
      <c r="AF2019" t="s">
        <v>11005</v>
      </c>
      <c r="AG2019" t="s">
        <v>11024</v>
      </c>
      <c r="AH2019">
        <v>20</v>
      </c>
      <c r="AI2019">
        <v>3</v>
      </c>
      <c r="AJ2019">
        <v>0</v>
      </c>
      <c r="AK2019">
        <v>110.6</v>
      </c>
      <c r="AN2019" t="s">
        <v>11049</v>
      </c>
      <c r="AO2019">
        <v>34692</v>
      </c>
      <c r="AU2019">
        <v>20.1</v>
      </c>
      <c r="AV2019" t="s">
        <v>274</v>
      </c>
      <c r="AW2019" t="s">
        <v>11495</v>
      </c>
    </row>
    <row r="2020" spans="1:50">
      <c r="A2020" s="1">
        <f>HYPERLINK("https://cms.ls-nyc.org/matter/dynamic-profile/view/1860615","18-1860615")</f>
        <v>0</v>
      </c>
      <c r="B2020" t="s">
        <v>90</v>
      </c>
      <c r="C2020" t="s">
        <v>235</v>
      </c>
      <c r="D2020" t="s">
        <v>409</v>
      </c>
      <c r="F2020" t="s">
        <v>1307</v>
      </c>
      <c r="G2020" t="s">
        <v>2674</v>
      </c>
      <c r="H2020" t="s">
        <v>3949</v>
      </c>
      <c r="I2020" t="s">
        <v>4817</v>
      </c>
      <c r="J2020" t="s">
        <v>5321</v>
      </c>
      <c r="K2020">
        <v>10452</v>
      </c>
      <c r="L2020" t="s">
        <v>5355</v>
      </c>
      <c r="M2020" t="s">
        <v>5356</v>
      </c>
      <c r="N2020" t="s">
        <v>5792</v>
      </c>
      <c r="O2020" t="s">
        <v>6494</v>
      </c>
      <c r="P2020" t="s">
        <v>6530</v>
      </c>
      <c r="R2020" t="s">
        <v>6539</v>
      </c>
      <c r="S2020" t="s">
        <v>5355</v>
      </c>
      <c r="U2020" t="s">
        <v>6557</v>
      </c>
      <c r="W2020" t="s">
        <v>480</v>
      </c>
      <c r="X2020">
        <v>1024.75</v>
      </c>
      <c r="Y2020" t="s">
        <v>6606</v>
      </c>
      <c r="Z2020" t="s">
        <v>6612</v>
      </c>
      <c r="AB2020" t="s">
        <v>7426</v>
      </c>
      <c r="AD2020" t="s">
        <v>9798</v>
      </c>
      <c r="AE2020">
        <v>60</v>
      </c>
      <c r="AF2020" t="s">
        <v>11005</v>
      </c>
      <c r="AG2020" t="s">
        <v>5406</v>
      </c>
      <c r="AH2020">
        <v>10</v>
      </c>
      <c r="AI2020">
        <v>1</v>
      </c>
      <c r="AJ2020">
        <v>0</v>
      </c>
      <c r="AK2020">
        <v>110.71</v>
      </c>
      <c r="AN2020" t="s">
        <v>11050</v>
      </c>
      <c r="AO2020">
        <v>13440</v>
      </c>
      <c r="AU2020">
        <v>0</v>
      </c>
      <c r="AW2020" t="s">
        <v>11492</v>
      </c>
    </row>
    <row r="2021" spans="1:50">
      <c r="A2021" s="1">
        <f>HYPERLINK("https://cms.ls-nyc.org/matter/dynamic-profile/view/1850453","17-1850453")</f>
        <v>0</v>
      </c>
      <c r="B2021" t="s">
        <v>77</v>
      </c>
      <c r="C2021" t="s">
        <v>234</v>
      </c>
      <c r="D2021" t="s">
        <v>366</v>
      </c>
      <c r="E2021" t="s">
        <v>687</v>
      </c>
      <c r="F2021" t="s">
        <v>1522</v>
      </c>
      <c r="G2021" t="s">
        <v>2805</v>
      </c>
      <c r="H2021" t="s">
        <v>3625</v>
      </c>
      <c r="I2021">
        <v>5</v>
      </c>
      <c r="J2021" t="s">
        <v>5320</v>
      </c>
      <c r="K2021">
        <v>11219</v>
      </c>
      <c r="L2021" t="s">
        <v>5355</v>
      </c>
      <c r="M2021" t="s">
        <v>5355</v>
      </c>
      <c r="N2021" t="s">
        <v>5843</v>
      </c>
      <c r="O2021" t="s">
        <v>6494</v>
      </c>
      <c r="P2021" t="s">
        <v>6530</v>
      </c>
      <c r="Q2021" t="s">
        <v>6534</v>
      </c>
      <c r="R2021" t="s">
        <v>6539</v>
      </c>
      <c r="S2021" t="s">
        <v>5355</v>
      </c>
      <c r="T2021" t="s">
        <v>6539</v>
      </c>
      <c r="U2021" t="s">
        <v>6557</v>
      </c>
      <c r="W2021" t="s">
        <v>372</v>
      </c>
      <c r="X2021">
        <v>0</v>
      </c>
      <c r="Y2021" t="s">
        <v>6605</v>
      </c>
      <c r="AA2021" t="s">
        <v>6632</v>
      </c>
      <c r="AB2021" t="s">
        <v>7628</v>
      </c>
      <c r="AD2021" t="s">
        <v>9989</v>
      </c>
      <c r="AE2021">
        <v>14</v>
      </c>
      <c r="AF2021" t="s">
        <v>11005</v>
      </c>
      <c r="AH2021">
        <v>0</v>
      </c>
      <c r="AI2021">
        <v>2</v>
      </c>
      <c r="AJ2021">
        <v>0</v>
      </c>
      <c r="AK2021">
        <v>110.76</v>
      </c>
      <c r="AL2021" t="s">
        <v>333</v>
      </c>
      <c r="AN2021" t="s">
        <v>11062</v>
      </c>
      <c r="AO2021">
        <v>17988</v>
      </c>
      <c r="AU2021">
        <v>49.25</v>
      </c>
      <c r="AV2021" t="s">
        <v>687</v>
      </c>
      <c r="AW2021" t="s">
        <v>11489</v>
      </c>
    </row>
    <row r="2022" spans="1:50">
      <c r="A2022" s="1">
        <f>HYPERLINK("https://cms.ls-nyc.org/matter/dynamic-profile/view/1856257","18-1856257")</f>
        <v>0</v>
      </c>
      <c r="B2022" t="s">
        <v>92</v>
      </c>
      <c r="C2022" t="s">
        <v>234</v>
      </c>
      <c r="D2022" t="s">
        <v>290</v>
      </c>
      <c r="E2022" t="s">
        <v>695</v>
      </c>
      <c r="F2022" t="s">
        <v>1916</v>
      </c>
      <c r="G2022" t="s">
        <v>2681</v>
      </c>
      <c r="H2022" t="s">
        <v>4492</v>
      </c>
      <c r="I2022">
        <v>52</v>
      </c>
      <c r="J2022" t="s">
        <v>5323</v>
      </c>
      <c r="K2022">
        <v>10034</v>
      </c>
      <c r="L2022" t="s">
        <v>5355</v>
      </c>
      <c r="M2022" t="s">
        <v>5356</v>
      </c>
      <c r="N2022" t="s">
        <v>6153</v>
      </c>
      <c r="O2022" t="s">
        <v>6492</v>
      </c>
      <c r="P2022" t="s">
        <v>6530</v>
      </c>
      <c r="Q2022" t="s">
        <v>6534</v>
      </c>
      <c r="R2022" t="s">
        <v>6539</v>
      </c>
      <c r="S2022" t="s">
        <v>5357</v>
      </c>
      <c r="U2022" t="s">
        <v>6557</v>
      </c>
      <c r="W2022" t="s">
        <v>290</v>
      </c>
      <c r="X2022">
        <v>978</v>
      </c>
      <c r="Y2022" t="s">
        <v>6608</v>
      </c>
      <c r="Z2022" t="s">
        <v>6622</v>
      </c>
      <c r="AA2022" t="s">
        <v>6637</v>
      </c>
      <c r="AB2022" t="s">
        <v>8327</v>
      </c>
      <c r="AD2022" t="s">
        <v>10650</v>
      </c>
      <c r="AE2022">
        <v>30</v>
      </c>
      <c r="AF2022" t="s">
        <v>11005</v>
      </c>
      <c r="AG2022" t="s">
        <v>5406</v>
      </c>
      <c r="AH2022">
        <v>22</v>
      </c>
      <c r="AI2022">
        <v>1</v>
      </c>
      <c r="AJ2022">
        <v>1</v>
      </c>
      <c r="AK2022">
        <v>110.84</v>
      </c>
      <c r="AN2022" t="s">
        <v>11049</v>
      </c>
      <c r="AO2022">
        <v>18000</v>
      </c>
      <c r="AU2022">
        <v>6.7</v>
      </c>
      <c r="AV2022" t="s">
        <v>259</v>
      </c>
      <c r="AW2022" t="s">
        <v>11495</v>
      </c>
    </row>
    <row r="2023" spans="1:50">
      <c r="A2023" s="1">
        <f>HYPERLINK("https://cms.ls-nyc.org/matter/dynamic-profile/view/1856552","18-1856552")</f>
        <v>0</v>
      </c>
      <c r="B2023" t="s">
        <v>102</v>
      </c>
      <c r="C2023" t="s">
        <v>234</v>
      </c>
      <c r="D2023" t="s">
        <v>458</v>
      </c>
      <c r="E2023" t="s">
        <v>744</v>
      </c>
      <c r="F2023" t="s">
        <v>1523</v>
      </c>
      <c r="G2023" t="s">
        <v>2169</v>
      </c>
      <c r="H2023" t="s">
        <v>3526</v>
      </c>
      <c r="I2023">
        <v>517</v>
      </c>
      <c r="J2023" t="s">
        <v>5321</v>
      </c>
      <c r="K2023">
        <v>10453</v>
      </c>
      <c r="L2023" t="s">
        <v>5355</v>
      </c>
      <c r="M2023" t="s">
        <v>5356</v>
      </c>
      <c r="N2023" t="s">
        <v>5883</v>
      </c>
      <c r="O2023" t="s">
        <v>6494</v>
      </c>
      <c r="P2023" t="s">
        <v>6530</v>
      </c>
      <c r="Q2023" t="s">
        <v>6534</v>
      </c>
      <c r="R2023" t="s">
        <v>6539</v>
      </c>
      <c r="S2023" t="s">
        <v>5355</v>
      </c>
      <c r="U2023" t="s">
        <v>6557</v>
      </c>
      <c r="W2023" t="s">
        <v>397</v>
      </c>
      <c r="X2023">
        <v>1017.67</v>
      </c>
      <c r="Y2023" t="s">
        <v>6606</v>
      </c>
      <c r="Z2023" t="s">
        <v>6622</v>
      </c>
      <c r="AA2023" t="s">
        <v>6634</v>
      </c>
      <c r="AB2023" t="s">
        <v>7629</v>
      </c>
      <c r="AD2023" t="s">
        <v>9990</v>
      </c>
      <c r="AE2023">
        <v>146</v>
      </c>
      <c r="AF2023" t="s">
        <v>11005</v>
      </c>
      <c r="AG2023" t="s">
        <v>5406</v>
      </c>
      <c r="AH2023">
        <v>10</v>
      </c>
      <c r="AI2023">
        <v>1</v>
      </c>
      <c r="AJ2023">
        <v>0</v>
      </c>
      <c r="AK2023">
        <v>110.95</v>
      </c>
      <c r="AN2023" t="s">
        <v>11049</v>
      </c>
      <c r="AO2023">
        <v>13380</v>
      </c>
      <c r="AU2023">
        <v>0.8</v>
      </c>
      <c r="AV2023" t="s">
        <v>745</v>
      </c>
      <c r="AW2023" t="s">
        <v>11492</v>
      </c>
    </row>
    <row r="2024" spans="1:50">
      <c r="A2024" s="1">
        <f>HYPERLINK("https://cms.ls-nyc.org/matter/dynamic-profile/view/1844165","17-1844165")</f>
        <v>0</v>
      </c>
      <c r="B2024" t="s">
        <v>94</v>
      </c>
      <c r="C2024" t="s">
        <v>234</v>
      </c>
      <c r="D2024" t="s">
        <v>461</v>
      </c>
      <c r="E2024" t="s">
        <v>703</v>
      </c>
      <c r="F2024" t="s">
        <v>1262</v>
      </c>
      <c r="G2024" t="s">
        <v>3226</v>
      </c>
      <c r="H2024" t="s">
        <v>4493</v>
      </c>
      <c r="I2024" t="s">
        <v>5241</v>
      </c>
      <c r="J2024" t="s">
        <v>5320</v>
      </c>
      <c r="K2024">
        <v>11212</v>
      </c>
      <c r="L2024" t="s">
        <v>5355</v>
      </c>
      <c r="M2024" t="s">
        <v>5356</v>
      </c>
      <c r="N2024" t="s">
        <v>6154</v>
      </c>
      <c r="O2024" t="s">
        <v>6492</v>
      </c>
      <c r="P2024" t="s">
        <v>6530</v>
      </c>
      <c r="Q2024" t="s">
        <v>6535</v>
      </c>
      <c r="R2024" t="s">
        <v>6539</v>
      </c>
      <c r="S2024" t="s">
        <v>5357</v>
      </c>
      <c r="U2024" t="s">
        <v>6557</v>
      </c>
      <c r="W2024" t="s">
        <v>461</v>
      </c>
      <c r="X2024">
        <v>990</v>
      </c>
      <c r="Y2024" t="s">
        <v>6605</v>
      </c>
      <c r="Z2024" t="s">
        <v>6614</v>
      </c>
      <c r="AA2024" t="s">
        <v>6637</v>
      </c>
      <c r="AB2024" t="s">
        <v>8328</v>
      </c>
      <c r="AC2024" t="s">
        <v>9047</v>
      </c>
      <c r="AD2024" t="s">
        <v>10651</v>
      </c>
      <c r="AE2024">
        <v>107</v>
      </c>
      <c r="AF2024" t="s">
        <v>11010</v>
      </c>
      <c r="AH2024">
        <v>3</v>
      </c>
      <c r="AI2024">
        <v>1</v>
      </c>
      <c r="AJ2024">
        <v>1</v>
      </c>
      <c r="AK2024">
        <v>111.11</v>
      </c>
      <c r="AN2024" t="s">
        <v>11050</v>
      </c>
      <c r="AO2024">
        <v>18044</v>
      </c>
      <c r="AU2024">
        <v>28.45</v>
      </c>
      <c r="AV2024" t="s">
        <v>675</v>
      </c>
      <c r="AW2024" t="s">
        <v>94</v>
      </c>
    </row>
    <row r="2025" spans="1:50">
      <c r="A2025" s="1">
        <f>HYPERLINK("https://cms.ls-nyc.org/matter/dynamic-profile/view/1846266","17-1846266")</f>
        <v>0</v>
      </c>
      <c r="B2025" t="s">
        <v>52</v>
      </c>
      <c r="C2025" t="s">
        <v>235</v>
      </c>
      <c r="D2025" t="s">
        <v>576</v>
      </c>
      <c r="F2025" t="s">
        <v>1917</v>
      </c>
      <c r="G2025" t="s">
        <v>1491</v>
      </c>
      <c r="H2025" t="s">
        <v>4494</v>
      </c>
      <c r="I2025">
        <v>7</v>
      </c>
      <c r="J2025" t="s">
        <v>5327</v>
      </c>
      <c r="K2025">
        <v>11101</v>
      </c>
      <c r="L2025" t="s">
        <v>5355</v>
      </c>
      <c r="M2025" t="s">
        <v>5356</v>
      </c>
      <c r="N2025" t="s">
        <v>6155</v>
      </c>
      <c r="O2025" t="s">
        <v>6491</v>
      </c>
      <c r="P2025" t="s">
        <v>6530</v>
      </c>
      <c r="R2025" t="s">
        <v>6539</v>
      </c>
      <c r="S2025" t="s">
        <v>5357</v>
      </c>
      <c r="U2025" t="s">
        <v>6557</v>
      </c>
      <c r="W2025" t="s">
        <v>576</v>
      </c>
      <c r="X2025">
        <v>1694.41</v>
      </c>
      <c r="Y2025" t="s">
        <v>6604</v>
      </c>
      <c r="Z2025" t="s">
        <v>6614</v>
      </c>
      <c r="AB2025" t="s">
        <v>7513</v>
      </c>
      <c r="AC2025" t="s">
        <v>5392</v>
      </c>
      <c r="AD2025" t="s">
        <v>10652</v>
      </c>
      <c r="AE2025">
        <v>14</v>
      </c>
      <c r="AF2025" t="s">
        <v>11005</v>
      </c>
      <c r="AG2025" t="s">
        <v>5406</v>
      </c>
      <c r="AH2025">
        <v>22</v>
      </c>
      <c r="AI2025">
        <v>3</v>
      </c>
      <c r="AJ2025">
        <v>2</v>
      </c>
      <c r="AK2025">
        <v>111.19</v>
      </c>
      <c r="AN2025" t="s">
        <v>11059</v>
      </c>
      <c r="AO2025">
        <v>48800</v>
      </c>
      <c r="AU2025">
        <v>57.34</v>
      </c>
      <c r="AV2025" t="s">
        <v>758</v>
      </c>
      <c r="AW2025" t="s">
        <v>96</v>
      </c>
    </row>
    <row r="2026" spans="1:50">
      <c r="A2026" s="1">
        <f>HYPERLINK("https://cms.ls-nyc.org/matter/dynamic-profile/view/1845604","17-1845604")</f>
        <v>0</v>
      </c>
      <c r="B2026" t="s">
        <v>115</v>
      </c>
      <c r="C2026" t="s">
        <v>235</v>
      </c>
      <c r="D2026" t="s">
        <v>462</v>
      </c>
      <c r="F2026" t="s">
        <v>1142</v>
      </c>
      <c r="G2026" t="s">
        <v>2491</v>
      </c>
      <c r="H2026" t="s">
        <v>3849</v>
      </c>
      <c r="I2026" t="s">
        <v>4926</v>
      </c>
      <c r="J2026" t="s">
        <v>5320</v>
      </c>
      <c r="K2026">
        <v>11225</v>
      </c>
      <c r="L2026" t="s">
        <v>5355</v>
      </c>
      <c r="M2026" t="s">
        <v>5356</v>
      </c>
      <c r="N2026" t="s">
        <v>6156</v>
      </c>
      <c r="O2026" t="s">
        <v>6492</v>
      </c>
      <c r="P2026" t="s">
        <v>6530</v>
      </c>
      <c r="R2026" t="s">
        <v>6539</v>
      </c>
      <c r="S2026" t="s">
        <v>5355</v>
      </c>
      <c r="U2026" t="s">
        <v>6557</v>
      </c>
      <c r="W2026" t="s">
        <v>462</v>
      </c>
      <c r="X2026">
        <v>408.26</v>
      </c>
      <c r="Y2026" t="s">
        <v>6605</v>
      </c>
      <c r="Z2026" t="s">
        <v>6622</v>
      </c>
      <c r="AB2026" t="s">
        <v>7161</v>
      </c>
      <c r="AD2026" t="s">
        <v>9551</v>
      </c>
      <c r="AE2026">
        <v>16</v>
      </c>
      <c r="AG2026" t="s">
        <v>11024</v>
      </c>
      <c r="AH2026">
        <v>18</v>
      </c>
      <c r="AI2026">
        <v>1</v>
      </c>
      <c r="AJ2026">
        <v>0</v>
      </c>
      <c r="AK2026">
        <v>111.24</v>
      </c>
      <c r="AL2026" t="s">
        <v>11031</v>
      </c>
      <c r="AN2026" t="s">
        <v>11050</v>
      </c>
      <c r="AO2026">
        <v>13416</v>
      </c>
      <c r="AU2026">
        <v>3</v>
      </c>
      <c r="AV2026" t="s">
        <v>465</v>
      </c>
      <c r="AW2026" t="s">
        <v>115</v>
      </c>
    </row>
    <row r="2027" spans="1:50">
      <c r="A2027" s="1">
        <f>HYPERLINK("https://cms.ls-nyc.org/matter/dynamic-profile/view/1839738","17-1839738")</f>
        <v>0</v>
      </c>
      <c r="B2027" t="s">
        <v>92</v>
      </c>
      <c r="C2027" t="s">
        <v>234</v>
      </c>
      <c r="D2027" t="s">
        <v>596</v>
      </c>
      <c r="E2027" t="s">
        <v>695</v>
      </c>
      <c r="F2027" t="s">
        <v>914</v>
      </c>
      <c r="G2027" t="s">
        <v>3227</v>
      </c>
      <c r="H2027" t="s">
        <v>4495</v>
      </c>
      <c r="I2027">
        <v>22</v>
      </c>
      <c r="J2027" t="s">
        <v>5323</v>
      </c>
      <c r="K2027">
        <v>10032</v>
      </c>
      <c r="L2027" t="s">
        <v>5355</v>
      </c>
      <c r="M2027" t="s">
        <v>5356</v>
      </c>
      <c r="N2027" t="s">
        <v>6157</v>
      </c>
      <c r="O2027" t="s">
        <v>6491</v>
      </c>
      <c r="P2027" t="s">
        <v>6530</v>
      </c>
      <c r="Q2027" t="s">
        <v>6534</v>
      </c>
      <c r="R2027" t="s">
        <v>6539</v>
      </c>
      <c r="S2027" t="s">
        <v>5357</v>
      </c>
      <c r="U2027" t="s">
        <v>6557</v>
      </c>
      <c r="W2027" t="s">
        <v>404</v>
      </c>
      <c r="X2027">
        <v>878.34</v>
      </c>
      <c r="Y2027" t="s">
        <v>6608</v>
      </c>
      <c r="Z2027" t="s">
        <v>6616</v>
      </c>
      <c r="AA2027" t="s">
        <v>6637</v>
      </c>
      <c r="AB2027" t="s">
        <v>8329</v>
      </c>
      <c r="AD2027" t="s">
        <v>10653</v>
      </c>
      <c r="AE2027">
        <v>21</v>
      </c>
      <c r="AF2027" t="s">
        <v>11005</v>
      </c>
      <c r="AG2027" t="s">
        <v>5406</v>
      </c>
      <c r="AH2027">
        <v>41</v>
      </c>
      <c r="AI2027">
        <v>3</v>
      </c>
      <c r="AJ2027">
        <v>4</v>
      </c>
      <c r="AK2027">
        <v>111.25</v>
      </c>
      <c r="AL2027" t="s">
        <v>503</v>
      </c>
      <c r="AN2027" t="s">
        <v>11049</v>
      </c>
      <c r="AO2027">
        <v>41320</v>
      </c>
      <c r="AU2027">
        <v>44.97</v>
      </c>
      <c r="AV2027" t="s">
        <v>288</v>
      </c>
      <c r="AW2027" t="s">
        <v>11495</v>
      </c>
    </row>
    <row r="2028" spans="1:50">
      <c r="A2028" s="1">
        <f>HYPERLINK("https://cms.ls-nyc.org/matter/dynamic-profile/view/1868856","18-1868856")</f>
        <v>0</v>
      </c>
      <c r="B2028" t="s">
        <v>71</v>
      </c>
      <c r="C2028" t="s">
        <v>235</v>
      </c>
      <c r="D2028" t="s">
        <v>270</v>
      </c>
      <c r="F2028" t="s">
        <v>877</v>
      </c>
      <c r="G2028" t="s">
        <v>2247</v>
      </c>
      <c r="H2028" t="s">
        <v>4496</v>
      </c>
      <c r="I2028" t="s">
        <v>4756</v>
      </c>
      <c r="J2028" t="s">
        <v>5321</v>
      </c>
      <c r="K2028">
        <v>10460</v>
      </c>
      <c r="L2028" t="s">
        <v>5355</v>
      </c>
      <c r="M2028" t="s">
        <v>5356</v>
      </c>
      <c r="N2028" t="s">
        <v>6158</v>
      </c>
      <c r="O2028" t="s">
        <v>6492</v>
      </c>
      <c r="P2028" t="s">
        <v>6530</v>
      </c>
      <c r="R2028" t="s">
        <v>6539</v>
      </c>
      <c r="U2028" t="s">
        <v>6557</v>
      </c>
      <c r="W2028" t="s">
        <v>516</v>
      </c>
      <c r="X2028">
        <v>612</v>
      </c>
      <c r="Y2028" t="s">
        <v>6606</v>
      </c>
      <c r="AB2028" t="s">
        <v>8330</v>
      </c>
      <c r="AD2028" t="s">
        <v>10654</v>
      </c>
      <c r="AE2028">
        <v>0</v>
      </c>
      <c r="AF2028" t="s">
        <v>11008</v>
      </c>
      <c r="AH2028">
        <v>9</v>
      </c>
      <c r="AI2028">
        <v>1</v>
      </c>
      <c r="AJ2028">
        <v>0</v>
      </c>
      <c r="AK2028">
        <v>111.37</v>
      </c>
      <c r="AN2028" t="s">
        <v>11050</v>
      </c>
      <c r="AO2028">
        <v>13520</v>
      </c>
      <c r="AU2028">
        <v>16.9</v>
      </c>
      <c r="AV2028" t="s">
        <v>823</v>
      </c>
      <c r="AW2028" t="s">
        <v>11505</v>
      </c>
    </row>
    <row r="2029" spans="1:50">
      <c r="A2029" s="1">
        <f>HYPERLINK("https://cms.ls-nyc.org/matter/dynamic-profile/view/1861195","18-1861195")</f>
        <v>0</v>
      </c>
      <c r="B2029" t="s">
        <v>179</v>
      </c>
      <c r="C2029" t="s">
        <v>235</v>
      </c>
      <c r="D2029" t="s">
        <v>259</v>
      </c>
      <c r="F2029" t="s">
        <v>903</v>
      </c>
      <c r="G2029" t="s">
        <v>2599</v>
      </c>
      <c r="H2029" t="s">
        <v>4083</v>
      </c>
      <c r="I2029" t="s">
        <v>4884</v>
      </c>
      <c r="J2029" t="s">
        <v>5320</v>
      </c>
      <c r="K2029">
        <v>11226</v>
      </c>
      <c r="L2029" t="s">
        <v>5355</v>
      </c>
      <c r="M2029" t="s">
        <v>5356</v>
      </c>
      <c r="N2029" t="s">
        <v>6064</v>
      </c>
      <c r="O2029" t="s">
        <v>6516</v>
      </c>
      <c r="P2029" t="s">
        <v>6530</v>
      </c>
      <c r="R2029" t="s">
        <v>6539</v>
      </c>
      <c r="S2029" t="s">
        <v>5357</v>
      </c>
      <c r="T2029" t="s">
        <v>6545</v>
      </c>
      <c r="U2029" t="s">
        <v>6557</v>
      </c>
      <c r="W2029" t="s">
        <v>236</v>
      </c>
      <c r="X2029">
        <v>0</v>
      </c>
      <c r="Y2029" t="s">
        <v>6605</v>
      </c>
      <c r="Z2029" t="s">
        <v>6612</v>
      </c>
      <c r="AB2029" t="s">
        <v>8331</v>
      </c>
      <c r="AD2029" t="s">
        <v>10655</v>
      </c>
      <c r="AE2029">
        <v>61</v>
      </c>
      <c r="AF2029" t="s">
        <v>11005</v>
      </c>
      <c r="AG2029" t="s">
        <v>5406</v>
      </c>
      <c r="AH2029">
        <v>6</v>
      </c>
      <c r="AI2029">
        <v>1</v>
      </c>
      <c r="AJ2029">
        <v>3</v>
      </c>
      <c r="AK2029">
        <v>111.55</v>
      </c>
      <c r="AN2029" t="s">
        <v>11050</v>
      </c>
      <c r="AO2029">
        <v>28000</v>
      </c>
      <c r="AU2029">
        <v>0.8</v>
      </c>
      <c r="AV2029" t="s">
        <v>259</v>
      </c>
      <c r="AW2029" t="s">
        <v>11490</v>
      </c>
    </row>
    <row r="2030" spans="1:50">
      <c r="A2030" s="1">
        <f>HYPERLINK("https://cms.ls-nyc.org/matter/dynamic-profile/view/1862649","18-1862649")</f>
        <v>0</v>
      </c>
      <c r="B2030" t="s">
        <v>179</v>
      </c>
      <c r="C2030" t="s">
        <v>235</v>
      </c>
      <c r="D2030" t="s">
        <v>408</v>
      </c>
      <c r="F2030" t="s">
        <v>903</v>
      </c>
      <c r="G2030" t="s">
        <v>2599</v>
      </c>
      <c r="H2030" t="s">
        <v>4083</v>
      </c>
      <c r="I2030" t="s">
        <v>4884</v>
      </c>
      <c r="J2030" t="s">
        <v>5320</v>
      </c>
      <c r="K2030">
        <v>11226</v>
      </c>
      <c r="L2030" t="s">
        <v>5355</v>
      </c>
      <c r="M2030" t="s">
        <v>5356</v>
      </c>
      <c r="N2030" t="s">
        <v>6159</v>
      </c>
      <c r="O2030" t="s">
        <v>6499</v>
      </c>
      <c r="P2030" t="s">
        <v>6530</v>
      </c>
      <c r="R2030" t="s">
        <v>6539</v>
      </c>
      <c r="S2030" t="s">
        <v>5355</v>
      </c>
      <c r="T2030" t="s">
        <v>6545</v>
      </c>
      <c r="U2030" t="s">
        <v>6557</v>
      </c>
      <c r="W2030" t="s">
        <v>408</v>
      </c>
      <c r="X2030">
        <v>0</v>
      </c>
      <c r="Y2030" t="s">
        <v>6605</v>
      </c>
      <c r="Z2030" t="s">
        <v>6612</v>
      </c>
      <c r="AB2030" t="s">
        <v>8331</v>
      </c>
      <c r="AD2030" t="s">
        <v>10655</v>
      </c>
      <c r="AE2030">
        <v>61</v>
      </c>
      <c r="AF2030" t="s">
        <v>11005</v>
      </c>
      <c r="AH2030">
        <v>6</v>
      </c>
      <c r="AI2030">
        <v>1</v>
      </c>
      <c r="AJ2030">
        <v>3</v>
      </c>
      <c r="AK2030">
        <v>111.55</v>
      </c>
      <c r="AN2030" t="s">
        <v>11050</v>
      </c>
      <c r="AO2030">
        <v>28000</v>
      </c>
      <c r="AU2030">
        <v>0</v>
      </c>
      <c r="AW2030" t="s">
        <v>11490</v>
      </c>
    </row>
    <row r="2031" spans="1:50">
      <c r="A2031" s="1">
        <f>HYPERLINK("https://cms.ls-nyc.org/matter/dynamic-profile/view/1868591","18-1868591")</f>
        <v>0</v>
      </c>
      <c r="B2031" t="s">
        <v>55</v>
      </c>
      <c r="C2031" t="s">
        <v>235</v>
      </c>
      <c r="D2031" t="s">
        <v>267</v>
      </c>
      <c r="F2031" t="s">
        <v>1918</v>
      </c>
      <c r="G2031" t="s">
        <v>2592</v>
      </c>
      <c r="H2031" t="s">
        <v>4497</v>
      </c>
      <c r="I2031" t="s">
        <v>5205</v>
      </c>
      <c r="J2031" t="s">
        <v>5320</v>
      </c>
      <c r="K2031">
        <v>11226</v>
      </c>
      <c r="L2031" t="s">
        <v>5355</v>
      </c>
      <c r="M2031" t="s">
        <v>5356</v>
      </c>
      <c r="N2031" t="s">
        <v>6160</v>
      </c>
      <c r="O2031" t="s">
        <v>6491</v>
      </c>
      <c r="P2031" t="s">
        <v>6530</v>
      </c>
      <c r="R2031" t="s">
        <v>6539</v>
      </c>
      <c r="U2031" t="s">
        <v>6557</v>
      </c>
      <c r="W2031" t="s">
        <v>516</v>
      </c>
      <c r="X2031">
        <v>859.1900000000001</v>
      </c>
      <c r="Y2031" t="s">
        <v>6605</v>
      </c>
      <c r="Z2031" t="s">
        <v>6614</v>
      </c>
      <c r="AB2031" t="s">
        <v>8332</v>
      </c>
      <c r="AD2031" t="s">
        <v>10656</v>
      </c>
      <c r="AE2031">
        <v>0</v>
      </c>
      <c r="AF2031" t="s">
        <v>11005</v>
      </c>
      <c r="AG2031" t="s">
        <v>5406</v>
      </c>
      <c r="AH2031">
        <v>10</v>
      </c>
      <c r="AI2031">
        <v>2</v>
      </c>
      <c r="AJ2031">
        <v>2</v>
      </c>
      <c r="AK2031">
        <v>111.55</v>
      </c>
      <c r="AN2031" t="s">
        <v>11050</v>
      </c>
      <c r="AO2031">
        <v>28000</v>
      </c>
      <c r="AU2031">
        <v>5.5</v>
      </c>
      <c r="AV2031" t="s">
        <v>255</v>
      </c>
      <c r="AW2031" t="s">
        <v>11490</v>
      </c>
    </row>
    <row r="2032" spans="1:50">
      <c r="A2032" s="1">
        <f>HYPERLINK("https://cms.ls-nyc.org/matter/dynamic-profile/view/1846617","17-1846617")</f>
        <v>0</v>
      </c>
      <c r="B2032" t="s">
        <v>101</v>
      </c>
      <c r="C2032" t="s">
        <v>235</v>
      </c>
      <c r="D2032" t="s">
        <v>575</v>
      </c>
      <c r="F2032" t="s">
        <v>1919</v>
      </c>
      <c r="G2032" t="s">
        <v>2270</v>
      </c>
      <c r="H2032" t="s">
        <v>4498</v>
      </c>
      <c r="I2032" t="s">
        <v>4739</v>
      </c>
      <c r="J2032" t="s">
        <v>5320</v>
      </c>
      <c r="K2032">
        <v>11233</v>
      </c>
      <c r="L2032" t="s">
        <v>5355</v>
      </c>
      <c r="M2032" t="s">
        <v>5356</v>
      </c>
      <c r="N2032" t="s">
        <v>6161</v>
      </c>
      <c r="O2032" t="s">
        <v>6492</v>
      </c>
      <c r="P2032" t="s">
        <v>6530</v>
      </c>
      <c r="R2032" t="s">
        <v>6539</v>
      </c>
      <c r="S2032" t="s">
        <v>6541</v>
      </c>
      <c r="U2032" t="s">
        <v>6557</v>
      </c>
      <c r="W2032" t="s">
        <v>419</v>
      </c>
      <c r="X2032">
        <v>1641.59</v>
      </c>
      <c r="Y2032" t="s">
        <v>6605</v>
      </c>
      <c r="Z2032" t="s">
        <v>6613</v>
      </c>
      <c r="AB2032" t="s">
        <v>8333</v>
      </c>
      <c r="AC2032" t="s">
        <v>8762</v>
      </c>
      <c r="AD2032" t="s">
        <v>10657</v>
      </c>
      <c r="AE2032">
        <v>6</v>
      </c>
      <c r="AF2032" t="s">
        <v>11005</v>
      </c>
      <c r="AG2032" t="s">
        <v>5406</v>
      </c>
      <c r="AH2032">
        <v>2</v>
      </c>
      <c r="AI2032">
        <v>1</v>
      </c>
      <c r="AJ2032">
        <v>0</v>
      </c>
      <c r="AK2032">
        <v>111.64</v>
      </c>
      <c r="AN2032" t="s">
        <v>11050</v>
      </c>
      <c r="AO2032">
        <v>13464</v>
      </c>
      <c r="AU2032">
        <v>14.6</v>
      </c>
      <c r="AV2032" t="s">
        <v>327</v>
      </c>
      <c r="AW2032" t="s">
        <v>11524</v>
      </c>
    </row>
    <row r="2033" spans="1:50">
      <c r="A2033" s="1">
        <f>HYPERLINK("https://cms.ls-nyc.org/matter/dynamic-profile/view/1853702","17-1853702")</f>
        <v>0</v>
      </c>
      <c r="B2033" t="s">
        <v>78</v>
      </c>
      <c r="C2033" t="s">
        <v>235</v>
      </c>
      <c r="D2033" t="s">
        <v>509</v>
      </c>
      <c r="F2033" t="s">
        <v>1525</v>
      </c>
      <c r="G2033" t="s">
        <v>2807</v>
      </c>
      <c r="H2033" t="s">
        <v>4087</v>
      </c>
      <c r="I2033" t="s">
        <v>4775</v>
      </c>
      <c r="J2033" t="s">
        <v>5323</v>
      </c>
      <c r="K2033">
        <v>10035</v>
      </c>
      <c r="L2033" t="s">
        <v>5355</v>
      </c>
      <c r="M2033" t="s">
        <v>5356</v>
      </c>
      <c r="N2033" t="s">
        <v>6162</v>
      </c>
      <c r="O2033" t="s">
        <v>6492</v>
      </c>
      <c r="P2033" t="s">
        <v>6530</v>
      </c>
      <c r="R2033" t="s">
        <v>6539</v>
      </c>
      <c r="S2033" t="s">
        <v>5357</v>
      </c>
      <c r="U2033" t="s">
        <v>6557</v>
      </c>
      <c r="W2033" t="s">
        <v>351</v>
      </c>
      <c r="X2033">
        <v>814.25</v>
      </c>
      <c r="Y2033" t="s">
        <v>6608</v>
      </c>
      <c r="Z2033" t="s">
        <v>6625</v>
      </c>
      <c r="AB2033" t="s">
        <v>7631</v>
      </c>
      <c r="AD2033" t="s">
        <v>9992</v>
      </c>
      <c r="AE2033">
        <v>8</v>
      </c>
      <c r="AF2033" t="s">
        <v>11005</v>
      </c>
      <c r="AG2033" t="s">
        <v>5406</v>
      </c>
      <c r="AH2033">
        <v>0</v>
      </c>
      <c r="AI2033">
        <v>1</v>
      </c>
      <c r="AJ2033">
        <v>0</v>
      </c>
      <c r="AK2033">
        <v>111.64</v>
      </c>
      <c r="AN2033" t="s">
        <v>11050</v>
      </c>
      <c r="AO2033">
        <v>13464</v>
      </c>
      <c r="AU2033">
        <v>45.3</v>
      </c>
      <c r="AV2033" t="s">
        <v>11478</v>
      </c>
      <c r="AW2033" t="s">
        <v>11497</v>
      </c>
    </row>
    <row r="2034" spans="1:50">
      <c r="A2034" s="1">
        <f>HYPERLINK("https://cms.ls-nyc.org/matter/dynamic-profile/view/1854734","17-1854734")</f>
        <v>0</v>
      </c>
      <c r="B2034" t="s">
        <v>94</v>
      </c>
      <c r="C2034" t="s">
        <v>234</v>
      </c>
      <c r="D2034" t="s">
        <v>289</v>
      </c>
      <c r="E2034" t="s">
        <v>703</v>
      </c>
      <c r="F2034" t="s">
        <v>1068</v>
      </c>
      <c r="G2034" t="s">
        <v>2500</v>
      </c>
      <c r="H2034" t="s">
        <v>4499</v>
      </c>
      <c r="I2034" t="s">
        <v>4817</v>
      </c>
      <c r="J2034" t="s">
        <v>5320</v>
      </c>
      <c r="K2034">
        <v>11212</v>
      </c>
      <c r="L2034" t="s">
        <v>5355</v>
      </c>
      <c r="M2034" t="s">
        <v>5356</v>
      </c>
      <c r="N2034" t="s">
        <v>6163</v>
      </c>
      <c r="O2034" t="s">
        <v>6492</v>
      </c>
      <c r="P2034" t="s">
        <v>6530</v>
      </c>
      <c r="Q2034" t="s">
        <v>6534</v>
      </c>
      <c r="R2034" t="s">
        <v>6539</v>
      </c>
      <c r="S2034" t="s">
        <v>5355</v>
      </c>
      <c r="U2034" t="s">
        <v>6557</v>
      </c>
      <c r="W2034" t="s">
        <v>289</v>
      </c>
      <c r="X2034">
        <v>1145.51</v>
      </c>
      <c r="Y2034" t="s">
        <v>6605</v>
      </c>
      <c r="AA2034" t="s">
        <v>6637</v>
      </c>
      <c r="AB2034" t="s">
        <v>8171</v>
      </c>
      <c r="AC2034" t="s">
        <v>9048</v>
      </c>
      <c r="AD2034" t="s">
        <v>10658</v>
      </c>
      <c r="AE2034">
        <v>19</v>
      </c>
      <c r="AF2034" t="s">
        <v>11005</v>
      </c>
      <c r="AG2034" t="s">
        <v>11023</v>
      </c>
      <c r="AH2034">
        <v>7</v>
      </c>
      <c r="AI2034">
        <v>1</v>
      </c>
      <c r="AJ2034">
        <v>2</v>
      </c>
      <c r="AK2034">
        <v>111.66</v>
      </c>
      <c r="AN2034" t="s">
        <v>11050</v>
      </c>
      <c r="AO2034">
        <v>22800</v>
      </c>
      <c r="AU2034">
        <v>33.3</v>
      </c>
      <c r="AV2034" t="s">
        <v>709</v>
      </c>
      <c r="AW2034" t="s">
        <v>94</v>
      </c>
    </row>
    <row r="2035" spans="1:50">
      <c r="A2035" s="1">
        <f>HYPERLINK("https://cms.ls-nyc.org/matter/dynamic-profile/view/1835001","17-1835001")</f>
        <v>0</v>
      </c>
      <c r="B2035" t="s">
        <v>97</v>
      </c>
      <c r="C2035" t="s">
        <v>234</v>
      </c>
      <c r="D2035" t="s">
        <v>616</v>
      </c>
      <c r="E2035" t="s">
        <v>711</v>
      </c>
      <c r="F2035" t="s">
        <v>1370</v>
      </c>
      <c r="G2035" t="s">
        <v>2252</v>
      </c>
      <c r="H2035" t="s">
        <v>3807</v>
      </c>
      <c r="I2035">
        <v>2</v>
      </c>
      <c r="J2035" t="s">
        <v>5323</v>
      </c>
      <c r="K2035">
        <v>10034</v>
      </c>
      <c r="L2035" t="s">
        <v>5355</v>
      </c>
      <c r="M2035" t="s">
        <v>5356</v>
      </c>
      <c r="N2035" t="s">
        <v>6164</v>
      </c>
      <c r="O2035" t="s">
        <v>6492</v>
      </c>
      <c r="P2035" t="s">
        <v>6530</v>
      </c>
      <c r="Q2035" t="s">
        <v>6534</v>
      </c>
      <c r="R2035" t="s">
        <v>6539</v>
      </c>
      <c r="S2035" t="s">
        <v>5357</v>
      </c>
      <c r="U2035" t="s">
        <v>6557</v>
      </c>
      <c r="W2035" t="s">
        <v>6583</v>
      </c>
      <c r="X2035">
        <v>871.5700000000001</v>
      </c>
      <c r="Y2035" t="s">
        <v>6608</v>
      </c>
      <c r="Z2035" t="s">
        <v>6622</v>
      </c>
      <c r="AA2035" t="s">
        <v>6637</v>
      </c>
      <c r="AB2035" t="s">
        <v>7241</v>
      </c>
      <c r="AC2035" t="s">
        <v>8792</v>
      </c>
      <c r="AD2035" t="s">
        <v>9730</v>
      </c>
      <c r="AE2035">
        <v>25</v>
      </c>
      <c r="AF2035" t="s">
        <v>11005</v>
      </c>
      <c r="AG2035" t="s">
        <v>11024</v>
      </c>
      <c r="AH2035">
        <v>12</v>
      </c>
      <c r="AI2035">
        <v>1</v>
      </c>
      <c r="AJ2035">
        <v>1</v>
      </c>
      <c r="AK2035">
        <v>111.72</v>
      </c>
      <c r="AN2035" t="s">
        <v>11049</v>
      </c>
      <c r="AO2035">
        <v>18144</v>
      </c>
      <c r="AU2035">
        <v>20.3</v>
      </c>
      <c r="AV2035" t="s">
        <v>711</v>
      </c>
      <c r="AW2035" t="s">
        <v>11497</v>
      </c>
    </row>
    <row r="2036" spans="1:50">
      <c r="A2036" s="1">
        <f>HYPERLINK("https://cms.ls-nyc.org/matter/dynamic-profile/view/1845269","17-1845269")</f>
        <v>0</v>
      </c>
      <c r="B2036" t="s">
        <v>75</v>
      </c>
      <c r="C2036" t="s">
        <v>235</v>
      </c>
      <c r="D2036" t="s">
        <v>417</v>
      </c>
      <c r="F2036" t="s">
        <v>1106</v>
      </c>
      <c r="G2036" t="s">
        <v>2448</v>
      </c>
      <c r="H2036" t="s">
        <v>4135</v>
      </c>
      <c r="J2036" t="s">
        <v>5320</v>
      </c>
      <c r="K2036">
        <v>11208</v>
      </c>
      <c r="L2036" t="s">
        <v>5355</v>
      </c>
      <c r="M2036" t="s">
        <v>5356</v>
      </c>
      <c r="O2036" t="s">
        <v>6494</v>
      </c>
      <c r="P2036" t="s">
        <v>6530</v>
      </c>
      <c r="R2036" t="s">
        <v>6539</v>
      </c>
      <c r="S2036" t="s">
        <v>5355</v>
      </c>
      <c r="U2036" t="s">
        <v>6557</v>
      </c>
      <c r="W2036" t="s">
        <v>6578</v>
      </c>
      <c r="X2036">
        <v>0</v>
      </c>
      <c r="Y2036" t="s">
        <v>6605</v>
      </c>
      <c r="Z2036" t="s">
        <v>6623</v>
      </c>
      <c r="AB2036" t="s">
        <v>8334</v>
      </c>
      <c r="AD2036" t="s">
        <v>10425</v>
      </c>
      <c r="AE2036">
        <v>16</v>
      </c>
      <c r="AF2036" t="s">
        <v>11005</v>
      </c>
      <c r="AH2036">
        <v>0</v>
      </c>
      <c r="AI2036">
        <v>3</v>
      </c>
      <c r="AJ2036">
        <v>0</v>
      </c>
      <c r="AK2036">
        <v>111.95</v>
      </c>
      <c r="AN2036" t="s">
        <v>11050</v>
      </c>
      <c r="AO2036">
        <v>22859.4</v>
      </c>
      <c r="AU2036">
        <v>4.13</v>
      </c>
      <c r="AV2036" t="s">
        <v>343</v>
      </c>
      <c r="AW2036" t="s">
        <v>11512</v>
      </c>
    </row>
    <row r="2037" spans="1:50">
      <c r="A2037" s="1">
        <f>HYPERLINK("https://cms.ls-nyc.org/matter/dynamic-profile/view/1865962","18-1865962")</f>
        <v>0</v>
      </c>
      <c r="B2037" t="s">
        <v>92</v>
      </c>
      <c r="C2037" t="s">
        <v>235</v>
      </c>
      <c r="D2037" t="s">
        <v>312</v>
      </c>
      <c r="F2037" t="s">
        <v>1920</v>
      </c>
      <c r="G2037" t="s">
        <v>2326</v>
      </c>
      <c r="H2037" t="s">
        <v>3839</v>
      </c>
      <c r="I2037" t="s">
        <v>4838</v>
      </c>
      <c r="J2037" t="s">
        <v>5323</v>
      </c>
      <c r="K2037">
        <v>10031</v>
      </c>
      <c r="L2037" t="s">
        <v>5355</v>
      </c>
      <c r="M2037" t="s">
        <v>5356</v>
      </c>
      <c r="O2037" t="s">
        <v>6494</v>
      </c>
      <c r="P2037" t="s">
        <v>6530</v>
      </c>
      <c r="R2037" t="s">
        <v>6539</v>
      </c>
      <c r="S2037" t="s">
        <v>5355</v>
      </c>
      <c r="U2037" t="s">
        <v>6557</v>
      </c>
      <c r="V2037" t="s">
        <v>6566</v>
      </c>
      <c r="W2037" t="s">
        <v>312</v>
      </c>
      <c r="X2037">
        <v>1712</v>
      </c>
      <c r="Y2037" t="s">
        <v>6608</v>
      </c>
      <c r="Z2037" t="s">
        <v>6622</v>
      </c>
      <c r="AB2037" t="s">
        <v>8335</v>
      </c>
      <c r="AD2037" t="s">
        <v>10659</v>
      </c>
      <c r="AE2037">
        <v>42</v>
      </c>
      <c r="AF2037" t="s">
        <v>11008</v>
      </c>
      <c r="AG2037" t="s">
        <v>11020</v>
      </c>
      <c r="AH2037">
        <v>21</v>
      </c>
      <c r="AI2037">
        <v>2</v>
      </c>
      <c r="AJ2037">
        <v>0</v>
      </c>
      <c r="AK2037">
        <v>111.98</v>
      </c>
      <c r="AN2037" t="s">
        <v>11049</v>
      </c>
      <c r="AO2037">
        <v>18432</v>
      </c>
      <c r="AU2037">
        <v>0.25</v>
      </c>
      <c r="AV2037" t="s">
        <v>605</v>
      </c>
      <c r="AW2037" t="s">
        <v>11497</v>
      </c>
      <c r="AX2037" t="s">
        <v>11564</v>
      </c>
    </row>
    <row r="2038" spans="1:50">
      <c r="A2038" s="1">
        <f>HYPERLINK("https://cms.ls-nyc.org/matter/dynamic-profile/view/1847969","17-1847969")</f>
        <v>0</v>
      </c>
      <c r="B2038" t="s">
        <v>203</v>
      </c>
      <c r="C2038" t="s">
        <v>234</v>
      </c>
      <c r="D2038" t="s">
        <v>403</v>
      </c>
      <c r="E2038" t="s">
        <v>652</v>
      </c>
      <c r="F2038" t="s">
        <v>1921</v>
      </c>
      <c r="G2038" t="s">
        <v>3228</v>
      </c>
      <c r="H2038" t="s">
        <v>3443</v>
      </c>
      <c r="I2038" t="s">
        <v>5242</v>
      </c>
      <c r="J2038" t="s">
        <v>5321</v>
      </c>
      <c r="K2038">
        <v>10453</v>
      </c>
      <c r="L2038" t="s">
        <v>5355</v>
      </c>
      <c r="M2038" t="s">
        <v>5356</v>
      </c>
      <c r="N2038" t="s">
        <v>6165</v>
      </c>
      <c r="O2038" t="s">
        <v>6492</v>
      </c>
      <c r="P2038" t="s">
        <v>6530</v>
      </c>
      <c r="Q2038" t="s">
        <v>6534</v>
      </c>
      <c r="R2038" t="s">
        <v>6539</v>
      </c>
      <c r="S2038" t="s">
        <v>5357</v>
      </c>
      <c r="U2038" t="s">
        <v>6557</v>
      </c>
      <c r="W2038" t="s">
        <v>341</v>
      </c>
      <c r="X2038">
        <v>945.36</v>
      </c>
      <c r="Y2038" t="s">
        <v>6606</v>
      </c>
      <c r="Z2038" t="s">
        <v>6613</v>
      </c>
      <c r="AA2038" t="s">
        <v>6644</v>
      </c>
      <c r="AB2038" t="s">
        <v>8017</v>
      </c>
      <c r="AD2038" t="s">
        <v>10660</v>
      </c>
      <c r="AE2038">
        <v>255</v>
      </c>
      <c r="AF2038" t="s">
        <v>11005</v>
      </c>
      <c r="AH2038">
        <v>5</v>
      </c>
      <c r="AI2038">
        <v>1</v>
      </c>
      <c r="AJ2038">
        <v>1</v>
      </c>
      <c r="AK2038">
        <v>112.07</v>
      </c>
      <c r="AN2038" t="s">
        <v>11050</v>
      </c>
      <c r="AO2038">
        <v>18200</v>
      </c>
      <c r="AQ2038" t="s">
        <v>11192</v>
      </c>
      <c r="AR2038" t="s">
        <v>11241</v>
      </c>
      <c r="AS2038" t="s">
        <v>11253</v>
      </c>
      <c r="AT2038" t="s">
        <v>11393</v>
      </c>
      <c r="AU2038">
        <v>33.5</v>
      </c>
      <c r="AV2038" t="s">
        <v>523</v>
      </c>
      <c r="AW2038" t="s">
        <v>11509</v>
      </c>
    </row>
    <row r="2039" spans="1:50">
      <c r="A2039" s="1">
        <f>HYPERLINK("https://cms.ls-nyc.org/matter/dynamic-profile/view/1851047","17-1851047")</f>
        <v>0</v>
      </c>
      <c r="B2039" t="s">
        <v>142</v>
      </c>
      <c r="C2039" t="s">
        <v>234</v>
      </c>
      <c r="D2039" t="s">
        <v>367</v>
      </c>
      <c r="E2039" t="s">
        <v>812</v>
      </c>
      <c r="F2039" t="s">
        <v>1748</v>
      </c>
      <c r="G2039" t="s">
        <v>3188</v>
      </c>
      <c r="H2039" t="s">
        <v>4442</v>
      </c>
      <c r="I2039" t="s">
        <v>4734</v>
      </c>
      <c r="J2039" t="s">
        <v>5320</v>
      </c>
      <c r="K2039">
        <v>11207</v>
      </c>
      <c r="L2039" t="s">
        <v>5355</v>
      </c>
      <c r="M2039" t="s">
        <v>5356</v>
      </c>
      <c r="N2039" t="s">
        <v>6166</v>
      </c>
      <c r="O2039" t="s">
        <v>6492</v>
      </c>
      <c r="P2039" t="s">
        <v>6530</v>
      </c>
      <c r="Q2039" t="s">
        <v>6531</v>
      </c>
      <c r="R2039" t="s">
        <v>6539</v>
      </c>
      <c r="S2039" t="s">
        <v>5357</v>
      </c>
      <c r="U2039" t="s">
        <v>6560</v>
      </c>
      <c r="W2039" t="s">
        <v>560</v>
      </c>
      <c r="X2039">
        <v>1951.57</v>
      </c>
      <c r="Y2039" t="s">
        <v>6605</v>
      </c>
      <c r="Z2039" t="s">
        <v>6611</v>
      </c>
      <c r="AA2039" t="s">
        <v>6637</v>
      </c>
      <c r="AB2039" t="s">
        <v>8262</v>
      </c>
      <c r="AC2039" t="s">
        <v>9049</v>
      </c>
      <c r="AD2039" t="s">
        <v>10591</v>
      </c>
      <c r="AE2039">
        <v>8</v>
      </c>
      <c r="AF2039" t="s">
        <v>11005</v>
      </c>
      <c r="AG2039" t="s">
        <v>11020</v>
      </c>
      <c r="AH2039">
        <v>13</v>
      </c>
      <c r="AI2039">
        <v>2</v>
      </c>
      <c r="AJ2039">
        <v>4</v>
      </c>
      <c r="AK2039">
        <v>112.26</v>
      </c>
      <c r="AN2039" t="s">
        <v>11050</v>
      </c>
      <c r="AO2039">
        <v>37000</v>
      </c>
      <c r="AU2039">
        <v>57.1</v>
      </c>
      <c r="AV2039" t="s">
        <v>812</v>
      </c>
      <c r="AW2039" t="s">
        <v>11487</v>
      </c>
    </row>
    <row r="2040" spans="1:50">
      <c r="A2040" s="1">
        <f>HYPERLINK("https://cms.ls-nyc.org/matter/dynamic-profile/view/1840076","17-1840076")</f>
        <v>0</v>
      </c>
      <c r="B2040" t="s">
        <v>138</v>
      </c>
      <c r="C2040" t="s">
        <v>235</v>
      </c>
      <c r="D2040" t="s">
        <v>359</v>
      </c>
      <c r="F2040" t="s">
        <v>957</v>
      </c>
      <c r="G2040" t="s">
        <v>2489</v>
      </c>
      <c r="H2040" t="s">
        <v>3847</v>
      </c>
      <c r="I2040" t="s">
        <v>4734</v>
      </c>
      <c r="J2040" t="s">
        <v>5320</v>
      </c>
      <c r="K2040">
        <v>11207</v>
      </c>
      <c r="L2040" t="s">
        <v>5355</v>
      </c>
      <c r="M2040" t="s">
        <v>5355</v>
      </c>
      <c r="N2040" t="s">
        <v>5709</v>
      </c>
      <c r="O2040" t="s">
        <v>6494</v>
      </c>
      <c r="P2040" t="s">
        <v>6530</v>
      </c>
      <c r="R2040" t="s">
        <v>6539</v>
      </c>
      <c r="S2040" t="s">
        <v>5355</v>
      </c>
      <c r="U2040" t="s">
        <v>6557</v>
      </c>
      <c r="V2040" t="s">
        <v>6566</v>
      </c>
      <c r="W2040" t="s">
        <v>359</v>
      </c>
      <c r="X2040">
        <v>1400</v>
      </c>
      <c r="Y2040" t="s">
        <v>6605</v>
      </c>
      <c r="AB2040" t="s">
        <v>7159</v>
      </c>
      <c r="AD2040" t="s">
        <v>9549</v>
      </c>
      <c r="AE2040">
        <v>6</v>
      </c>
      <c r="AF2040" t="s">
        <v>11005</v>
      </c>
      <c r="AH2040">
        <v>0</v>
      </c>
      <c r="AI2040">
        <v>2</v>
      </c>
      <c r="AJ2040">
        <v>0</v>
      </c>
      <c r="AK2040">
        <v>112.32</v>
      </c>
      <c r="AN2040" t="s">
        <v>11049</v>
      </c>
      <c r="AO2040">
        <v>27060</v>
      </c>
      <c r="AU2040">
        <v>1.92</v>
      </c>
      <c r="AV2040" t="s">
        <v>729</v>
      </c>
      <c r="AW2040" t="s">
        <v>11489</v>
      </c>
      <c r="AX2040" t="s">
        <v>11564</v>
      </c>
    </row>
    <row r="2041" spans="1:50">
      <c r="A2041" s="1">
        <f>HYPERLINK("https://cms.ls-nyc.org/matter/dynamic-profile/view/0806036","16-0806036")</f>
        <v>0</v>
      </c>
      <c r="B2041" t="s">
        <v>181</v>
      </c>
      <c r="C2041" t="s">
        <v>235</v>
      </c>
      <c r="D2041" t="s">
        <v>617</v>
      </c>
      <c r="F2041" t="s">
        <v>1922</v>
      </c>
      <c r="G2041" t="s">
        <v>2821</v>
      </c>
      <c r="H2041" t="s">
        <v>4092</v>
      </c>
      <c r="I2041" t="s">
        <v>4776</v>
      </c>
      <c r="J2041" t="s">
        <v>5317</v>
      </c>
      <c r="K2041">
        <v>11432</v>
      </c>
      <c r="L2041" t="s">
        <v>5355</v>
      </c>
      <c r="M2041" t="s">
        <v>5356</v>
      </c>
      <c r="O2041" t="s">
        <v>6502</v>
      </c>
      <c r="P2041" t="s">
        <v>6530</v>
      </c>
      <c r="R2041" t="s">
        <v>6539</v>
      </c>
      <c r="S2041" t="s">
        <v>5357</v>
      </c>
      <c r="T2041" t="s">
        <v>6547</v>
      </c>
      <c r="U2041" t="s">
        <v>6557</v>
      </c>
      <c r="W2041" t="s">
        <v>6595</v>
      </c>
      <c r="X2041">
        <v>1175</v>
      </c>
      <c r="Y2041" t="s">
        <v>6604</v>
      </c>
      <c r="Z2041" t="s">
        <v>6614</v>
      </c>
      <c r="AB2041" t="s">
        <v>7065</v>
      </c>
      <c r="AC2041" t="s">
        <v>5383</v>
      </c>
      <c r="AD2041" t="s">
        <v>10012</v>
      </c>
      <c r="AE2041">
        <v>170</v>
      </c>
      <c r="AF2041" t="s">
        <v>11005</v>
      </c>
      <c r="AG2041" t="s">
        <v>5406</v>
      </c>
      <c r="AH2041">
        <v>3</v>
      </c>
      <c r="AI2041">
        <v>2</v>
      </c>
      <c r="AJ2041">
        <v>0</v>
      </c>
      <c r="AK2041">
        <v>112.36</v>
      </c>
      <c r="AL2041" t="s">
        <v>485</v>
      </c>
      <c r="AN2041" t="s">
        <v>11059</v>
      </c>
      <c r="AO2041">
        <v>18000</v>
      </c>
      <c r="AP2041" t="s">
        <v>11136</v>
      </c>
      <c r="AU2041">
        <v>13.25</v>
      </c>
      <c r="AV2041" t="s">
        <v>261</v>
      </c>
      <c r="AW2041" t="s">
        <v>11558</v>
      </c>
    </row>
    <row r="2042" spans="1:50">
      <c r="A2042" s="1">
        <f>HYPERLINK("https://cms.ls-nyc.org/matter/dynamic-profile/view/1841253","17-1841253")</f>
        <v>0</v>
      </c>
      <c r="B2042" t="s">
        <v>97</v>
      </c>
      <c r="C2042" t="s">
        <v>235</v>
      </c>
      <c r="D2042" t="s">
        <v>273</v>
      </c>
      <c r="F2042" t="s">
        <v>1272</v>
      </c>
      <c r="G2042" t="s">
        <v>2838</v>
      </c>
      <c r="H2042" t="s">
        <v>3769</v>
      </c>
      <c r="I2042" t="s">
        <v>5243</v>
      </c>
      <c r="J2042" t="s">
        <v>5323</v>
      </c>
      <c r="K2042">
        <v>10034</v>
      </c>
      <c r="L2042" t="s">
        <v>5355</v>
      </c>
      <c r="M2042" t="s">
        <v>5356</v>
      </c>
      <c r="N2042" t="s">
        <v>6167</v>
      </c>
      <c r="O2042" t="s">
        <v>6492</v>
      </c>
      <c r="P2042" t="s">
        <v>6530</v>
      </c>
      <c r="R2042" t="s">
        <v>6539</v>
      </c>
      <c r="S2042" t="s">
        <v>5357</v>
      </c>
      <c r="U2042" t="s">
        <v>6557</v>
      </c>
      <c r="W2042" t="s">
        <v>273</v>
      </c>
      <c r="X2042">
        <v>1053</v>
      </c>
      <c r="Y2042" t="s">
        <v>6608</v>
      </c>
      <c r="Z2042" t="s">
        <v>6622</v>
      </c>
      <c r="AB2042" t="s">
        <v>8336</v>
      </c>
      <c r="AD2042" t="s">
        <v>10661</v>
      </c>
      <c r="AE2042">
        <v>50</v>
      </c>
      <c r="AF2042" t="s">
        <v>11005</v>
      </c>
      <c r="AG2042" t="s">
        <v>5406</v>
      </c>
      <c r="AH2042">
        <v>13</v>
      </c>
      <c r="AI2042">
        <v>1</v>
      </c>
      <c r="AJ2042">
        <v>2</v>
      </c>
      <c r="AK2042">
        <v>112.63</v>
      </c>
      <c r="AN2042" t="s">
        <v>11049</v>
      </c>
      <c r="AO2042">
        <v>23000</v>
      </c>
      <c r="AU2042">
        <v>5.4</v>
      </c>
      <c r="AV2042" t="s">
        <v>590</v>
      </c>
      <c r="AW2042" t="s">
        <v>11495</v>
      </c>
    </row>
    <row r="2043" spans="1:50">
      <c r="A2043" s="1">
        <f>HYPERLINK("https://cms.ls-nyc.org/matter/dynamic-profile/view/1855377","18-1855377")</f>
        <v>0</v>
      </c>
      <c r="B2043" t="s">
        <v>219</v>
      </c>
      <c r="C2043" t="s">
        <v>234</v>
      </c>
      <c r="D2043" t="s">
        <v>551</v>
      </c>
      <c r="E2043" t="s">
        <v>825</v>
      </c>
      <c r="F2043" t="s">
        <v>1923</v>
      </c>
      <c r="G2043" t="s">
        <v>3229</v>
      </c>
      <c r="H2043" t="s">
        <v>3734</v>
      </c>
      <c r="I2043" t="s">
        <v>4781</v>
      </c>
      <c r="J2043" t="s">
        <v>5320</v>
      </c>
      <c r="K2043">
        <v>11233</v>
      </c>
      <c r="L2043" t="s">
        <v>5355</v>
      </c>
      <c r="M2043" t="s">
        <v>5355</v>
      </c>
      <c r="N2043" t="s">
        <v>6168</v>
      </c>
      <c r="O2043" t="s">
        <v>6492</v>
      </c>
      <c r="P2043" t="s">
        <v>6530</v>
      </c>
      <c r="Q2043" t="s">
        <v>6534</v>
      </c>
      <c r="R2043" t="s">
        <v>6539</v>
      </c>
      <c r="S2043" t="s">
        <v>5357</v>
      </c>
      <c r="U2043" t="s">
        <v>6557</v>
      </c>
      <c r="W2043" t="s">
        <v>551</v>
      </c>
      <c r="X2043">
        <v>1023.63</v>
      </c>
      <c r="Y2043" t="s">
        <v>6605</v>
      </c>
      <c r="Z2043" t="s">
        <v>6614</v>
      </c>
      <c r="AA2043" t="s">
        <v>6637</v>
      </c>
      <c r="AB2043" t="s">
        <v>8337</v>
      </c>
      <c r="AD2043" t="s">
        <v>10662</v>
      </c>
      <c r="AE2043">
        <v>8</v>
      </c>
      <c r="AF2043" t="s">
        <v>11005</v>
      </c>
      <c r="AG2043" t="s">
        <v>5406</v>
      </c>
      <c r="AH2043">
        <v>25</v>
      </c>
      <c r="AI2043">
        <v>5</v>
      </c>
      <c r="AJ2043">
        <v>1</v>
      </c>
      <c r="AK2043">
        <v>112.86</v>
      </c>
      <c r="AN2043" t="s">
        <v>11050</v>
      </c>
      <c r="AO2043">
        <v>37200</v>
      </c>
      <c r="AR2043" t="s">
        <v>11210</v>
      </c>
      <c r="AS2043" t="s">
        <v>11253</v>
      </c>
      <c r="AT2043" t="s">
        <v>11335</v>
      </c>
      <c r="AU2043">
        <v>11.75</v>
      </c>
      <c r="AV2043" t="s">
        <v>362</v>
      </c>
      <c r="AW2043" t="s">
        <v>219</v>
      </c>
    </row>
    <row r="2044" spans="1:50">
      <c r="A2044" s="1">
        <f>HYPERLINK("https://cms.ls-nyc.org/matter/dynamic-profile/view/1864918","18-1864918")</f>
        <v>0</v>
      </c>
      <c r="B2044" t="s">
        <v>84</v>
      </c>
      <c r="C2044" t="s">
        <v>235</v>
      </c>
      <c r="D2044" t="s">
        <v>250</v>
      </c>
      <c r="F2044" t="s">
        <v>1924</v>
      </c>
      <c r="G2044" t="s">
        <v>2215</v>
      </c>
      <c r="H2044" t="s">
        <v>4500</v>
      </c>
      <c r="I2044" t="s">
        <v>4781</v>
      </c>
      <c r="J2044" t="s">
        <v>5320</v>
      </c>
      <c r="K2044">
        <v>11208</v>
      </c>
      <c r="L2044" t="s">
        <v>5355</v>
      </c>
      <c r="M2044" t="s">
        <v>5356</v>
      </c>
      <c r="N2044" t="s">
        <v>6169</v>
      </c>
      <c r="O2044" t="s">
        <v>6491</v>
      </c>
      <c r="P2044" t="s">
        <v>6530</v>
      </c>
      <c r="R2044" t="s">
        <v>6539</v>
      </c>
      <c r="S2044" t="s">
        <v>5357</v>
      </c>
      <c r="U2044" t="s">
        <v>6557</v>
      </c>
      <c r="W2044" t="s">
        <v>250</v>
      </c>
      <c r="X2044">
        <v>862</v>
      </c>
      <c r="Y2044" t="s">
        <v>6605</v>
      </c>
      <c r="Z2044" t="s">
        <v>6611</v>
      </c>
      <c r="AB2044" t="s">
        <v>8338</v>
      </c>
      <c r="AC2044" t="s">
        <v>9050</v>
      </c>
      <c r="AD2044" t="s">
        <v>10663</v>
      </c>
      <c r="AE2044">
        <v>6</v>
      </c>
      <c r="AG2044" t="s">
        <v>5406</v>
      </c>
      <c r="AH2044">
        <v>13</v>
      </c>
      <c r="AI2044">
        <v>2</v>
      </c>
      <c r="AJ2044">
        <v>0</v>
      </c>
      <c r="AK2044">
        <v>113.1</v>
      </c>
      <c r="AN2044" t="s">
        <v>11049</v>
      </c>
      <c r="AO2044">
        <v>18616</v>
      </c>
      <c r="AU2044">
        <v>44</v>
      </c>
      <c r="AV2044" t="s">
        <v>756</v>
      </c>
      <c r="AW2044" t="s">
        <v>11487</v>
      </c>
    </row>
    <row r="2045" spans="1:50">
      <c r="A2045" s="1">
        <f>HYPERLINK("https://cms.ls-nyc.org/matter/dynamic-profile/view/0830090","17-0830090")</f>
        <v>0</v>
      </c>
      <c r="B2045" t="s">
        <v>220</v>
      </c>
      <c r="C2045" t="s">
        <v>234</v>
      </c>
      <c r="D2045" t="s">
        <v>618</v>
      </c>
      <c r="E2045" t="s">
        <v>719</v>
      </c>
      <c r="F2045" t="s">
        <v>1925</v>
      </c>
      <c r="G2045" t="s">
        <v>3230</v>
      </c>
      <c r="H2045" t="s">
        <v>4501</v>
      </c>
      <c r="I2045" t="s">
        <v>4777</v>
      </c>
      <c r="J2045" t="s">
        <v>5320</v>
      </c>
      <c r="K2045">
        <v>11211</v>
      </c>
      <c r="L2045" t="s">
        <v>5355</v>
      </c>
      <c r="M2045" t="s">
        <v>5356</v>
      </c>
      <c r="N2045" t="s">
        <v>6170</v>
      </c>
      <c r="O2045" t="s">
        <v>6491</v>
      </c>
      <c r="P2045" t="s">
        <v>6530</v>
      </c>
      <c r="Q2045" t="s">
        <v>6538</v>
      </c>
      <c r="R2045" t="s">
        <v>6539</v>
      </c>
      <c r="S2045" t="s">
        <v>5357</v>
      </c>
      <c r="U2045" t="s">
        <v>6557</v>
      </c>
      <c r="W2045" t="s">
        <v>404</v>
      </c>
      <c r="X2045">
        <v>466</v>
      </c>
      <c r="Y2045" t="s">
        <v>6605</v>
      </c>
      <c r="Z2045" t="s">
        <v>6613</v>
      </c>
      <c r="AA2045" t="s">
        <v>6633</v>
      </c>
      <c r="AB2045" t="s">
        <v>8339</v>
      </c>
      <c r="AD2045" t="s">
        <v>10664</v>
      </c>
      <c r="AE2045">
        <v>24</v>
      </c>
      <c r="AF2045" t="s">
        <v>11005</v>
      </c>
      <c r="AG2045" t="s">
        <v>5406</v>
      </c>
      <c r="AH2045">
        <v>24</v>
      </c>
      <c r="AI2045">
        <v>2</v>
      </c>
      <c r="AJ2045">
        <v>0</v>
      </c>
      <c r="AK2045">
        <v>113.35</v>
      </c>
      <c r="AN2045" t="s">
        <v>11049</v>
      </c>
      <c r="AO2045">
        <v>18408</v>
      </c>
      <c r="AU2045">
        <v>124.6</v>
      </c>
      <c r="AV2045" t="s">
        <v>719</v>
      </c>
      <c r="AW2045" t="s">
        <v>11512</v>
      </c>
    </row>
    <row r="2046" spans="1:50">
      <c r="A2046" s="1">
        <f>HYPERLINK("https://cms.ls-nyc.org/matter/dynamic-profile/view/1864036","18-1864036")</f>
        <v>0</v>
      </c>
      <c r="B2046" t="s">
        <v>92</v>
      </c>
      <c r="C2046" t="s">
        <v>235</v>
      </c>
      <c r="D2046" t="s">
        <v>357</v>
      </c>
      <c r="F2046" t="s">
        <v>1179</v>
      </c>
      <c r="G2046" t="s">
        <v>2473</v>
      </c>
      <c r="H2046" t="s">
        <v>3579</v>
      </c>
      <c r="I2046">
        <v>306</v>
      </c>
      <c r="J2046" t="s">
        <v>5323</v>
      </c>
      <c r="K2046">
        <v>10029</v>
      </c>
      <c r="L2046" t="s">
        <v>5355</v>
      </c>
      <c r="M2046" t="s">
        <v>5356</v>
      </c>
      <c r="N2046" t="s">
        <v>5632</v>
      </c>
      <c r="O2046" t="s">
        <v>6494</v>
      </c>
      <c r="P2046" t="s">
        <v>6530</v>
      </c>
      <c r="R2046" t="s">
        <v>6539</v>
      </c>
      <c r="S2046" t="s">
        <v>5355</v>
      </c>
      <c r="U2046" t="s">
        <v>6557</v>
      </c>
      <c r="W2046" t="s">
        <v>357</v>
      </c>
      <c r="X2046">
        <v>0</v>
      </c>
      <c r="Y2046" t="s">
        <v>6608</v>
      </c>
      <c r="Z2046" t="s">
        <v>6622</v>
      </c>
      <c r="AB2046" t="s">
        <v>8340</v>
      </c>
      <c r="AD2046" t="s">
        <v>10665</v>
      </c>
      <c r="AE2046">
        <v>108</v>
      </c>
      <c r="AF2046" t="s">
        <v>11008</v>
      </c>
      <c r="AG2046" t="s">
        <v>11020</v>
      </c>
      <c r="AH2046">
        <v>22</v>
      </c>
      <c r="AI2046">
        <v>1</v>
      </c>
      <c r="AJ2046">
        <v>0</v>
      </c>
      <c r="AK2046">
        <v>113.38</v>
      </c>
      <c r="AN2046" t="s">
        <v>11050</v>
      </c>
      <c r="AO2046">
        <v>13764</v>
      </c>
      <c r="AU2046">
        <v>0.3</v>
      </c>
      <c r="AV2046" t="s">
        <v>270</v>
      </c>
      <c r="AW2046" t="s">
        <v>11497</v>
      </c>
      <c r="AX2046" t="s">
        <v>11564</v>
      </c>
    </row>
    <row r="2047" spans="1:50">
      <c r="A2047" s="1">
        <f>HYPERLINK("https://cms.ls-nyc.org/matter/dynamic-profile/view/1841674","17-1841674")</f>
        <v>0</v>
      </c>
      <c r="B2047" t="s">
        <v>141</v>
      </c>
      <c r="C2047" t="s">
        <v>234</v>
      </c>
      <c r="D2047" t="s">
        <v>497</v>
      </c>
      <c r="E2047" t="s">
        <v>699</v>
      </c>
      <c r="F2047" t="s">
        <v>1926</v>
      </c>
      <c r="G2047" t="s">
        <v>1965</v>
      </c>
      <c r="H2047" t="s">
        <v>4502</v>
      </c>
      <c r="I2047" t="s">
        <v>4840</v>
      </c>
      <c r="J2047" t="s">
        <v>5320</v>
      </c>
      <c r="K2047">
        <v>11212</v>
      </c>
      <c r="L2047" t="s">
        <v>5355</v>
      </c>
      <c r="M2047" t="s">
        <v>5355</v>
      </c>
      <c r="N2047" t="s">
        <v>6171</v>
      </c>
      <c r="P2047" t="s">
        <v>6530</v>
      </c>
      <c r="Q2047" t="s">
        <v>6531</v>
      </c>
      <c r="R2047" t="s">
        <v>6539</v>
      </c>
      <c r="U2047" t="s">
        <v>6557</v>
      </c>
      <c r="W2047" t="s">
        <v>419</v>
      </c>
      <c r="X2047">
        <v>0</v>
      </c>
      <c r="Y2047" t="s">
        <v>6605</v>
      </c>
      <c r="AA2047" t="s">
        <v>6633</v>
      </c>
      <c r="AB2047" t="s">
        <v>8341</v>
      </c>
      <c r="AD2047" t="s">
        <v>10666</v>
      </c>
      <c r="AE2047">
        <v>70</v>
      </c>
      <c r="AH2047">
        <v>0</v>
      </c>
      <c r="AI2047">
        <v>1</v>
      </c>
      <c r="AJ2047">
        <v>3</v>
      </c>
      <c r="AK2047">
        <v>113.82</v>
      </c>
      <c r="AN2047" t="s">
        <v>11050</v>
      </c>
      <c r="AO2047">
        <v>28000</v>
      </c>
      <c r="AU2047">
        <v>16.37</v>
      </c>
      <c r="AV2047" t="s">
        <v>247</v>
      </c>
      <c r="AW2047" t="s">
        <v>109</v>
      </c>
    </row>
    <row r="2048" spans="1:50">
      <c r="A2048" s="1">
        <f>HYPERLINK("https://cms.ls-nyc.org/matter/dynamic-profile/view/1867856","18-1867856")</f>
        <v>0</v>
      </c>
      <c r="B2048" t="s">
        <v>92</v>
      </c>
      <c r="C2048" t="s">
        <v>235</v>
      </c>
      <c r="D2048" t="s">
        <v>334</v>
      </c>
      <c r="F2048" t="s">
        <v>1927</v>
      </c>
      <c r="G2048" t="s">
        <v>2448</v>
      </c>
      <c r="H2048" t="s">
        <v>3579</v>
      </c>
      <c r="I2048">
        <v>515</v>
      </c>
      <c r="J2048" t="s">
        <v>5323</v>
      </c>
      <c r="K2048">
        <v>10029</v>
      </c>
      <c r="L2048" t="s">
        <v>5355</v>
      </c>
      <c r="M2048" t="s">
        <v>5355</v>
      </c>
      <c r="N2048" t="s">
        <v>5632</v>
      </c>
      <c r="O2048" t="s">
        <v>6494</v>
      </c>
      <c r="P2048" t="s">
        <v>6530</v>
      </c>
      <c r="R2048" t="s">
        <v>6539</v>
      </c>
      <c r="S2048" t="s">
        <v>5355</v>
      </c>
      <c r="U2048" t="s">
        <v>6557</v>
      </c>
      <c r="V2048" t="s">
        <v>6566</v>
      </c>
      <c r="W2048" t="s">
        <v>334</v>
      </c>
      <c r="X2048">
        <v>2240</v>
      </c>
      <c r="Y2048" t="s">
        <v>6608</v>
      </c>
      <c r="Z2048" t="s">
        <v>6622</v>
      </c>
      <c r="AB2048" t="s">
        <v>8342</v>
      </c>
      <c r="AD2048" t="s">
        <v>10667</v>
      </c>
      <c r="AE2048">
        <v>108</v>
      </c>
      <c r="AF2048" t="s">
        <v>11008</v>
      </c>
      <c r="AG2048" t="s">
        <v>11020</v>
      </c>
      <c r="AH2048">
        <v>18</v>
      </c>
      <c r="AI2048">
        <v>3</v>
      </c>
      <c r="AJ2048">
        <v>3</v>
      </c>
      <c r="AK2048">
        <v>113.89</v>
      </c>
      <c r="AN2048" t="s">
        <v>11050</v>
      </c>
      <c r="AO2048">
        <v>38428</v>
      </c>
      <c r="AU2048">
        <v>0.75</v>
      </c>
      <c r="AV2048" t="s">
        <v>11463</v>
      </c>
      <c r="AW2048" t="s">
        <v>11497</v>
      </c>
    </row>
    <row r="2049" spans="1:50">
      <c r="A2049" s="1">
        <f>HYPERLINK("https://cms.ls-nyc.org/matter/dynamic-profile/view/1840948","17-1840948")</f>
        <v>0</v>
      </c>
      <c r="B2049" t="s">
        <v>72</v>
      </c>
      <c r="C2049" t="s">
        <v>234</v>
      </c>
      <c r="D2049" t="s">
        <v>619</v>
      </c>
      <c r="E2049" t="s">
        <v>427</v>
      </c>
      <c r="F2049" t="s">
        <v>1928</v>
      </c>
      <c r="G2049" t="s">
        <v>3231</v>
      </c>
      <c r="H2049" t="s">
        <v>4503</v>
      </c>
      <c r="I2049" t="s">
        <v>4868</v>
      </c>
      <c r="J2049" t="s">
        <v>5320</v>
      </c>
      <c r="K2049">
        <v>11233</v>
      </c>
      <c r="L2049" t="s">
        <v>5355</v>
      </c>
      <c r="M2049" t="s">
        <v>5355</v>
      </c>
      <c r="O2049" t="s">
        <v>6492</v>
      </c>
      <c r="P2049" t="s">
        <v>6530</v>
      </c>
      <c r="Q2049" t="s">
        <v>6534</v>
      </c>
      <c r="R2049" t="s">
        <v>6539</v>
      </c>
      <c r="S2049" t="s">
        <v>5357</v>
      </c>
      <c r="U2049" t="s">
        <v>6557</v>
      </c>
      <c r="W2049" t="s">
        <v>6578</v>
      </c>
      <c r="X2049">
        <v>1700</v>
      </c>
      <c r="Y2049" t="s">
        <v>6605</v>
      </c>
      <c r="Z2049" t="s">
        <v>6622</v>
      </c>
      <c r="AA2049" t="s">
        <v>6637</v>
      </c>
      <c r="AB2049" t="s">
        <v>8343</v>
      </c>
      <c r="AE2049">
        <v>14</v>
      </c>
      <c r="AF2049" t="s">
        <v>11005</v>
      </c>
      <c r="AG2049" t="s">
        <v>5406</v>
      </c>
      <c r="AH2049">
        <v>1</v>
      </c>
      <c r="AI2049">
        <v>2</v>
      </c>
      <c r="AJ2049">
        <v>1</v>
      </c>
      <c r="AK2049">
        <v>114.59</v>
      </c>
      <c r="AN2049" t="s">
        <v>11050</v>
      </c>
      <c r="AO2049">
        <v>23400</v>
      </c>
      <c r="AR2049" t="s">
        <v>11210</v>
      </c>
      <c r="AS2049" t="s">
        <v>11253</v>
      </c>
      <c r="AT2049" t="s">
        <v>11293</v>
      </c>
      <c r="AU2049">
        <v>33.99</v>
      </c>
      <c r="AV2049" t="s">
        <v>238</v>
      </c>
      <c r="AW2049" t="s">
        <v>72</v>
      </c>
    </row>
    <row r="2050" spans="1:50">
      <c r="A2050" s="1">
        <f>HYPERLINK("https://cms.ls-nyc.org/matter/dynamic-profile/view/1850312","17-1850312")</f>
        <v>0</v>
      </c>
      <c r="B2050" t="s">
        <v>157</v>
      </c>
      <c r="C2050" t="s">
        <v>234</v>
      </c>
      <c r="D2050" t="s">
        <v>376</v>
      </c>
      <c r="E2050" t="s">
        <v>665</v>
      </c>
      <c r="F2050" t="s">
        <v>998</v>
      </c>
      <c r="G2050" t="s">
        <v>2115</v>
      </c>
      <c r="H2050" t="s">
        <v>4504</v>
      </c>
      <c r="I2050" t="s">
        <v>4817</v>
      </c>
      <c r="J2050" t="s">
        <v>5321</v>
      </c>
      <c r="K2050">
        <v>10452</v>
      </c>
      <c r="L2050" t="s">
        <v>5356</v>
      </c>
      <c r="M2050" t="s">
        <v>5356</v>
      </c>
      <c r="N2050" t="s">
        <v>6172</v>
      </c>
      <c r="O2050" t="s">
        <v>6492</v>
      </c>
      <c r="P2050" t="s">
        <v>6530</v>
      </c>
      <c r="Q2050" t="s">
        <v>6534</v>
      </c>
      <c r="R2050" t="s">
        <v>6539</v>
      </c>
      <c r="S2050" t="s">
        <v>5357</v>
      </c>
      <c r="U2050" t="s">
        <v>6557</v>
      </c>
      <c r="W2050" t="s">
        <v>433</v>
      </c>
      <c r="X2050">
        <v>925</v>
      </c>
      <c r="Y2050" t="s">
        <v>6606</v>
      </c>
      <c r="Z2050" t="s">
        <v>6623</v>
      </c>
      <c r="AA2050" t="s">
        <v>6637</v>
      </c>
      <c r="AB2050" t="s">
        <v>8344</v>
      </c>
      <c r="AC2050" t="s">
        <v>9051</v>
      </c>
      <c r="AE2050">
        <v>79</v>
      </c>
      <c r="AF2050" t="s">
        <v>11005</v>
      </c>
      <c r="AG2050" t="s">
        <v>5406</v>
      </c>
      <c r="AH2050">
        <v>3</v>
      </c>
      <c r="AI2050">
        <v>1</v>
      </c>
      <c r="AJ2050">
        <v>2</v>
      </c>
      <c r="AK2050">
        <v>114.59</v>
      </c>
      <c r="AN2050" t="s">
        <v>11049</v>
      </c>
      <c r="AO2050">
        <v>23400</v>
      </c>
      <c r="AQ2050" t="s">
        <v>11191</v>
      </c>
      <c r="AR2050" t="s">
        <v>11242</v>
      </c>
      <c r="AS2050" t="s">
        <v>11253</v>
      </c>
      <c r="AT2050" t="s">
        <v>11394</v>
      </c>
      <c r="AU2050">
        <v>26</v>
      </c>
      <c r="AV2050" t="s">
        <v>265</v>
      </c>
      <c r="AW2050" t="s">
        <v>157</v>
      </c>
    </row>
    <row r="2051" spans="1:50">
      <c r="A2051" s="1">
        <f>HYPERLINK("https://cms.ls-nyc.org/matter/dynamic-profile/view/1840349","17-1840349")</f>
        <v>0</v>
      </c>
      <c r="B2051" t="s">
        <v>92</v>
      </c>
      <c r="C2051" t="s">
        <v>234</v>
      </c>
      <c r="D2051" t="s">
        <v>387</v>
      </c>
      <c r="E2051" t="s">
        <v>676</v>
      </c>
      <c r="F2051" t="s">
        <v>914</v>
      </c>
      <c r="G2051" t="s">
        <v>1643</v>
      </c>
      <c r="H2051" t="s">
        <v>3575</v>
      </c>
      <c r="I2051">
        <v>43</v>
      </c>
      <c r="J2051" t="s">
        <v>5323</v>
      </c>
      <c r="K2051">
        <v>10040</v>
      </c>
      <c r="L2051" t="s">
        <v>5355</v>
      </c>
      <c r="M2051" t="s">
        <v>5355</v>
      </c>
      <c r="N2051" t="s">
        <v>5439</v>
      </c>
      <c r="O2051" t="s">
        <v>6494</v>
      </c>
      <c r="P2051" t="s">
        <v>6530</v>
      </c>
      <c r="Q2051" t="s">
        <v>6534</v>
      </c>
      <c r="R2051" t="s">
        <v>6539</v>
      </c>
      <c r="S2051" t="s">
        <v>5355</v>
      </c>
      <c r="U2051" t="s">
        <v>6557</v>
      </c>
      <c r="W2051" t="s">
        <v>460</v>
      </c>
      <c r="X2051">
        <v>1235.75</v>
      </c>
      <c r="Y2051" t="s">
        <v>6608</v>
      </c>
      <c r="Z2051" t="s">
        <v>6622</v>
      </c>
      <c r="AA2051" t="s">
        <v>6634</v>
      </c>
      <c r="AB2051" t="s">
        <v>8345</v>
      </c>
      <c r="AD2051" t="s">
        <v>10668</v>
      </c>
      <c r="AE2051">
        <v>45</v>
      </c>
      <c r="AF2051" t="s">
        <v>11005</v>
      </c>
      <c r="AG2051" t="s">
        <v>5406</v>
      </c>
      <c r="AH2051">
        <v>40</v>
      </c>
      <c r="AI2051">
        <v>3</v>
      </c>
      <c r="AJ2051">
        <v>1</v>
      </c>
      <c r="AK2051">
        <v>114.59</v>
      </c>
      <c r="AL2051" t="s">
        <v>301</v>
      </c>
      <c r="AN2051" t="s">
        <v>11049</v>
      </c>
      <c r="AO2051">
        <v>28188</v>
      </c>
      <c r="AQ2051" t="s">
        <v>11190</v>
      </c>
      <c r="AR2051" t="s">
        <v>11206</v>
      </c>
      <c r="AS2051" t="s">
        <v>11253</v>
      </c>
      <c r="AT2051" t="s">
        <v>11263</v>
      </c>
      <c r="AU2051">
        <v>4.1</v>
      </c>
      <c r="AV2051" t="s">
        <v>676</v>
      </c>
      <c r="AW2051" t="s">
        <v>11495</v>
      </c>
    </row>
    <row r="2052" spans="1:50">
      <c r="A2052" s="1">
        <f>HYPERLINK("https://cms.ls-nyc.org/matter/dynamic-profile/view/1843741","17-1843741")</f>
        <v>0</v>
      </c>
      <c r="B2052" t="s">
        <v>52</v>
      </c>
      <c r="C2052" t="s">
        <v>234</v>
      </c>
      <c r="D2052" t="s">
        <v>374</v>
      </c>
      <c r="E2052" t="s">
        <v>738</v>
      </c>
      <c r="F2052" t="s">
        <v>1929</v>
      </c>
      <c r="G2052" t="s">
        <v>2281</v>
      </c>
      <c r="H2052" t="s">
        <v>4505</v>
      </c>
      <c r="I2052" t="s">
        <v>5244</v>
      </c>
      <c r="J2052" t="s">
        <v>5324</v>
      </c>
      <c r="K2052">
        <v>11355</v>
      </c>
      <c r="L2052" t="s">
        <v>5355</v>
      </c>
      <c r="M2052" t="s">
        <v>5355</v>
      </c>
      <c r="N2052" t="s">
        <v>6173</v>
      </c>
      <c r="O2052" t="s">
        <v>6491</v>
      </c>
      <c r="P2052" t="s">
        <v>6530</v>
      </c>
      <c r="Q2052" t="s">
        <v>6534</v>
      </c>
      <c r="R2052" t="s">
        <v>6539</v>
      </c>
      <c r="S2052" t="s">
        <v>5357</v>
      </c>
      <c r="U2052" t="s">
        <v>6557</v>
      </c>
      <c r="V2052" t="s">
        <v>6566</v>
      </c>
      <c r="W2052" t="s">
        <v>419</v>
      </c>
      <c r="X2052">
        <v>2350</v>
      </c>
      <c r="Y2052" t="s">
        <v>6604</v>
      </c>
      <c r="Z2052" t="s">
        <v>6609</v>
      </c>
      <c r="AA2052" t="s">
        <v>6633</v>
      </c>
      <c r="AB2052" t="s">
        <v>8346</v>
      </c>
      <c r="AD2052" t="s">
        <v>10669</v>
      </c>
      <c r="AE2052">
        <v>25</v>
      </c>
      <c r="AF2052" t="s">
        <v>11004</v>
      </c>
      <c r="AG2052" t="s">
        <v>5406</v>
      </c>
      <c r="AH2052">
        <v>10</v>
      </c>
      <c r="AI2052">
        <v>3</v>
      </c>
      <c r="AJ2052">
        <v>2</v>
      </c>
      <c r="AK2052">
        <v>114.66</v>
      </c>
      <c r="AL2052" t="s">
        <v>266</v>
      </c>
      <c r="AN2052" t="s">
        <v>11053</v>
      </c>
      <c r="AO2052">
        <v>33000</v>
      </c>
      <c r="AQ2052" t="s">
        <v>11192</v>
      </c>
      <c r="AR2052" t="s">
        <v>11213</v>
      </c>
      <c r="AS2052" t="s">
        <v>11252</v>
      </c>
      <c r="AT2052" t="s">
        <v>11395</v>
      </c>
      <c r="AU2052">
        <v>18.61</v>
      </c>
      <c r="AV2052" t="s">
        <v>724</v>
      </c>
      <c r="AW2052" t="s">
        <v>134</v>
      </c>
    </row>
    <row r="2053" spans="1:50">
      <c r="A2053" s="1">
        <f>HYPERLINK("https://cms.ls-nyc.org/matter/dynamic-profile/view/1862042","18-1862042")</f>
        <v>0</v>
      </c>
      <c r="B2053" t="s">
        <v>90</v>
      </c>
      <c r="C2053" t="s">
        <v>235</v>
      </c>
      <c r="D2053" t="s">
        <v>325</v>
      </c>
      <c r="F2053" t="s">
        <v>1408</v>
      </c>
      <c r="G2053" t="s">
        <v>2677</v>
      </c>
      <c r="H2053" t="s">
        <v>3589</v>
      </c>
      <c r="I2053" t="s">
        <v>4832</v>
      </c>
      <c r="J2053" t="s">
        <v>5321</v>
      </c>
      <c r="K2053">
        <v>10452</v>
      </c>
      <c r="L2053" t="s">
        <v>5355</v>
      </c>
      <c r="M2053" t="s">
        <v>5356</v>
      </c>
      <c r="N2053" t="s">
        <v>6174</v>
      </c>
      <c r="O2053" t="s">
        <v>6494</v>
      </c>
      <c r="P2053" t="s">
        <v>6530</v>
      </c>
      <c r="R2053" t="s">
        <v>6539</v>
      </c>
      <c r="S2053" t="s">
        <v>5355</v>
      </c>
      <c r="U2053" t="s">
        <v>6557</v>
      </c>
      <c r="W2053" t="s">
        <v>480</v>
      </c>
      <c r="X2053">
        <v>910</v>
      </c>
      <c r="Y2053" t="s">
        <v>6606</v>
      </c>
      <c r="Z2053" t="s">
        <v>6612</v>
      </c>
      <c r="AB2053" t="s">
        <v>7432</v>
      </c>
      <c r="AC2053" t="s">
        <v>8811</v>
      </c>
      <c r="AD2053" t="s">
        <v>9804</v>
      </c>
      <c r="AE2053">
        <v>60</v>
      </c>
      <c r="AF2053" t="s">
        <v>11005</v>
      </c>
      <c r="AG2053" t="s">
        <v>5406</v>
      </c>
      <c r="AH2053">
        <v>10</v>
      </c>
      <c r="AI2053">
        <v>2</v>
      </c>
      <c r="AJ2053">
        <v>1</v>
      </c>
      <c r="AK2053">
        <v>115.26</v>
      </c>
      <c r="AN2053" t="s">
        <v>11049</v>
      </c>
      <c r="AO2053">
        <v>23952</v>
      </c>
      <c r="AU2053">
        <v>0</v>
      </c>
      <c r="AW2053" t="s">
        <v>11492</v>
      </c>
    </row>
    <row r="2054" spans="1:50">
      <c r="A2054" s="1">
        <f>HYPERLINK("https://cms.ls-nyc.org/matter/dynamic-profile/view/1850921","17-1850921")</f>
        <v>0</v>
      </c>
      <c r="B2054" t="s">
        <v>92</v>
      </c>
      <c r="C2054" t="s">
        <v>234</v>
      </c>
      <c r="D2054" t="s">
        <v>292</v>
      </c>
      <c r="E2054" t="s">
        <v>695</v>
      </c>
      <c r="F2054" t="s">
        <v>914</v>
      </c>
      <c r="G2054" t="s">
        <v>2105</v>
      </c>
      <c r="H2054" t="s">
        <v>4506</v>
      </c>
      <c r="I2054">
        <v>52</v>
      </c>
      <c r="J2054" t="s">
        <v>5323</v>
      </c>
      <c r="K2054">
        <v>10034</v>
      </c>
      <c r="L2054" t="s">
        <v>5355</v>
      </c>
      <c r="M2054" t="s">
        <v>5356</v>
      </c>
      <c r="N2054" t="s">
        <v>6175</v>
      </c>
      <c r="O2054" t="s">
        <v>6491</v>
      </c>
      <c r="P2054" t="s">
        <v>6530</v>
      </c>
      <c r="Q2054" t="s">
        <v>6534</v>
      </c>
      <c r="R2054" t="s">
        <v>6539</v>
      </c>
      <c r="S2054" t="s">
        <v>5357</v>
      </c>
      <c r="U2054" t="s">
        <v>6557</v>
      </c>
      <c r="W2054" t="s">
        <v>292</v>
      </c>
      <c r="X2054">
        <v>871.46</v>
      </c>
      <c r="Y2054" t="s">
        <v>6608</v>
      </c>
      <c r="Z2054" t="s">
        <v>6616</v>
      </c>
      <c r="AA2054" t="s">
        <v>6637</v>
      </c>
      <c r="AB2054" t="s">
        <v>8347</v>
      </c>
      <c r="AD2054" t="s">
        <v>10670</v>
      </c>
      <c r="AE2054">
        <v>25</v>
      </c>
      <c r="AF2054" t="s">
        <v>11005</v>
      </c>
      <c r="AG2054" t="s">
        <v>5406</v>
      </c>
      <c r="AH2054">
        <v>37</v>
      </c>
      <c r="AI2054">
        <v>3</v>
      </c>
      <c r="AJ2054">
        <v>0</v>
      </c>
      <c r="AK2054">
        <v>115.38</v>
      </c>
      <c r="AN2054" t="s">
        <v>11049</v>
      </c>
      <c r="AO2054">
        <v>23560</v>
      </c>
      <c r="AU2054">
        <v>9.75</v>
      </c>
      <c r="AV2054" t="s">
        <v>428</v>
      </c>
      <c r="AW2054" t="s">
        <v>11495</v>
      </c>
    </row>
    <row r="2055" spans="1:50">
      <c r="A2055" s="1">
        <f>HYPERLINK("https://cms.ls-nyc.org/matter/dynamic-profile/view/1860851","18-1860851")</f>
        <v>0</v>
      </c>
      <c r="B2055" t="s">
        <v>179</v>
      </c>
      <c r="C2055" t="s">
        <v>235</v>
      </c>
      <c r="D2055" t="s">
        <v>306</v>
      </c>
      <c r="F2055" t="s">
        <v>892</v>
      </c>
      <c r="G2055" t="s">
        <v>3232</v>
      </c>
      <c r="H2055" t="s">
        <v>4083</v>
      </c>
      <c r="I2055" t="s">
        <v>5118</v>
      </c>
      <c r="J2055" t="s">
        <v>5320</v>
      </c>
      <c r="K2055">
        <v>11226</v>
      </c>
      <c r="L2055" t="s">
        <v>5355</v>
      </c>
      <c r="M2055" t="s">
        <v>5356</v>
      </c>
      <c r="N2055" t="s">
        <v>6064</v>
      </c>
      <c r="O2055" t="s">
        <v>6516</v>
      </c>
      <c r="P2055" t="s">
        <v>6530</v>
      </c>
      <c r="R2055" t="s">
        <v>6539</v>
      </c>
      <c r="S2055" t="s">
        <v>5355</v>
      </c>
      <c r="T2055" t="s">
        <v>6545</v>
      </c>
      <c r="U2055" t="s">
        <v>6557</v>
      </c>
      <c r="W2055" t="s">
        <v>516</v>
      </c>
      <c r="X2055">
        <v>0</v>
      </c>
      <c r="Y2055" t="s">
        <v>6605</v>
      </c>
      <c r="Z2055" t="s">
        <v>6612</v>
      </c>
      <c r="AB2055" t="s">
        <v>8348</v>
      </c>
      <c r="AE2055">
        <v>61</v>
      </c>
      <c r="AF2055" t="s">
        <v>11005</v>
      </c>
      <c r="AG2055" t="s">
        <v>5406</v>
      </c>
      <c r="AH2055">
        <v>35</v>
      </c>
      <c r="AI2055">
        <v>1</v>
      </c>
      <c r="AJ2055">
        <v>1</v>
      </c>
      <c r="AK2055">
        <v>115.43</v>
      </c>
      <c r="AN2055" t="s">
        <v>11050</v>
      </c>
      <c r="AO2055">
        <v>19000</v>
      </c>
      <c r="AU2055">
        <v>0.7</v>
      </c>
      <c r="AV2055" t="s">
        <v>296</v>
      </c>
      <c r="AW2055" t="s">
        <v>11490</v>
      </c>
    </row>
    <row r="2056" spans="1:50">
      <c r="A2056" s="1">
        <f>HYPERLINK("https://cms.ls-nyc.org/matter/dynamic-profile/view/1862660","18-1862660")</f>
        <v>0</v>
      </c>
      <c r="B2056" t="s">
        <v>179</v>
      </c>
      <c r="C2056" t="s">
        <v>235</v>
      </c>
      <c r="D2056" t="s">
        <v>408</v>
      </c>
      <c r="F2056" t="s">
        <v>892</v>
      </c>
      <c r="G2056" t="s">
        <v>3232</v>
      </c>
      <c r="H2056" t="s">
        <v>4083</v>
      </c>
      <c r="I2056" t="s">
        <v>5118</v>
      </c>
      <c r="J2056" t="s">
        <v>5320</v>
      </c>
      <c r="K2056">
        <v>11226</v>
      </c>
      <c r="L2056" t="s">
        <v>5355</v>
      </c>
      <c r="M2056" t="s">
        <v>5356</v>
      </c>
      <c r="N2056" t="s">
        <v>6176</v>
      </c>
      <c r="O2056" t="s">
        <v>6499</v>
      </c>
      <c r="P2056" t="s">
        <v>6530</v>
      </c>
      <c r="R2056" t="s">
        <v>6539</v>
      </c>
      <c r="S2056" t="s">
        <v>5355</v>
      </c>
      <c r="T2056" t="s">
        <v>6545</v>
      </c>
      <c r="U2056" t="s">
        <v>6557</v>
      </c>
      <c r="W2056" t="s">
        <v>516</v>
      </c>
      <c r="X2056">
        <v>0</v>
      </c>
      <c r="Y2056" t="s">
        <v>6605</v>
      </c>
      <c r="Z2056" t="s">
        <v>6612</v>
      </c>
      <c r="AB2056" t="s">
        <v>8348</v>
      </c>
      <c r="AE2056">
        <v>61</v>
      </c>
      <c r="AF2056" t="s">
        <v>11005</v>
      </c>
      <c r="AH2056">
        <v>35</v>
      </c>
      <c r="AI2056">
        <v>1</v>
      </c>
      <c r="AJ2056">
        <v>1</v>
      </c>
      <c r="AK2056">
        <v>115.43</v>
      </c>
      <c r="AN2056" t="s">
        <v>11050</v>
      </c>
      <c r="AO2056">
        <v>19000</v>
      </c>
      <c r="AU2056">
        <v>0.5</v>
      </c>
      <c r="AV2056" t="s">
        <v>541</v>
      </c>
      <c r="AW2056" t="s">
        <v>11490</v>
      </c>
    </row>
    <row r="2057" spans="1:50">
      <c r="A2057" s="1">
        <f>HYPERLINK("https://cms.ls-nyc.org/matter/dynamic-profile/view/1863845","18-1863845")</f>
        <v>0</v>
      </c>
      <c r="B2057" t="s">
        <v>92</v>
      </c>
      <c r="C2057" t="s">
        <v>235</v>
      </c>
      <c r="D2057" t="s">
        <v>288</v>
      </c>
      <c r="F2057" t="s">
        <v>914</v>
      </c>
      <c r="G2057" t="s">
        <v>2216</v>
      </c>
      <c r="H2057" t="s">
        <v>3579</v>
      </c>
      <c r="I2057">
        <v>814</v>
      </c>
      <c r="J2057" t="s">
        <v>5323</v>
      </c>
      <c r="K2057">
        <v>10029</v>
      </c>
      <c r="L2057" t="s">
        <v>5355</v>
      </c>
      <c r="M2057" t="s">
        <v>5356</v>
      </c>
      <c r="O2057" t="s">
        <v>6494</v>
      </c>
      <c r="P2057" t="s">
        <v>6530</v>
      </c>
      <c r="R2057" t="s">
        <v>6539</v>
      </c>
      <c r="S2057" t="s">
        <v>5355</v>
      </c>
      <c r="U2057" t="s">
        <v>6557</v>
      </c>
      <c r="V2057" t="s">
        <v>6566</v>
      </c>
      <c r="W2057" t="s">
        <v>263</v>
      </c>
      <c r="X2057">
        <v>0</v>
      </c>
      <c r="Y2057" t="s">
        <v>6608</v>
      </c>
      <c r="Z2057" t="s">
        <v>6622</v>
      </c>
      <c r="AB2057" t="s">
        <v>8349</v>
      </c>
      <c r="AE2057">
        <v>108</v>
      </c>
      <c r="AF2057" t="s">
        <v>11008</v>
      </c>
      <c r="AG2057" t="s">
        <v>11020</v>
      </c>
      <c r="AH2057">
        <v>2</v>
      </c>
      <c r="AI2057">
        <v>1</v>
      </c>
      <c r="AJ2057">
        <v>2</v>
      </c>
      <c r="AK2057">
        <v>115.5</v>
      </c>
      <c r="AN2057" t="s">
        <v>11050</v>
      </c>
      <c r="AO2057">
        <v>24000</v>
      </c>
      <c r="AU2057">
        <v>0.25</v>
      </c>
      <c r="AV2057" t="s">
        <v>786</v>
      </c>
      <c r="AW2057" t="s">
        <v>11497</v>
      </c>
      <c r="AX2057" t="s">
        <v>11564</v>
      </c>
    </row>
    <row r="2058" spans="1:50">
      <c r="A2058" s="1">
        <f>HYPERLINK("https://cms.ls-nyc.org/matter/dynamic-profile/view/1852953","17-1852953")</f>
        <v>0</v>
      </c>
      <c r="B2058" t="s">
        <v>63</v>
      </c>
      <c r="C2058" t="s">
        <v>235</v>
      </c>
      <c r="D2058" t="s">
        <v>353</v>
      </c>
      <c r="F2058" t="s">
        <v>1331</v>
      </c>
      <c r="G2058" t="s">
        <v>3233</v>
      </c>
      <c r="H2058" t="s">
        <v>3746</v>
      </c>
      <c r="I2058">
        <v>4</v>
      </c>
      <c r="J2058" t="s">
        <v>5322</v>
      </c>
      <c r="K2058">
        <v>10301</v>
      </c>
      <c r="L2058" t="s">
        <v>5355</v>
      </c>
      <c r="M2058" t="s">
        <v>5356</v>
      </c>
      <c r="N2058" t="s">
        <v>6177</v>
      </c>
      <c r="O2058" t="s">
        <v>6492</v>
      </c>
      <c r="P2058" t="s">
        <v>6530</v>
      </c>
      <c r="R2058" t="s">
        <v>6539</v>
      </c>
      <c r="S2058" t="s">
        <v>5357</v>
      </c>
      <c r="U2058" t="s">
        <v>6557</v>
      </c>
      <c r="W2058" t="s">
        <v>353</v>
      </c>
      <c r="X2058">
        <v>300</v>
      </c>
      <c r="Y2058" t="s">
        <v>6607</v>
      </c>
      <c r="Z2058" t="s">
        <v>6622</v>
      </c>
      <c r="AB2058" t="s">
        <v>8350</v>
      </c>
      <c r="AD2058" t="s">
        <v>10671</v>
      </c>
      <c r="AE2058">
        <v>17</v>
      </c>
      <c r="AF2058" t="s">
        <v>11005</v>
      </c>
      <c r="AG2058" t="s">
        <v>5406</v>
      </c>
      <c r="AH2058">
        <v>10</v>
      </c>
      <c r="AI2058">
        <v>1</v>
      </c>
      <c r="AJ2058">
        <v>0</v>
      </c>
      <c r="AK2058">
        <v>115.56</v>
      </c>
      <c r="AN2058" t="s">
        <v>11050</v>
      </c>
      <c r="AO2058">
        <v>13936</v>
      </c>
      <c r="AU2058">
        <v>14.7</v>
      </c>
      <c r="AV2058" t="s">
        <v>715</v>
      </c>
      <c r="AW2058" t="s">
        <v>11510</v>
      </c>
    </row>
    <row r="2059" spans="1:50">
      <c r="A2059" s="1">
        <f>HYPERLINK("https://cms.ls-nyc.org/matter/dynamic-profile/view/1841447","17-1841447")</f>
        <v>0</v>
      </c>
      <c r="B2059" t="s">
        <v>97</v>
      </c>
      <c r="C2059" t="s">
        <v>234</v>
      </c>
      <c r="D2059" t="s">
        <v>499</v>
      </c>
      <c r="E2059" t="s">
        <v>665</v>
      </c>
      <c r="F2059" t="s">
        <v>1072</v>
      </c>
      <c r="G2059" t="s">
        <v>2499</v>
      </c>
      <c r="H2059" t="s">
        <v>3795</v>
      </c>
      <c r="I2059">
        <v>4</v>
      </c>
      <c r="J2059" t="s">
        <v>5323</v>
      </c>
      <c r="K2059">
        <v>10034</v>
      </c>
      <c r="L2059" t="s">
        <v>5355</v>
      </c>
      <c r="M2059" t="s">
        <v>5356</v>
      </c>
      <c r="N2059" t="s">
        <v>6178</v>
      </c>
      <c r="O2059" t="s">
        <v>6491</v>
      </c>
      <c r="P2059" t="s">
        <v>6530</v>
      </c>
      <c r="Q2059" t="s">
        <v>6534</v>
      </c>
      <c r="R2059" t="s">
        <v>6539</v>
      </c>
      <c r="S2059" t="s">
        <v>5357</v>
      </c>
      <c r="U2059" t="s">
        <v>6557</v>
      </c>
      <c r="W2059" t="s">
        <v>404</v>
      </c>
      <c r="X2059">
        <v>942</v>
      </c>
      <c r="Y2059" t="s">
        <v>6608</v>
      </c>
      <c r="Z2059" t="s">
        <v>6616</v>
      </c>
      <c r="AA2059" t="s">
        <v>6633</v>
      </c>
      <c r="AB2059" t="s">
        <v>8351</v>
      </c>
      <c r="AD2059" t="s">
        <v>10672</v>
      </c>
      <c r="AE2059">
        <v>25</v>
      </c>
      <c r="AF2059" t="s">
        <v>11005</v>
      </c>
      <c r="AG2059" t="s">
        <v>5406</v>
      </c>
      <c r="AH2059">
        <v>12</v>
      </c>
      <c r="AI2059">
        <v>2</v>
      </c>
      <c r="AJ2059">
        <v>1</v>
      </c>
      <c r="AK2059">
        <v>116.12</v>
      </c>
      <c r="AN2059" t="s">
        <v>11049</v>
      </c>
      <c r="AO2059">
        <v>23712</v>
      </c>
      <c r="AU2059">
        <v>39.7</v>
      </c>
      <c r="AV2059" t="s">
        <v>413</v>
      </c>
      <c r="AW2059" t="s">
        <v>11495</v>
      </c>
    </row>
    <row r="2060" spans="1:50">
      <c r="A2060" s="1">
        <f>HYPERLINK("https://cms.ls-nyc.org/matter/dynamic-profile/view/1851878","17-1851878")</f>
        <v>0</v>
      </c>
      <c r="B2060" t="s">
        <v>182</v>
      </c>
      <c r="C2060" t="s">
        <v>234</v>
      </c>
      <c r="D2060" t="s">
        <v>463</v>
      </c>
      <c r="E2060" t="s">
        <v>751</v>
      </c>
      <c r="F2060" t="s">
        <v>1443</v>
      </c>
      <c r="G2060" t="s">
        <v>3234</v>
      </c>
      <c r="H2060" t="s">
        <v>4261</v>
      </c>
      <c r="I2060" t="s">
        <v>4789</v>
      </c>
      <c r="J2060" t="s">
        <v>5322</v>
      </c>
      <c r="K2060">
        <v>10304</v>
      </c>
      <c r="L2060" t="s">
        <v>5355</v>
      </c>
      <c r="M2060" t="s">
        <v>5356</v>
      </c>
      <c r="N2060" t="s">
        <v>6179</v>
      </c>
      <c r="O2060" t="s">
        <v>6491</v>
      </c>
      <c r="P2060" t="s">
        <v>6530</v>
      </c>
      <c r="Q2060" t="s">
        <v>6534</v>
      </c>
      <c r="R2060" t="s">
        <v>6539</v>
      </c>
      <c r="S2060" t="s">
        <v>5357</v>
      </c>
      <c r="U2060" t="s">
        <v>6557</v>
      </c>
      <c r="W2060" t="s">
        <v>463</v>
      </c>
      <c r="X2060">
        <v>500</v>
      </c>
      <c r="Y2060" t="s">
        <v>6607</v>
      </c>
      <c r="Z2060" t="s">
        <v>6493</v>
      </c>
      <c r="AA2060" t="s">
        <v>6633</v>
      </c>
      <c r="AB2060" t="s">
        <v>8352</v>
      </c>
      <c r="AC2060" t="s">
        <v>5392</v>
      </c>
      <c r="AD2060" t="s">
        <v>10673</v>
      </c>
      <c r="AE2060">
        <v>403</v>
      </c>
      <c r="AF2060" t="s">
        <v>11008</v>
      </c>
      <c r="AG2060" t="s">
        <v>11020</v>
      </c>
      <c r="AH2060">
        <v>1</v>
      </c>
      <c r="AI2060">
        <v>1</v>
      </c>
      <c r="AJ2060">
        <v>3</v>
      </c>
      <c r="AK2060">
        <v>116.26</v>
      </c>
      <c r="AN2060" t="s">
        <v>11050</v>
      </c>
      <c r="AO2060">
        <v>28600</v>
      </c>
      <c r="AU2060">
        <v>10.6</v>
      </c>
      <c r="AV2060" t="s">
        <v>751</v>
      </c>
      <c r="AW2060" t="s">
        <v>140</v>
      </c>
    </row>
    <row r="2061" spans="1:50">
      <c r="A2061" s="1">
        <f>HYPERLINK("https://cms.ls-nyc.org/matter/dynamic-profile/view/1857046","18-1857046")</f>
        <v>0</v>
      </c>
      <c r="B2061" t="s">
        <v>182</v>
      </c>
      <c r="C2061" t="s">
        <v>234</v>
      </c>
      <c r="D2061" t="s">
        <v>310</v>
      </c>
      <c r="E2061" t="s">
        <v>740</v>
      </c>
      <c r="F2061" t="s">
        <v>1443</v>
      </c>
      <c r="G2061" t="s">
        <v>3234</v>
      </c>
      <c r="H2061" t="s">
        <v>4261</v>
      </c>
      <c r="I2061" t="s">
        <v>4789</v>
      </c>
      <c r="J2061" t="s">
        <v>5322</v>
      </c>
      <c r="K2061">
        <v>10304</v>
      </c>
      <c r="L2061" t="s">
        <v>5355</v>
      </c>
      <c r="M2061" t="s">
        <v>5356</v>
      </c>
      <c r="N2061" t="s">
        <v>6180</v>
      </c>
      <c r="O2061" t="s">
        <v>6490</v>
      </c>
      <c r="P2061" t="s">
        <v>6530</v>
      </c>
      <c r="Q2061" t="s">
        <v>6534</v>
      </c>
      <c r="R2061" t="s">
        <v>6539</v>
      </c>
      <c r="S2061" t="s">
        <v>5357</v>
      </c>
      <c r="U2061" t="s">
        <v>6557</v>
      </c>
      <c r="W2061" t="s">
        <v>286</v>
      </c>
      <c r="X2061">
        <v>500</v>
      </c>
      <c r="Y2061" t="s">
        <v>6607</v>
      </c>
      <c r="Z2061" t="s">
        <v>6493</v>
      </c>
      <c r="AA2061" t="s">
        <v>6637</v>
      </c>
      <c r="AB2061" t="s">
        <v>8352</v>
      </c>
      <c r="AD2061" t="s">
        <v>10673</v>
      </c>
      <c r="AE2061">
        <v>403</v>
      </c>
      <c r="AF2061" t="s">
        <v>11008</v>
      </c>
      <c r="AG2061" t="s">
        <v>11020</v>
      </c>
      <c r="AH2061">
        <v>1</v>
      </c>
      <c r="AI2061">
        <v>1</v>
      </c>
      <c r="AJ2061">
        <v>3</v>
      </c>
      <c r="AK2061">
        <v>116.26</v>
      </c>
      <c r="AN2061" t="s">
        <v>11050</v>
      </c>
      <c r="AO2061">
        <v>28600</v>
      </c>
      <c r="AU2061">
        <v>1.9</v>
      </c>
      <c r="AV2061" t="s">
        <v>342</v>
      </c>
      <c r="AW2061" t="s">
        <v>11510</v>
      </c>
    </row>
    <row r="2062" spans="1:50">
      <c r="A2062" s="1">
        <f>HYPERLINK("https://cms.ls-nyc.org/matter/dynamic-profile/view/1844694","17-1844694")</f>
        <v>0</v>
      </c>
      <c r="B2062" t="s">
        <v>53</v>
      </c>
      <c r="C2062" t="s">
        <v>235</v>
      </c>
      <c r="D2062" t="s">
        <v>453</v>
      </c>
      <c r="F2062" t="s">
        <v>1930</v>
      </c>
      <c r="G2062" t="s">
        <v>2660</v>
      </c>
      <c r="H2062" t="s">
        <v>4507</v>
      </c>
      <c r="I2062" t="s">
        <v>4885</v>
      </c>
      <c r="J2062" t="s">
        <v>5320</v>
      </c>
      <c r="K2062">
        <v>11233</v>
      </c>
      <c r="L2062" t="s">
        <v>5355</v>
      </c>
      <c r="M2062" t="s">
        <v>5356</v>
      </c>
      <c r="N2062" t="s">
        <v>6181</v>
      </c>
      <c r="O2062" t="s">
        <v>6491</v>
      </c>
      <c r="P2062" t="s">
        <v>6530</v>
      </c>
      <c r="R2062" t="s">
        <v>6539</v>
      </c>
      <c r="S2062" t="s">
        <v>6541</v>
      </c>
      <c r="U2062" t="s">
        <v>6557</v>
      </c>
      <c r="W2062" t="s">
        <v>6599</v>
      </c>
      <c r="X2062">
        <v>236</v>
      </c>
      <c r="Y2062" t="s">
        <v>6605</v>
      </c>
      <c r="Z2062" t="s">
        <v>6614</v>
      </c>
      <c r="AB2062" t="s">
        <v>8353</v>
      </c>
      <c r="AC2062" t="s">
        <v>8762</v>
      </c>
      <c r="AD2062" t="s">
        <v>10674</v>
      </c>
      <c r="AE2062">
        <v>84</v>
      </c>
      <c r="AF2062" t="s">
        <v>11011</v>
      </c>
      <c r="AG2062" t="s">
        <v>6493</v>
      </c>
      <c r="AH2062">
        <v>8</v>
      </c>
      <c r="AI2062">
        <v>1</v>
      </c>
      <c r="AJ2062">
        <v>0</v>
      </c>
      <c r="AK2062">
        <v>116.42</v>
      </c>
      <c r="AN2062" t="s">
        <v>11050</v>
      </c>
      <c r="AO2062">
        <v>14040</v>
      </c>
      <c r="AU2062">
        <v>132.9</v>
      </c>
      <c r="AV2062" t="s">
        <v>11451</v>
      </c>
      <c r="AW2062" t="s">
        <v>11512</v>
      </c>
    </row>
    <row r="2063" spans="1:50">
      <c r="A2063" s="1">
        <f>HYPERLINK("https://cms.ls-nyc.org/matter/dynamic-profile/view/1854735","17-1854735")</f>
        <v>0</v>
      </c>
      <c r="B2063" t="s">
        <v>56</v>
      </c>
      <c r="C2063" t="s">
        <v>235</v>
      </c>
      <c r="D2063" t="s">
        <v>243</v>
      </c>
      <c r="F2063" t="s">
        <v>1931</v>
      </c>
      <c r="G2063" t="s">
        <v>2107</v>
      </c>
      <c r="H2063" t="s">
        <v>3716</v>
      </c>
      <c r="I2063" t="s">
        <v>5139</v>
      </c>
      <c r="J2063" t="s">
        <v>5321</v>
      </c>
      <c r="K2063">
        <v>10453</v>
      </c>
      <c r="L2063" t="s">
        <v>5355</v>
      </c>
      <c r="M2063" t="s">
        <v>5356</v>
      </c>
      <c r="N2063" t="s">
        <v>6182</v>
      </c>
      <c r="O2063" t="s">
        <v>6492</v>
      </c>
      <c r="P2063" t="s">
        <v>6530</v>
      </c>
      <c r="R2063" t="s">
        <v>6539</v>
      </c>
      <c r="S2063" t="s">
        <v>5357</v>
      </c>
      <c r="U2063" t="s">
        <v>6557</v>
      </c>
      <c r="W2063" t="s">
        <v>247</v>
      </c>
      <c r="X2063">
        <v>1180</v>
      </c>
      <c r="Y2063" t="s">
        <v>6606</v>
      </c>
      <c r="Z2063" t="s">
        <v>6493</v>
      </c>
      <c r="AB2063" t="s">
        <v>8354</v>
      </c>
      <c r="AD2063" t="s">
        <v>10675</v>
      </c>
      <c r="AE2063">
        <v>101</v>
      </c>
      <c r="AF2063" t="s">
        <v>11009</v>
      </c>
      <c r="AG2063" t="s">
        <v>5406</v>
      </c>
      <c r="AH2063">
        <v>10</v>
      </c>
      <c r="AI2063">
        <v>1</v>
      </c>
      <c r="AJ2063">
        <v>0</v>
      </c>
      <c r="AK2063">
        <v>116.42</v>
      </c>
      <c r="AN2063" t="s">
        <v>11050</v>
      </c>
      <c r="AO2063">
        <v>14040</v>
      </c>
      <c r="AP2063" t="s">
        <v>11168</v>
      </c>
      <c r="AU2063">
        <v>51.81</v>
      </c>
      <c r="AV2063" t="s">
        <v>11465</v>
      </c>
      <c r="AW2063" t="s">
        <v>11513</v>
      </c>
    </row>
    <row r="2064" spans="1:50">
      <c r="A2064" s="1">
        <f>HYPERLINK("https://cms.ls-nyc.org/matter/dynamic-profile/view/1850317","17-1850317")</f>
        <v>0</v>
      </c>
      <c r="B2064" t="s">
        <v>94</v>
      </c>
      <c r="C2064" t="s">
        <v>234</v>
      </c>
      <c r="D2064" t="s">
        <v>376</v>
      </c>
      <c r="E2064" t="s">
        <v>803</v>
      </c>
      <c r="F2064" t="s">
        <v>1932</v>
      </c>
      <c r="G2064" t="s">
        <v>3235</v>
      </c>
      <c r="H2064" t="s">
        <v>4508</v>
      </c>
      <c r="I2064">
        <v>419</v>
      </c>
      <c r="J2064" t="s">
        <v>5320</v>
      </c>
      <c r="K2064">
        <v>11239</v>
      </c>
      <c r="L2064" t="s">
        <v>5355</v>
      </c>
      <c r="M2064" t="s">
        <v>5356</v>
      </c>
      <c r="N2064" t="s">
        <v>6183</v>
      </c>
      <c r="O2064" t="s">
        <v>6492</v>
      </c>
      <c r="P2064" t="s">
        <v>6530</v>
      </c>
      <c r="Q2064" t="s">
        <v>6535</v>
      </c>
      <c r="R2064" t="s">
        <v>6539</v>
      </c>
      <c r="S2064" t="s">
        <v>5357</v>
      </c>
      <c r="U2064" t="s">
        <v>6557</v>
      </c>
      <c r="W2064" t="s">
        <v>372</v>
      </c>
      <c r="X2064">
        <v>963</v>
      </c>
      <c r="Y2064" t="s">
        <v>6605</v>
      </c>
      <c r="Z2064" t="s">
        <v>6613</v>
      </c>
      <c r="AA2064" t="s">
        <v>6637</v>
      </c>
      <c r="AB2064" t="s">
        <v>8355</v>
      </c>
      <c r="AC2064">
        <v>8365756</v>
      </c>
      <c r="AD2064" t="s">
        <v>10676</v>
      </c>
      <c r="AE2064">
        <v>137</v>
      </c>
      <c r="AH2064">
        <v>1</v>
      </c>
      <c r="AI2064">
        <v>1</v>
      </c>
      <c r="AJ2064">
        <v>3</v>
      </c>
      <c r="AK2064">
        <v>116.57</v>
      </c>
      <c r="AL2064" t="s">
        <v>555</v>
      </c>
      <c r="AN2064" t="s">
        <v>11050</v>
      </c>
      <c r="AO2064">
        <v>28677</v>
      </c>
      <c r="AU2064">
        <v>28.8</v>
      </c>
      <c r="AV2064" t="s">
        <v>723</v>
      </c>
      <c r="AW2064" t="s">
        <v>11512</v>
      </c>
    </row>
    <row r="2065" spans="1:49">
      <c r="A2065" s="1">
        <f>HYPERLINK("https://cms.ls-nyc.org/matter/dynamic-profile/view/1868382","18-1868382")</f>
        <v>0</v>
      </c>
      <c r="B2065" t="s">
        <v>133</v>
      </c>
      <c r="C2065" t="s">
        <v>234</v>
      </c>
      <c r="D2065" t="s">
        <v>352</v>
      </c>
      <c r="E2065" t="s">
        <v>821</v>
      </c>
      <c r="F2065" t="s">
        <v>1124</v>
      </c>
      <c r="G2065" t="s">
        <v>3236</v>
      </c>
      <c r="H2065" t="s">
        <v>4509</v>
      </c>
      <c r="I2065" t="s">
        <v>4924</v>
      </c>
      <c r="J2065" t="s">
        <v>5334</v>
      </c>
      <c r="K2065">
        <v>11368</v>
      </c>
      <c r="L2065" t="s">
        <v>5355</v>
      </c>
      <c r="M2065" t="s">
        <v>5355</v>
      </c>
      <c r="N2065" t="s">
        <v>6184</v>
      </c>
      <c r="O2065" t="s">
        <v>6492</v>
      </c>
      <c r="P2065" t="s">
        <v>6530</v>
      </c>
      <c r="Q2065" t="s">
        <v>6534</v>
      </c>
      <c r="R2065" t="s">
        <v>6539</v>
      </c>
      <c r="S2065" t="s">
        <v>5357</v>
      </c>
      <c r="U2065" t="s">
        <v>6557</v>
      </c>
      <c r="V2065" t="s">
        <v>6566</v>
      </c>
      <c r="W2065" t="s">
        <v>352</v>
      </c>
      <c r="X2065">
        <v>900</v>
      </c>
      <c r="Y2065" t="s">
        <v>6604</v>
      </c>
      <c r="Z2065" t="s">
        <v>6616</v>
      </c>
      <c r="AA2065" t="s">
        <v>6633</v>
      </c>
      <c r="AB2065" t="s">
        <v>8356</v>
      </c>
      <c r="AD2065" t="s">
        <v>10677</v>
      </c>
      <c r="AE2065">
        <v>7</v>
      </c>
      <c r="AF2065" t="s">
        <v>11004</v>
      </c>
      <c r="AG2065" t="s">
        <v>5406</v>
      </c>
      <c r="AH2065">
        <v>-1</v>
      </c>
      <c r="AI2065">
        <v>2</v>
      </c>
      <c r="AJ2065">
        <v>0</v>
      </c>
      <c r="AK2065">
        <v>116.65</v>
      </c>
      <c r="AN2065" t="s">
        <v>11050</v>
      </c>
      <c r="AO2065">
        <v>19200</v>
      </c>
      <c r="AQ2065" t="s">
        <v>11194</v>
      </c>
      <c r="AR2065" t="s">
        <v>6493</v>
      </c>
      <c r="AS2065" t="s">
        <v>11252</v>
      </c>
      <c r="AT2065" t="s">
        <v>11396</v>
      </c>
      <c r="AU2065">
        <v>41.2</v>
      </c>
      <c r="AV2065" t="s">
        <v>821</v>
      </c>
      <c r="AW2065" t="s">
        <v>133</v>
      </c>
    </row>
    <row r="2066" spans="1:49">
      <c r="A2066" s="1">
        <f>HYPERLINK("https://cms.ls-nyc.org/matter/dynamic-profile/view/1845750","17-1845750")</f>
        <v>0</v>
      </c>
      <c r="B2066" t="s">
        <v>92</v>
      </c>
      <c r="C2066" t="s">
        <v>234</v>
      </c>
      <c r="D2066" t="s">
        <v>466</v>
      </c>
      <c r="E2066" t="s">
        <v>695</v>
      </c>
      <c r="F2066" t="s">
        <v>1933</v>
      </c>
      <c r="G2066" t="s">
        <v>2332</v>
      </c>
      <c r="H2066" t="s">
        <v>4510</v>
      </c>
      <c r="I2066" t="s">
        <v>4746</v>
      </c>
      <c r="J2066" t="s">
        <v>5323</v>
      </c>
      <c r="K2066">
        <v>10034</v>
      </c>
      <c r="L2066" t="s">
        <v>5355</v>
      </c>
      <c r="M2066" t="s">
        <v>5356</v>
      </c>
      <c r="N2066" t="s">
        <v>6185</v>
      </c>
      <c r="O2066" t="s">
        <v>6492</v>
      </c>
      <c r="P2066" t="s">
        <v>6530</v>
      </c>
      <c r="Q2066" t="s">
        <v>6534</v>
      </c>
      <c r="R2066" t="s">
        <v>6539</v>
      </c>
      <c r="S2066" t="s">
        <v>5357</v>
      </c>
      <c r="U2066" t="s">
        <v>6557</v>
      </c>
      <c r="W2066" t="s">
        <v>262</v>
      </c>
      <c r="X2066">
        <v>915.87</v>
      </c>
      <c r="Y2066" t="s">
        <v>6608</v>
      </c>
      <c r="Z2066" t="s">
        <v>6616</v>
      </c>
      <c r="AA2066" t="s">
        <v>6637</v>
      </c>
      <c r="AB2066" t="s">
        <v>6936</v>
      </c>
      <c r="AD2066" t="s">
        <v>10678</v>
      </c>
      <c r="AE2066">
        <v>48</v>
      </c>
      <c r="AF2066" t="s">
        <v>11005</v>
      </c>
      <c r="AG2066" t="s">
        <v>11020</v>
      </c>
      <c r="AH2066">
        <v>28</v>
      </c>
      <c r="AI2066">
        <v>2</v>
      </c>
      <c r="AJ2066">
        <v>0</v>
      </c>
      <c r="AK2066">
        <v>117</v>
      </c>
      <c r="AN2066" t="s">
        <v>11049</v>
      </c>
      <c r="AO2066">
        <v>19000</v>
      </c>
      <c r="AU2066">
        <v>21.8</v>
      </c>
      <c r="AV2066" t="s">
        <v>257</v>
      </c>
      <c r="AW2066" t="s">
        <v>11495</v>
      </c>
    </row>
    <row r="2067" spans="1:49">
      <c r="A2067" s="1">
        <f>HYPERLINK("https://cms.ls-nyc.org/matter/dynamic-profile/view/1840052","17-1840052")</f>
        <v>0</v>
      </c>
      <c r="B2067" t="s">
        <v>92</v>
      </c>
      <c r="C2067" t="s">
        <v>234</v>
      </c>
      <c r="D2067" t="s">
        <v>412</v>
      </c>
      <c r="E2067" t="s">
        <v>674</v>
      </c>
      <c r="F2067" t="s">
        <v>983</v>
      </c>
      <c r="G2067" t="s">
        <v>2236</v>
      </c>
      <c r="H2067" t="s">
        <v>3575</v>
      </c>
      <c r="I2067">
        <v>2</v>
      </c>
      <c r="J2067" t="s">
        <v>5323</v>
      </c>
      <c r="K2067">
        <v>10040</v>
      </c>
      <c r="L2067" t="s">
        <v>5355</v>
      </c>
      <c r="M2067" t="s">
        <v>5356</v>
      </c>
      <c r="N2067" t="s">
        <v>5439</v>
      </c>
      <c r="O2067" t="s">
        <v>6494</v>
      </c>
      <c r="P2067" t="s">
        <v>6530</v>
      </c>
      <c r="Q2067" t="s">
        <v>6534</v>
      </c>
      <c r="R2067" t="s">
        <v>6539</v>
      </c>
      <c r="S2067" t="s">
        <v>5355</v>
      </c>
      <c r="U2067" t="s">
        <v>6557</v>
      </c>
      <c r="W2067" t="s">
        <v>262</v>
      </c>
      <c r="X2067">
        <v>780</v>
      </c>
      <c r="Y2067" t="s">
        <v>6608</v>
      </c>
      <c r="Z2067" t="s">
        <v>6622</v>
      </c>
      <c r="AA2067" t="s">
        <v>6634</v>
      </c>
      <c r="AB2067" t="s">
        <v>6813</v>
      </c>
      <c r="AD2067" t="s">
        <v>9241</v>
      </c>
      <c r="AE2067">
        <v>45</v>
      </c>
      <c r="AF2067" t="s">
        <v>11005</v>
      </c>
      <c r="AG2067" t="s">
        <v>5406</v>
      </c>
      <c r="AH2067">
        <v>20</v>
      </c>
      <c r="AI2067">
        <v>3</v>
      </c>
      <c r="AJ2067">
        <v>0</v>
      </c>
      <c r="AK2067">
        <v>117.1</v>
      </c>
      <c r="AL2067" t="s">
        <v>301</v>
      </c>
      <c r="AN2067" t="s">
        <v>11049</v>
      </c>
      <c r="AO2067">
        <v>23912</v>
      </c>
      <c r="AQ2067" t="s">
        <v>11190</v>
      </c>
      <c r="AR2067" t="s">
        <v>11206</v>
      </c>
      <c r="AS2067" t="s">
        <v>11253</v>
      </c>
      <c r="AT2067" t="s">
        <v>11263</v>
      </c>
      <c r="AU2067">
        <v>1.8</v>
      </c>
      <c r="AV2067" t="s">
        <v>674</v>
      </c>
      <c r="AW2067" t="s">
        <v>11495</v>
      </c>
    </row>
    <row r="2068" spans="1:49">
      <c r="A2068" s="1">
        <f>HYPERLINK("https://cms.ls-nyc.org/matter/dynamic-profile/view/1834387","17-1834387")</f>
        <v>0</v>
      </c>
      <c r="B2068" t="s">
        <v>64</v>
      </c>
      <c r="C2068" t="s">
        <v>235</v>
      </c>
      <c r="D2068" t="s">
        <v>558</v>
      </c>
      <c r="F2068" t="s">
        <v>1099</v>
      </c>
      <c r="G2068" t="s">
        <v>3237</v>
      </c>
      <c r="H2068" t="s">
        <v>4511</v>
      </c>
      <c r="I2068">
        <v>56</v>
      </c>
      <c r="J2068" t="s">
        <v>5323</v>
      </c>
      <c r="K2068">
        <v>10031</v>
      </c>
      <c r="L2068" t="s">
        <v>5355</v>
      </c>
      <c r="M2068" t="s">
        <v>5356</v>
      </c>
      <c r="O2068" t="s">
        <v>6492</v>
      </c>
      <c r="P2068" t="s">
        <v>6530</v>
      </c>
      <c r="R2068" t="s">
        <v>6539</v>
      </c>
      <c r="S2068" t="s">
        <v>5357</v>
      </c>
      <c r="U2068" t="s">
        <v>6557</v>
      </c>
      <c r="W2068" t="s">
        <v>298</v>
      </c>
      <c r="X2068">
        <v>228.44</v>
      </c>
      <c r="Y2068" t="s">
        <v>6608</v>
      </c>
      <c r="AB2068" t="s">
        <v>8357</v>
      </c>
      <c r="AD2068" t="s">
        <v>10679</v>
      </c>
      <c r="AE2068">
        <v>0</v>
      </c>
      <c r="AF2068" t="s">
        <v>11006</v>
      </c>
      <c r="AG2068" t="s">
        <v>11024</v>
      </c>
      <c r="AH2068">
        <v>0</v>
      </c>
      <c r="AI2068">
        <v>1</v>
      </c>
      <c r="AJ2068">
        <v>0</v>
      </c>
      <c r="AK2068">
        <v>117.21</v>
      </c>
      <c r="AN2068" t="s">
        <v>11049</v>
      </c>
      <c r="AO2068">
        <v>14136</v>
      </c>
      <c r="AU2068">
        <v>34.48</v>
      </c>
      <c r="AV2068" t="s">
        <v>760</v>
      </c>
      <c r="AW2068" t="s">
        <v>11546</v>
      </c>
    </row>
    <row r="2069" spans="1:49">
      <c r="A2069" s="1">
        <f>HYPERLINK("https://cms.ls-nyc.org/matter/dynamic-profile/view/1853289","17-1853289")</f>
        <v>0</v>
      </c>
      <c r="B2069" t="s">
        <v>94</v>
      </c>
      <c r="C2069" t="s">
        <v>234</v>
      </c>
      <c r="D2069" t="s">
        <v>289</v>
      </c>
      <c r="E2069" t="s">
        <v>800</v>
      </c>
      <c r="F2069" t="s">
        <v>1461</v>
      </c>
      <c r="G2069" t="s">
        <v>3238</v>
      </c>
      <c r="H2069" t="s">
        <v>4512</v>
      </c>
      <c r="J2069" t="s">
        <v>5320</v>
      </c>
      <c r="K2069">
        <v>11217</v>
      </c>
      <c r="L2069" t="s">
        <v>5355</v>
      </c>
      <c r="M2069" t="s">
        <v>5355</v>
      </c>
      <c r="N2069" t="s">
        <v>6186</v>
      </c>
      <c r="O2069" t="s">
        <v>6492</v>
      </c>
      <c r="P2069" t="s">
        <v>6530</v>
      </c>
      <c r="Q2069" t="s">
        <v>6534</v>
      </c>
      <c r="R2069" t="s">
        <v>6539</v>
      </c>
      <c r="S2069" t="s">
        <v>5355</v>
      </c>
      <c r="U2069" t="s">
        <v>6557</v>
      </c>
      <c r="W2069" t="s">
        <v>422</v>
      </c>
      <c r="X2069">
        <v>1717.63</v>
      </c>
      <c r="Y2069" t="s">
        <v>6605</v>
      </c>
      <c r="Z2069" t="s">
        <v>6614</v>
      </c>
      <c r="AA2069" t="s">
        <v>6637</v>
      </c>
      <c r="AB2069" t="s">
        <v>8358</v>
      </c>
      <c r="AC2069" t="s">
        <v>9052</v>
      </c>
      <c r="AD2069" t="s">
        <v>10680</v>
      </c>
      <c r="AE2069">
        <v>20</v>
      </c>
      <c r="AF2069" t="s">
        <v>11005</v>
      </c>
      <c r="AG2069" t="s">
        <v>5406</v>
      </c>
      <c r="AH2069">
        <v>20</v>
      </c>
      <c r="AI2069">
        <v>2</v>
      </c>
      <c r="AJ2069">
        <v>1</v>
      </c>
      <c r="AK2069">
        <v>117.53</v>
      </c>
      <c r="AN2069" t="s">
        <v>11050</v>
      </c>
      <c r="AO2069">
        <v>24000</v>
      </c>
      <c r="AR2069" t="s">
        <v>11210</v>
      </c>
      <c r="AS2069" t="s">
        <v>11253</v>
      </c>
      <c r="AT2069" t="s">
        <v>11397</v>
      </c>
      <c r="AU2069">
        <v>76.25</v>
      </c>
      <c r="AV2069" t="s">
        <v>802</v>
      </c>
      <c r="AW2069" t="s">
        <v>11512</v>
      </c>
    </row>
    <row r="2070" spans="1:49">
      <c r="A2070" s="1">
        <f>HYPERLINK("https://cms.ls-nyc.org/matter/dynamic-profile/view/1848822","17-1848822")</f>
        <v>0</v>
      </c>
      <c r="B2070" t="s">
        <v>58</v>
      </c>
      <c r="C2070" t="s">
        <v>235</v>
      </c>
      <c r="D2070" t="s">
        <v>340</v>
      </c>
      <c r="F2070" t="s">
        <v>1934</v>
      </c>
      <c r="G2070" t="s">
        <v>2439</v>
      </c>
      <c r="H2070" t="s">
        <v>4513</v>
      </c>
      <c r="I2070" t="s">
        <v>5245</v>
      </c>
      <c r="J2070" t="s">
        <v>5321</v>
      </c>
      <c r="K2070">
        <v>10453</v>
      </c>
      <c r="L2070" t="s">
        <v>5355</v>
      </c>
      <c r="M2070" t="s">
        <v>5356</v>
      </c>
      <c r="N2070" t="s">
        <v>6187</v>
      </c>
      <c r="O2070" t="s">
        <v>6492</v>
      </c>
      <c r="P2070" t="s">
        <v>6530</v>
      </c>
      <c r="R2070" t="s">
        <v>6539</v>
      </c>
      <c r="S2070" t="s">
        <v>5357</v>
      </c>
      <c r="U2070" t="s">
        <v>6557</v>
      </c>
      <c r="W2070" t="s">
        <v>372</v>
      </c>
      <c r="X2070">
        <v>1005.06</v>
      </c>
      <c r="Y2070" t="s">
        <v>6606</v>
      </c>
      <c r="Z2070" t="s">
        <v>6614</v>
      </c>
      <c r="AB2070" t="s">
        <v>8359</v>
      </c>
      <c r="AD2070" t="s">
        <v>10681</v>
      </c>
      <c r="AE2070">
        <v>36</v>
      </c>
      <c r="AF2070" t="s">
        <v>11005</v>
      </c>
      <c r="AG2070" t="s">
        <v>5406</v>
      </c>
      <c r="AH2070">
        <v>6</v>
      </c>
      <c r="AI2070">
        <v>1</v>
      </c>
      <c r="AJ2070">
        <v>0</v>
      </c>
      <c r="AK2070">
        <v>117.81</v>
      </c>
      <c r="AN2070" t="s">
        <v>11050</v>
      </c>
      <c r="AO2070">
        <v>14208</v>
      </c>
      <c r="AU2070">
        <v>35.25</v>
      </c>
      <c r="AV2070" t="s">
        <v>703</v>
      </c>
      <c r="AW2070" t="s">
        <v>11499</v>
      </c>
    </row>
    <row r="2071" spans="1:49">
      <c r="A2071" s="1">
        <f>HYPERLINK("https://cms.ls-nyc.org/matter/dynamic-profile/view/1856019","18-1856019")</f>
        <v>0</v>
      </c>
      <c r="B2071" t="s">
        <v>94</v>
      </c>
      <c r="C2071" t="s">
        <v>235</v>
      </c>
      <c r="D2071" t="s">
        <v>525</v>
      </c>
      <c r="F2071" t="s">
        <v>1897</v>
      </c>
      <c r="G2071" t="s">
        <v>3239</v>
      </c>
      <c r="H2071" t="s">
        <v>4514</v>
      </c>
      <c r="I2071" t="s">
        <v>5246</v>
      </c>
      <c r="J2071" t="s">
        <v>5320</v>
      </c>
      <c r="K2071">
        <v>11239</v>
      </c>
      <c r="L2071" t="s">
        <v>5355</v>
      </c>
      <c r="M2071" t="s">
        <v>5356</v>
      </c>
      <c r="N2071" t="s">
        <v>6188</v>
      </c>
      <c r="O2071" t="s">
        <v>6491</v>
      </c>
      <c r="P2071" t="s">
        <v>6530</v>
      </c>
      <c r="R2071" t="s">
        <v>6539</v>
      </c>
      <c r="S2071" t="s">
        <v>5357</v>
      </c>
      <c r="U2071" t="s">
        <v>6557</v>
      </c>
      <c r="W2071" t="s">
        <v>525</v>
      </c>
      <c r="X2071">
        <v>1900</v>
      </c>
      <c r="Y2071" t="s">
        <v>6605</v>
      </c>
      <c r="Z2071" t="s">
        <v>6611</v>
      </c>
      <c r="AB2071" t="s">
        <v>8360</v>
      </c>
      <c r="AC2071" t="s">
        <v>9053</v>
      </c>
      <c r="AD2071" t="s">
        <v>10682</v>
      </c>
      <c r="AE2071">
        <v>152</v>
      </c>
      <c r="AF2071" t="s">
        <v>11008</v>
      </c>
      <c r="AG2071" t="s">
        <v>11020</v>
      </c>
      <c r="AH2071">
        <v>5</v>
      </c>
      <c r="AI2071">
        <v>1</v>
      </c>
      <c r="AJ2071">
        <v>0</v>
      </c>
      <c r="AK2071">
        <v>118.01</v>
      </c>
      <c r="AN2071" t="s">
        <v>11050</v>
      </c>
      <c r="AO2071">
        <v>14232</v>
      </c>
      <c r="AU2071">
        <v>57.8</v>
      </c>
      <c r="AV2071" t="s">
        <v>11463</v>
      </c>
      <c r="AW2071" t="s">
        <v>11487</v>
      </c>
    </row>
    <row r="2072" spans="1:49">
      <c r="A2072" s="1">
        <f>HYPERLINK("https://cms.ls-nyc.org/matter/dynamic-profile/view/1864516","18-1864516")</f>
        <v>0</v>
      </c>
      <c r="B2072" t="s">
        <v>92</v>
      </c>
      <c r="C2072" t="s">
        <v>235</v>
      </c>
      <c r="D2072" t="s">
        <v>256</v>
      </c>
      <c r="F2072" t="s">
        <v>1935</v>
      </c>
      <c r="G2072" t="s">
        <v>2219</v>
      </c>
      <c r="H2072" t="s">
        <v>3579</v>
      </c>
      <c r="I2072">
        <v>407</v>
      </c>
      <c r="J2072" t="s">
        <v>5323</v>
      </c>
      <c r="K2072">
        <v>10029</v>
      </c>
      <c r="L2072" t="s">
        <v>5355</v>
      </c>
      <c r="M2072" t="s">
        <v>5355</v>
      </c>
      <c r="N2072" t="s">
        <v>5632</v>
      </c>
      <c r="O2072" t="s">
        <v>6494</v>
      </c>
      <c r="P2072" t="s">
        <v>6530</v>
      </c>
      <c r="R2072" t="s">
        <v>6539</v>
      </c>
      <c r="S2072" t="s">
        <v>5355</v>
      </c>
      <c r="U2072" t="s">
        <v>6557</v>
      </c>
      <c r="V2072" t="s">
        <v>6566</v>
      </c>
      <c r="W2072" t="s">
        <v>256</v>
      </c>
      <c r="X2072">
        <v>0</v>
      </c>
      <c r="Y2072" t="s">
        <v>6608</v>
      </c>
      <c r="Z2072" t="s">
        <v>6622</v>
      </c>
      <c r="AB2072" t="s">
        <v>8361</v>
      </c>
      <c r="AD2072" t="s">
        <v>10683</v>
      </c>
      <c r="AE2072">
        <v>108</v>
      </c>
      <c r="AF2072" t="s">
        <v>11008</v>
      </c>
      <c r="AG2072" t="s">
        <v>11020</v>
      </c>
      <c r="AH2072">
        <v>12</v>
      </c>
      <c r="AI2072">
        <v>1</v>
      </c>
      <c r="AJ2072">
        <v>1</v>
      </c>
      <c r="AK2072">
        <v>118.1</v>
      </c>
      <c r="AN2072" t="s">
        <v>11050</v>
      </c>
      <c r="AO2072">
        <v>19440</v>
      </c>
      <c r="AU2072">
        <v>0.1</v>
      </c>
      <c r="AV2072" t="s">
        <v>762</v>
      </c>
      <c r="AW2072" t="s">
        <v>11497</v>
      </c>
    </row>
    <row r="2073" spans="1:49">
      <c r="A2073" s="1">
        <f>HYPERLINK("https://cms.ls-nyc.org/matter/dynamic-profile/view/0804646","16-0804646")</f>
        <v>0</v>
      </c>
      <c r="B2073" t="s">
        <v>221</v>
      </c>
      <c r="C2073" t="s">
        <v>234</v>
      </c>
      <c r="D2073" t="s">
        <v>620</v>
      </c>
      <c r="E2073" t="s">
        <v>665</v>
      </c>
      <c r="F2073" t="s">
        <v>1124</v>
      </c>
      <c r="G2073" t="s">
        <v>2219</v>
      </c>
      <c r="H2073" t="s">
        <v>4515</v>
      </c>
      <c r="I2073" t="s">
        <v>5074</v>
      </c>
      <c r="J2073" t="s">
        <v>5354</v>
      </c>
      <c r="K2073">
        <v>11694</v>
      </c>
      <c r="L2073" t="s">
        <v>5355</v>
      </c>
      <c r="M2073" t="s">
        <v>5356</v>
      </c>
      <c r="P2073" t="s">
        <v>6530</v>
      </c>
      <c r="Q2073" t="s">
        <v>6534</v>
      </c>
      <c r="R2073" t="s">
        <v>6539</v>
      </c>
      <c r="T2073" t="s">
        <v>6547</v>
      </c>
      <c r="U2073" t="s">
        <v>6557</v>
      </c>
      <c r="W2073" t="s">
        <v>294</v>
      </c>
      <c r="X2073">
        <v>0</v>
      </c>
      <c r="Y2073" t="s">
        <v>6604</v>
      </c>
      <c r="Z2073" t="s">
        <v>6612</v>
      </c>
      <c r="AA2073" t="s">
        <v>6651</v>
      </c>
      <c r="AB2073" t="s">
        <v>8362</v>
      </c>
      <c r="AC2073" t="s">
        <v>9054</v>
      </c>
      <c r="AD2073" t="s">
        <v>10684</v>
      </c>
      <c r="AE2073">
        <v>376</v>
      </c>
      <c r="AH2073">
        <v>0</v>
      </c>
      <c r="AI2073">
        <v>1</v>
      </c>
      <c r="AJ2073">
        <v>0</v>
      </c>
      <c r="AK2073">
        <v>118.18</v>
      </c>
      <c r="AN2073" t="s">
        <v>11050</v>
      </c>
      <c r="AO2073">
        <v>14040</v>
      </c>
      <c r="AP2073" t="s">
        <v>11136</v>
      </c>
      <c r="AU2073">
        <v>14.35</v>
      </c>
      <c r="AV2073" t="s">
        <v>600</v>
      </c>
      <c r="AW2073" t="s">
        <v>93</v>
      </c>
    </row>
    <row r="2074" spans="1:49">
      <c r="A2074" s="1">
        <f>HYPERLINK("https://cms.ls-nyc.org/matter/dynamic-profile/view/1862894","18-1862894")</f>
        <v>0</v>
      </c>
      <c r="B2074" t="s">
        <v>179</v>
      </c>
      <c r="C2074" t="s">
        <v>235</v>
      </c>
      <c r="D2074" t="s">
        <v>293</v>
      </c>
      <c r="F2074" t="s">
        <v>942</v>
      </c>
      <c r="G2074" t="s">
        <v>3240</v>
      </c>
      <c r="H2074" t="s">
        <v>4516</v>
      </c>
      <c r="I2074" t="s">
        <v>5224</v>
      </c>
      <c r="J2074" t="s">
        <v>5320</v>
      </c>
      <c r="K2074">
        <v>11225</v>
      </c>
      <c r="L2074" t="s">
        <v>5355</v>
      </c>
      <c r="M2074" t="s">
        <v>5356</v>
      </c>
      <c r="O2074" t="s">
        <v>6494</v>
      </c>
      <c r="P2074" t="s">
        <v>6530</v>
      </c>
      <c r="R2074" t="s">
        <v>6539</v>
      </c>
      <c r="S2074" t="s">
        <v>5355</v>
      </c>
      <c r="T2074" t="s">
        <v>6545</v>
      </c>
      <c r="U2074" t="s">
        <v>6557</v>
      </c>
      <c r="W2074" t="s">
        <v>293</v>
      </c>
      <c r="X2074">
        <v>1000</v>
      </c>
      <c r="Y2074" t="s">
        <v>6605</v>
      </c>
      <c r="Z2074" t="s">
        <v>6612</v>
      </c>
      <c r="AB2074" t="s">
        <v>8363</v>
      </c>
      <c r="AE2074">
        <v>47</v>
      </c>
      <c r="AF2074" t="s">
        <v>11005</v>
      </c>
      <c r="AG2074" t="s">
        <v>5406</v>
      </c>
      <c r="AH2074">
        <v>36</v>
      </c>
      <c r="AI2074">
        <v>3</v>
      </c>
      <c r="AJ2074">
        <v>0</v>
      </c>
      <c r="AK2074">
        <v>118.38</v>
      </c>
      <c r="AN2074" t="s">
        <v>11050</v>
      </c>
      <c r="AO2074">
        <v>24600</v>
      </c>
      <c r="AU2074">
        <v>1.25</v>
      </c>
      <c r="AV2074" t="s">
        <v>402</v>
      </c>
      <c r="AW2074" t="s">
        <v>11490</v>
      </c>
    </row>
    <row r="2075" spans="1:49">
      <c r="A2075" s="1">
        <f>HYPERLINK("https://cms.ls-nyc.org/matter/dynamic-profile/view/1846792","17-1846792")</f>
        <v>0</v>
      </c>
      <c r="B2075" t="s">
        <v>71</v>
      </c>
      <c r="C2075" t="s">
        <v>235</v>
      </c>
      <c r="D2075" t="s">
        <v>356</v>
      </c>
      <c r="F2075" t="s">
        <v>1899</v>
      </c>
      <c r="G2075" t="s">
        <v>3206</v>
      </c>
      <c r="H2075" t="s">
        <v>4464</v>
      </c>
      <c r="I2075" t="s">
        <v>4775</v>
      </c>
      <c r="J2075" t="s">
        <v>5321</v>
      </c>
      <c r="K2075">
        <v>10453</v>
      </c>
      <c r="L2075" t="s">
        <v>5355</v>
      </c>
      <c r="M2075" t="s">
        <v>5356</v>
      </c>
      <c r="N2075" t="s">
        <v>6189</v>
      </c>
      <c r="O2075" t="s">
        <v>6492</v>
      </c>
      <c r="P2075" t="s">
        <v>6530</v>
      </c>
      <c r="R2075" t="s">
        <v>6539</v>
      </c>
      <c r="S2075" t="s">
        <v>5357</v>
      </c>
      <c r="U2075" t="s">
        <v>6557</v>
      </c>
      <c r="W2075" t="s">
        <v>261</v>
      </c>
      <c r="X2075">
        <v>896</v>
      </c>
      <c r="Y2075" t="s">
        <v>6606</v>
      </c>
      <c r="Z2075" t="s">
        <v>6614</v>
      </c>
      <c r="AB2075" t="s">
        <v>8295</v>
      </c>
      <c r="AD2075" t="s">
        <v>10620</v>
      </c>
      <c r="AE2075">
        <v>20</v>
      </c>
      <c r="AF2075" t="s">
        <v>11014</v>
      </c>
      <c r="AG2075" t="s">
        <v>11022</v>
      </c>
      <c r="AH2075">
        <v>18</v>
      </c>
      <c r="AI2075">
        <v>2</v>
      </c>
      <c r="AJ2075">
        <v>3</v>
      </c>
      <c r="AK2075">
        <v>118.43</v>
      </c>
      <c r="AN2075" t="s">
        <v>11050</v>
      </c>
      <c r="AO2075">
        <v>42881.28</v>
      </c>
      <c r="AP2075" t="s">
        <v>11169</v>
      </c>
      <c r="AU2075">
        <v>69.90000000000001</v>
      </c>
      <c r="AV2075" t="s">
        <v>818</v>
      </c>
      <c r="AW2075" t="s">
        <v>11507</v>
      </c>
    </row>
    <row r="2076" spans="1:49">
      <c r="A2076" s="1">
        <f>HYPERLINK("https://cms.ls-nyc.org/matter/dynamic-profile/view/1881128","18-1881128")</f>
        <v>0</v>
      </c>
      <c r="B2076" t="s">
        <v>54</v>
      </c>
      <c r="C2076" t="s">
        <v>234</v>
      </c>
      <c r="D2076" t="s">
        <v>449</v>
      </c>
      <c r="E2076" t="s">
        <v>673</v>
      </c>
      <c r="F2076" t="s">
        <v>1248</v>
      </c>
      <c r="G2076" t="s">
        <v>2495</v>
      </c>
      <c r="H2076" t="s">
        <v>3750</v>
      </c>
      <c r="I2076" t="s">
        <v>4758</v>
      </c>
      <c r="J2076" t="s">
        <v>5320</v>
      </c>
      <c r="K2076">
        <v>11207</v>
      </c>
      <c r="L2076" t="s">
        <v>5355</v>
      </c>
      <c r="M2076" t="s">
        <v>5355</v>
      </c>
      <c r="N2076" t="s">
        <v>5709</v>
      </c>
      <c r="O2076" t="s">
        <v>6494</v>
      </c>
      <c r="P2076" t="s">
        <v>6530</v>
      </c>
      <c r="Q2076" t="s">
        <v>6533</v>
      </c>
      <c r="R2076" t="s">
        <v>6539</v>
      </c>
      <c r="S2076" t="s">
        <v>5355</v>
      </c>
      <c r="U2076" t="s">
        <v>6557</v>
      </c>
      <c r="W2076" t="s">
        <v>283</v>
      </c>
      <c r="X2076">
        <v>1550</v>
      </c>
      <c r="Y2076" t="s">
        <v>6605</v>
      </c>
      <c r="AA2076" t="s">
        <v>6631</v>
      </c>
      <c r="AB2076" t="s">
        <v>7166</v>
      </c>
      <c r="AD2076" t="s">
        <v>9166</v>
      </c>
      <c r="AE2076">
        <v>6</v>
      </c>
      <c r="AF2076" t="s">
        <v>11005</v>
      </c>
      <c r="AH2076">
        <v>5</v>
      </c>
      <c r="AI2076">
        <v>3</v>
      </c>
      <c r="AJ2076">
        <v>3</v>
      </c>
      <c r="AK2076">
        <v>118.55</v>
      </c>
      <c r="AN2076" t="s">
        <v>11049</v>
      </c>
      <c r="AO2076">
        <v>40000</v>
      </c>
      <c r="AU2076">
        <v>1</v>
      </c>
      <c r="AV2076" t="s">
        <v>673</v>
      </c>
      <c r="AW2076" t="s">
        <v>54</v>
      </c>
    </row>
    <row r="2077" spans="1:49">
      <c r="A2077" s="1">
        <f>HYPERLINK("https://cms.ls-nyc.org/matter/dynamic-profile/view/1846641","17-1846641")</f>
        <v>0</v>
      </c>
      <c r="B2077" t="s">
        <v>124</v>
      </c>
      <c r="C2077" t="s">
        <v>235</v>
      </c>
      <c r="D2077" t="s">
        <v>575</v>
      </c>
      <c r="F2077" t="s">
        <v>1000</v>
      </c>
      <c r="G2077" t="s">
        <v>2105</v>
      </c>
      <c r="H2077" t="s">
        <v>3994</v>
      </c>
      <c r="I2077" t="s">
        <v>4862</v>
      </c>
      <c r="J2077" t="s">
        <v>5323</v>
      </c>
      <c r="K2077">
        <v>10040</v>
      </c>
      <c r="L2077" t="s">
        <v>5355</v>
      </c>
      <c r="M2077" t="s">
        <v>5356</v>
      </c>
      <c r="O2077" t="s">
        <v>6494</v>
      </c>
      <c r="P2077" t="s">
        <v>6530</v>
      </c>
      <c r="R2077" t="s">
        <v>6539</v>
      </c>
      <c r="S2077" t="s">
        <v>5357</v>
      </c>
      <c r="U2077" t="s">
        <v>6557</v>
      </c>
      <c r="W2077" t="s">
        <v>575</v>
      </c>
      <c r="X2077">
        <v>1447</v>
      </c>
      <c r="Y2077" t="s">
        <v>6608</v>
      </c>
      <c r="Z2077" t="s">
        <v>6616</v>
      </c>
      <c r="AB2077" t="s">
        <v>8364</v>
      </c>
      <c r="AD2077" t="s">
        <v>10685</v>
      </c>
      <c r="AE2077">
        <v>42</v>
      </c>
      <c r="AF2077" t="s">
        <v>11005</v>
      </c>
      <c r="AG2077" t="s">
        <v>11020</v>
      </c>
      <c r="AH2077">
        <v>24</v>
      </c>
      <c r="AI2077">
        <v>1</v>
      </c>
      <c r="AJ2077">
        <v>0</v>
      </c>
      <c r="AK2077">
        <v>118.57</v>
      </c>
      <c r="AL2077" t="s">
        <v>301</v>
      </c>
      <c r="AN2077" t="s">
        <v>11049</v>
      </c>
      <c r="AO2077">
        <v>14300</v>
      </c>
      <c r="AU2077">
        <v>3</v>
      </c>
      <c r="AV2077" t="s">
        <v>434</v>
      </c>
      <c r="AW2077" t="s">
        <v>11495</v>
      </c>
    </row>
    <row r="2078" spans="1:49">
      <c r="A2078" s="1">
        <f>HYPERLINK("https://cms.ls-nyc.org/matter/dynamic-profile/view/1846631","17-1846631")</f>
        <v>0</v>
      </c>
      <c r="B2078" t="s">
        <v>92</v>
      </c>
      <c r="C2078" t="s">
        <v>234</v>
      </c>
      <c r="D2078" t="s">
        <v>575</v>
      </c>
      <c r="E2078" t="s">
        <v>680</v>
      </c>
      <c r="F2078" t="s">
        <v>1000</v>
      </c>
      <c r="G2078" t="s">
        <v>2105</v>
      </c>
      <c r="H2078" t="s">
        <v>3994</v>
      </c>
      <c r="I2078" t="s">
        <v>4862</v>
      </c>
      <c r="J2078" t="s">
        <v>5323</v>
      </c>
      <c r="K2078">
        <v>10040</v>
      </c>
      <c r="L2078" t="s">
        <v>5355</v>
      </c>
      <c r="M2078" t="s">
        <v>5355</v>
      </c>
      <c r="N2078" t="s">
        <v>6190</v>
      </c>
      <c r="O2078" t="s">
        <v>6492</v>
      </c>
      <c r="P2078" t="s">
        <v>6530</v>
      </c>
      <c r="Q2078" t="s">
        <v>6534</v>
      </c>
      <c r="R2078" t="s">
        <v>6539</v>
      </c>
      <c r="S2078" t="s">
        <v>5357</v>
      </c>
      <c r="U2078" t="s">
        <v>6557</v>
      </c>
      <c r="V2078" t="s">
        <v>6566</v>
      </c>
      <c r="W2078" t="s">
        <v>575</v>
      </c>
      <c r="X2078">
        <v>1568.78</v>
      </c>
      <c r="Y2078" t="s">
        <v>6608</v>
      </c>
      <c r="Z2078" t="s">
        <v>6616</v>
      </c>
      <c r="AA2078" t="s">
        <v>6637</v>
      </c>
      <c r="AB2078" t="s">
        <v>8364</v>
      </c>
      <c r="AD2078" t="s">
        <v>10685</v>
      </c>
      <c r="AE2078">
        <v>42</v>
      </c>
      <c r="AF2078" t="s">
        <v>11005</v>
      </c>
      <c r="AG2078" t="s">
        <v>11020</v>
      </c>
      <c r="AH2078">
        <v>24</v>
      </c>
      <c r="AI2078">
        <v>1</v>
      </c>
      <c r="AJ2078">
        <v>0</v>
      </c>
      <c r="AK2078">
        <v>118.57</v>
      </c>
      <c r="AL2078" t="s">
        <v>301</v>
      </c>
      <c r="AN2078" t="s">
        <v>11049</v>
      </c>
      <c r="AO2078">
        <v>14300</v>
      </c>
      <c r="AQ2078" t="s">
        <v>11192</v>
      </c>
      <c r="AR2078" t="s">
        <v>11227</v>
      </c>
      <c r="AS2078" t="s">
        <v>11253</v>
      </c>
      <c r="AT2078" t="s">
        <v>11398</v>
      </c>
      <c r="AU2078">
        <v>24.78</v>
      </c>
      <c r="AV2078" t="s">
        <v>681</v>
      </c>
      <c r="AW2078" t="s">
        <v>11495</v>
      </c>
    </row>
    <row r="2079" spans="1:49">
      <c r="A2079" s="1">
        <f>HYPERLINK("https://cms.ls-nyc.org/matter/dynamic-profile/view/1863655","18-1863655")</f>
        <v>0</v>
      </c>
      <c r="B2079" t="s">
        <v>143</v>
      </c>
      <c r="C2079" t="s">
        <v>235</v>
      </c>
      <c r="D2079" t="s">
        <v>263</v>
      </c>
      <c r="F2079" t="s">
        <v>883</v>
      </c>
      <c r="G2079" t="s">
        <v>2678</v>
      </c>
      <c r="H2079" t="s">
        <v>3639</v>
      </c>
      <c r="I2079">
        <v>32</v>
      </c>
      <c r="J2079" t="s">
        <v>5323</v>
      </c>
      <c r="K2079">
        <v>10035</v>
      </c>
      <c r="L2079" t="s">
        <v>5355</v>
      </c>
      <c r="M2079" t="s">
        <v>5356</v>
      </c>
      <c r="N2079" t="s">
        <v>6191</v>
      </c>
      <c r="O2079" t="s">
        <v>6492</v>
      </c>
      <c r="P2079" t="s">
        <v>6530</v>
      </c>
      <c r="R2079" t="s">
        <v>6539</v>
      </c>
      <c r="S2079" t="s">
        <v>5357</v>
      </c>
      <c r="U2079" t="s">
        <v>6557</v>
      </c>
      <c r="W2079" t="s">
        <v>263</v>
      </c>
      <c r="X2079">
        <v>2037.39</v>
      </c>
      <c r="Y2079" t="s">
        <v>6608</v>
      </c>
      <c r="Z2079" t="s">
        <v>6617</v>
      </c>
      <c r="AB2079" t="s">
        <v>7433</v>
      </c>
      <c r="AD2079" t="s">
        <v>9805</v>
      </c>
      <c r="AE2079">
        <v>35</v>
      </c>
      <c r="AF2079" t="s">
        <v>11005</v>
      </c>
      <c r="AG2079" t="s">
        <v>11020</v>
      </c>
      <c r="AH2079">
        <v>27</v>
      </c>
      <c r="AI2079">
        <v>3</v>
      </c>
      <c r="AJ2079">
        <v>0</v>
      </c>
      <c r="AK2079">
        <v>118.61</v>
      </c>
      <c r="AN2079" t="s">
        <v>11050</v>
      </c>
      <c r="AO2079">
        <v>24648</v>
      </c>
      <c r="AU2079">
        <v>40.5</v>
      </c>
      <c r="AV2079" t="s">
        <v>11480</v>
      </c>
      <c r="AW2079" t="s">
        <v>11497</v>
      </c>
    </row>
    <row r="2080" spans="1:49">
      <c r="A2080" s="1">
        <f>HYPERLINK("https://cms.ls-nyc.org/matter/dynamic-profile/view/1842810","17-1842810")</f>
        <v>0</v>
      </c>
      <c r="B2080" t="s">
        <v>189</v>
      </c>
      <c r="C2080" t="s">
        <v>234</v>
      </c>
      <c r="D2080" t="s">
        <v>429</v>
      </c>
      <c r="E2080" t="s">
        <v>826</v>
      </c>
      <c r="F2080" t="s">
        <v>1604</v>
      </c>
      <c r="G2080" t="s">
        <v>2120</v>
      </c>
      <c r="H2080" t="s">
        <v>4517</v>
      </c>
      <c r="I2080">
        <v>2</v>
      </c>
      <c r="J2080" t="s">
        <v>5322</v>
      </c>
      <c r="K2080">
        <v>10304</v>
      </c>
      <c r="L2080" t="s">
        <v>5355</v>
      </c>
      <c r="M2080" t="s">
        <v>5355</v>
      </c>
      <c r="N2080" t="s">
        <v>6192</v>
      </c>
      <c r="O2080" t="s">
        <v>6491</v>
      </c>
      <c r="P2080" t="s">
        <v>6530</v>
      </c>
      <c r="Q2080" t="s">
        <v>6534</v>
      </c>
      <c r="R2080" t="s">
        <v>6539</v>
      </c>
      <c r="S2080" t="s">
        <v>5357</v>
      </c>
      <c r="U2080" t="s">
        <v>6557</v>
      </c>
      <c r="W2080" t="s">
        <v>429</v>
      </c>
      <c r="X2080">
        <v>1866</v>
      </c>
      <c r="Y2080" t="s">
        <v>6607</v>
      </c>
      <c r="Z2080" t="s">
        <v>6613</v>
      </c>
      <c r="AA2080" t="s">
        <v>6633</v>
      </c>
      <c r="AB2080" t="s">
        <v>8365</v>
      </c>
      <c r="AD2080" t="s">
        <v>10686</v>
      </c>
      <c r="AE2080">
        <v>2</v>
      </c>
      <c r="AF2080" t="s">
        <v>11004</v>
      </c>
      <c r="AG2080" t="s">
        <v>11020</v>
      </c>
      <c r="AH2080">
        <v>2</v>
      </c>
      <c r="AI2080">
        <v>2</v>
      </c>
      <c r="AJ2080">
        <v>2</v>
      </c>
      <c r="AK2080">
        <v>118.98</v>
      </c>
      <c r="AN2080" t="s">
        <v>11050</v>
      </c>
      <c r="AO2080">
        <v>29270.22</v>
      </c>
      <c r="AQ2080" t="s">
        <v>11191</v>
      </c>
      <c r="AR2080" t="s">
        <v>11213</v>
      </c>
      <c r="AS2080" t="s">
        <v>11252</v>
      </c>
      <c r="AT2080" t="s">
        <v>11399</v>
      </c>
      <c r="AU2080">
        <v>12.1</v>
      </c>
      <c r="AV2080" t="s">
        <v>826</v>
      </c>
      <c r="AW2080" t="s">
        <v>11510</v>
      </c>
    </row>
    <row r="2081" spans="1:49">
      <c r="A2081" s="1">
        <f>HYPERLINK("https://cms.ls-nyc.org/matter/dynamic-profile/view/0825210","17-0825210")</f>
        <v>0</v>
      </c>
      <c r="B2081" t="s">
        <v>64</v>
      </c>
      <c r="C2081" t="s">
        <v>235</v>
      </c>
      <c r="D2081" t="s">
        <v>621</v>
      </c>
      <c r="F2081" t="s">
        <v>988</v>
      </c>
      <c r="G2081" t="s">
        <v>3241</v>
      </c>
      <c r="H2081" t="s">
        <v>4518</v>
      </c>
      <c r="I2081" t="s">
        <v>4776</v>
      </c>
      <c r="J2081" t="s">
        <v>5323</v>
      </c>
      <c r="K2081">
        <v>10003</v>
      </c>
      <c r="L2081" t="s">
        <v>5355</v>
      </c>
      <c r="M2081" t="s">
        <v>5356</v>
      </c>
      <c r="N2081" t="s">
        <v>6193</v>
      </c>
      <c r="O2081" t="s">
        <v>6492</v>
      </c>
      <c r="P2081" t="s">
        <v>6530</v>
      </c>
      <c r="R2081" t="s">
        <v>6539</v>
      </c>
      <c r="S2081" t="s">
        <v>5357</v>
      </c>
      <c r="T2081" t="s">
        <v>6542</v>
      </c>
      <c r="U2081" t="s">
        <v>6557</v>
      </c>
      <c r="W2081" t="s">
        <v>474</v>
      </c>
      <c r="X2081">
        <v>444</v>
      </c>
      <c r="Y2081" t="s">
        <v>6608</v>
      </c>
      <c r="Z2081" t="s">
        <v>6616</v>
      </c>
      <c r="AB2081" t="s">
        <v>8366</v>
      </c>
      <c r="AD2081" t="s">
        <v>10687</v>
      </c>
      <c r="AE2081">
        <v>0</v>
      </c>
      <c r="AF2081" t="s">
        <v>11006</v>
      </c>
      <c r="AG2081" t="s">
        <v>11024</v>
      </c>
      <c r="AH2081">
        <v>44</v>
      </c>
      <c r="AI2081">
        <v>1</v>
      </c>
      <c r="AJ2081">
        <v>0</v>
      </c>
      <c r="AK2081">
        <v>119.19</v>
      </c>
      <c r="AN2081" t="s">
        <v>11050</v>
      </c>
      <c r="AO2081">
        <v>14160</v>
      </c>
      <c r="AU2081">
        <v>334.77</v>
      </c>
      <c r="AV2081" t="s">
        <v>475</v>
      </c>
      <c r="AW2081" t="s">
        <v>11526</v>
      </c>
    </row>
    <row r="2082" spans="1:49">
      <c r="A2082" s="1">
        <f>HYPERLINK("https://cms.ls-nyc.org/matter/dynamic-profile/view/1837430","17-1837430")</f>
        <v>0</v>
      </c>
      <c r="B2082" t="s">
        <v>222</v>
      </c>
      <c r="C2082" t="s">
        <v>235</v>
      </c>
      <c r="D2082" t="s">
        <v>488</v>
      </c>
      <c r="F2082" t="s">
        <v>1936</v>
      </c>
      <c r="G2082" t="s">
        <v>3242</v>
      </c>
      <c r="H2082" t="s">
        <v>4519</v>
      </c>
      <c r="I2082" t="s">
        <v>4781</v>
      </c>
      <c r="J2082" t="s">
        <v>5320</v>
      </c>
      <c r="K2082">
        <v>11215</v>
      </c>
      <c r="L2082" t="s">
        <v>5355</v>
      </c>
      <c r="M2082" t="s">
        <v>5356</v>
      </c>
      <c r="O2082" t="s">
        <v>6502</v>
      </c>
      <c r="P2082" t="s">
        <v>6530</v>
      </c>
      <c r="R2082" t="s">
        <v>6539</v>
      </c>
      <c r="T2082" t="s">
        <v>6544</v>
      </c>
      <c r="U2082" t="s">
        <v>6557</v>
      </c>
      <c r="W2082" t="s">
        <v>262</v>
      </c>
      <c r="X2082">
        <v>0</v>
      </c>
      <c r="Y2082" t="s">
        <v>6605</v>
      </c>
      <c r="AB2082" t="s">
        <v>8367</v>
      </c>
      <c r="AD2082" t="s">
        <v>10688</v>
      </c>
      <c r="AE2082">
        <v>8</v>
      </c>
      <c r="AH2082">
        <v>0</v>
      </c>
      <c r="AI2082">
        <v>1</v>
      </c>
      <c r="AJ2082">
        <v>0</v>
      </c>
      <c r="AK2082">
        <v>119.4</v>
      </c>
      <c r="AN2082" t="s">
        <v>11050</v>
      </c>
      <c r="AO2082">
        <v>14400</v>
      </c>
      <c r="AU2082">
        <v>27.2</v>
      </c>
      <c r="AV2082" t="s">
        <v>702</v>
      </c>
      <c r="AW2082" t="s">
        <v>11517</v>
      </c>
    </row>
    <row r="2083" spans="1:49">
      <c r="A2083" s="1">
        <f>HYPERLINK("https://cms.ls-nyc.org/matter/dynamic-profile/view/1847733","17-1847733")</f>
        <v>0</v>
      </c>
      <c r="B2083" t="s">
        <v>177</v>
      </c>
      <c r="C2083" t="s">
        <v>235</v>
      </c>
      <c r="D2083" t="s">
        <v>622</v>
      </c>
      <c r="F2083" t="s">
        <v>966</v>
      </c>
      <c r="G2083" t="s">
        <v>2215</v>
      </c>
      <c r="H2083" t="s">
        <v>4520</v>
      </c>
      <c r="I2083" t="s">
        <v>5247</v>
      </c>
      <c r="J2083" t="s">
        <v>5320</v>
      </c>
      <c r="K2083">
        <v>11208</v>
      </c>
      <c r="L2083" t="s">
        <v>5355</v>
      </c>
      <c r="M2083" t="s">
        <v>5356</v>
      </c>
      <c r="N2083" t="s">
        <v>6194</v>
      </c>
      <c r="O2083" t="s">
        <v>6492</v>
      </c>
      <c r="P2083" t="s">
        <v>6530</v>
      </c>
      <c r="R2083" t="s">
        <v>6539</v>
      </c>
      <c r="S2083" t="s">
        <v>5357</v>
      </c>
      <c r="U2083" t="s">
        <v>6557</v>
      </c>
      <c r="W2083" t="s">
        <v>516</v>
      </c>
      <c r="X2083">
        <v>525</v>
      </c>
      <c r="Y2083" t="s">
        <v>6605</v>
      </c>
      <c r="Z2083" t="s">
        <v>6614</v>
      </c>
      <c r="AB2083" t="s">
        <v>8368</v>
      </c>
      <c r="AD2083" t="s">
        <v>10689</v>
      </c>
      <c r="AE2083">
        <v>6</v>
      </c>
      <c r="AF2083" t="s">
        <v>11005</v>
      </c>
      <c r="AH2083">
        <v>35</v>
      </c>
      <c r="AI2083">
        <v>1</v>
      </c>
      <c r="AJ2083">
        <v>0</v>
      </c>
      <c r="AK2083">
        <v>119.4</v>
      </c>
      <c r="AN2083" t="s">
        <v>11049</v>
      </c>
      <c r="AO2083">
        <v>14400</v>
      </c>
      <c r="AU2083">
        <v>2.5</v>
      </c>
      <c r="AV2083" t="s">
        <v>622</v>
      </c>
      <c r="AW2083" t="s">
        <v>177</v>
      </c>
    </row>
    <row r="2084" spans="1:49">
      <c r="A2084" s="1">
        <f>HYPERLINK("https://cms.ls-nyc.org/matter/dynamic-profile/view/1868117","18-1868117")</f>
        <v>0</v>
      </c>
      <c r="B2084" t="s">
        <v>133</v>
      </c>
      <c r="C2084" t="s">
        <v>234</v>
      </c>
      <c r="D2084" t="s">
        <v>270</v>
      </c>
      <c r="E2084" t="s">
        <v>738</v>
      </c>
      <c r="F2084" t="s">
        <v>1185</v>
      </c>
      <c r="G2084" t="s">
        <v>2559</v>
      </c>
      <c r="H2084" t="s">
        <v>4521</v>
      </c>
      <c r="I2084" t="s">
        <v>5248</v>
      </c>
      <c r="J2084" t="s">
        <v>5326</v>
      </c>
      <c r="K2084">
        <v>11691</v>
      </c>
      <c r="L2084" t="s">
        <v>5355</v>
      </c>
      <c r="M2084" t="s">
        <v>5355</v>
      </c>
      <c r="N2084" t="s">
        <v>6195</v>
      </c>
      <c r="O2084" t="s">
        <v>6491</v>
      </c>
      <c r="P2084" t="s">
        <v>6530</v>
      </c>
      <c r="Q2084" t="s">
        <v>6534</v>
      </c>
      <c r="R2084" t="s">
        <v>6539</v>
      </c>
      <c r="S2084" t="s">
        <v>5357</v>
      </c>
      <c r="U2084" t="s">
        <v>6557</v>
      </c>
      <c r="V2084" t="s">
        <v>6568</v>
      </c>
      <c r="W2084" t="s">
        <v>270</v>
      </c>
      <c r="X2084">
        <v>1600</v>
      </c>
      <c r="Y2084" t="s">
        <v>6604</v>
      </c>
      <c r="Z2084" t="s">
        <v>6615</v>
      </c>
      <c r="AA2084" t="s">
        <v>6637</v>
      </c>
      <c r="AB2084" t="s">
        <v>8369</v>
      </c>
      <c r="AD2084" t="s">
        <v>10690</v>
      </c>
      <c r="AE2084">
        <v>2</v>
      </c>
      <c r="AF2084" t="s">
        <v>11004</v>
      </c>
      <c r="AG2084" t="s">
        <v>11019</v>
      </c>
      <c r="AH2084">
        <v>3</v>
      </c>
      <c r="AI2084">
        <v>4</v>
      </c>
      <c r="AJ2084">
        <v>0</v>
      </c>
      <c r="AK2084">
        <v>119.52</v>
      </c>
      <c r="AN2084" t="s">
        <v>11050</v>
      </c>
      <c r="AO2084">
        <v>30000</v>
      </c>
      <c r="AQ2084" t="s">
        <v>11195</v>
      </c>
      <c r="AR2084" t="s">
        <v>11213</v>
      </c>
      <c r="AS2084" t="s">
        <v>11253</v>
      </c>
      <c r="AT2084" t="s">
        <v>11300</v>
      </c>
      <c r="AU2084">
        <v>36.38</v>
      </c>
      <c r="AV2084" t="s">
        <v>724</v>
      </c>
      <c r="AW2084" t="s">
        <v>52</v>
      </c>
    </row>
    <row r="2085" spans="1:49">
      <c r="A2085" s="1">
        <f>HYPERLINK("https://cms.ls-nyc.org/matter/dynamic-profile/view/1857558","18-1857558")</f>
        <v>0</v>
      </c>
      <c r="B2085" t="s">
        <v>135</v>
      </c>
      <c r="C2085" t="s">
        <v>235</v>
      </c>
      <c r="D2085" t="s">
        <v>397</v>
      </c>
      <c r="F2085" t="s">
        <v>1252</v>
      </c>
      <c r="G2085" t="s">
        <v>2498</v>
      </c>
      <c r="H2085" t="s">
        <v>3775</v>
      </c>
      <c r="I2085" t="s">
        <v>4841</v>
      </c>
      <c r="J2085" t="s">
        <v>5320</v>
      </c>
      <c r="K2085">
        <v>11206</v>
      </c>
      <c r="L2085" t="s">
        <v>5355</v>
      </c>
      <c r="M2085" t="s">
        <v>5356</v>
      </c>
      <c r="O2085" t="s">
        <v>6494</v>
      </c>
      <c r="P2085" t="s">
        <v>6530</v>
      </c>
      <c r="R2085" t="s">
        <v>6539</v>
      </c>
      <c r="S2085" t="s">
        <v>5355</v>
      </c>
      <c r="U2085" t="s">
        <v>6557</v>
      </c>
      <c r="W2085" t="s">
        <v>290</v>
      </c>
      <c r="X2085">
        <v>458.7</v>
      </c>
      <c r="Y2085" t="s">
        <v>6605</v>
      </c>
      <c r="Z2085" t="s">
        <v>6612</v>
      </c>
      <c r="AB2085" t="s">
        <v>7170</v>
      </c>
      <c r="AC2085" t="s">
        <v>5406</v>
      </c>
      <c r="AD2085" t="s">
        <v>9559</v>
      </c>
      <c r="AE2085">
        <v>25</v>
      </c>
      <c r="AF2085" t="s">
        <v>11013</v>
      </c>
      <c r="AG2085" t="s">
        <v>5406</v>
      </c>
      <c r="AH2085">
        <v>19</v>
      </c>
      <c r="AI2085">
        <v>1</v>
      </c>
      <c r="AJ2085">
        <v>0</v>
      </c>
      <c r="AK2085">
        <v>120.12</v>
      </c>
      <c r="AN2085" t="s">
        <v>11050</v>
      </c>
      <c r="AO2085">
        <v>14486.4</v>
      </c>
      <c r="AU2085">
        <v>0</v>
      </c>
      <c r="AW2085" t="s">
        <v>11512</v>
      </c>
    </row>
    <row r="2086" spans="1:49">
      <c r="A2086" s="1">
        <f>HYPERLINK("https://cms.ls-nyc.org/matter/dynamic-profile/view/1858445","18-1858445")</f>
        <v>0</v>
      </c>
      <c r="B2086" t="s">
        <v>61</v>
      </c>
      <c r="C2086" t="s">
        <v>234</v>
      </c>
      <c r="D2086" t="s">
        <v>347</v>
      </c>
      <c r="E2086" t="s">
        <v>475</v>
      </c>
      <c r="F2086" t="s">
        <v>1937</v>
      </c>
      <c r="G2086" t="s">
        <v>2363</v>
      </c>
      <c r="H2086" t="s">
        <v>4450</v>
      </c>
      <c r="I2086" t="s">
        <v>5234</v>
      </c>
      <c r="J2086" t="s">
        <v>5321</v>
      </c>
      <c r="K2086">
        <v>10453</v>
      </c>
      <c r="L2086" t="s">
        <v>5355</v>
      </c>
      <c r="M2086" t="s">
        <v>5355</v>
      </c>
      <c r="N2086" t="s">
        <v>6104</v>
      </c>
      <c r="O2086" t="s">
        <v>6491</v>
      </c>
      <c r="P2086" t="s">
        <v>6530</v>
      </c>
      <c r="Q2086" t="s">
        <v>6534</v>
      </c>
      <c r="R2086" t="s">
        <v>6539</v>
      </c>
      <c r="S2086" t="s">
        <v>5357</v>
      </c>
      <c r="U2086" t="s">
        <v>6557</v>
      </c>
      <c r="W2086" t="s">
        <v>319</v>
      </c>
      <c r="X2086">
        <v>880.58</v>
      </c>
      <c r="Y2086" t="s">
        <v>6606</v>
      </c>
      <c r="Z2086" t="s">
        <v>6612</v>
      </c>
      <c r="AA2086" t="s">
        <v>6637</v>
      </c>
      <c r="AB2086" t="s">
        <v>8370</v>
      </c>
      <c r="AC2086" t="s">
        <v>9030</v>
      </c>
      <c r="AD2086" t="s">
        <v>10691</v>
      </c>
      <c r="AE2086">
        <v>98</v>
      </c>
      <c r="AF2086" t="s">
        <v>11005</v>
      </c>
      <c r="AG2086" t="s">
        <v>5406</v>
      </c>
      <c r="AH2086">
        <v>2</v>
      </c>
      <c r="AI2086">
        <v>2</v>
      </c>
      <c r="AJ2086">
        <v>1</v>
      </c>
      <c r="AK2086">
        <v>120.12</v>
      </c>
      <c r="AN2086" t="s">
        <v>11050</v>
      </c>
      <c r="AO2086">
        <v>24960</v>
      </c>
      <c r="AP2086" t="s">
        <v>11075</v>
      </c>
      <c r="AQ2086" t="s">
        <v>11191</v>
      </c>
      <c r="AR2086" t="s">
        <v>11210</v>
      </c>
      <c r="AS2086" t="s">
        <v>11253</v>
      </c>
      <c r="AT2086" t="s">
        <v>11350</v>
      </c>
      <c r="AU2086">
        <v>57.5</v>
      </c>
      <c r="AV2086" t="s">
        <v>11457</v>
      </c>
      <c r="AW2086" t="s">
        <v>11515</v>
      </c>
    </row>
    <row r="2087" spans="1:49">
      <c r="A2087" s="1">
        <f>HYPERLINK("https://cms.ls-nyc.org/matter/dynamic-profile/view/0821156","16-0821156")</f>
        <v>0</v>
      </c>
      <c r="B2087" t="s">
        <v>66</v>
      </c>
      <c r="C2087" t="s">
        <v>234</v>
      </c>
      <c r="D2087" t="s">
        <v>623</v>
      </c>
      <c r="E2087" t="s">
        <v>729</v>
      </c>
      <c r="F2087" t="s">
        <v>1094</v>
      </c>
      <c r="G2087" t="s">
        <v>3243</v>
      </c>
      <c r="H2087" t="s">
        <v>4522</v>
      </c>
      <c r="I2087" t="s">
        <v>5249</v>
      </c>
      <c r="J2087" t="s">
        <v>5323</v>
      </c>
      <c r="K2087">
        <v>10040</v>
      </c>
      <c r="L2087" t="s">
        <v>5355</v>
      </c>
      <c r="M2087" t="s">
        <v>5356</v>
      </c>
      <c r="N2087" t="s">
        <v>6196</v>
      </c>
      <c r="O2087" t="s">
        <v>6491</v>
      </c>
      <c r="P2087" t="s">
        <v>6530</v>
      </c>
      <c r="Q2087" t="s">
        <v>6537</v>
      </c>
      <c r="R2087" t="s">
        <v>6539</v>
      </c>
      <c r="S2087" t="s">
        <v>5357</v>
      </c>
      <c r="U2087" t="s">
        <v>6557</v>
      </c>
      <c r="V2087" t="s">
        <v>6566</v>
      </c>
      <c r="W2087" t="s">
        <v>298</v>
      </c>
      <c r="X2087">
        <v>1025</v>
      </c>
      <c r="Y2087" t="s">
        <v>6608</v>
      </c>
      <c r="Z2087" t="s">
        <v>6616</v>
      </c>
      <c r="AA2087" t="s">
        <v>6637</v>
      </c>
      <c r="AB2087" t="s">
        <v>8371</v>
      </c>
      <c r="AD2087" t="s">
        <v>10692</v>
      </c>
      <c r="AE2087">
        <v>0</v>
      </c>
      <c r="AF2087" t="s">
        <v>8722</v>
      </c>
      <c r="AG2087" t="s">
        <v>11021</v>
      </c>
      <c r="AH2087">
        <v>6</v>
      </c>
      <c r="AI2087">
        <v>1</v>
      </c>
      <c r="AJ2087">
        <v>0</v>
      </c>
      <c r="AK2087">
        <v>120.25</v>
      </c>
      <c r="AN2087" t="s">
        <v>11050</v>
      </c>
      <c r="AO2087">
        <v>14286</v>
      </c>
      <c r="AQ2087" t="s">
        <v>11197</v>
      </c>
      <c r="AR2087" t="s">
        <v>11243</v>
      </c>
      <c r="AS2087" t="s">
        <v>11253</v>
      </c>
      <c r="AT2087" t="s">
        <v>11387</v>
      </c>
      <c r="AU2087">
        <v>106.53</v>
      </c>
      <c r="AV2087" t="s">
        <v>744</v>
      </c>
      <c r="AW2087" t="s">
        <v>11546</v>
      </c>
    </row>
    <row r="2088" spans="1:49">
      <c r="A2088" s="1">
        <f>HYPERLINK("https://cms.ls-nyc.org/matter/dynamic-profile/view/1863281","18-1863281")</f>
        <v>0</v>
      </c>
      <c r="B2088" t="s">
        <v>177</v>
      </c>
      <c r="C2088" t="s">
        <v>235</v>
      </c>
      <c r="D2088" t="s">
        <v>257</v>
      </c>
      <c r="F2088" t="s">
        <v>1212</v>
      </c>
      <c r="G2088" t="s">
        <v>3145</v>
      </c>
      <c r="H2088" t="s">
        <v>4523</v>
      </c>
      <c r="I2088">
        <v>137</v>
      </c>
      <c r="J2088" t="s">
        <v>5320</v>
      </c>
      <c r="K2088">
        <v>11208</v>
      </c>
      <c r="L2088" t="s">
        <v>5355</v>
      </c>
      <c r="M2088" t="s">
        <v>5356</v>
      </c>
      <c r="N2088" t="s">
        <v>6197</v>
      </c>
      <c r="O2088" t="s">
        <v>6492</v>
      </c>
      <c r="P2088" t="s">
        <v>6530</v>
      </c>
      <c r="R2088" t="s">
        <v>6539</v>
      </c>
      <c r="S2088" t="s">
        <v>5357</v>
      </c>
      <c r="U2088" t="s">
        <v>6557</v>
      </c>
      <c r="W2088" t="s">
        <v>257</v>
      </c>
      <c r="X2088">
        <v>1450</v>
      </c>
      <c r="Y2088" t="s">
        <v>6605</v>
      </c>
      <c r="Z2088" t="s">
        <v>6615</v>
      </c>
      <c r="AB2088" t="s">
        <v>8372</v>
      </c>
      <c r="AC2088" t="s">
        <v>9055</v>
      </c>
      <c r="AD2088" t="s">
        <v>10693</v>
      </c>
      <c r="AE2088">
        <v>266</v>
      </c>
      <c r="AG2088" t="s">
        <v>11019</v>
      </c>
      <c r="AH2088">
        <v>1</v>
      </c>
      <c r="AI2088">
        <v>1</v>
      </c>
      <c r="AJ2088">
        <v>2</v>
      </c>
      <c r="AK2088">
        <v>120.31</v>
      </c>
      <c r="AL2088" t="s">
        <v>339</v>
      </c>
      <c r="AN2088" t="s">
        <v>11050</v>
      </c>
      <c r="AO2088">
        <v>25000</v>
      </c>
      <c r="AU2088">
        <v>10.3</v>
      </c>
      <c r="AV2088" t="s">
        <v>11481</v>
      </c>
      <c r="AW2088" t="s">
        <v>11512</v>
      </c>
    </row>
    <row r="2089" spans="1:49">
      <c r="A2089" s="1">
        <f>HYPERLINK("https://cms.ls-nyc.org/matter/dynamic-profile/view/1840172","17-1840172")</f>
        <v>0</v>
      </c>
      <c r="B2089" t="s">
        <v>92</v>
      </c>
      <c r="C2089" t="s">
        <v>234</v>
      </c>
      <c r="D2089" t="s">
        <v>405</v>
      </c>
      <c r="E2089" t="s">
        <v>674</v>
      </c>
      <c r="F2089" t="s">
        <v>1938</v>
      </c>
      <c r="G2089" t="s">
        <v>3244</v>
      </c>
      <c r="H2089" t="s">
        <v>3575</v>
      </c>
      <c r="I2089">
        <v>46</v>
      </c>
      <c r="J2089" t="s">
        <v>5323</v>
      </c>
      <c r="K2089">
        <v>10040</v>
      </c>
      <c r="L2089" t="s">
        <v>5355</v>
      </c>
      <c r="M2089" t="s">
        <v>5355</v>
      </c>
      <c r="N2089" t="s">
        <v>5439</v>
      </c>
      <c r="O2089" t="s">
        <v>6494</v>
      </c>
      <c r="P2089" t="s">
        <v>6530</v>
      </c>
      <c r="Q2089" t="s">
        <v>6534</v>
      </c>
      <c r="R2089" t="s">
        <v>6539</v>
      </c>
      <c r="S2089" t="s">
        <v>5355</v>
      </c>
      <c r="U2089" t="s">
        <v>6557</v>
      </c>
      <c r="W2089" t="s">
        <v>460</v>
      </c>
      <c r="X2089">
        <v>1126.65</v>
      </c>
      <c r="Y2089" t="s">
        <v>6608</v>
      </c>
      <c r="Z2089" t="s">
        <v>6622</v>
      </c>
      <c r="AA2089" t="s">
        <v>6634</v>
      </c>
      <c r="AB2089" t="s">
        <v>8373</v>
      </c>
      <c r="AD2089" t="s">
        <v>10694</v>
      </c>
      <c r="AE2089">
        <v>45</v>
      </c>
      <c r="AF2089" t="s">
        <v>11005</v>
      </c>
      <c r="AG2089" t="s">
        <v>5406</v>
      </c>
      <c r="AH2089">
        <v>33</v>
      </c>
      <c r="AI2089">
        <v>2</v>
      </c>
      <c r="AJ2089">
        <v>0</v>
      </c>
      <c r="AK2089">
        <v>121.03</v>
      </c>
      <c r="AL2089" t="s">
        <v>301</v>
      </c>
      <c r="AN2089" t="s">
        <v>11049</v>
      </c>
      <c r="AO2089">
        <v>19656</v>
      </c>
      <c r="AQ2089" t="s">
        <v>11190</v>
      </c>
      <c r="AR2089" t="s">
        <v>11206</v>
      </c>
      <c r="AS2089" t="s">
        <v>11253</v>
      </c>
      <c r="AT2089" t="s">
        <v>11263</v>
      </c>
      <c r="AU2089">
        <v>2.1</v>
      </c>
      <c r="AV2089" t="s">
        <v>674</v>
      </c>
      <c r="AW2089" t="s">
        <v>11495</v>
      </c>
    </row>
    <row r="2090" spans="1:49">
      <c r="A2090" s="1">
        <f>HYPERLINK("https://cms.ls-nyc.org/matter/dynamic-profile/view/1851906","17-1851906")</f>
        <v>0</v>
      </c>
      <c r="B2090" t="s">
        <v>76</v>
      </c>
      <c r="C2090" t="s">
        <v>234</v>
      </c>
      <c r="D2090" t="s">
        <v>344</v>
      </c>
      <c r="E2090" t="s">
        <v>726</v>
      </c>
      <c r="F2090" t="s">
        <v>1939</v>
      </c>
      <c r="G2090" t="s">
        <v>2460</v>
      </c>
      <c r="H2090" t="s">
        <v>4418</v>
      </c>
      <c r="I2090">
        <v>1</v>
      </c>
      <c r="J2090" t="s">
        <v>5323</v>
      </c>
      <c r="K2090">
        <v>10029</v>
      </c>
      <c r="L2090" t="s">
        <v>5355</v>
      </c>
      <c r="M2090" t="s">
        <v>5355</v>
      </c>
      <c r="N2090" t="s">
        <v>6058</v>
      </c>
      <c r="O2090" t="s">
        <v>6491</v>
      </c>
      <c r="P2090" t="s">
        <v>6530</v>
      </c>
      <c r="Q2090" t="s">
        <v>6532</v>
      </c>
      <c r="R2090" t="s">
        <v>6539</v>
      </c>
      <c r="S2090" t="s">
        <v>5357</v>
      </c>
      <c r="U2090" t="s">
        <v>6557</v>
      </c>
      <c r="V2090" t="s">
        <v>6566</v>
      </c>
      <c r="W2090" t="s">
        <v>344</v>
      </c>
      <c r="X2090">
        <v>450</v>
      </c>
      <c r="Y2090" t="s">
        <v>6608</v>
      </c>
      <c r="Z2090" t="s">
        <v>6493</v>
      </c>
      <c r="AA2090" t="s">
        <v>6636</v>
      </c>
      <c r="AB2090" t="s">
        <v>7123</v>
      </c>
      <c r="AD2090" t="s">
        <v>10695</v>
      </c>
      <c r="AE2090">
        <v>5</v>
      </c>
      <c r="AF2090" t="s">
        <v>8722</v>
      </c>
      <c r="AG2090" t="s">
        <v>5406</v>
      </c>
      <c r="AH2090">
        <v>5</v>
      </c>
      <c r="AI2090">
        <v>2</v>
      </c>
      <c r="AJ2090">
        <v>0</v>
      </c>
      <c r="AK2090">
        <v>121.18</v>
      </c>
      <c r="AN2090" t="s">
        <v>11049</v>
      </c>
      <c r="AO2090">
        <v>19680</v>
      </c>
      <c r="AU2090">
        <v>2.7</v>
      </c>
      <c r="AV2090" t="s">
        <v>467</v>
      </c>
      <c r="AW2090" t="s">
        <v>11497</v>
      </c>
    </row>
    <row r="2091" spans="1:49">
      <c r="A2091" s="1">
        <f>HYPERLINK("https://cms.ls-nyc.org/matter/dynamic-profile/view/1850191","17-1850191")</f>
        <v>0</v>
      </c>
      <c r="B2091" t="s">
        <v>77</v>
      </c>
      <c r="C2091" t="s">
        <v>234</v>
      </c>
      <c r="D2091" t="s">
        <v>363</v>
      </c>
      <c r="E2091" t="s">
        <v>687</v>
      </c>
      <c r="F2091" t="s">
        <v>997</v>
      </c>
      <c r="G2091" t="s">
        <v>2814</v>
      </c>
      <c r="H2091" t="s">
        <v>3625</v>
      </c>
      <c r="I2091">
        <v>7</v>
      </c>
      <c r="J2091" t="s">
        <v>5320</v>
      </c>
      <c r="K2091">
        <v>11219</v>
      </c>
      <c r="L2091" t="s">
        <v>5355</v>
      </c>
      <c r="M2091" t="s">
        <v>5356</v>
      </c>
      <c r="O2091" t="s">
        <v>6494</v>
      </c>
      <c r="P2091" t="s">
        <v>6530</v>
      </c>
      <c r="Q2091" t="s">
        <v>6534</v>
      </c>
      <c r="R2091" t="s">
        <v>6539</v>
      </c>
      <c r="S2091" t="s">
        <v>5355</v>
      </c>
      <c r="T2091" t="s">
        <v>6539</v>
      </c>
      <c r="U2091" t="s">
        <v>6557</v>
      </c>
      <c r="W2091" t="s">
        <v>415</v>
      </c>
      <c r="X2091">
        <v>840.49</v>
      </c>
      <c r="Y2091" t="s">
        <v>6605</v>
      </c>
      <c r="Z2091" t="s">
        <v>6622</v>
      </c>
      <c r="AA2091" t="s">
        <v>6634</v>
      </c>
      <c r="AB2091" t="s">
        <v>7643</v>
      </c>
      <c r="AD2091" t="s">
        <v>10003</v>
      </c>
      <c r="AE2091">
        <v>14</v>
      </c>
      <c r="AF2091" t="s">
        <v>11005</v>
      </c>
      <c r="AG2091" t="s">
        <v>5406</v>
      </c>
      <c r="AH2091">
        <v>12</v>
      </c>
      <c r="AI2091">
        <v>2</v>
      </c>
      <c r="AJ2091">
        <v>0</v>
      </c>
      <c r="AK2091">
        <v>121.33</v>
      </c>
      <c r="AL2091" t="s">
        <v>333</v>
      </c>
      <c r="AN2091" t="s">
        <v>11049</v>
      </c>
      <c r="AO2091">
        <v>34704</v>
      </c>
      <c r="AU2091">
        <v>7.2</v>
      </c>
      <c r="AV2091" t="s">
        <v>687</v>
      </c>
      <c r="AW2091" t="s">
        <v>11512</v>
      </c>
    </row>
    <row r="2092" spans="1:49">
      <c r="A2092" s="1">
        <f>HYPERLINK("https://cms.ls-nyc.org/matter/dynamic-profile/view/1868991","18-1868991")</f>
        <v>0</v>
      </c>
      <c r="B2092" t="s">
        <v>134</v>
      </c>
      <c r="C2092" t="s">
        <v>235</v>
      </c>
      <c r="D2092" t="s">
        <v>345</v>
      </c>
      <c r="F2092" t="s">
        <v>1541</v>
      </c>
      <c r="G2092" t="s">
        <v>2821</v>
      </c>
      <c r="H2092" t="s">
        <v>4092</v>
      </c>
      <c r="I2092" t="s">
        <v>4776</v>
      </c>
      <c r="J2092" t="s">
        <v>5317</v>
      </c>
      <c r="K2092">
        <v>11432</v>
      </c>
      <c r="L2092" t="s">
        <v>5355</v>
      </c>
      <c r="M2092" t="s">
        <v>5356</v>
      </c>
      <c r="N2092" t="s">
        <v>6198</v>
      </c>
      <c r="O2092" t="s">
        <v>6518</v>
      </c>
      <c r="P2092" t="s">
        <v>6530</v>
      </c>
      <c r="R2092" t="s">
        <v>6539</v>
      </c>
      <c r="S2092" t="s">
        <v>5357</v>
      </c>
      <c r="U2092" t="s">
        <v>6557</v>
      </c>
      <c r="W2092" t="s">
        <v>345</v>
      </c>
      <c r="X2092">
        <v>1175</v>
      </c>
      <c r="Y2092" t="s">
        <v>6604</v>
      </c>
      <c r="Z2092" t="s">
        <v>6614</v>
      </c>
      <c r="AB2092" t="s">
        <v>7065</v>
      </c>
      <c r="AD2092" t="s">
        <v>10012</v>
      </c>
      <c r="AE2092">
        <v>180</v>
      </c>
      <c r="AF2092" t="s">
        <v>11005</v>
      </c>
      <c r="AG2092" t="s">
        <v>5406</v>
      </c>
      <c r="AH2092">
        <v>9</v>
      </c>
      <c r="AI2092">
        <v>2</v>
      </c>
      <c r="AJ2092">
        <v>0</v>
      </c>
      <c r="AK2092">
        <v>121.51</v>
      </c>
      <c r="AN2092" t="s">
        <v>11059</v>
      </c>
      <c r="AO2092">
        <v>20000</v>
      </c>
      <c r="AU2092">
        <v>58.06</v>
      </c>
      <c r="AV2092" t="s">
        <v>729</v>
      </c>
      <c r="AW2092" t="s">
        <v>181</v>
      </c>
    </row>
    <row r="2093" spans="1:49">
      <c r="A2093" s="1">
        <f>HYPERLINK("https://cms.ls-nyc.org/matter/dynamic-profile/view/1856420","18-1856420")</f>
        <v>0</v>
      </c>
      <c r="B2093" t="s">
        <v>102</v>
      </c>
      <c r="C2093" t="s">
        <v>234</v>
      </c>
      <c r="D2093" t="s">
        <v>261</v>
      </c>
      <c r="E2093" t="s">
        <v>744</v>
      </c>
      <c r="F2093" t="s">
        <v>1596</v>
      </c>
      <c r="G2093" t="s">
        <v>2882</v>
      </c>
      <c r="H2093" t="s">
        <v>3526</v>
      </c>
      <c r="I2093">
        <v>417</v>
      </c>
      <c r="J2093" t="s">
        <v>5321</v>
      </c>
      <c r="K2093">
        <v>10453</v>
      </c>
      <c r="L2093" t="s">
        <v>5355</v>
      </c>
      <c r="M2093" t="s">
        <v>5356</v>
      </c>
      <c r="N2093" t="s">
        <v>5883</v>
      </c>
      <c r="O2093" t="s">
        <v>6494</v>
      </c>
      <c r="P2093" t="s">
        <v>6530</v>
      </c>
      <c r="Q2093" t="s">
        <v>6534</v>
      </c>
      <c r="R2093" t="s">
        <v>6539</v>
      </c>
      <c r="S2093" t="s">
        <v>5355</v>
      </c>
      <c r="U2093" t="s">
        <v>6557</v>
      </c>
      <c r="W2093" t="s">
        <v>247</v>
      </c>
      <c r="X2093">
        <v>988</v>
      </c>
      <c r="Y2093" t="s">
        <v>6606</v>
      </c>
      <c r="Z2093" t="s">
        <v>6622</v>
      </c>
      <c r="AA2093" t="s">
        <v>6634</v>
      </c>
      <c r="AB2093" t="s">
        <v>7752</v>
      </c>
      <c r="AD2093" t="s">
        <v>10103</v>
      </c>
      <c r="AE2093">
        <v>146</v>
      </c>
      <c r="AF2093" t="s">
        <v>11005</v>
      </c>
      <c r="AG2093" t="s">
        <v>5406</v>
      </c>
      <c r="AH2093">
        <v>7</v>
      </c>
      <c r="AI2093">
        <v>4</v>
      </c>
      <c r="AJ2093">
        <v>1</v>
      </c>
      <c r="AK2093">
        <v>121.96</v>
      </c>
      <c r="AN2093" t="s">
        <v>11049</v>
      </c>
      <c r="AO2093">
        <v>52910</v>
      </c>
      <c r="AU2093">
        <v>1.3</v>
      </c>
      <c r="AV2093" t="s">
        <v>745</v>
      </c>
      <c r="AW2093" t="s">
        <v>11492</v>
      </c>
    </row>
    <row r="2094" spans="1:49">
      <c r="A2094" s="1">
        <f>HYPERLINK("https://cms.ls-nyc.org/matter/dynamic-profile/view/1867579","18-1867579")</f>
        <v>0</v>
      </c>
      <c r="B2094" t="s">
        <v>223</v>
      </c>
      <c r="C2094" t="s">
        <v>235</v>
      </c>
      <c r="D2094" t="s">
        <v>317</v>
      </c>
      <c r="F2094" t="s">
        <v>1940</v>
      </c>
      <c r="G2094" t="s">
        <v>3245</v>
      </c>
      <c r="H2094" t="s">
        <v>4092</v>
      </c>
      <c r="I2094" t="s">
        <v>5250</v>
      </c>
      <c r="J2094" t="s">
        <v>5317</v>
      </c>
      <c r="K2094">
        <v>11432</v>
      </c>
      <c r="L2094" t="s">
        <v>5355</v>
      </c>
      <c r="M2094" t="s">
        <v>5356</v>
      </c>
      <c r="N2094" t="s">
        <v>6199</v>
      </c>
      <c r="O2094" t="s">
        <v>6516</v>
      </c>
      <c r="P2094" t="s">
        <v>6530</v>
      </c>
      <c r="R2094" t="s">
        <v>6539</v>
      </c>
      <c r="S2094" t="s">
        <v>5357</v>
      </c>
      <c r="U2094" t="s">
        <v>6557</v>
      </c>
      <c r="W2094" t="s">
        <v>317</v>
      </c>
      <c r="X2094">
        <v>1226.89</v>
      </c>
      <c r="Y2094" t="s">
        <v>6604</v>
      </c>
      <c r="Z2094" t="s">
        <v>6614</v>
      </c>
      <c r="AB2094" t="s">
        <v>8374</v>
      </c>
      <c r="AD2094" t="s">
        <v>10696</v>
      </c>
      <c r="AE2094">
        <v>185</v>
      </c>
      <c r="AF2094" t="s">
        <v>11005</v>
      </c>
      <c r="AG2094" t="s">
        <v>5406</v>
      </c>
      <c r="AH2094">
        <v>5</v>
      </c>
      <c r="AI2094">
        <v>2</v>
      </c>
      <c r="AJ2094">
        <v>3</v>
      </c>
      <c r="AK2094">
        <v>122.37</v>
      </c>
      <c r="AL2094" t="s">
        <v>485</v>
      </c>
      <c r="AN2094" t="s">
        <v>11059</v>
      </c>
      <c r="AO2094">
        <v>36000</v>
      </c>
      <c r="AU2094">
        <v>108.6</v>
      </c>
      <c r="AV2094" t="s">
        <v>11448</v>
      </c>
      <c r="AW2094" t="s">
        <v>11506</v>
      </c>
    </row>
    <row r="2095" spans="1:49">
      <c r="A2095" s="1">
        <f>HYPERLINK("https://cms.ls-nyc.org/matter/dynamic-profile/view/1867563","18-1867563")</f>
        <v>0</v>
      </c>
      <c r="B2095" t="s">
        <v>223</v>
      </c>
      <c r="C2095" t="s">
        <v>235</v>
      </c>
      <c r="D2095" t="s">
        <v>317</v>
      </c>
      <c r="F2095" t="s">
        <v>1940</v>
      </c>
      <c r="G2095" t="s">
        <v>3245</v>
      </c>
      <c r="H2095" t="s">
        <v>4092</v>
      </c>
      <c r="I2095" t="s">
        <v>5250</v>
      </c>
      <c r="J2095" t="s">
        <v>5317</v>
      </c>
      <c r="K2095">
        <v>11432</v>
      </c>
      <c r="L2095" t="s">
        <v>5355</v>
      </c>
      <c r="M2095" t="s">
        <v>5356</v>
      </c>
      <c r="N2095" t="s">
        <v>6200</v>
      </c>
      <c r="O2095" t="s">
        <v>6490</v>
      </c>
      <c r="P2095" t="s">
        <v>6530</v>
      </c>
      <c r="R2095" t="s">
        <v>6539</v>
      </c>
      <c r="S2095" t="s">
        <v>5357</v>
      </c>
      <c r="U2095" t="s">
        <v>6557</v>
      </c>
      <c r="W2095" t="s">
        <v>317</v>
      </c>
      <c r="X2095">
        <v>1226.89</v>
      </c>
      <c r="Y2095" t="s">
        <v>6604</v>
      </c>
      <c r="Z2095" t="s">
        <v>6614</v>
      </c>
      <c r="AB2095" t="s">
        <v>8374</v>
      </c>
      <c r="AD2095" t="s">
        <v>10696</v>
      </c>
      <c r="AE2095">
        <v>185</v>
      </c>
      <c r="AF2095" t="s">
        <v>11005</v>
      </c>
      <c r="AG2095" t="s">
        <v>5406</v>
      </c>
      <c r="AH2095">
        <v>5</v>
      </c>
      <c r="AI2095">
        <v>2</v>
      </c>
      <c r="AJ2095">
        <v>3</v>
      </c>
      <c r="AK2095">
        <v>122.37</v>
      </c>
      <c r="AL2095" t="s">
        <v>485</v>
      </c>
      <c r="AN2095" t="s">
        <v>11059</v>
      </c>
      <c r="AO2095">
        <v>36000</v>
      </c>
      <c r="AU2095">
        <v>7.75</v>
      </c>
      <c r="AV2095" t="s">
        <v>788</v>
      </c>
      <c r="AW2095" t="s">
        <v>11506</v>
      </c>
    </row>
    <row r="2096" spans="1:49">
      <c r="A2096" s="1">
        <f>HYPERLINK("https://cms.ls-nyc.org/matter/dynamic-profile/view/1863233","18-1863233")</f>
        <v>0</v>
      </c>
      <c r="B2096" t="s">
        <v>56</v>
      </c>
      <c r="C2096" t="s">
        <v>235</v>
      </c>
      <c r="D2096" t="s">
        <v>257</v>
      </c>
      <c r="F2096" t="s">
        <v>1941</v>
      </c>
      <c r="G2096" t="s">
        <v>2799</v>
      </c>
      <c r="H2096" t="s">
        <v>4020</v>
      </c>
      <c r="I2096" t="s">
        <v>4796</v>
      </c>
      <c r="J2096" t="s">
        <v>5321</v>
      </c>
      <c r="K2096">
        <v>10458</v>
      </c>
      <c r="L2096" t="s">
        <v>5355</v>
      </c>
      <c r="M2096" t="s">
        <v>5356</v>
      </c>
      <c r="N2096" t="s">
        <v>6201</v>
      </c>
      <c r="O2096" t="s">
        <v>6494</v>
      </c>
      <c r="P2096" t="s">
        <v>6530</v>
      </c>
      <c r="R2096" t="s">
        <v>6539</v>
      </c>
      <c r="S2096" t="s">
        <v>5357</v>
      </c>
      <c r="U2096" t="s">
        <v>6557</v>
      </c>
      <c r="W2096" t="s">
        <v>326</v>
      </c>
      <c r="X2096">
        <v>1600</v>
      </c>
      <c r="Y2096" t="s">
        <v>6606</v>
      </c>
      <c r="Z2096" t="s">
        <v>6612</v>
      </c>
      <c r="AB2096" t="s">
        <v>8375</v>
      </c>
      <c r="AD2096" t="s">
        <v>10697</v>
      </c>
      <c r="AE2096">
        <v>11</v>
      </c>
      <c r="AF2096" t="s">
        <v>11005</v>
      </c>
      <c r="AG2096" t="s">
        <v>5406</v>
      </c>
      <c r="AH2096">
        <v>3</v>
      </c>
      <c r="AI2096">
        <v>2</v>
      </c>
      <c r="AJ2096">
        <v>3</v>
      </c>
      <c r="AK2096">
        <v>122.37</v>
      </c>
      <c r="AN2096" t="s">
        <v>11049</v>
      </c>
      <c r="AO2096">
        <v>36000</v>
      </c>
      <c r="AU2096">
        <v>102.9</v>
      </c>
      <c r="AV2096" t="s">
        <v>810</v>
      </c>
      <c r="AW2096" t="s">
        <v>56</v>
      </c>
    </row>
    <row r="2097" spans="1:49">
      <c r="A2097" s="1">
        <f>HYPERLINK("https://cms.ls-nyc.org/matter/dynamic-profile/view/1867943","18-1867943")</f>
        <v>0</v>
      </c>
      <c r="B2097" t="s">
        <v>50</v>
      </c>
      <c r="C2097" t="s">
        <v>234</v>
      </c>
      <c r="D2097" t="s">
        <v>452</v>
      </c>
      <c r="E2097" t="s">
        <v>665</v>
      </c>
      <c r="F2097" t="s">
        <v>973</v>
      </c>
      <c r="G2097" t="s">
        <v>3246</v>
      </c>
      <c r="H2097" t="s">
        <v>3624</v>
      </c>
      <c r="I2097" t="s">
        <v>5251</v>
      </c>
      <c r="J2097" t="s">
        <v>5326</v>
      </c>
      <c r="K2097">
        <v>11691</v>
      </c>
      <c r="L2097" t="s">
        <v>5355</v>
      </c>
      <c r="M2097" t="s">
        <v>5355</v>
      </c>
      <c r="N2097" t="s">
        <v>6202</v>
      </c>
      <c r="O2097" t="s">
        <v>6492</v>
      </c>
      <c r="P2097" t="s">
        <v>6530</v>
      </c>
      <c r="Q2097" t="s">
        <v>6534</v>
      </c>
      <c r="R2097" t="s">
        <v>6539</v>
      </c>
      <c r="S2097" t="s">
        <v>5357</v>
      </c>
      <c r="U2097" t="s">
        <v>6557</v>
      </c>
      <c r="V2097" t="s">
        <v>6568</v>
      </c>
      <c r="W2097" t="s">
        <v>452</v>
      </c>
      <c r="X2097">
        <v>1187</v>
      </c>
      <c r="Y2097" t="s">
        <v>6604</v>
      </c>
      <c r="Z2097" t="s">
        <v>6617</v>
      </c>
      <c r="AA2097" t="s">
        <v>6637</v>
      </c>
      <c r="AB2097" t="s">
        <v>8033</v>
      </c>
      <c r="AC2097" t="s">
        <v>5392</v>
      </c>
      <c r="AD2097" t="s">
        <v>10698</v>
      </c>
      <c r="AE2097">
        <v>324</v>
      </c>
      <c r="AF2097" t="s">
        <v>11004</v>
      </c>
      <c r="AG2097" t="s">
        <v>5406</v>
      </c>
      <c r="AH2097">
        <v>17</v>
      </c>
      <c r="AI2097">
        <v>3</v>
      </c>
      <c r="AJ2097">
        <v>0</v>
      </c>
      <c r="AK2097">
        <v>122.43</v>
      </c>
      <c r="AN2097" t="s">
        <v>11050</v>
      </c>
      <c r="AO2097">
        <v>25440</v>
      </c>
      <c r="AQ2097" t="s">
        <v>11195</v>
      </c>
      <c r="AR2097" t="s">
        <v>11235</v>
      </c>
      <c r="AS2097" t="s">
        <v>11253</v>
      </c>
      <c r="AT2097" t="s">
        <v>11365</v>
      </c>
      <c r="AU2097">
        <v>23.35</v>
      </c>
      <c r="AV2097" t="s">
        <v>720</v>
      </c>
      <c r="AW2097" t="s">
        <v>11506</v>
      </c>
    </row>
    <row r="2098" spans="1:49">
      <c r="A2098" s="1">
        <f>HYPERLINK("https://cms.ls-nyc.org/matter/dynamic-profile/view/0822349","16-0822349")</f>
        <v>0</v>
      </c>
      <c r="B2098" t="s">
        <v>99</v>
      </c>
      <c r="C2098" t="s">
        <v>235</v>
      </c>
      <c r="D2098" t="s">
        <v>624</v>
      </c>
      <c r="F2098" t="s">
        <v>1750</v>
      </c>
      <c r="G2098" t="s">
        <v>3187</v>
      </c>
      <c r="H2098" t="s">
        <v>4437</v>
      </c>
      <c r="I2098" t="s">
        <v>4772</v>
      </c>
      <c r="J2098" t="s">
        <v>5320</v>
      </c>
      <c r="K2098">
        <v>11212</v>
      </c>
      <c r="L2098" t="s">
        <v>5355</v>
      </c>
      <c r="M2098" t="s">
        <v>5356</v>
      </c>
      <c r="N2098" t="s">
        <v>6203</v>
      </c>
      <c r="O2098" t="s">
        <v>6491</v>
      </c>
      <c r="P2098" t="s">
        <v>6530</v>
      </c>
      <c r="R2098" t="s">
        <v>6539</v>
      </c>
      <c r="S2098" t="s">
        <v>5355</v>
      </c>
      <c r="U2098" t="s">
        <v>6557</v>
      </c>
      <c r="W2098" t="s">
        <v>6583</v>
      </c>
      <c r="X2098">
        <v>1350</v>
      </c>
      <c r="Y2098" t="s">
        <v>6605</v>
      </c>
      <c r="AB2098" t="s">
        <v>8261</v>
      </c>
      <c r="AD2098" t="s">
        <v>10590</v>
      </c>
      <c r="AE2098">
        <v>4</v>
      </c>
      <c r="AF2098" t="s">
        <v>11004</v>
      </c>
      <c r="AG2098" t="s">
        <v>5406</v>
      </c>
      <c r="AH2098">
        <v>3</v>
      </c>
      <c r="AI2098">
        <v>1</v>
      </c>
      <c r="AJ2098">
        <v>3</v>
      </c>
      <c r="AK2098">
        <v>122.57</v>
      </c>
      <c r="AN2098" t="s">
        <v>11050</v>
      </c>
      <c r="AO2098">
        <v>29784</v>
      </c>
      <c r="AU2098">
        <v>91.90000000000001</v>
      </c>
      <c r="AV2098" t="s">
        <v>330</v>
      </c>
      <c r="AW2098" t="s">
        <v>11489</v>
      </c>
    </row>
    <row r="2099" spans="1:49">
      <c r="A2099" s="1">
        <f>HYPERLINK("https://cms.ls-nyc.org/matter/dynamic-profile/view/1841685","17-1841685")</f>
        <v>0</v>
      </c>
      <c r="B2099" t="s">
        <v>80</v>
      </c>
      <c r="C2099" t="s">
        <v>234</v>
      </c>
      <c r="D2099" t="s">
        <v>497</v>
      </c>
      <c r="E2099" t="s">
        <v>517</v>
      </c>
      <c r="F2099" t="s">
        <v>1537</v>
      </c>
      <c r="G2099" t="s">
        <v>2816</v>
      </c>
      <c r="H2099" t="s">
        <v>3721</v>
      </c>
      <c r="I2099" t="s">
        <v>5069</v>
      </c>
      <c r="J2099" t="s">
        <v>5321</v>
      </c>
      <c r="K2099">
        <v>10453</v>
      </c>
      <c r="L2099" t="s">
        <v>5355</v>
      </c>
      <c r="M2099" t="s">
        <v>5355</v>
      </c>
      <c r="N2099" t="s">
        <v>5602</v>
      </c>
      <c r="O2099" t="s">
        <v>6494</v>
      </c>
      <c r="P2099" t="s">
        <v>6530</v>
      </c>
      <c r="Q2099" t="s">
        <v>6534</v>
      </c>
      <c r="R2099" t="s">
        <v>6539</v>
      </c>
      <c r="S2099" t="s">
        <v>5355</v>
      </c>
      <c r="U2099" t="s">
        <v>6557</v>
      </c>
      <c r="W2099" t="s">
        <v>404</v>
      </c>
      <c r="X2099">
        <v>781.77</v>
      </c>
      <c r="Y2099" t="s">
        <v>6606</v>
      </c>
      <c r="Z2099" t="s">
        <v>6612</v>
      </c>
      <c r="AA2099" t="s">
        <v>6634</v>
      </c>
      <c r="AB2099" t="s">
        <v>7646</v>
      </c>
      <c r="AE2099">
        <v>170</v>
      </c>
      <c r="AF2099" t="s">
        <v>11005</v>
      </c>
      <c r="AG2099" t="s">
        <v>5406</v>
      </c>
      <c r="AH2099">
        <v>10</v>
      </c>
      <c r="AI2099">
        <v>1</v>
      </c>
      <c r="AJ2099">
        <v>1</v>
      </c>
      <c r="AK2099">
        <v>123.15</v>
      </c>
      <c r="AN2099" t="s">
        <v>11049</v>
      </c>
      <c r="AO2099">
        <v>20000</v>
      </c>
      <c r="AQ2099" t="s">
        <v>11190</v>
      </c>
      <c r="AR2099" t="s">
        <v>11206</v>
      </c>
      <c r="AS2099" t="s">
        <v>11253</v>
      </c>
      <c r="AT2099" t="s">
        <v>11331</v>
      </c>
      <c r="AU2099">
        <v>0.1</v>
      </c>
      <c r="AV2099" t="s">
        <v>517</v>
      </c>
      <c r="AW2099" t="s">
        <v>11509</v>
      </c>
    </row>
    <row r="2100" spans="1:49">
      <c r="A2100" s="1">
        <f>HYPERLINK("https://cms.ls-nyc.org/matter/dynamic-profile/view/1846927","17-1846927")</f>
        <v>0</v>
      </c>
      <c r="B2100" t="s">
        <v>60</v>
      </c>
      <c r="C2100" t="s">
        <v>234</v>
      </c>
      <c r="D2100" t="s">
        <v>533</v>
      </c>
      <c r="E2100" t="s">
        <v>805</v>
      </c>
      <c r="F2100" t="s">
        <v>1397</v>
      </c>
      <c r="G2100" t="s">
        <v>2499</v>
      </c>
      <c r="H2100" t="s">
        <v>3526</v>
      </c>
      <c r="I2100">
        <v>411</v>
      </c>
      <c r="J2100" t="s">
        <v>5321</v>
      </c>
      <c r="K2100">
        <v>10453</v>
      </c>
      <c r="L2100" t="s">
        <v>5355</v>
      </c>
      <c r="M2100" t="s">
        <v>5355</v>
      </c>
      <c r="N2100" t="s">
        <v>6204</v>
      </c>
      <c r="O2100" t="s">
        <v>6492</v>
      </c>
      <c r="P2100" t="s">
        <v>6530</v>
      </c>
      <c r="Q2100" t="s">
        <v>6534</v>
      </c>
      <c r="R2100" t="s">
        <v>6539</v>
      </c>
      <c r="S2100" t="s">
        <v>5357</v>
      </c>
      <c r="U2100" t="s">
        <v>6557</v>
      </c>
      <c r="V2100" t="s">
        <v>6566</v>
      </c>
      <c r="W2100" t="s">
        <v>6599</v>
      </c>
      <c r="X2100">
        <v>874.1</v>
      </c>
      <c r="Y2100" t="s">
        <v>6606</v>
      </c>
      <c r="Z2100" t="s">
        <v>6614</v>
      </c>
      <c r="AA2100" t="s">
        <v>6637</v>
      </c>
      <c r="AB2100" t="s">
        <v>7647</v>
      </c>
      <c r="AD2100" t="s">
        <v>10006</v>
      </c>
      <c r="AE2100">
        <v>146</v>
      </c>
      <c r="AF2100" t="s">
        <v>11005</v>
      </c>
      <c r="AG2100" t="s">
        <v>5406</v>
      </c>
      <c r="AH2100">
        <v>5</v>
      </c>
      <c r="AI2100">
        <v>1</v>
      </c>
      <c r="AJ2100">
        <v>1</v>
      </c>
      <c r="AK2100">
        <v>123.15</v>
      </c>
      <c r="AN2100" t="s">
        <v>11050</v>
      </c>
      <c r="AO2100">
        <v>20000</v>
      </c>
      <c r="AQ2100" t="s">
        <v>11192</v>
      </c>
      <c r="AR2100" t="s">
        <v>11213</v>
      </c>
      <c r="AS2100" t="s">
        <v>11253</v>
      </c>
      <c r="AT2100" t="s">
        <v>11400</v>
      </c>
      <c r="AU2100">
        <v>22</v>
      </c>
      <c r="AV2100" t="s">
        <v>805</v>
      </c>
      <c r="AW2100" t="s">
        <v>11499</v>
      </c>
    </row>
    <row r="2101" spans="1:49">
      <c r="A2101" s="1">
        <f>HYPERLINK("https://cms.ls-nyc.org/matter/dynamic-profile/view/1862989","18-1862989")</f>
        <v>0</v>
      </c>
      <c r="B2101" t="s">
        <v>90</v>
      </c>
      <c r="C2101" t="s">
        <v>234</v>
      </c>
      <c r="D2101" t="s">
        <v>369</v>
      </c>
      <c r="E2101" t="s">
        <v>713</v>
      </c>
      <c r="F2101" t="s">
        <v>1538</v>
      </c>
      <c r="G2101" t="s">
        <v>2572</v>
      </c>
      <c r="H2101" t="s">
        <v>3549</v>
      </c>
      <c r="I2101" t="s">
        <v>4749</v>
      </c>
      <c r="J2101" t="s">
        <v>5321</v>
      </c>
      <c r="K2101">
        <v>10452</v>
      </c>
      <c r="L2101" t="s">
        <v>5355</v>
      </c>
      <c r="M2101" t="s">
        <v>5356</v>
      </c>
      <c r="N2101" t="s">
        <v>5740</v>
      </c>
      <c r="O2101" t="s">
        <v>6494</v>
      </c>
      <c r="P2101" t="s">
        <v>6530</v>
      </c>
      <c r="Q2101" t="s">
        <v>6534</v>
      </c>
      <c r="R2101" t="s">
        <v>6539</v>
      </c>
      <c r="S2101" t="s">
        <v>5355</v>
      </c>
      <c r="U2101" t="s">
        <v>6557</v>
      </c>
      <c r="W2101" t="s">
        <v>480</v>
      </c>
      <c r="X2101">
        <v>1450</v>
      </c>
      <c r="Y2101" t="s">
        <v>6606</v>
      </c>
      <c r="Z2101" t="s">
        <v>6612</v>
      </c>
      <c r="AA2101" t="s">
        <v>6634</v>
      </c>
      <c r="AB2101" t="s">
        <v>7648</v>
      </c>
      <c r="AD2101" t="s">
        <v>10007</v>
      </c>
      <c r="AE2101">
        <v>52</v>
      </c>
      <c r="AF2101" t="s">
        <v>11005</v>
      </c>
      <c r="AG2101" t="s">
        <v>5406</v>
      </c>
      <c r="AH2101">
        <v>0</v>
      </c>
      <c r="AI2101">
        <v>1</v>
      </c>
      <c r="AJ2101">
        <v>1</v>
      </c>
      <c r="AK2101">
        <v>123.21</v>
      </c>
      <c r="AN2101" t="s">
        <v>11050</v>
      </c>
      <c r="AO2101">
        <v>20280</v>
      </c>
      <c r="AU2101">
        <v>2.5</v>
      </c>
      <c r="AV2101" t="s">
        <v>713</v>
      </c>
      <c r="AW2101" t="s">
        <v>59</v>
      </c>
    </row>
    <row r="2102" spans="1:49">
      <c r="A2102" s="1">
        <f>HYPERLINK("https://cms.ls-nyc.org/matter/dynamic-profile/view/1848160","17-1848160")</f>
        <v>0</v>
      </c>
      <c r="B2102" t="s">
        <v>92</v>
      </c>
      <c r="C2102" t="s">
        <v>234</v>
      </c>
      <c r="D2102" t="s">
        <v>411</v>
      </c>
      <c r="E2102" t="s">
        <v>695</v>
      </c>
      <c r="F2102" t="s">
        <v>1171</v>
      </c>
      <c r="G2102" t="s">
        <v>2681</v>
      </c>
      <c r="H2102" t="s">
        <v>4019</v>
      </c>
      <c r="I2102" t="s">
        <v>4854</v>
      </c>
      <c r="J2102" t="s">
        <v>5323</v>
      </c>
      <c r="K2102">
        <v>10034</v>
      </c>
      <c r="L2102" t="s">
        <v>5355</v>
      </c>
      <c r="M2102" t="s">
        <v>5356</v>
      </c>
      <c r="N2102" t="s">
        <v>6205</v>
      </c>
      <c r="O2102" t="s">
        <v>6492</v>
      </c>
      <c r="P2102" t="s">
        <v>6530</v>
      </c>
      <c r="Q2102" t="s">
        <v>6534</v>
      </c>
      <c r="R2102" t="s">
        <v>6539</v>
      </c>
      <c r="S2102" t="s">
        <v>5357</v>
      </c>
      <c r="U2102" t="s">
        <v>6557</v>
      </c>
      <c r="W2102" t="s">
        <v>411</v>
      </c>
      <c r="X2102">
        <v>1546.83</v>
      </c>
      <c r="Y2102" t="s">
        <v>6608</v>
      </c>
      <c r="Z2102" t="s">
        <v>6616</v>
      </c>
      <c r="AA2102" t="s">
        <v>6637</v>
      </c>
      <c r="AB2102" t="s">
        <v>7436</v>
      </c>
      <c r="AD2102" t="s">
        <v>9808</v>
      </c>
      <c r="AE2102">
        <v>44</v>
      </c>
      <c r="AF2102" t="s">
        <v>11005</v>
      </c>
      <c r="AG2102" t="s">
        <v>11020</v>
      </c>
      <c r="AH2102">
        <v>8</v>
      </c>
      <c r="AI2102">
        <v>1</v>
      </c>
      <c r="AJ2102">
        <v>2</v>
      </c>
      <c r="AK2102">
        <v>123.54</v>
      </c>
      <c r="AN2102" t="s">
        <v>11049</v>
      </c>
      <c r="AO2102">
        <v>25226</v>
      </c>
      <c r="AU2102">
        <v>11.12</v>
      </c>
      <c r="AV2102" t="s">
        <v>319</v>
      </c>
      <c r="AW2102" t="s">
        <v>11495</v>
      </c>
    </row>
    <row r="2103" spans="1:49">
      <c r="A2103" s="1">
        <f>HYPERLINK("https://cms.ls-nyc.org/matter/dynamic-profile/view/1864111","18-1864111")</f>
        <v>0</v>
      </c>
      <c r="B2103" t="s">
        <v>67</v>
      </c>
      <c r="C2103" t="s">
        <v>235</v>
      </c>
      <c r="D2103" t="s">
        <v>357</v>
      </c>
      <c r="F2103" t="s">
        <v>1942</v>
      </c>
      <c r="G2103" t="s">
        <v>3247</v>
      </c>
      <c r="H2103" t="s">
        <v>3579</v>
      </c>
      <c r="I2103">
        <v>310</v>
      </c>
      <c r="J2103" t="s">
        <v>5323</v>
      </c>
      <c r="K2103">
        <v>10029</v>
      </c>
      <c r="L2103" t="s">
        <v>5355</v>
      </c>
      <c r="M2103" t="s">
        <v>5355</v>
      </c>
      <c r="N2103" t="s">
        <v>5632</v>
      </c>
      <c r="O2103" t="s">
        <v>6494</v>
      </c>
      <c r="P2103" t="s">
        <v>6530</v>
      </c>
      <c r="R2103" t="s">
        <v>6539</v>
      </c>
      <c r="S2103" t="s">
        <v>5355</v>
      </c>
      <c r="U2103" t="s">
        <v>6557</v>
      </c>
      <c r="V2103" t="s">
        <v>6566</v>
      </c>
      <c r="W2103" t="s">
        <v>357</v>
      </c>
      <c r="X2103">
        <v>0</v>
      </c>
      <c r="Y2103" t="s">
        <v>6608</v>
      </c>
      <c r="Z2103" t="s">
        <v>6622</v>
      </c>
      <c r="AB2103" t="s">
        <v>8376</v>
      </c>
      <c r="AE2103">
        <v>108</v>
      </c>
      <c r="AF2103" t="s">
        <v>11008</v>
      </c>
      <c r="AG2103" t="s">
        <v>11020</v>
      </c>
      <c r="AH2103">
        <v>20</v>
      </c>
      <c r="AI2103">
        <v>1</v>
      </c>
      <c r="AJ2103">
        <v>1</v>
      </c>
      <c r="AK2103">
        <v>123.68</v>
      </c>
      <c r="AN2103" t="s">
        <v>11049</v>
      </c>
      <c r="AO2103">
        <v>20358</v>
      </c>
      <c r="AU2103">
        <v>0.25</v>
      </c>
      <c r="AV2103" t="s">
        <v>11453</v>
      </c>
      <c r="AW2103" t="s">
        <v>11497</v>
      </c>
    </row>
    <row r="2104" spans="1:49">
      <c r="A2104" s="1">
        <f>HYPERLINK("https://cms.ls-nyc.org/matter/dynamic-profile/view/1847934","17-1847934")</f>
        <v>0</v>
      </c>
      <c r="B2104" t="s">
        <v>149</v>
      </c>
      <c r="C2104" t="s">
        <v>234</v>
      </c>
      <c r="D2104" t="s">
        <v>426</v>
      </c>
      <c r="E2104" t="s">
        <v>398</v>
      </c>
      <c r="F2104" t="s">
        <v>997</v>
      </c>
      <c r="G2104" t="s">
        <v>2460</v>
      </c>
      <c r="H2104" t="s">
        <v>4524</v>
      </c>
      <c r="I2104" t="s">
        <v>5168</v>
      </c>
      <c r="J2104" t="s">
        <v>5318</v>
      </c>
      <c r="K2104">
        <v>11385</v>
      </c>
      <c r="L2104" t="s">
        <v>5355</v>
      </c>
      <c r="M2104" t="s">
        <v>5356</v>
      </c>
      <c r="N2104" t="s">
        <v>6206</v>
      </c>
      <c r="O2104" t="s">
        <v>6491</v>
      </c>
      <c r="P2104" t="s">
        <v>6530</v>
      </c>
      <c r="Q2104" t="s">
        <v>6534</v>
      </c>
      <c r="R2104" t="s">
        <v>6539</v>
      </c>
      <c r="S2104" t="s">
        <v>5357</v>
      </c>
      <c r="U2104" t="s">
        <v>6557</v>
      </c>
      <c r="W2104" t="s">
        <v>6575</v>
      </c>
      <c r="X2104">
        <v>1400</v>
      </c>
      <c r="Y2104" t="s">
        <v>6604</v>
      </c>
      <c r="Z2104" t="s">
        <v>6615</v>
      </c>
      <c r="AA2104" t="s">
        <v>6633</v>
      </c>
      <c r="AB2104" t="s">
        <v>8377</v>
      </c>
      <c r="AC2104" t="s">
        <v>9056</v>
      </c>
      <c r="AD2104" t="s">
        <v>10699</v>
      </c>
      <c r="AE2104">
        <v>4</v>
      </c>
      <c r="AF2104" t="s">
        <v>11004</v>
      </c>
      <c r="AG2104" t="s">
        <v>5406</v>
      </c>
      <c r="AH2104">
        <v>9</v>
      </c>
      <c r="AI2104">
        <v>2</v>
      </c>
      <c r="AJ2104">
        <v>2</v>
      </c>
      <c r="AK2104">
        <v>123.74</v>
      </c>
      <c r="AN2104" t="s">
        <v>11050</v>
      </c>
      <c r="AO2104">
        <v>30440</v>
      </c>
      <c r="AU2104">
        <v>25.2</v>
      </c>
      <c r="AV2104" t="s">
        <v>398</v>
      </c>
      <c r="AW2104" t="s">
        <v>93</v>
      </c>
    </row>
    <row r="2105" spans="1:49">
      <c r="A2105" s="1">
        <f>HYPERLINK("https://cms.ls-nyc.org/matter/dynamic-profile/view/1843908","17-1843908")</f>
        <v>0</v>
      </c>
      <c r="B2105" t="s">
        <v>142</v>
      </c>
      <c r="C2105" t="s">
        <v>234</v>
      </c>
      <c r="D2105" t="s">
        <v>582</v>
      </c>
      <c r="E2105" t="s">
        <v>437</v>
      </c>
      <c r="F2105" t="s">
        <v>1943</v>
      </c>
      <c r="G2105" t="s">
        <v>3104</v>
      </c>
      <c r="H2105" t="s">
        <v>4525</v>
      </c>
      <c r="I2105" t="s">
        <v>4738</v>
      </c>
      <c r="J2105" t="s">
        <v>5320</v>
      </c>
      <c r="K2105">
        <v>11208</v>
      </c>
      <c r="L2105" t="s">
        <v>5355</v>
      </c>
      <c r="M2105" t="s">
        <v>5355</v>
      </c>
      <c r="N2105" t="s">
        <v>6207</v>
      </c>
      <c r="O2105" t="s">
        <v>6492</v>
      </c>
      <c r="P2105" t="s">
        <v>6530</v>
      </c>
      <c r="Q2105" t="s">
        <v>6531</v>
      </c>
      <c r="R2105" t="s">
        <v>6539</v>
      </c>
      <c r="U2105" t="s">
        <v>6557</v>
      </c>
      <c r="W2105" t="s">
        <v>495</v>
      </c>
      <c r="X2105">
        <v>0</v>
      </c>
      <c r="Y2105" t="s">
        <v>6605</v>
      </c>
      <c r="AA2105" t="s">
        <v>6637</v>
      </c>
      <c r="AB2105" t="s">
        <v>8378</v>
      </c>
      <c r="AC2105" t="s">
        <v>5392</v>
      </c>
      <c r="AD2105" t="s">
        <v>10700</v>
      </c>
      <c r="AE2105">
        <v>20</v>
      </c>
      <c r="AF2105" t="s">
        <v>11005</v>
      </c>
      <c r="AG2105" t="s">
        <v>5406</v>
      </c>
      <c r="AH2105">
        <v>0</v>
      </c>
      <c r="AI2105">
        <v>1</v>
      </c>
      <c r="AJ2105">
        <v>0</v>
      </c>
      <c r="AK2105">
        <v>123.78</v>
      </c>
      <c r="AN2105" t="s">
        <v>11050</v>
      </c>
      <c r="AO2105">
        <v>14928</v>
      </c>
      <c r="AU2105">
        <v>131.35</v>
      </c>
      <c r="AV2105" t="s">
        <v>437</v>
      </c>
      <c r="AW2105" t="s">
        <v>11512</v>
      </c>
    </row>
    <row r="2106" spans="1:49">
      <c r="A2106" s="1">
        <f>HYPERLINK("https://cms.ls-nyc.org/matter/dynamic-profile/view/0827601","17-0827601")</f>
        <v>0</v>
      </c>
      <c r="B2106" t="s">
        <v>212</v>
      </c>
      <c r="C2106" t="s">
        <v>235</v>
      </c>
      <c r="D2106" t="s">
        <v>625</v>
      </c>
      <c r="F2106" t="s">
        <v>1944</v>
      </c>
      <c r="G2106" t="s">
        <v>3248</v>
      </c>
      <c r="H2106" t="s">
        <v>4526</v>
      </c>
      <c r="I2106" t="s">
        <v>4780</v>
      </c>
      <c r="J2106" t="s">
        <v>5323</v>
      </c>
      <c r="K2106">
        <v>10002</v>
      </c>
      <c r="L2106" t="s">
        <v>5355</v>
      </c>
      <c r="M2106" t="s">
        <v>5356</v>
      </c>
      <c r="O2106" t="s">
        <v>6494</v>
      </c>
      <c r="P2106" t="s">
        <v>6530</v>
      </c>
      <c r="R2106" t="s">
        <v>6539</v>
      </c>
      <c r="U2106" t="s">
        <v>6557</v>
      </c>
      <c r="W2106" t="s">
        <v>298</v>
      </c>
      <c r="X2106">
        <v>0</v>
      </c>
      <c r="Y2106" t="s">
        <v>6608</v>
      </c>
      <c r="AB2106" t="s">
        <v>8379</v>
      </c>
      <c r="AD2106" t="s">
        <v>10701</v>
      </c>
      <c r="AE2106">
        <v>0</v>
      </c>
      <c r="AH2106">
        <v>0</v>
      </c>
      <c r="AI2106">
        <v>2</v>
      </c>
      <c r="AJ2106">
        <v>0</v>
      </c>
      <c r="AK2106">
        <v>123.92</v>
      </c>
      <c r="AN2106" t="s">
        <v>11054</v>
      </c>
      <c r="AO2106">
        <v>20124</v>
      </c>
      <c r="AU2106">
        <v>168.1</v>
      </c>
      <c r="AV2106" t="s">
        <v>798</v>
      </c>
      <c r="AW2106" t="s">
        <v>11546</v>
      </c>
    </row>
    <row r="2107" spans="1:49">
      <c r="A2107" s="1">
        <f>HYPERLINK("https://cms.ls-nyc.org/matter/dynamic-profile/view/1856275","18-1856275")</f>
        <v>0</v>
      </c>
      <c r="B2107" t="s">
        <v>133</v>
      </c>
      <c r="C2107" t="s">
        <v>234</v>
      </c>
      <c r="D2107" t="s">
        <v>261</v>
      </c>
      <c r="E2107" t="s">
        <v>427</v>
      </c>
      <c r="F2107" t="s">
        <v>1945</v>
      </c>
      <c r="G2107" t="s">
        <v>3249</v>
      </c>
      <c r="H2107" t="s">
        <v>4527</v>
      </c>
      <c r="I2107" t="s">
        <v>4841</v>
      </c>
      <c r="J2107" t="s">
        <v>5324</v>
      </c>
      <c r="K2107">
        <v>11355</v>
      </c>
      <c r="L2107" t="s">
        <v>5355</v>
      </c>
      <c r="M2107" t="s">
        <v>5356</v>
      </c>
      <c r="N2107" t="s">
        <v>6208</v>
      </c>
      <c r="O2107" t="s">
        <v>6491</v>
      </c>
      <c r="P2107" t="s">
        <v>6530</v>
      </c>
      <c r="Q2107" t="s">
        <v>6534</v>
      </c>
      <c r="R2107" t="s">
        <v>6539</v>
      </c>
      <c r="S2107" t="s">
        <v>5357</v>
      </c>
      <c r="U2107" t="s">
        <v>6557</v>
      </c>
      <c r="W2107" t="s">
        <v>389</v>
      </c>
      <c r="X2107">
        <v>1325</v>
      </c>
      <c r="Y2107" t="s">
        <v>6604</v>
      </c>
      <c r="Z2107" t="s">
        <v>6616</v>
      </c>
      <c r="AA2107" t="s">
        <v>6633</v>
      </c>
      <c r="AB2107" t="s">
        <v>8380</v>
      </c>
      <c r="AC2107" t="s">
        <v>5383</v>
      </c>
      <c r="AD2107" t="s">
        <v>10702</v>
      </c>
      <c r="AE2107">
        <v>100</v>
      </c>
      <c r="AF2107" t="s">
        <v>11004</v>
      </c>
      <c r="AG2107" t="s">
        <v>5406</v>
      </c>
      <c r="AH2107">
        <v>11</v>
      </c>
      <c r="AI2107">
        <v>1</v>
      </c>
      <c r="AJ2107">
        <v>1</v>
      </c>
      <c r="AK2107">
        <v>123.94</v>
      </c>
      <c r="AN2107" t="s">
        <v>11051</v>
      </c>
      <c r="AO2107">
        <v>20400</v>
      </c>
      <c r="AU2107">
        <v>61.7</v>
      </c>
      <c r="AV2107" t="s">
        <v>364</v>
      </c>
      <c r="AW2107" t="s">
        <v>11515</v>
      </c>
    </row>
    <row r="2108" spans="1:49">
      <c r="A2108" s="1">
        <f>HYPERLINK("https://cms.ls-nyc.org/matter/dynamic-profile/view/1844546","17-1844546")</f>
        <v>0</v>
      </c>
      <c r="B2108" t="s">
        <v>76</v>
      </c>
      <c r="C2108" t="s">
        <v>234</v>
      </c>
      <c r="D2108" t="s">
        <v>435</v>
      </c>
      <c r="E2108" t="s">
        <v>713</v>
      </c>
      <c r="F2108" t="s">
        <v>1946</v>
      </c>
      <c r="G2108" t="s">
        <v>3250</v>
      </c>
      <c r="H2108" t="s">
        <v>4528</v>
      </c>
      <c r="I2108" t="s">
        <v>5252</v>
      </c>
      <c r="J2108" t="s">
        <v>5323</v>
      </c>
      <c r="K2108">
        <v>10029</v>
      </c>
      <c r="L2108" t="s">
        <v>5355</v>
      </c>
      <c r="M2108" t="s">
        <v>5355</v>
      </c>
      <c r="N2108" t="s">
        <v>6209</v>
      </c>
      <c r="O2108" t="s">
        <v>6491</v>
      </c>
      <c r="P2108" t="s">
        <v>6530</v>
      </c>
      <c r="Q2108" t="s">
        <v>6533</v>
      </c>
      <c r="R2108" t="s">
        <v>6539</v>
      </c>
      <c r="S2108" t="s">
        <v>5357</v>
      </c>
      <c r="U2108" t="s">
        <v>6557</v>
      </c>
      <c r="V2108" t="s">
        <v>6566</v>
      </c>
      <c r="W2108" t="s">
        <v>574</v>
      </c>
      <c r="X2108">
        <v>500</v>
      </c>
      <c r="Y2108" t="s">
        <v>6608</v>
      </c>
      <c r="Z2108" t="s">
        <v>6614</v>
      </c>
      <c r="AA2108" t="s">
        <v>6637</v>
      </c>
      <c r="AB2108" t="s">
        <v>8381</v>
      </c>
      <c r="AD2108" t="s">
        <v>10703</v>
      </c>
      <c r="AE2108">
        <v>16</v>
      </c>
      <c r="AF2108" t="s">
        <v>11005</v>
      </c>
      <c r="AG2108" t="s">
        <v>5406</v>
      </c>
      <c r="AH2108">
        <v>2</v>
      </c>
      <c r="AI2108">
        <v>2</v>
      </c>
      <c r="AJ2108">
        <v>0</v>
      </c>
      <c r="AK2108">
        <v>123.99</v>
      </c>
      <c r="AN2108" t="s">
        <v>11050</v>
      </c>
      <c r="AO2108">
        <v>20135.52</v>
      </c>
      <c r="AU2108">
        <v>40.1</v>
      </c>
      <c r="AV2108" t="s">
        <v>686</v>
      </c>
      <c r="AW2108" t="s">
        <v>11497</v>
      </c>
    </row>
    <row r="2109" spans="1:49">
      <c r="A2109" s="1">
        <f>HYPERLINK("https://cms.ls-nyc.org/matter/dynamic-profile/view/1865313","18-1865313")</f>
        <v>0</v>
      </c>
      <c r="B2109" t="s">
        <v>72</v>
      </c>
      <c r="C2109" t="s">
        <v>234</v>
      </c>
      <c r="D2109" t="s">
        <v>496</v>
      </c>
      <c r="E2109" t="s">
        <v>681</v>
      </c>
      <c r="F2109" t="s">
        <v>1947</v>
      </c>
      <c r="G2109" t="s">
        <v>3251</v>
      </c>
      <c r="H2109" t="s">
        <v>4529</v>
      </c>
      <c r="I2109" t="s">
        <v>4778</v>
      </c>
      <c r="J2109" t="s">
        <v>5320</v>
      </c>
      <c r="K2109">
        <v>11212</v>
      </c>
      <c r="L2109" t="s">
        <v>5355</v>
      </c>
      <c r="M2109" t="s">
        <v>5355</v>
      </c>
      <c r="N2109" t="s">
        <v>6210</v>
      </c>
      <c r="O2109" t="s">
        <v>6491</v>
      </c>
      <c r="P2109" t="s">
        <v>6530</v>
      </c>
      <c r="Q2109" t="s">
        <v>6534</v>
      </c>
      <c r="R2109" t="s">
        <v>6539</v>
      </c>
      <c r="S2109" t="s">
        <v>6541</v>
      </c>
      <c r="U2109" t="s">
        <v>6557</v>
      </c>
      <c r="W2109" t="s">
        <v>298</v>
      </c>
      <c r="X2109">
        <v>1550</v>
      </c>
      <c r="Y2109" t="s">
        <v>6605</v>
      </c>
      <c r="Z2109" t="s">
        <v>6609</v>
      </c>
      <c r="AA2109" t="s">
        <v>6637</v>
      </c>
      <c r="AB2109" t="s">
        <v>8382</v>
      </c>
      <c r="AC2109" t="s">
        <v>8740</v>
      </c>
      <c r="AD2109" t="s">
        <v>10704</v>
      </c>
      <c r="AE2109">
        <v>6</v>
      </c>
      <c r="AF2109" t="s">
        <v>11005</v>
      </c>
      <c r="AG2109" t="s">
        <v>5406</v>
      </c>
      <c r="AH2109">
        <v>2</v>
      </c>
      <c r="AI2109">
        <v>1</v>
      </c>
      <c r="AJ2109">
        <v>2</v>
      </c>
      <c r="AK2109">
        <v>124.28</v>
      </c>
      <c r="AN2109" t="s">
        <v>11050</v>
      </c>
      <c r="AO2109">
        <v>25826</v>
      </c>
      <c r="AQ2109" t="s">
        <v>11192</v>
      </c>
      <c r="AR2109" t="s">
        <v>11210</v>
      </c>
      <c r="AS2109" t="s">
        <v>11253</v>
      </c>
      <c r="AT2109" t="s">
        <v>11398</v>
      </c>
      <c r="AU2109">
        <v>43.9</v>
      </c>
      <c r="AV2109" t="s">
        <v>750</v>
      </c>
      <c r="AW2109" t="s">
        <v>11514</v>
      </c>
    </row>
    <row r="2110" spans="1:49">
      <c r="A2110" s="1">
        <f>HYPERLINK("https://cms.ls-nyc.org/matter/dynamic-profile/view/1857544","18-1857544")</f>
        <v>0</v>
      </c>
      <c r="B2110" t="s">
        <v>54</v>
      </c>
      <c r="C2110" t="s">
        <v>234</v>
      </c>
      <c r="D2110" t="s">
        <v>397</v>
      </c>
      <c r="E2110" t="s">
        <v>673</v>
      </c>
      <c r="F2110" t="s">
        <v>1948</v>
      </c>
      <c r="G2110" t="s">
        <v>2409</v>
      </c>
      <c r="H2110" t="s">
        <v>3750</v>
      </c>
      <c r="I2110" t="s">
        <v>4911</v>
      </c>
      <c r="J2110" t="s">
        <v>5320</v>
      </c>
      <c r="K2110">
        <v>11207</v>
      </c>
      <c r="L2110" t="s">
        <v>5355</v>
      </c>
      <c r="M2110" t="s">
        <v>5355</v>
      </c>
      <c r="N2110" t="s">
        <v>5709</v>
      </c>
      <c r="O2110" t="s">
        <v>6494</v>
      </c>
      <c r="P2110" t="s">
        <v>6530</v>
      </c>
      <c r="Q2110" t="s">
        <v>6533</v>
      </c>
      <c r="R2110" t="s">
        <v>6539</v>
      </c>
      <c r="S2110" t="s">
        <v>5355</v>
      </c>
      <c r="U2110" t="s">
        <v>6557</v>
      </c>
      <c r="W2110" t="s">
        <v>397</v>
      </c>
      <c r="X2110">
        <v>1402</v>
      </c>
      <c r="Y2110" t="s">
        <v>6605</v>
      </c>
      <c r="AA2110" t="s">
        <v>6631</v>
      </c>
      <c r="AB2110" t="s">
        <v>8383</v>
      </c>
      <c r="AD2110" t="s">
        <v>10705</v>
      </c>
      <c r="AE2110">
        <v>6</v>
      </c>
      <c r="AF2110" t="s">
        <v>11005</v>
      </c>
      <c r="AH2110">
        <v>1</v>
      </c>
      <c r="AI2110">
        <v>3</v>
      </c>
      <c r="AJ2110">
        <v>0</v>
      </c>
      <c r="AK2110">
        <v>125.12</v>
      </c>
      <c r="AN2110" t="s">
        <v>11050</v>
      </c>
      <c r="AO2110">
        <v>26000.04</v>
      </c>
      <c r="AU2110">
        <v>3.1</v>
      </c>
      <c r="AV2110" t="s">
        <v>238</v>
      </c>
      <c r="AW2110" t="s">
        <v>54</v>
      </c>
    </row>
    <row r="2111" spans="1:49">
      <c r="A2111" s="1">
        <f>HYPERLINK("https://cms.ls-nyc.org/matter/dynamic-profile/view/1856495","18-1856495")</f>
        <v>0</v>
      </c>
      <c r="B2111" t="s">
        <v>102</v>
      </c>
      <c r="C2111" t="s">
        <v>234</v>
      </c>
      <c r="D2111" t="s">
        <v>458</v>
      </c>
      <c r="E2111" t="s">
        <v>744</v>
      </c>
      <c r="F2111" t="s">
        <v>1540</v>
      </c>
      <c r="G2111" t="s">
        <v>1884</v>
      </c>
      <c r="H2111" t="s">
        <v>3526</v>
      </c>
      <c r="I2111">
        <v>108</v>
      </c>
      <c r="J2111" t="s">
        <v>5321</v>
      </c>
      <c r="K2111">
        <v>10453</v>
      </c>
      <c r="L2111" t="s">
        <v>5355</v>
      </c>
      <c r="M2111" t="s">
        <v>5356</v>
      </c>
      <c r="N2111" t="s">
        <v>5883</v>
      </c>
      <c r="O2111" t="s">
        <v>6494</v>
      </c>
      <c r="P2111" t="s">
        <v>6530</v>
      </c>
      <c r="Q2111" t="s">
        <v>6534</v>
      </c>
      <c r="R2111" t="s">
        <v>6539</v>
      </c>
      <c r="S2111" t="s">
        <v>5355</v>
      </c>
      <c r="U2111" t="s">
        <v>6557</v>
      </c>
      <c r="W2111" t="s">
        <v>397</v>
      </c>
      <c r="X2111">
        <v>1060</v>
      </c>
      <c r="Y2111" t="s">
        <v>6606</v>
      </c>
      <c r="Z2111" t="s">
        <v>6622</v>
      </c>
      <c r="AA2111" t="s">
        <v>6645</v>
      </c>
      <c r="AB2111" t="s">
        <v>7650</v>
      </c>
      <c r="AC2111">
        <v>687441</v>
      </c>
      <c r="AD2111" t="s">
        <v>10009</v>
      </c>
      <c r="AE2111">
        <v>146</v>
      </c>
      <c r="AF2111" t="s">
        <v>11005</v>
      </c>
      <c r="AG2111" t="s">
        <v>5406</v>
      </c>
      <c r="AH2111">
        <v>11</v>
      </c>
      <c r="AI2111">
        <v>3</v>
      </c>
      <c r="AJ2111">
        <v>0</v>
      </c>
      <c r="AK2111">
        <v>125.37</v>
      </c>
      <c r="AN2111" t="s">
        <v>11049</v>
      </c>
      <c r="AO2111">
        <v>46400</v>
      </c>
      <c r="AU2111">
        <v>1.8</v>
      </c>
      <c r="AV2111" t="s">
        <v>745</v>
      </c>
      <c r="AW2111" t="s">
        <v>11492</v>
      </c>
    </row>
    <row r="2112" spans="1:49">
      <c r="A2112" s="1">
        <f>HYPERLINK("https://cms.ls-nyc.org/matter/dynamic-profile/view/1845445","17-1845445")</f>
        <v>0</v>
      </c>
      <c r="B2112" t="s">
        <v>137</v>
      </c>
      <c r="C2112" t="s">
        <v>235</v>
      </c>
      <c r="D2112" t="s">
        <v>462</v>
      </c>
      <c r="F2112" t="s">
        <v>1307</v>
      </c>
      <c r="G2112" t="s">
        <v>3252</v>
      </c>
      <c r="H2112" t="s">
        <v>3909</v>
      </c>
      <c r="I2112" t="s">
        <v>5175</v>
      </c>
      <c r="J2112" t="s">
        <v>5320</v>
      </c>
      <c r="K2112">
        <v>11213</v>
      </c>
      <c r="L2112" t="s">
        <v>5357</v>
      </c>
      <c r="M2112" t="s">
        <v>5356</v>
      </c>
      <c r="O2112" t="s">
        <v>6494</v>
      </c>
      <c r="P2112" t="s">
        <v>6530</v>
      </c>
      <c r="R2112" t="s">
        <v>6539</v>
      </c>
      <c r="S2112" t="s">
        <v>5355</v>
      </c>
      <c r="U2112" t="s">
        <v>6557</v>
      </c>
      <c r="W2112" t="s">
        <v>462</v>
      </c>
      <c r="X2112">
        <v>0</v>
      </c>
      <c r="Y2112" t="s">
        <v>6605</v>
      </c>
      <c r="Z2112" t="s">
        <v>6612</v>
      </c>
      <c r="AB2112" t="s">
        <v>8384</v>
      </c>
      <c r="AE2112">
        <v>74</v>
      </c>
      <c r="AF2112" t="s">
        <v>11005</v>
      </c>
      <c r="AH2112">
        <v>0</v>
      </c>
      <c r="AI2112">
        <v>2</v>
      </c>
      <c r="AJ2112">
        <v>0</v>
      </c>
      <c r="AK2112">
        <v>125.62</v>
      </c>
      <c r="AL2112" t="s">
        <v>511</v>
      </c>
      <c r="AN2112" t="s">
        <v>11050</v>
      </c>
      <c r="AO2112">
        <v>32400</v>
      </c>
      <c r="AU2112">
        <v>0</v>
      </c>
      <c r="AW2112" t="s">
        <v>11489</v>
      </c>
    </row>
    <row r="2113" spans="1:49">
      <c r="A2113" s="1">
        <f>HYPERLINK("https://cms.ls-nyc.org/matter/dynamic-profile/view/1840326","17-1840326")</f>
        <v>0</v>
      </c>
      <c r="B2113" t="s">
        <v>113</v>
      </c>
      <c r="C2113" t="s">
        <v>234</v>
      </c>
      <c r="D2113" t="s">
        <v>387</v>
      </c>
      <c r="E2113" t="s">
        <v>605</v>
      </c>
      <c r="F2113" t="s">
        <v>1949</v>
      </c>
      <c r="G2113" t="s">
        <v>1804</v>
      </c>
      <c r="H2113" t="s">
        <v>4530</v>
      </c>
      <c r="I2113" t="s">
        <v>5253</v>
      </c>
      <c r="J2113" t="s">
        <v>5323</v>
      </c>
      <c r="K2113">
        <v>10035</v>
      </c>
      <c r="L2113" t="s">
        <v>5355</v>
      </c>
      <c r="M2113" t="s">
        <v>5355</v>
      </c>
      <c r="N2113" t="s">
        <v>6211</v>
      </c>
      <c r="O2113" t="s">
        <v>6492</v>
      </c>
      <c r="P2113" t="s">
        <v>6530</v>
      </c>
      <c r="Q2113" t="s">
        <v>6534</v>
      </c>
      <c r="R2113" t="s">
        <v>6539</v>
      </c>
      <c r="S2113" t="s">
        <v>5357</v>
      </c>
      <c r="U2113" t="s">
        <v>6557</v>
      </c>
      <c r="V2113" t="s">
        <v>6566</v>
      </c>
      <c r="W2113" t="s">
        <v>404</v>
      </c>
      <c r="X2113">
        <v>1500</v>
      </c>
      <c r="Y2113" t="s">
        <v>6608</v>
      </c>
      <c r="Z2113" t="s">
        <v>6613</v>
      </c>
      <c r="AA2113" t="s">
        <v>6637</v>
      </c>
      <c r="AB2113" t="s">
        <v>8385</v>
      </c>
      <c r="AD2113" t="s">
        <v>10706</v>
      </c>
      <c r="AE2113">
        <v>330</v>
      </c>
      <c r="AF2113" t="s">
        <v>11005</v>
      </c>
      <c r="AG2113" t="s">
        <v>11020</v>
      </c>
      <c r="AH2113">
        <v>29</v>
      </c>
      <c r="AI2113">
        <v>1</v>
      </c>
      <c r="AJ2113">
        <v>0</v>
      </c>
      <c r="AK2113">
        <v>126.27</v>
      </c>
      <c r="AN2113" t="s">
        <v>11050</v>
      </c>
      <c r="AO2113">
        <v>15228</v>
      </c>
      <c r="AU2113">
        <v>77.45999999999999</v>
      </c>
      <c r="AV2113" t="s">
        <v>817</v>
      </c>
      <c r="AW2113" t="s">
        <v>11524</v>
      </c>
    </row>
    <row r="2114" spans="1:49">
      <c r="A2114" s="1">
        <f>HYPERLINK("https://cms.ls-nyc.org/matter/dynamic-profile/view/1861760","18-1861760")</f>
        <v>0</v>
      </c>
      <c r="B2114" t="s">
        <v>56</v>
      </c>
      <c r="C2114" t="s">
        <v>234</v>
      </c>
      <c r="D2114" t="s">
        <v>362</v>
      </c>
      <c r="E2114" t="s">
        <v>622</v>
      </c>
      <c r="F2114" t="s">
        <v>957</v>
      </c>
      <c r="G2114" t="s">
        <v>3253</v>
      </c>
      <c r="H2114" t="s">
        <v>4531</v>
      </c>
      <c r="I2114" t="s">
        <v>4768</v>
      </c>
      <c r="J2114" t="s">
        <v>5321</v>
      </c>
      <c r="K2114">
        <v>10453</v>
      </c>
      <c r="L2114" t="s">
        <v>5355</v>
      </c>
      <c r="M2114" t="s">
        <v>5356</v>
      </c>
      <c r="N2114" t="s">
        <v>6212</v>
      </c>
      <c r="O2114" t="s">
        <v>6492</v>
      </c>
      <c r="P2114" t="s">
        <v>6530</v>
      </c>
      <c r="Q2114" t="s">
        <v>6534</v>
      </c>
      <c r="R2114" t="s">
        <v>6539</v>
      </c>
      <c r="S2114" t="s">
        <v>5357</v>
      </c>
      <c r="U2114" t="s">
        <v>6557</v>
      </c>
      <c r="W2114" t="s">
        <v>377</v>
      </c>
      <c r="X2114">
        <v>1152.32</v>
      </c>
      <c r="Y2114" t="s">
        <v>6606</v>
      </c>
      <c r="Z2114" t="s">
        <v>6611</v>
      </c>
      <c r="AA2114" t="s">
        <v>6637</v>
      </c>
      <c r="AB2114" t="s">
        <v>8386</v>
      </c>
      <c r="AC2114" t="s">
        <v>9057</v>
      </c>
      <c r="AD2114" t="s">
        <v>10707</v>
      </c>
      <c r="AE2114">
        <v>48</v>
      </c>
      <c r="AF2114" t="s">
        <v>11016</v>
      </c>
      <c r="AG2114" t="s">
        <v>11020</v>
      </c>
      <c r="AH2114">
        <v>37</v>
      </c>
      <c r="AI2114">
        <v>2</v>
      </c>
      <c r="AJ2114">
        <v>0</v>
      </c>
      <c r="AK2114">
        <v>126.37</v>
      </c>
      <c r="AN2114" t="s">
        <v>11049</v>
      </c>
      <c r="AO2114">
        <v>20800</v>
      </c>
      <c r="AT2114" t="s">
        <v>11401</v>
      </c>
      <c r="AU2114">
        <v>6.4</v>
      </c>
      <c r="AV2114" t="s">
        <v>255</v>
      </c>
      <c r="AW2114" t="s">
        <v>11492</v>
      </c>
    </row>
    <row r="2115" spans="1:49">
      <c r="A2115" s="1">
        <f>HYPERLINK("https://cms.ls-nyc.org/matter/dynamic-profile/view/1861763","18-1861763")</f>
        <v>0</v>
      </c>
      <c r="B2115" t="s">
        <v>56</v>
      </c>
      <c r="C2115" t="s">
        <v>234</v>
      </c>
      <c r="D2115" t="s">
        <v>522</v>
      </c>
      <c r="E2115" t="s">
        <v>622</v>
      </c>
      <c r="F2115" t="s">
        <v>957</v>
      </c>
      <c r="G2115" t="s">
        <v>3253</v>
      </c>
      <c r="H2115" t="s">
        <v>4531</v>
      </c>
      <c r="I2115" t="s">
        <v>4768</v>
      </c>
      <c r="J2115" t="s">
        <v>5321</v>
      </c>
      <c r="K2115">
        <v>10453</v>
      </c>
      <c r="L2115" t="s">
        <v>5355</v>
      </c>
      <c r="M2115" t="s">
        <v>5356</v>
      </c>
      <c r="N2115" t="s">
        <v>6213</v>
      </c>
      <c r="O2115" t="s">
        <v>6512</v>
      </c>
      <c r="P2115" t="s">
        <v>6530</v>
      </c>
      <c r="Q2115" t="s">
        <v>6534</v>
      </c>
      <c r="R2115" t="s">
        <v>6539</v>
      </c>
      <c r="U2115" t="s">
        <v>6558</v>
      </c>
      <c r="W2115" t="s">
        <v>326</v>
      </c>
      <c r="X2115">
        <v>1152.32</v>
      </c>
      <c r="Y2115" t="s">
        <v>6606</v>
      </c>
      <c r="Z2115" t="s">
        <v>6625</v>
      </c>
      <c r="AA2115" t="s">
        <v>6635</v>
      </c>
      <c r="AB2115" t="s">
        <v>8386</v>
      </c>
      <c r="AC2115">
        <v>58890</v>
      </c>
      <c r="AD2115" t="s">
        <v>10707</v>
      </c>
      <c r="AE2115">
        <v>0</v>
      </c>
      <c r="AF2115" t="s">
        <v>11016</v>
      </c>
      <c r="AG2115" t="s">
        <v>11020</v>
      </c>
      <c r="AH2115">
        <v>37</v>
      </c>
      <c r="AI2115">
        <v>2</v>
      </c>
      <c r="AJ2115">
        <v>0</v>
      </c>
      <c r="AK2115">
        <v>126.37</v>
      </c>
      <c r="AN2115" t="s">
        <v>11049</v>
      </c>
      <c r="AO2115">
        <v>20800</v>
      </c>
      <c r="AU2115">
        <v>7</v>
      </c>
      <c r="AV2115" t="s">
        <v>280</v>
      </c>
      <c r="AW2115" t="s">
        <v>11492</v>
      </c>
    </row>
    <row r="2116" spans="1:49">
      <c r="A2116" s="1">
        <f>HYPERLINK("https://cms.ls-nyc.org/matter/dynamic-profile/view/1866560","18-1866560")</f>
        <v>0</v>
      </c>
      <c r="B2116" t="s">
        <v>124</v>
      </c>
      <c r="C2116" t="s">
        <v>235</v>
      </c>
      <c r="D2116" t="s">
        <v>414</v>
      </c>
      <c r="F2116" t="s">
        <v>865</v>
      </c>
      <c r="G2116" t="s">
        <v>2341</v>
      </c>
      <c r="H2116" t="s">
        <v>4532</v>
      </c>
      <c r="I2116" t="s">
        <v>4753</v>
      </c>
      <c r="J2116" t="s">
        <v>5323</v>
      </c>
      <c r="K2116">
        <v>10034</v>
      </c>
      <c r="L2116" t="s">
        <v>5355</v>
      </c>
      <c r="M2116" t="s">
        <v>5356</v>
      </c>
      <c r="O2116" t="s">
        <v>6491</v>
      </c>
      <c r="P2116" t="s">
        <v>6530</v>
      </c>
      <c r="R2116" t="s">
        <v>6539</v>
      </c>
      <c r="S2116" t="s">
        <v>5357</v>
      </c>
      <c r="U2116" t="s">
        <v>6557</v>
      </c>
      <c r="W2116" t="s">
        <v>414</v>
      </c>
      <c r="X2116">
        <v>855.5599999999999</v>
      </c>
      <c r="Y2116" t="s">
        <v>6608</v>
      </c>
      <c r="Z2116" t="s">
        <v>6614</v>
      </c>
      <c r="AB2116" t="s">
        <v>8387</v>
      </c>
      <c r="AD2116" t="s">
        <v>10708</v>
      </c>
      <c r="AE2116">
        <v>31</v>
      </c>
      <c r="AF2116" t="s">
        <v>11005</v>
      </c>
      <c r="AG2116" t="s">
        <v>5406</v>
      </c>
      <c r="AH2116">
        <v>32</v>
      </c>
      <c r="AI2116">
        <v>1</v>
      </c>
      <c r="AJ2116">
        <v>1</v>
      </c>
      <c r="AK2116">
        <v>126.37</v>
      </c>
      <c r="AN2116" t="s">
        <v>11050</v>
      </c>
      <c r="AO2116">
        <v>20800</v>
      </c>
      <c r="AU2116">
        <v>167.6</v>
      </c>
      <c r="AV2116" t="s">
        <v>702</v>
      </c>
      <c r="AW2116" t="s">
        <v>11495</v>
      </c>
    </row>
    <row r="2117" spans="1:49">
      <c r="A2117" s="1">
        <f>HYPERLINK("https://cms.ls-nyc.org/matter/dynamic-profile/view/1851764","17-1851764")</f>
        <v>0</v>
      </c>
      <c r="B2117" t="s">
        <v>137</v>
      </c>
      <c r="C2117" t="s">
        <v>234</v>
      </c>
      <c r="D2117" t="s">
        <v>381</v>
      </c>
      <c r="E2117" t="s">
        <v>827</v>
      </c>
      <c r="F2117" t="s">
        <v>1950</v>
      </c>
      <c r="G2117" t="s">
        <v>3254</v>
      </c>
      <c r="H2117" t="s">
        <v>4533</v>
      </c>
      <c r="I2117" t="s">
        <v>4777</v>
      </c>
      <c r="J2117" t="s">
        <v>5320</v>
      </c>
      <c r="K2117">
        <v>11233</v>
      </c>
      <c r="L2117" t="s">
        <v>5355</v>
      </c>
      <c r="M2117" t="s">
        <v>5355</v>
      </c>
      <c r="N2117" t="s">
        <v>6214</v>
      </c>
      <c r="O2117" t="s">
        <v>6492</v>
      </c>
      <c r="P2117" t="s">
        <v>6530</v>
      </c>
      <c r="Q2117" t="s">
        <v>6534</v>
      </c>
      <c r="R2117" t="s">
        <v>6539</v>
      </c>
      <c r="S2117" t="s">
        <v>5357</v>
      </c>
      <c r="U2117" t="s">
        <v>6557</v>
      </c>
      <c r="V2117" t="s">
        <v>6566</v>
      </c>
      <c r="W2117" t="s">
        <v>6595</v>
      </c>
      <c r="X2117">
        <v>719.25</v>
      </c>
      <c r="Y2117" t="s">
        <v>6605</v>
      </c>
      <c r="Z2117" t="s">
        <v>6614</v>
      </c>
      <c r="AA2117" t="s">
        <v>6637</v>
      </c>
      <c r="AB2117" t="s">
        <v>6707</v>
      </c>
      <c r="AC2117" t="s">
        <v>5392</v>
      </c>
      <c r="AD2117" t="s">
        <v>10709</v>
      </c>
      <c r="AE2117">
        <v>8</v>
      </c>
      <c r="AF2117" t="s">
        <v>11005</v>
      </c>
      <c r="AG2117" t="s">
        <v>5406</v>
      </c>
      <c r="AH2117">
        <v>4</v>
      </c>
      <c r="AI2117">
        <v>1</v>
      </c>
      <c r="AJ2117">
        <v>1</v>
      </c>
      <c r="AK2117">
        <v>126.48</v>
      </c>
      <c r="AN2117" t="s">
        <v>11050</v>
      </c>
      <c r="AO2117">
        <v>20540</v>
      </c>
      <c r="AU2117">
        <v>8.5</v>
      </c>
      <c r="AV2117" t="s">
        <v>308</v>
      </c>
      <c r="AW2117" t="s">
        <v>11512</v>
      </c>
    </row>
    <row r="2118" spans="1:49">
      <c r="A2118" s="1">
        <f>HYPERLINK("https://cms.ls-nyc.org/matter/dynamic-profile/view/1858109","18-1858109")</f>
        <v>0</v>
      </c>
      <c r="B2118" t="s">
        <v>142</v>
      </c>
      <c r="C2118" t="s">
        <v>234</v>
      </c>
      <c r="D2118" t="s">
        <v>433</v>
      </c>
      <c r="E2118" t="s">
        <v>828</v>
      </c>
      <c r="F2118" t="s">
        <v>1951</v>
      </c>
      <c r="G2118" t="s">
        <v>2740</v>
      </c>
      <c r="H2118" t="s">
        <v>3456</v>
      </c>
      <c r="I2118" t="s">
        <v>4831</v>
      </c>
      <c r="J2118" t="s">
        <v>5320</v>
      </c>
      <c r="K2118">
        <v>11233</v>
      </c>
      <c r="L2118" t="s">
        <v>5355</v>
      </c>
      <c r="M2118" t="s">
        <v>5356</v>
      </c>
      <c r="N2118" t="s">
        <v>6215</v>
      </c>
      <c r="O2118" t="s">
        <v>6492</v>
      </c>
      <c r="P2118" t="s">
        <v>6530</v>
      </c>
      <c r="Q2118" t="s">
        <v>6531</v>
      </c>
      <c r="R2118" t="s">
        <v>6539</v>
      </c>
      <c r="S2118" t="s">
        <v>6541</v>
      </c>
      <c r="U2118" t="s">
        <v>6557</v>
      </c>
      <c r="W2118" t="s">
        <v>260</v>
      </c>
      <c r="X2118">
        <v>1107</v>
      </c>
      <c r="Y2118" t="s">
        <v>6605</v>
      </c>
      <c r="Z2118" t="s">
        <v>6614</v>
      </c>
      <c r="AA2118" t="s">
        <v>6637</v>
      </c>
      <c r="AB2118" t="s">
        <v>8388</v>
      </c>
      <c r="AD2118" t="s">
        <v>10710</v>
      </c>
      <c r="AE2118">
        <v>101</v>
      </c>
      <c r="AF2118" t="s">
        <v>11014</v>
      </c>
      <c r="AH2118">
        <v>1</v>
      </c>
      <c r="AI2118">
        <v>2</v>
      </c>
      <c r="AJ2118">
        <v>3</v>
      </c>
      <c r="AK2118">
        <v>126.48</v>
      </c>
      <c r="AN2118" t="s">
        <v>11050</v>
      </c>
      <c r="AO2118">
        <v>44338</v>
      </c>
      <c r="AU2118">
        <v>14.6</v>
      </c>
      <c r="AV2118" t="s">
        <v>828</v>
      </c>
      <c r="AW2118" t="s">
        <v>11512</v>
      </c>
    </row>
    <row r="2119" spans="1:49">
      <c r="A2119" s="1">
        <f>HYPERLINK("https://cms.ls-nyc.org/matter/dynamic-profile/view/1858771","18-1858771")</f>
        <v>0</v>
      </c>
      <c r="B2119" t="s">
        <v>52</v>
      </c>
      <c r="C2119" t="s">
        <v>234</v>
      </c>
      <c r="D2119" t="s">
        <v>573</v>
      </c>
      <c r="E2119" t="s">
        <v>683</v>
      </c>
      <c r="F2119" t="s">
        <v>1952</v>
      </c>
      <c r="G2119" t="s">
        <v>3255</v>
      </c>
      <c r="H2119" t="s">
        <v>4534</v>
      </c>
      <c r="I2119" t="s">
        <v>4972</v>
      </c>
      <c r="J2119" t="s">
        <v>5326</v>
      </c>
      <c r="K2119">
        <v>11691</v>
      </c>
      <c r="L2119" t="s">
        <v>5355</v>
      </c>
      <c r="M2119" t="s">
        <v>5356</v>
      </c>
      <c r="N2119" t="s">
        <v>6216</v>
      </c>
      <c r="O2119" t="s">
        <v>6491</v>
      </c>
      <c r="P2119" t="s">
        <v>6530</v>
      </c>
      <c r="Q2119" t="s">
        <v>6534</v>
      </c>
      <c r="R2119" t="s">
        <v>6539</v>
      </c>
      <c r="S2119" t="s">
        <v>5357</v>
      </c>
      <c r="U2119" t="s">
        <v>6557</v>
      </c>
      <c r="W2119" t="s">
        <v>240</v>
      </c>
      <c r="X2119">
        <v>1500</v>
      </c>
      <c r="Y2119" t="s">
        <v>6604</v>
      </c>
      <c r="Z2119" t="s">
        <v>6615</v>
      </c>
      <c r="AA2119" t="s">
        <v>6633</v>
      </c>
      <c r="AB2119" t="s">
        <v>8389</v>
      </c>
      <c r="AC2119" t="s">
        <v>5392</v>
      </c>
      <c r="AD2119" t="s">
        <v>10711</v>
      </c>
      <c r="AE2119">
        <v>100</v>
      </c>
      <c r="AF2119" t="s">
        <v>8722</v>
      </c>
      <c r="AG2119" t="s">
        <v>5406</v>
      </c>
      <c r="AH2119">
        <v>2</v>
      </c>
      <c r="AI2119">
        <v>2</v>
      </c>
      <c r="AJ2119">
        <v>1</v>
      </c>
      <c r="AK2119">
        <v>127.33</v>
      </c>
      <c r="AN2119" t="s">
        <v>11049</v>
      </c>
      <c r="AO2119">
        <v>26000</v>
      </c>
      <c r="AU2119">
        <v>29.08</v>
      </c>
      <c r="AV2119" t="s">
        <v>751</v>
      </c>
      <c r="AW2119" t="s">
        <v>217</v>
      </c>
    </row>
    <row r="2120" spans="1:49">
      <c r="A2120" s="1">
        <f>HYPERLINK("https://cms.ls-nyc.org/matter/dynamic-profile/view/1850426","17-1850426")</f>
        <v>0</v>
      </c>
      <c r="B2120" t="s">
        <v>63</v>
      </c>
      <c r="C2120" t="s">
        <v>235</v>
      </c>
      <c r="D2120" t="s">
        <v>372</v>
      </c>
      <c r="F2120" t="s">
        <v>855</v>
      </c>
      <c r="G2120" t="s">
        <v>3256</v>
      </c>
      <c r="H2120" t="s">
        <v>4354</v>
      </c>
      <c r="I2120" t="s">
        <v>5254</v>
      </c>
      <c r="J2120" t="s">
        <v>5322</v>
      </c>
      <c r="K2120">
        <v>10304</v>
      </c>
      <c r="L2120" t="s">
        <v>5355</v>
      </c>
      <c r="M2120" t="s">
        <v>5356</v>
      </c>
      <c r="N2120" t="s">
        <v>6217</v>
      </c>
      <c r="O2120" t="s">
        <v>6492</v>
      </c>
      <c r="P2120" t="s">
        <v>6530</v>
      </c>
      <c r="R2120" t="s">
        <v>6539</v>
      </c>
      <c r="S2120" t="s">
        <v>5357</v>
      </c>
      <c r="U2120" t="s">
        <v>6557</v>
      </c>
      <c r="W2120" t="s">
        <v>372</v>
      </c>
      <c r="X2120">
        <v>839</v>
      </c>
      <c r="Y2120" t="s">
        <v>6607</v>
      </c>
      <c r="Z2120" t="s">
        <v>6613</v>
      </c>
      <c r="AB2120" t="s">
        <v>8390</v>
      </c>
      <c r="AD2120" t="s">
        <v>10712</v>
      </c>
      <c r="AE2120">
        <v>350</v>
      </c>
      <c r="AF2120" t="s">
        <v>11008</v>
      </c>
      <c r="AG2120" t="s">
        <v>11020</v>
      </c>
      <c r="AH2120">
        <v>3</v>
      </c>
      <c r="AI2120">
        <v>1</v>
      </c>
      <c r="AJ2120">
        <v>2</v>
      </c>
      <c r="AK2120">
        <v>127.33</v>
      </c>
      <c r="AN2120" t="s">
        <v>11050</v>
      </c>
      <c r="AO2120">
        <v>26000</v>
      </c>
      <c r="AU2120">
        <v>7.8</v>
      </c>
      <c r="AV2120" t="s">
        <v>11442</v>
      </c>
      <c r="AW2120" t="s">
        <v>11510</v>
      </c>
    </row>
    <row r="2121" spans="1:49">
      <c r="A2121" s="1">
        <f>HYPERLINK("https://cms.ls-nyc.org/matter/dynamic-profile/view/1840055","17-1840055")</f>
        <v>0</v>
      </c>
      <c r="B2121" t="s">
        <v>92</v>
      </c>
      <c r="C2121" t="s">
        <v>234</v>
      </c>
      <c r="D2121" t="s">
        <v>412</v>
      </c>
      <c r="E2121" t="s">
        <v>676</v>
      </c>
      <c r="F2121" t="s">
        <v>1953</v>
      </c>
      <c r="G2121" t="s">
        <v>3257</v>
      </c>
      <c r="H2121" t="s">
        <v>3575</v>
      </c>
      <c r="I2121">
        <v>21</v>
      </c>
      <c r="J2121" t="s">
        <v>5323</v>
      </c>
      <c r="K2121">
        <v>10040</v>
      </c>
      <c r="L2121" t="s">
        <v>5355</v>
      </c>
      <c r="M2121" t="s">
        <v>5355</v>
      </c>
      <c r="N2121" t="s">
        <v>5439</v>
      </c>
      <c r="O2121" t="s">
        <v>6494</v>
      </c>
      <c r="P2121" t="s">
        <v>6530</v>
      </c>
      <c r="Q2121" t="s">
        <v>6534</v>
      </c>
      <c r="R2121" t="s">
        <v>6539</v>
      </c>
      <c r="S2121" t="s">
        <v>5355</v>
      </c>
      <c r="U2121" t="s">
        <v>6557</v>
      </c>
      <c r="W2121" t="s">
        <v>412</v>
      </c>
      <c r="X2121">
        <v>980</v>
      </c>
      <c r="Y2121" t="s">
        <v>6608</v>
      </c>
      <c r="Z2121" t="s">
        <v>6622</v>
      </c>
      <c r="AA2121" t="s">
        <v>6634</v>
      </c>
      <c r="AB2121" t="s">
        <v>8391</v>
      </c>
      <c r="AD2121" t="s">
        <v>10713</v>
      </c>
      <c r="AE2121">
        <v>45</v>
      </c>
      <c r="AF2121" t="s">
        <v>11005</v>
      </c>
      <c r="AG2121" t="s">
        <v>5406</v>
      </c>
      <c r="AH2121">
        <v>3</v>
      </c>
      <c r="AI2121">
        <v>3</v>
      </c>
      <c r="AJ2121">
        <v>0</v>
      </c>
      <c r="AK2121">
        <v>127.33</v>
      </c>
      <c r="AL2121" t="s">
        <v>301</v>
      </c>
      <c r="AN2121" t="s">
        <v>11050</v>
      </c>
      <c r="AO2121">
        <v>26000</v>
      </c>
      <c r="AQ2121" t="s">
        <v>11190</v>
      </c>
      <c r="AR2121" t="s">
        <v>11206</v>
      </c>
      <c r="AS2121" t="s">
        <v>11253</v>
      </c>
      <c r="AT2121" t="s">
        <v>11263</v>
      </c>
      <c r="AU2121">
        <v>4.87</v>
      </c>
      <c r="AV2121" t="s">
        <v>676</v>
      </c>
      <c r="AW2121" t="s">
        <v>11495</v>
      </c>
    </row>
    <row r="2122" spans="1:49">
      <c r="A2122" s="1">
        <f>HYPERLINK("https://cms.ls-nyc.org/matter/dynamic-profile/view/1856259","18-1856259")</f>
        <v>0</v>
      </c>
      <c r="B2122" t="s">
        <v>102</v>
      </c>
      <c r="C2122" t="s">
        <v>234</v>
      </c>
      <c r="D2122" t="s">
        <v>261</v>
      </c>
      <c r="E2122" t="s">
        <v>744</v>
      </c>
      <c r="F2122" t="s">
        <v>1051</v>
      </c>
      <c r="G2122" t="s">
        <v>2819</v>
      </c>
      <c r="H2122" t="s">
        <v>3526</v>
      </c>
      <c r="I2122">
        <v>105</v>
      </c>
      <c r="J2122" t="s">
        <v>5321</v>
      </c>
      <c r="K2122">
        <v>10453</v>
      </c>
      <c r="L2122" t="s">
        <v>5355</v>
      </c>
      <c r="M2122" t="s">
        <v>5356</v>
      </c>
      <c r="N2122" t="s">
        <v>5883</v>
      </c>
      <c r="O2122" t="s">
        <v>6494</v>
      </c>
      <c r="P2122" t="s">
        <v>6530</v>
      </c>
      <c r="Q2122" t="s">
        <v>6534</v>
      </c>
      <c r="R2122" t="s">
        <v>6539</v>
      </c>
      <c r="S2122" t="s">
        <v>5355</v>
      </c>
      <c r="U2122" t="s">
        <v>6557</v>
      </c>
      <c r="W2122" t="s">
        <v>247</v>
      </c>
      <c r="X2122">
        <v>1020</v>
      </c>
      <c r="Y2122" t="s">
        <v>6606</v>
      </c>
      <c r="Z2122" t="s">
        <v>6622</v>
      </c>
      <c r="AA2122" t="s">
        <v>6634</v>
      </c>
      <c r="AB2122" t="s">
        <v>7652</v>
      </c>
      <c r="AD2122" t="s">
        <v>10010</v>
      </c>
      <c r="AE2122">
        <v>146</v>
      </c>
      <c r="AF2122" t="s">
        <v>11005</v>
      </c>
      <c r="AG2122" t="s">
        <v>5406</v>
      </c>
      <c r="AH2122">
        <v>7</v>
      </c>
      <c r="AI2122">
        <v>2</v>
      </c>
      <c r="AJ2122">
        <v>0</v>
      </c>
      <c r="AK2122">
        <v>128.08</v>
      </c>
      <c r="AN2122" t="s">
        <v>11049</v>
      </c>
      <c r="AO2122">
        <v>41600</v>
      </c>
      <c r="AU2122">
        <v>100.3</v>
      </c>
      <c r="AV2122" t="s">
        <v>745</v>
      </c>
      <c r="AW2122" t="s">
        <v>11492</v>
      </c>
    </row>
    <row r="2123" spans="1:49">
      <c r="A2123" s="1">
        <f>HYPERLINK("https://cms.ls-nyc.org/matter/dynamic-profile/view/1841656","17-1841656")</f>
        <v>0</v>
      </c>
      <c r="B2123" t="s">
        <v>92</v>
      </c>
      <c r="C2123" t="s">
        <v>235</v>
      </c>
      <c r="D2123" t="s">
        <v>497</v>
      </c>
      <c r="F2123" t="s">
        <v>865</v>
      </c>
      <c r="G2123" t="s">
        <v>2341</v>
      </c>
      <c r="H2123" t="s">
        <v>4532</v>
      </c>
      <c r="I2123" t="s">
        <v>4753</v>
      </c>
      <c r="J2123" t="s">
        <v>5323</v>
      </c>
      <c r="K2123">
        <v>10034</v>
      </c>
      <c r="L2123" t="s">
        <v>5355</v>
      </c>
      <c r="M2123" t="s">
        <v>5356</v>
      </c>
      <c r="N2123" t="s">
        <v>6218</v>
      </c>
      <c r="O2123" t="s">
        <v>6499</v>
      </c>
      <c r="P2123" t="s">
        <v>6530</v>
      </c>
      <c r="R2123" t="s">
        <v>6539</v>
      </c>
      <c r="S2123" t="s">
        <v>5357</v>
      </c>
      <c r="U2123" t="s">
        <v>6557</v>
      </c>
      <c r="W2123" t="s">
        <v>354</v>
      </c>
      <c r="X2123">
        <v>855.5599999999999</v>
      </c>
      <c r="Y2123" t="s">
        <v>6608</v>
      </c>
      <c r="Z2123" t="s">
        <v>6622</v>
      </c>
      <c r="AB2123" t="s">
        <v>8387</v>
      </c>
      <c r="AD2123" t="s">
        <v>10708</v>
      </c>
      <c r="AE2123">
        <v>31</v>
      </c>
      <c r="AF2123" t="s">
        <v>11005</v>
      </c>
      <c r="AG2123" t="s">
        <v>5406</v>
      </c>
      <c r="AH2123">
        <v>32</v>
      </c>
      <c r="AI2123">
        <v>1</v>
      </c>
      <c r="AJ2123">
        <v>1</v>
      </c>
      <c r="AK2123">
        <v>128.08</v>
      </c>
      <c r="AN2123" t="s">
        <v>11050</v>
      </c>
      <c r="AO2123">
        <v>20800</v>
      </c>
      <c r="AU2123">
        <v>31.7</v>
      </c>
      <c r="AV2123" t="s">
        <v>829</v>
      </c>
      <c r="AW2123" t="s">
        <v>11533</v>
      </c>
    </row>
    <row r="2124" spans="1:49">
      <c r="A2124" s="1">
        <f>HYPERLINK("https://cms.ls-nyc.org/matter/dynamic-profile/view/1836853","17-1836853")</f>
        <v>0</v>
      </c>
      <c r="B2124" t="s">
        <v>212</v>
      </c>
      <c r="C2124" t="s">
        <v>234</v>
      </c>
      <c r="D2124" t="s">
        <v>597</v>
      </c>
      <c r="E2124" t="s">
        <v>568</v>
      </c>
      <c r="F2124" t="s">
        <v>1330</v>
      </c>
      <c r="G2124" t="s">
        <v>2180</v>
      </c>
      <c r="H2124" t="s">
        <v>4535</v>
      </c>
      <c r="I2124" t="s">
        <v>5255</v>
      </c>
      <c r="J2124" t="s">
        <v>5323</v>
      </c>
      <c r="K2124">
        <v>10033</v>
      </c>
      <c r="L2124" t="s">
        <v>5355</v>
      </c>
      <c r="M2124" t="s">
        <v>5356</v>
      </c>
      <c r="P2124" t="s">
        <v>6530</v>
      </c>
      <c r="Q2124" t="s">
        <v>6534</v>
      </c>
      <c r="R2124" t="s">
        <v>6539</v>
      </c>
      <c r="T2124" t="s">
        <v>6542</v>
      </c>
      <c r="U2124" t="s">
        <v>6557</v>
      </c>
      <c r="W2124" t="s">
        <v>322</v>
      </c>
      <c r="X2124">
        <v>0</v>
      </c>
      <c r="Y2124" t="s">
        <v>6608</v>
      </c>
      <c r="AA2124" t="s">
        <v>6637</v>
      </c>
      <c r="AB2124" t="s">
        <v>8392</v>
      </c>
      <c r="AD2124" t="s">
        <v>10714</v>
      </c>
      <c r="AE2124">
        <v>0</v>
      </c>
      <c r="AH2124">
        <v>0</v>
      </c>
      <c r="AI2124">
        <v>2</v>
      </c>
      <c r="AJ2124">
        <v>0</v>
      </c>
      <c r="AK2124">
        <v>128.08</v>
      </c>
      <c r="AN2124" t="s">
        <v>11049</v>
      </c>
      <c r="AO2124">
        <v>20800</v>
      </c>
      <c r="AU2124">
        <v>51.25</v>
      </c>
      <c r="AV2124" t="s">
        <v>719</v>
      </c>
      <c r="AW2124" t="s">
        <v>11546</v>
      </c>
    </row>
    <row r="2125" spans="1:49">
      <c r="A2125" s="1">
        <f>HYPERLINK("https://cms.ls-nyc.org/matter/dynamic-profile/view/1861172","18-1861172")</f>
        <v>0</v>
      </c>
      <c r="B2125" t="s">
        <v>56</v>
      </c>
      <c r="C2125" t="s">
        <v>235</v>
      </c>
      <c r="D2125" t="s">
        <v>259</v>
      </c>
      <c r="F2125" t="s">
        <v>1249</v>
      </c>
      <c r="G2125" t="s">
        <v>3258</v>
      </c>
      <c r="H2125" t="s">
        <v>4536</v>
      </c>
      <c r="I2125" t="s">
        <v>5256</v>
      </c>
      <c r="J2125" t="s">
        <v>5321</v>
      </c>
      <c r="K2125">
        <v>10453</v>
      </c>
      <c r="L2125" t="s">
        <v>5355</v>
      </c>
      <c r="M2125" t="s">
        <v>5356</v>
      </c>
      <c r="N2125" t="s">
        <v>6219</v>
      </c>
      <c r="O2125" t="s">
        <v>6492</v>
      </c>
      <c r="P2125" t="s">
        <v>6530</v>
      </c>
      <c r="R2125" t="s">
        <v>6539</v>
      </c>
      <c r="S2125" t="s">
        <v>5357</v>
      </c>
      <c r="U2125" t="s">
        <v>6557</v>
      </c>
      <c r="W2125" t="s">
        <v>330</v>
      </c>
      <c r="X2125">
        <v>1054</v>
      </c>
      <c r="Y2125" t="s">
        <v>6606</v>
      </c>
      <c r="Z2125" t="s">
        <v>6609</v>
      </c>
      <c r="AB2125" t="s">
        <v>8393</v>
      </c>
      <c r="AD2125" t="s">
        <v>10715</v>
      </c>
      <c r="AE2125">
        <v>36</v>
      </c>
      <c r="AF2125" t="s">
        <v>11005</v>
      </c>
      <c r="AG2125" t="s">
        <v>5406</v>
      </c>
      <c r="AH2125">
        <v>8</v>
      </c>
      <c r="AI2125">
        <v>1</v>
      </c>
      <c r="AJ2125">
        <v>3</v>
      </c>
      <c r="AK2125">
        <v>128.45</v>
      </c>
      <c r="AN2125" t="s">
        <v>11050</v>
      </c>
      <c r="AO2125">
        <v>32240</v>
      </c>
      <c r="AQ2125" t="s">
        <v>11192</v>
      </c>
      <c r="AR2125" t="s">
        <v>11229</v>
      </c>
      <c r="AS2125" t="s">
        <v>11253</v>
      </c>
      <c r="AT2125" t="s">
        <v>11402</v>
      </c>
      <c r="AU2125">
        <v>12.7</v>
      </c>
      <c r="AV2125" t="s">
        <v>774</v>
      </c>
      <c r="AW2125" t="s">
        <v>11504</v>
      </c>
    </row>
    <row r="2126" spans="1:49">
      <c r="A2126" s="1">
        <f>HYPERLINK("https://cms.ls-nyc.org/matter/dynamic-profile/view/1870852","18-1870852")</f>
        <v>0</v>
      </c>
      <c r="B2126" t="s">
        <v>190</v>
      </c>
      <c r="C2126" t="s">
        <v>235</v>
      </c>
      <c r="D2126" t="s">
        <v>328</v>
      </c>
      <c r="F2126" t="s">
        <v>1954</v>
      </c>
      <c r="G2126" t="s">
        <v>2473</v>
      </c>
      <c r="H2126" t="s">
        <v>4537</v>
      </c>
      <c r="I2126">
        <v>54</v>
      </c>
      <c r="J2126" t="s">
        <v>5323</v>
      </c>
      <c r="K2126">
        <v>10034</v>
      </c>
      <c r="L2126" t="s">
        <v>5355</v>
      </c>
      <c r="M2126" t="s">
        <v>5356</v>
      </c>
      <c r="N2126" t="s">
        <v>6220</v>
      </c>
      <c r="O2126" t="s">
        <v>6492</v>
      </c>
      <c r="P2126" t="s">
        <v>6530</v>
      </c>
      <c r="R2126" t="s">
        <v>6539</v>
      </c>
      <c r="S2126" t="s">
        <v>5357</v>
      </c>
      <c r="U2126" t="s">
        <v>6557</v>
      </c>
      <c r="W2126" t="s">
        <v>328</v>
      </c>
      <c r="X2126">
        <v>856.55</v>
      </c>
      <c r="Y2126" t="s">
        <v>6608</v>
      </c>
      <c r="Z2126" t="s">
        <v>6614</v>
      </c>
      <c r="AB2126" t="s">
        <v>8394</v>
      </c>
      <c r="AD2126" t="s">
        <v>10716</v>
      </c>
      <c r="AE2126">
        <v>53</v>
      </c>
      <c r="AF2126" t="s">
        <v>11005</v>
      </c>
      <c r="AG2126" t="s">
        <v>5406</v>
      </c>
      <c r="AH2126">
        <v>15</v>
      </c>
      <c r="AI2126">
        <v>1</v>
      </c>
      <c r="AJ2126">
        <v>0</v>
      </c>
      <c r="AK2126">
        <v>128.5</v>
      </c>
      <c r="AN2126" t="s">
        <v>11050</v>
      </c>
      <c r="AO2126">
        <v>15600</v>
      </c>
      <c r="AU2126">
        <v>96.33</v>
      </c>
      <c r="AV2126" t="s">
        <v>729</v>
      </c>
      <c r="AW2126" t="s">
        <v>209</v>
      </c>
    </row>
    <row r="2127" spans="1:49">
      <c r="A2127" s="1">
        <f>HYPERLINK("https://cms.ls-nyc.org/matter/dynamic-profile/view/1857722","18-1857722")</f>
        <v>0</v>
      </c>
      <c r="B2127" t="s">
        <v>189</v>
      </c>
      <c r="C2127" t="s">
        <v>235</v>
      </c>
      <c r="D2127" t="s">
        <v>433</v>
      </c>
      <c r="F2127" t="s">
        <v>1955</v>
      </c>
      <c r="G2127" t="s">
        <v>3259</v>
      </c>
      <c r="H2127" t="s">
        <v>4538</v>
      </c>
      <c r="I2127" t="s">
        <v>5257</v>
      </c>
      <c r="J2127" t="s">
        <v>5322</v>
      </c>
      <c r="K2127">
        <v>10301</v>
      </c>
      <c r="L2127" t="s">
        <v>5355</v>
      </c>
      <c r="M2127" t="s">
        <v>5356</v>
      </c>
      <c r="N2127" t="s">
        <v>6221</v>
      </c>
      <c r="O2127" t="s">
        <v>6491</v>
      </c>
      <c r="P2127" t="s">
        <v>6530</v>
      </c>
      <c r="R2127" t="s">
        <v>6539</v>
      </c>
      <c r="S2127" t="s">
        <v>5355</v>
      </c>
      <c r="U2127" t="s">
        <v>6557</v>
      </c>
      <c r="W2127" t="s">
        <v>433</v>
      </c>
      <c r="X2127">
        <v>927.1799999999999</v>
      </c>
      <c r="Y2127" t="s">
        <v>6607</v>
      </c>
      <c r="Z2127" t="s">
        <v>6623</v>
      </c>
      <c r="AA2127" t="s">
        <v>6637</v>
      </c>
      <c r="AB2127" t="s">
        <v>8395</v>
      </c>
      <c r="AC2127" t="s">
        <v>5406</v>
      </c>
      <c r="AD2127" t="s">
        <v>10717</v>
      </c>
      <c r="AE2127">
        <v>100</v>
      </c>
      <c r="AF2127" t="s">
        <v>11005</v>
      </c>
      <c r="AG2127" t="s">
        <v>5406</v>
      </c>
      <c r="AH2127">
        <v>2</v>
      </c>
      <c r="AI2127">
        <v>3</v>
      </c>
      <c r="AJ2127">
        <v>3</v>
      </c>
      <c r="AK2127">
        <v>128.58</v>
      </c>
      <c r="AN2127" t="s">
        <v>11059</v>
      </c>
      <c r="AO2127">
        <v>42380</v>
      </c>
      <c r="AU2127">
        <v>32.6</v>
      </c>
      <c r="AV2127" t="s">
        <v>11441</v>
      </c>
      <c r="AW2127" t="s">
        <v>11536</v>
      </c>
    </row>
    <row r="2128" spans="1:49">
      <c r="A2128" s="1">
        <f>HYPERLINK("https://cms.ls-nyc.org/matter/dynamic-profile/view/1856073","18-1856073")</f>
        <v>0</v>
      </c>
      <c r="B2128" t="s">
        <v>131</v>
      </c>
      <c r="C2128" t="s">
        <v>234</v>
      </c>
      <c r="D2128" t="s">
        <v>525</v>
      </c>
      <c r="E2128" t="s">
        <v>809</v>
      </c>
      <c r="F2128" t="s">
        <v>1231</v>
      </c>
      <c r="G2128" t="s">
        <v>2146</v>
      </c>
      <c r="H2128" t="s">
        <v>3769</v>
      </c>
      <c r="I2128" t="s">
        <v>5258</v>
      </c>
      <c r="J2128" t="s">
        <v>5323</v>
      </c>
      <c r="K2128">
        <v>10034</v>
      </c>
      <c r="L2128" t="s">
        <v>5355</v>
      </c>
      <c r="M2128" t="s">
        <v>5356</v>
      </c>
      <c r="O2128" t="s">
        <v>6491</v>
      </c>
      <c r="P2128" t="s">
        <v>6530</v>
      </c>
      <c r="Q2128" t="s">
        <v>6534</v>
      </c>
      <c r="R2128" t="s">
        <v>6539</v>
      </c>
      <c r="S2128" t="s">
        <v>5355</v>
      </c>
      <c r="U2128" t="s">
        <v>6557</v>
      </c>
      <c r="W2128" t="s">
        <v>525</v>
      </c>
      <c r="X2128">
        <v>1144.27</v>
      </c>
      <c r="Y2128" t="s">
        <v>6608</v>
      </c>
      <c r="Z2128" t="s">
        <v>6493</v>
      </c>
      <c r="AA2128" t="s">
        <v>6634</v>
      </c>
      <c r="AB2128" t="s">
        <v>8396</v>
      </c>
      <c r="AD2128" t="s">
        <v>10718</v>
      </c>
      <c r="AE2128">
        <v>49</v>
      </c>
      <c r="AF2128" t="s">
        <v>11005</v>
      </c>
      <c r="AG2128" t="s">
        <v>5406</v>
      </c>
      <c r="AH2128">
        <v>15</v>
      </c>
      <c r="AI2128">
        <v>3</v>
      </c>
      <c r="AJ2128">
        <v>4</v>
      </c>
      <c r="AK2128">
        <v>128.7</v>
      </c>
      <c r="AN2128" t="s">
        <v>11049</v>
      </c>
      <c r="AO2128">
        <v>47800</v>
      </c>
      <c r="AU2128">
        <v>0.2</v>
      </c>
      <c r="AV2128" t="s">
        <v>680</v>
      </c>
      <c r="AW2128" t="s">
        <v>11495</v>
      </c>
    </row>
    <row r="2129" spans="1:50">
      <c r="A2129" s="1">
        <f>HYPERLINK("https://cms.ls-nyc.org/matter/dynamic-profile/view/1867701","18-1867701")</f>
        <v>0</v>
      </c>
      <c r="B2129" t="s">
        <v>56</v>
      </c>
      <c r="C2129" t="s">
        <v>235</v>
      </c>
      <c r="D2129" t="s">
        <v>299</v>
      </c>
      <c r="F2129" t="s">
        <v>1410</v>
      </c>
      <c r="G2129" t="s">
        <v>2243</v>
      </c>
      <c r="H2129" t="s">
        <v>4020</v>
      </c>
      <c r="I2129" t="s">
        <v>4735</v>
      </c>
      <c r="J2129" t="s">
        <v>5321</v>
      </c>
      <c r="K2129">
        <v>10458</v>
      </c>
      <c r="L2129" t="s">
        <v>5355</v>
      </c>
      <c r="M2129" t="s">
        <v>5356</v>
      </c>
      <c r="O2129" t="s">
        <v>6494</v>
      </c>
      <c r="P2129" t="s">
        <v>6530</v>
      </c>
      <c r="R2129" t="s">
        <v>6539</v>
      </c>
      <c r="S2129" t="s">
        <v>5355</v>
      </c>
      <c r="U2129" t="s">
        <v>6557</v>
      </c>
      <c r="W2129" t="s">
        <v>516</v>
      </c>
      <c r="X2129">
        <v>1200</v>
      </c>
      <c r="Y2129" t="s">
        <v>6606</v>
      </c>
      <c r="Z2129" t="s">
        <v>6614</v>
      </c>
      <c r="AB2129" t="s">
        <v>7440</v>
      </c>
      <c r="AD2129" t="s">
        <v>9812</v>
      </c>
      <c r="AE2129">
        <v>11</v>
      </c>
      <c r="AF2129" t="s">
        <v>11005</v>
      </c>
      <c r="AG2129" t="s">
        <v>5406</v>
      </c>
      <c r="AH2129">
        <v>3</v>
      </c>
      <c r="AI2129">
        <v>4</v>
      </c>
      <c r="AJ2129">
        <v>0</v>
      </c>
      <c r="AK2129">
        <v>128.84</v>
      </c>
      <c r="AN2129" t="s">
        <v>11050</v>
      </c>
      <c r="AO2129">
        <v>32340</v>
      </c>
      <c r="AU2129">
        <v>0</v>
      </c>
      <c r="AW2129" t="s">
        <v>11492</v>
      </c>
    </row>
    <row r="2130" spans="1:50">
      <c r="A2130" s="1">
        <f>HYPERLINK("https://cms.ls-nyc.org/matter/dynamic-profile/view/1864095","18-1864095")</f>
        <v>0</v>
      </c>
      <c r="B2130" t="s">
        <v>111</v>
      </c>
      <c r="C2130" t="s">
        <v>235</v>
      </c>
      <c r="D2130" t="s">
        <v>357</v>
      </c>
      <c r="F2130" t="s">
        <v>1488</v>
      </c>
      <c r="G2130" t="s">
        <v>2406</v>
      </c>
      <c r="H2130" t="s">
        <v>4075</v>
      </c>
      <c r="I2130" t="s">
        <v>4743</v>
      </c>
      <c r="J2130" t="s">
        <v>5323</v>
      </c>
      <c r="K2130">
        <v>10040</v>
      </c>
      <c r="L2130" t="s">
        <v>5355</v>
      </c>
      <c r="M2130" t="s">
        <v>5356</v>
      </c>
      <c r="N2130" t="s">
        <v>5591</v>
      </c>
      <c r="O2130" t="s">
        <v>6494</v>
      </c>
      <c r="P2130" t="s">
        <v>6530</v>
      </c>
      <c r="R2130" t="s">
        <v>6539</v>
      </c>
      <c r="S2130" t="s">
        <v>5355</v>
      </c>
      <c r="U2130" t="s">
        <v>6557</v>
      </c>
      <c r="W2130" t="s">
        <v>357</v>
      </c>
      <c r="X2130">
        <v>1494.26</v>
      </c>
      <c r="Y2130" t="s">
        <v>6608</v>
      </c>
      <c r="Z2130" t="s">
        <v>6614</v>
      </c>
      <c r="AB2130" t="s">
        <v>8397</v>
      </c>
      <c r="AE2130">
        <v>44</v>
      </c>
      <c r="AF2130" t="s">
        <v>11005</v>
      </c>
      <c r="AG2130" t="s">
        <v>5406</v>
      </c>
      <c r="AH2130">
        <v>29</v>
      </c>
      <c r="AI2130">
        <v>3</v>
      </c>
      <c r="AJ2130">
        <v>0</v>
      </c>
      <c r="AK2130">
        <v>128.91</v>
      </c>
      <c r="AL2130" t="s">
        <v>11035</v>
      </c>
      <c r="AN2130" t="s">
        <v>11049</v>
      </c>
      <c r="AO2130">
        <v>44788</v>
      </c>
      <c r="AU2130">
        <v>0</v>
      </c>
      <c r="AW2130" t="s">
        <v>11495</v>
      </c>
    </row>
    <row r="2131" spans="1:50">
      <c r="A2131" s="1">
        <f>HYPERLINK("https://cms.ls-nyc.org/matter/dynamic-profile/view/0820578","16-0820578")</f>
        <v>0</v>
      </c>
      <c r="B2131" t="s">
        <v>136</v>
      </c>
      <c r="C2131" t="s">
        <v>235</v>
      </c>
      <c r="D2131" t="s">
        <v>626</v>
      </c>
      <c r="F2131" t="s">
        <v>1956</v>
      </c>
      <c r="G2131" t="s">
        <v>2631</v>
      </c>
      <c r="H2131" t="s">
        <v>4539</v>
      </c>
      <c r="I2131" t="s">
        <v>4734</v>
      </c>
      <c r="J2131" t="s">
        <v>5320</v>
      </c>
      <c r="K2131">
        <v>11212</v>
      </c>
      <c r="L2131" t="s">
        <v>5355</v>
      </c>
      <c r="M2131" t="s">
        <v>5356</v>
      </c>
      <c r="N2131" t="s">
        <v>6222</v>
      </c>
      <c r="O2131" t="s">
        <v>6491</v>
      </c>
      <c r="P2131" t="s">
        <v>6530</v>
      </c>
      <c r="R2131" t="s">
        <v>6539</v>
      </c>
      <c r="S2131" t="s">
        <v>5355</v>
      </c>
      <c r="U2131" t="s">
        <v>6557</v>
      </c>
      <c r="W2131" t="s">
        <v>6578</v>
      </c>
      <c r="X2131">
        <v>1300</v>
      </c>
      <c r="Y2131" t="s">
        <v>6605</v>
      </c>
      <c r="Z2131" t="s">
        <v>6622</v>
      </c>
      <c r="AB2131" t="s">
        <v>8398</v>
      </c>
      <c r="AD2131" t="s">
        <v>10719</v>
      </c>
      <c r="AE2131">
        <v>5</v>
      </c>
      <c r="AF2131" t="s">
        <v>11004</v>
      </c>
      <c r="AH2131">
        <v>5</v>
      </c>
      <c r="AI2131">
        <v>2</v>
      </c>
      <c r="AJ2131">
        <v>1</v>
      </c>
      <c r="AK2131">
        <v>128.97</v>
      </c>
      <c r="AN2131" t="s">
        <v>11050</v>
      </c>
      <c r="AO2131">
        <v>26000</v>
      </c>
      <c r="AU2131">
        <v>7.5</v>
      </c>
      <c r="AV2131" t="s">
        <v>654</v>
      </c>
      <c r="AW2131" t="s">
        <v>11529</v>
      </c>
    </row>
    <row r="2132" spans="1:50">
      <c r="A2132" s="1">
        <f>HYPERLINK("https://cms.ls-nyc.org/matter/dynamic-profile/view/0822895","16-0822895")</f>
        <v>0</v>
      </c>
      <c r="B2132" t="s">
        <v>105</v>
      </c>
      <c r="C2132" t="s">
        <v>234</v>
      </c>
      <c r="D2132" t="s">
        <v>423</v>
      </c>
      <c r="E2132" t="s">
        <v>677</v>
      </c>
      <c r="F2132" t="s">
        <v>914</v>
      </c>
      <c r="G2132" t="s">
        <v>2105</v>
      </c>
      <c r="H2132" t="s">
        <v>3789</v>
      </c>
      <c r="I2132">
        <v>43</v>
      </c>
      <c r="J2132" t="s">
        <v>5323</v>
      </c>
      <c r="K2132">
        <v>10031</v>
      </c>
      <c r="L2132" t="s">
        <v>5355</v>
      </c>
      <c r="M2132" t="s">
        <v>5356</v>
      </c>
      <c r="O2132" t="s">
        <v>6517</v>
      </c>
      <c r="P2132" t="s">
        <v>6530</v>
      </c>
      <c r="Q2132" t="s">
        <v>6534</v>
      </c>
      <c r="R2132" t="s">
        <v>6539</v>
      </c>
      <c r="S2132" t="s">
        <v>5355</v>
      </c>
      <c r="U2132" t="s">
        <v>6557</v>
      </c>
      <c r="W2132" t="s">
        <v>298</v>
      </c>
      <c r="X2132">
        <v>650</v>
      </c>
      <c r="Y2132" t="s">
        <v>6608</v>
      </c>
      <c r="AA2132" t="s">
        <v>6634</v>
      </c>
      <c r="AB2132" t="s">
        <v>8399</v>
      </c>
      <c r="AD2132" t="s">
        <v>9166</v>
      </c>
      <c r="AE2132">
        <v>24</v>
      </c>
      <c r="AF2132" t="s">
        <v>11005</v>
      </c>
      <c r="AH2132">
        <v>18</v>
      </c>
      <c r="AI2132">
        <v>3</v>
      </c>
      <c r="AJ2132">
        <v>0</v>
      </c>
      <c r="AK2132">
        <v>128.97</v>
      </c>
      <c r="AN2132" t="s">
        <v>11049</v>
      </c>
      <c r="AO2132">
        <v>26000</v>
      </c>
      <c r="AU2132">
        <v>3.75</v>
      </c>
      <c r="AV2132" t="s">
        <v>677</v>
      </c>
      <c r="AW2132" t="s">
        <v>11559</v>
      </c>
    </row>
    <row r="2133" spans="1:50">
      <c r="A2133" s="1">
        <f>HYPERLINK("https://cms.ls-nyc.org/matter/dynamic-profile/view/1861638","18-1861638")</f>
        <v>0</v>
      </c>
      <c r="B2133" t="s">
        <v>106</v>
      </c>
      <c r="C2133" t="s">
        <v>235</v>
      </c>
      <c r="D2133" t="s">
        <v>362</v>
      </c>
      <c r="F2133" t="s">
        <v>1957</v>
      </c>
      <c r="G2133" t="s">
        <v>3092</v>
      </c>
      <c r="H2133" t="s">
        <v>4540</v>
      </c>
      <c r="I2133" t="s">
        <v>4776</v>
      </c>
      <c r="J2133" t="s">
        <v>5321</v>
      </c>
      <c r="K2133">
        <v>10453</v>
      </c>
      <c r="L2133" t="s">
        <v>5355</v>
      </c>
      <c r="M2133" t="s">
        <v>5356</v>
      </c>
      <c r="N2133" t="s">
        <v>6223</v>
      </c>
      <c r="O2133" t="s">
        <v>6492</v>
      </c>
      <c r="P2133" t="s">
        <v>6530</v>
      </c>
      <c r="R2133" t="s">
        <v>6539</v>
      </c>
      <c r="S2133" t="s">
        <v>5357</v>
      </c>
      <c r="U2133" t="s">
        <v>6557</v>
      </c>
      <c r="W2133" t="s">
        <v>480</v>
      </c>
      <c r="X2133">
        <v>1515</v>
      </c>
      <c r="Y2133" t="s">
        <v>6606</v>
      </c>
      <c r="Z2133" t="s">
        <v>6621</v>
      </c>
      <c r="AB2133" t="s">
        <v>8400</v>
      </c>
      <c r="AC2133" t="s">
        <v>9058</v>
      </c>
      <c r="AD2133" t="s">
        <v>10720</v>
      </c>
      <c r="AE2133">
        <v>48</v>
      </c>
      <c r="AF2133" t="s">
        <v>11005</v>
      </c>
      <c r="AG2133" t="s">
        <v>11019</v>
      </c>
      <c r="AH2133">
        <v>2</v>
      </c>
      <c r="AI2133">
        <v>2</v>
      </c>
      <c r="AJ2133">
        <v>2</v>
      </c>
      <c r="AK2133">
        <v>129.08</v>
      </c>
      <c r="AN2133" t="s">
        <v>11050</v>
      </c>
      <c r="AO2133">
        <v>32400</v>
      </c>
      <c r="AT2133" t="s">
        <v>11324</v>
      </c>
      <c r="AU2133">
        <v>17.05</v>
      </c>
      <c r="AV2133" t="s">
        <v>345</v>
      </c>
      <c r="AW2133" t="s">
        <v>11513</v>
      </c>
    </row>
    <row r="2134" spans="1:50">
      <c r="A2134" s="1">
        <f>HYPERLINK("https://cms.ls-nyc.org/matter/dynamic-profile/view/1854923","18-1854923")</f>
        <v>0</v>
      </c>
      <c r="B2134" t="s">
        <v>53</v>
      </c>
      <c r="C2134" t="s">
        <v>234</v>
      </c>
      <c r="D2134" t="s">
        <v>521</v>
      </c>
      <c r="E2134" t="s">
        <v>730</v>
      </c>
      <c r="F2134" t="s">
        <v>1958</v>
      </c>
      <c r="G2134" t="s">
        <v>2189</v>
      </c>
      <c r="H2134" t="s">
        <v>4541</v>
      </c>
      <c r="I2134" t="s">
        <v>4771</v>
      </c>
      <c r="J2134" t="s">
        <v>5320</v>
      </c>
      <c r="K2134">
        <v>11212</v>
      </c>
      <c r="L2134" t="s">
        <v>5355</v>
      </c>
      <c r="M2134" t="s">
        <v>5355</v>
      </c>
      <c r="N2134" t="s">
        <v>6224</v>
      </c>
      <c r="O2134" t="s">
        <v>6492</v>
      </c>
      <c r="P2134" t="s">
        <v>6530</v>
      </c>
      <c r="Q2134" t="s">
        <v>6534</v>
      </c>
      <c r="R2134" t="s">
        <v>6539</v>
      </c>
      <c r="S2134" t="s">
        <v>5355</v>
      </c>
      <c r="U2134" t="s">
        <v>6557</v>
      </c>
      <c r="W2134" t="s">
        <v>329</v>
      </c>
      <c r="X2134">
        <v>632</v>
      </c>
      <c r="Y2134" t="s">
        <v>6605</v>
      </c>
      <c r="Z2134" t="s">
        <v>6621</v>
      </c>
      <c r="AA2134" t="s">
        <v>6637</v>
      </c>
      <c r="AB2134" t="s">
        <v>7323</v>
      </c>
      <c r="AC2134" t="s">
        <v>8722</v>
      </c>
      <c r="AD2134" t="s">
        <v>10721</v>
      </c>
      <c r="AE2134">
        <v>70</v>
      </c>
      <c r="AF2134" t="s">
        <v>11005</v>
      </c>
      <c r="AH2134">
        <v>10</v>
      </c>
      <c r="AI2134">
        <v>1</v>
      </c>
      <c r="AJ2134">
        <v>2</v>
      </c>
      <c r="AK2134">
        <v>129.29</v>
      </c>
      <c r="AN2134" t="s">
        <v>11050</v>
      </c>
      <c r="AO2134">
        <v>26400</v>
      </c>
      <c r="AR2134" t="s">
        <v>11210</v>
      </c>
      <c r="AS2134" t="s">
        <v>11253</v>
      </c>
      <c r="AT2134" t="s">
        <v>11403</v>
      </c>
      <c r="AU2134">
        <v>15.3</v>
      </c>
      <c r="AV2134" t="s">
        <v>730</v>
      </c>
      <c r="AW2134" t="s">
        <v>11512</v>
      </c>
    </row>
    <row r="2135" spans="1:50">
      <c r="A2135" s="1">
        <f>HYPERLINK("https://cms.ls-nyc.org/matter/dynamic-profile/view/1853236","17-1853236")</f>
        <v>0</v>
      </c>
      <c r="B2135" t="s">
        <v>177</v>
      </c>
      <c r="C2135" t="s">
        <v>234</v>
      </c>
      <c r="D2135" t="s">
        <v>289</v>
      </c>
      <c r="E2135" t="s">
        <v>777</v>
      </c>
      <c r="F2135" t="s">
        <v>1959</v>
      </c>
      <c r="G2135" t="s">
        <v>3260</v>
      </c>
      <c r="H2135" t="s">
        <v>3434</v>
      </c>
      <c r="I2135" t="s">
        <v>4734</v>
      </c>
      <c r="J2135" t="s">
        <v>5320</v>
      </c>
      <c r="K2135">
        <v>11208</v>
      </c>
      <c r="L2135" t="s">
        <v>5355</v>
      </c>
      <c r="M2135" t="s">
        <v>5356</v>
      </c>
      <c r="N2135" t="s">
        <v>6225</v>
      </c>
      <c r="O2135" t="s">
        <v>6491</v>
      </c>
      <c r="P2135" t="s">
        <v>6530</v>
      </c>
      <c r="Q2135" t="s">
        <v>6537</v>
      </c>
      <c r="R2135" t="s">
        <v>6539</v>
      </c>
      <c r="S2135" t="s">
        <v>5355</v>
      </c>
      <c r="U2135" t="s">
        <v>6557</v>
      </c>
      <c r="W2135" t="s">
        <v>294</v>
      </c>
      <c r="X2135">
        <v>600</v>
      </c>
      <c r="Y2135" t="s">
        <v>6605</v>
      </c>
      <c r="AA2135" t="s">
        <v>6637</v>
      </c>
      <c r="AB2135" t="s">
        <v>8401</v>
      </c>
      <c r="AD2135" t="s">
        <v>10722</v>
      </c>
      <c r="AE2135">
        <v>6</v>
      </c>
      <c r="AF2135" t="s">
        <v>11005</v>
      </c>
      <c r="AH2135">
        <v>4</v>
      </c>
      <c r="AI2135">
        <v>1</v>
      </c>
      <c r="AJ2135">
        <v>0</v>
      </c>
      <c r="AK2135">
        <v>129.35</v>
      </c>
      <c r="AN2135" t="s">
        <v>11050</v>
      </c>
      <c r="AO2135">
        <v>15600</v>
      </c>
      <c r="AU2135">
        <v>0.5</v>
      </c>
      <c r="AV2135" t="s">
        <v>777</v>
      </c>
      <c r="AW2135" t="s">
        <v>11489</v>
      </c>
    </row>
    <row r="2136" spans="1:50">
      <c r="A2136" s="1">
        <f>HYPERLINK("https://cms.ls-nyc.org/matter/dynamic-profile/view/1856212","18-1856212")</f>
        <v>0</v>
      </c>
      <c r="B2136" t="s">
        <v>214</v>
      </c>
      <c r="C2136" t="s">
        <v>234</v>
      </c>
      <c r="D2136" t="s">
        <v>290</v>
      </c>
      <c r="E2136" t="s">
        <v>665</v>
      </c>
      <c r="F2136" t="s">
        <v>1438</v>
      </c>
      <c r="G2136" t="s">
        <v>3261</v>
      </c>
      <c r="H2136" t="s">
        <v>4542</v>
      </c>
      <c r="I2136" t="s">
        <v>5259</v>
      </c>
      <c r="J2136" t="s">
        <v>5320</v>
      </c>
      <c r="K2136">
        <v>11203</v>
      </c>
      <c r="L2136" t="s">
        <v>5355</v>
      </c>
      <c r="M2136" t="s">
        <v>5356</v>
      </c>
      <c r="N2136" t="s">
        <v>6226</v>
      </c>
      <c r="O2136" t="s">
        <v>6494</v>
      </c>
      <c r="P2136" t="s">
        <v>6530</v>
      </c>
      <c r="Q2136" t="s">
        <v>6534</v>
      </c>
      <c r="R2136" t="s">
        <v>6539</v>
      </c>
      <c r="T2136" t="s">
        <v>6545</v>
      </c>
      <c r="U2136" t="s">
        <v>6557</v>
      </c>
      <c r="W2136" t="s">
        <v>262</v>
      </c>
      <c r="X2136">
        <v>1061</v>
      </c>
      <c r="Y2136" t="s">
        <v>6605</v>
      </c>
      <c r="Z2136" t="s">
        <v>6614</v>
      </c>
      <c r="AA2136" t="s">
        <v>6634</v>
      </c>
      <c r="AB2136" t="s">
        <v>8402</v>
      </c>
      <c r="AD2136" t="s">
        <v>10723</v>
      </c>
      <c r="AE2136">
        <v>39</v>
      </c>
      <c r="AF2136" t="s">
        <v>11005</v>
      </c>
      <c r="AH2136">
        <v>12</v>
      </c>
      <c r="AI2136">
        <v>1</v>
      </c>
      <c r="AJ2136">
        <v>0</v>
      </c>
      <c r="AK2136">
        <v>129.35</v>
      </c>
      <c r="AN2136" t="s">
        <v>11050</v>
      </c>
      <c r="AO2136">
        <v>15600</v>
      </c>
      <c r="AU2136">
        <v>71.2</v>
      </c>
      <c r="AV2136" t="s">
        <v>665</v>
      </c>
      <c r="AW2136" t="s">
        <v>206</v>
      </c>
    </row>
    <row r="2137" spans="1:50">
      <c r="A2137" s="1">
        <f>HYPERLINK("https://cms.ls-nyc.org/matter/dynamic-profile/view/1856567","18-1856567")</f>
        <v>0</v>
      </c>
      <c r="B2137" t="s">
        <v>102</v>
      </c>
      <c r="C2137" t="s">
        <v>234</v>
      </c>
      <c r="D2137" t="s">
        <v>458</v>
      </c>
      <c r="E2137" t="s">
        <v>744</v>
      </c>
      <c r="F2137" t="s">
        <v>1542</v>
      </c>
      <c r="G2137" t="s">
        <v>2639</v>
      </c>
      <c r="H2137" t="s">
        <v>3526</v>
      </c>
      <c r="I2137">
        <v>123</v>
      </c>
      <c r="J2137" t="s">
        <v>5321</v>
      </c>
      <c r="K2137">
        <v>10453</v>
      </c>
      <c r="L2137" t="s">
        <v>5355</v>
      </c>
      <c r="M2137" t="s">
        <v>5356</v>
      </c>
      <c r="N2137" t="s">
        <v>5883</v>
      </c>
      <c r="O2137" t="s">
        <v>6494</v>
      </c>
      <c r="P2137" t="s">
        <v>6530</v>
      </c>
      <c r="Q2137" t="s">
        <v>6534</v>
      </c>
      <c r="R2137" t="s">
        <v>6539</v>
      </c>
      <c r="S2137" t="s">
        <v>5355</v>
      </c>
      <c r="U2137" t="s">
        <v>6557</v>
      </c>
      <c r="W2137" t="s">
        <v>247</v>
      </c>
      <c r="X2137">
        <v>990.26</v>
      </c>
      <c r="Y2137" t="s">
        <v>6606</v>
      </c>
      <c r="Z2137" t="s">
        <v>6622</v>
      </c>
      <c r="AA2137" t="s">
        <v>6634</v>
      </c>
      <c r="AB2137" t="s">
        <v>7654</v>
      </c>
      <c r="AD2137" t="s">
        <v>10014</v>
      </c>
      <c r="AE2137">
        <v>146</v>
      </c>
      <c r="AF2137" t="s">
        <v>11005</v>
      </c>
      <c r="AG2137" t="s">
        <v>5406</v>
      </c>
      <c r="AH2137">
        <v>6</v>
      </c>
      <c r="AI2137">
        <v>1</v>
      </c>
      <c r="AJ2137">
        <v>0</v>
      </c>
      <c r="AK2137">
        <v>129.35</v>
      </c>
      <c r="AN2137" t="s">
        <v>11049</v>
      </c>
      <c r="AO2137">
        <v>15600</v>
      </c>
      <c r="AU2137">
        <v>1.05</v>
      </c>
      <c r="AV2137" t="s">
        <v>745</v>
      </c>
      <c r="AW2137" t="s">
        <v>11492</v>
      </c>
    </row>
    <row r="2138" spans="1:50">
      <c r="A2138" s="1">
        <f>HYPERLINK("https://cms.ls-nyc.org/matter/dynamic-profile/view/1861643","18-1861643")</f>
        <v>0</v>
      </c>
      <c r="B2138" t="s">
        <v>55</v>
      </c>
      <c r="C2138" t="s">
        <v>234</v>
      </c>
      <c r="D2138" t="s">
        <v>362</v>
      </c>
      <c r="E2138" t="s">
        <v>622</v>
      </c>
      <c r="F2138" t="s">
        <v>1020</v>
      </c>
      <c r="G2138" t="s">
        <v>3262</v>
      </c>
      <c r="H2138" t="s">
        <v>4543</v>
      </c>
      <c r="I2138" t="s">
        <v>4741</v>
      </c>
      <c r="J2138" t="s">
        <v>5320</v>
      </c>
      <c r="K2138">
        <v>11226</v>
      </c>
      <c r="L2138" t="s">
        <v>5355</v>
      </c>
      <c r="M2138" t="s">
        <v>5355</v>
      </c>
      <c r="N2138" t="s">
        <v>6227</v>
      </c>
      <c r="O2138" t="s">
        <v>6492</v>
      </c>
      <c r="P2138" t="s">
        <v>6530</v>
      </c>
      <c r="Q2138" t="s">
        <v>6534</v>
      </c>
      <c r="R2138" t="s">
        <v>6539</v>
      </c>
      <c r="S2138" t="s">
        <v>5357</v>
      </c>
      <c r="U2138" t="s">
        <v>6557</v>
      </c>
      <c r="W2138" t="s">
        <v>516</v>
      </c>
      <c r="X2138">
        <v>1001.82</v>
      </c>
      <c r="Y2138" t="s">
        <v>6605</v>
      </c>
      <c r="Z2138" t="s">
        <v>6614</v>
      </c>
      <c r="AA2138" t="s">
        <v>6637</v>
      </c>
      <c r="AB2138" t="s">
        <v>8403</v>
      </c>
      <c r="AC2138" t="s">
        <v>9059</v>
      </c>
      <c r="AD2138" t="s">
        <v>10724</v>
      </c>
      <c r="AE2138">
        <v>6</v>
      </c>
      <c r="AF2138" t="s">
        <v>11005</v>
      </c>
      <c r="AG2138" t="s">
        <v>5406</v>
      </c>
      <c r="AH2138">
        <v>6</v>
      </c>
      <c r="AI2138">
        <v>1</v>
      </c>
      <c r="AJ2138">
        <v>0</v>
      </c>
      <c r="AK2138">
        <v>129.36</v>
      </c>
      <c r="AN2138" t="s">
        <v>11050</v>
      </c>
      <c r="AO2138">
        <v>15704</v>
      </c>
      <c r="AR2138" t="s">
        <v>11210</v>
      </c>
      <c r="AS2138" t="s">
        <v>11253</v>
      </c>
      <c r="AT2138" t="s">
        <v>11404</v>
      </c>
      <c r="AU2138">
        <v>9.85</v>
      </c>
      <c r="AV2138" t="s">
        <v>622</v>
      </c>
      <c r="AW2138" t="s">
        <v>11490</v>
      </c>
    </row>
    <row r="2139" spans="1:50">
      <c r="A2139" s="1">
        <f>HYPERLINK("https://cms.ls-nyc.org/matter/dynamic-profile/view/1869632","18-1869632")</f>
        <v>0</v>
      </c>
      <c r="B2139" t="s">
        <v>106</v>
      </c>
      <c r="C2139" t="s">
        <v>235</v>
      </c>
      <c r="D2139" t="s">
        <v>364</v>
      </c>
      <c r="F2139" t="s">
        <v>1960</v>
      </c>
      <c r="G2139" t="s">
        <v>3263</v>
      </c>
      <c r="H2139" t="s">
        <v>4544</v>
      </c>
      <c r="I2139" t="s">
        <v>5260</v>
      </c>
      <c r="J2139" t="s">
        <v>5321</v>
      </c>
      <c r="K2139">
        <v>10453</v>
      </c>
      <c r="L2139" t="s">
        <v>5355</v>
      </c>
      <c r="M2139" t="s">
        <v>5356</v>
      </c>
      <c r="N2139" t="s">
        <v>6228</v>
      </c>
      <c r="O2139" t="s">
        <v>6492</v>
      </c>
      <c r="P2139" t="s">
        <v>6530</v>
      </c>
      <c r="R2139" t="s">
        <v>6539</v>
      </c>
      <c r="S2139" t="s">
        <v>5357</v>
      </c>
      <c r="U2139" t="s">
        <v>6557</v>
      </c>
      <c r="W2139" t="s">
        <v>287</v>
      </c>
      <c r="X2139">
        <v>1081.66</v>
      </c>
      <c r="Y2139" t="s">
        <v>6606</v>
      </c>
      <c r="Z2139" t="s">
        <v>6613</v>
      </c>
      <c r="AB2139" t="s">
        <v>8404</v>
      </c>
      <c r="AD2139" t="s">
        <v>10725</v>
      </c>
      <c r="AE2139">
        <v>20</v>
      </c>
      <c r="AF2139" t="s">
        <v>11005</v>
      </c>
      <c r="AG2139" t="s">
        <v>5406</v>
      </c>
      <c r="AH2139">
        <v>16</v>
      </c>
      <c r="AI2139">
        <v>1</v>
      </c>
      <c r="AJ2139">
        <v>0</v>
      </c>
      <c r="AK2139">
        <v>129.36</v>
      </c>
      <c r="AN2139" t="s">
        <v>11049</v>
      </c>
      <c r="AO2139">
        <v>15704</v>
      </c>
      <c r="AU2139">
        <v>29.15</v>
      </c>
      <c r="AV2139" t="s">
        <v>831</v>
      </c>
      <c r="AW2139" t="s">
        <v>11500</v>
      </c>
    </row>
    <row r="2140" spans="1:50">
      <c r="A2140" s="1">
        <f>HYPERLINK("https://cms.ls-nyc.org/matter/dynamic-profile/view/1869966","18-1869966")</f>
        <v>0</v>
      </c>
      <c r="B2140" t="s">
        <v>104</v>
      </c>
      <c r="C2140" t="s">
        <v>235</v>
      </c>
      <c r="D2140" t="s">
        <v>307</v>
      </c>
      <c r="F2140" t="s">
        <v>1207</v>
      </c>
      <c r="G2140" t="s">
        <v>3264</v>
      </c>
      <c r="H2140" t="s">
        <v>4290</v>
      </c>
      <c r="I2140" t="s">
        <v>5028</v>
      </c>
      <c r="J2140" t="s">
        <v>5321</v>
      </c>
      <c r="K2140">
        <v>10453</v>
      </c>
      <c r="L2140" t="s">
        <v>5355</v>
      </c>
      <c r="M2140" t="s">
        <v>5356</v>
      </c>
      <c r="N2140" t="s">
        <v>6229</v>
      </c>
      <c r="O2140" t="s">
        <v>6492</v>
      </c>
      <c r="P2140" t="s">
        <v>6530</v>
      </c>
      <c r="R2140" t="s">
        <v>6539</v>
      </c>
      <c r="U2140" t="s">
        <v>6557</v>
      </c>
      <c r="W2140" t="s">
        <v>516</v>
      </c>
      <c r="X2140">
        <v>1488</v>
      </c>
      <c r="Y2140" t="s">
        <v>6606</v>
      </c>
      <c r="AB2140" t="s">
        <v>8405</v>
      </c>
      <c r="AD2140" t="s">
        <v>10726</v>
      </c>
      <c r="AE2140">
        <v>0</v>
      </c>
      <c r="AF2140" t="s">
        <v>8722</v>
      </c>
      <c r="AG2140" t="s">
        <v>5406</v>
      </c>
      <c r="AH2140">
        <v>15</v>
      </c>
      <c r="AI2140">
        <v>2</v>
      </c>
      <c r="AJ2140">
        <v>0</v>
      </c>
      <c r="AK2140">
        <v>130.13</v>
      </c>
      <c r="AO2140">
        <v>21420</v>
      </c>
      <c r="AU2140">
        <v>55.25</v>
      </c>
      <c r="AV2140" t="s">
        <v>568</v>
      </c>
      <c r="AW2140" t="s">
        <v>11499</v>
      </c>
    </row>
    <row r="2141" spans="1:50">
      <c r="A2141" s="1">
        <f>HYPERLINK("https://cms.ls-nyc.org/matter/dynamic-profile/view/1840500","17-1840500")</f>
        <v>0</v>
      </c>
      <c r="B2141" t="s">
        <v>54</v>
      </c>
      <c r="C2141" t="s">
        <v>234</v>
      </c>
      <c r="D2141" t="s">
        <v>441</v>
      </c>
      <c r="E2141" t="s">
        <v>434</v>
      </c>
      <c r="F2141" t="s">
        <v>1235</v>
      </c>
      <c r="G2141" t="s">
        <v>2477</v>
      </c>
      <c r="H2141" t="s">
        <v>3750</v>
      </c>
      <c r="I2141" t="s">
        <v>4781</v>
      </c>
      <c r="J2141" t="s">
        <v>5320</v>
      </c>
      <c r="K2141">
        <v>11207</v>
      </c>
      <c r="L2141" t="s">
        <v>5355</v>
      </c>
      <c r="M2141" t="s">
        <v>5355</v>
      </c>
      <c r="N2141" t="s">
        <v>5709</v>
      </c>
      <c r="O2141" t="s">
        <v>6494</v>
      </c>
      <c r="P2141" t="s">
        <v>6530</v>
      </c>
      <c r="Q2141" t="s">
        <v>6533</v>
      </c>
      <c r="R2141" t="s">
        <v>6539</v>
      </c>
      <c r="S2141" t="s">
        <v>5355</v>
      </c>
      <c r="U2141" t="s">
        <v>6557</v>
      </c>
      <c r="W2141" t="s">
        <v>441</v>
      </c>
      <c r="X2141">
        <v>1450</v>
      </c>
      <c r="Y2141" t="s">
        <v>6605</v>
      </c>
      <c r="AA2141" t="s">
        <v>6631</v>
      </c>
      <c r="AB2141" t="s">
        <v>8406</v>
      </c>
      <c r="AD2141" t="s">
        <v>10727</v>
      </c>
      <c r="AE2141">
        <v>6</v>
      </c>
      <c r="AF2141" t="s">
        <v>11005</v>
      </c>
      <c r="AH2141">
        <v>0</v>
      </c>
      <c r="AI2141">
        <v>5</v>
      </c>
      <c r="AJ2141">
        <v>1</v>
      </c>
      <c r="AK2141">
        <v>130.47</v>
      </c>
      <c r="AN2141" t="s">
        <v>11049</v>
      </c>
      <c r="AO2141">
        <v>60268</v>
      </c>
      <c r="AR2141" t="s">
        <v>11234</v>
      </c>
      <c r="AU2141">
        <v>0.3</v>
      </c>
      <c r="AV2141" t="s">
        <v>449</v>
      </c>
      <c r="AW2141" t="s">
        <v>11489</v>
      </c>
      <c r="AX2141" t="s">
        <v>11564</v>
      </c>
    </row>
    <row r="2142" spans="1:50">
      <c r="A2142" s="1">
        <f>HYPERLINK("https://cms.ls-nyc.org/matter/dynamic-profile/view/1845191","17-1845191")</f>
        <v>0</v>
      </c>
      <c r="B2142" t="s">
        <v>68</v>
      </c>
      <c r="C2142" t="s">
        <v>234</v>
      </c>
      <c r="D2142" t="s">
        <v>407</v>
      </c>
      <c r="E2142" t="s">
        <v>829</v>
      </c>
      <c r="F2142" t="s">
        <v>884</v>
      </c>
      <c r="G2142" t="s">
        <v>2949</v>
      </c>
      <c r="H2142" t="s">
        <v>4545</v>
      </c>
      <c r="I2142" t="s">
        <v>4752</v>
      </c>
      <c r="J2142" t="s">
        <v>5323</v>
      </c>
      <c r="K2142">
        <v>10035</v>
      </c>
      <c r="L2142" t="s">
        <v>5355</v>
      </c>
      <c r="M2142" t="s">
        <v>5356</v>
      </c>
      <c r="N2142" t="s">
        <v>6230</v>
      </c>
      <c r="O2142" t="s">
        <v>6492</v>
      </c>
      <c r="P2142" t="s">
        <v>6530</v>
      </c>
      <c r="Q2142" t="s">
        <v>6534</v>
      </c>
      <c r="R2142" t="s">
        <v>6539</v>
      </c>
      <c r="S2142" t="s">
        <v>5357</v>
      </c>
      <c r="U2142" t="s">
        <v>6557</v>
      </c>
      <c r="V2142" t="s">
        <v>6566</v>
      </c>
      <c r="W2142" t="s">
        <v>646</v>
      </c>
      <c r="X2142">
        <v>852.1900000000001</v>
      </c>
      <c r="Y2142" t="s">
        <v>6608</v>
      </c>
      <c r="Z2142" t="s">
        <v>6614</v>
      </c>
      <c r="AA2142" t="s">
        <v>6637</v>
      </c>
      <c r="AB2142" t="s">
        <v>8407</v>
      </c>
      <c r="AD2142" t="s">
        <v>10728</v>
      </c>
      <c r="AE2142">
        <v>10</v>
      </c>
      <c r="AF2142" t="s">
        <v>11005</v>
      </c>
      <c r="AG2142" t="s">
        <v>5406</v>
      </c>
      <c r="AH2142">
        <v>4</v>
      </c>
      <c r="AI2142">
        <v>1</v>
      </c>
      <c r="AJ2142">
        <v>0</v>
      </c>
      <c r="AK2142">
        <v>130.65</v>
      </c>
      <c r="AN2142" t="s">
        <v>11050</v>
      </c>
      <c r="AO2142">
        <v>15756</v>
      </c>
      <c r="AR2142" t="s">
        <v>11212</v>
      </c>
      <c r="AT2142" t="s">
        <v>11405</v>
      </c>
      <c r="AU2142">
        <v>124.5</v>
      </c>
      <c r="AV2142" t="s">
        <v>829</v>
      </c>
      <c r="AW2142" t="s">
        <v>11533</v>
      </c>
      <c r="AX2142" t="s">
        <v>11564</v>
      </c>
    </row>
    <row r="2143" spans="1:50">
      <c r="A2143" s="1">
        <f>HYPERLINK("https://cms.ls-nyc.org/matter/dynamic-profile/view/1845254","17-1845254")</f>
        <v>0</v>
      </c>
      <c r="B2143" t="s">
        <v>177</v>
      </c>
      <c r="C2143" t="s">
        <v>235</v>
      </c>
      <c r="D2143" t="s">
        <v>417</v>
      </c>
      <c r="F2143" t="s">
        <v>1750</v>
      </c>
      <c r="G2143" t="s">
        <v>2715</v>
      </c>
      <c r="H2143" t="s">
        <v>4546</v>
      </c>
      <c r="I2143" t="s">
        <v>4837</v>
      </c>
      <c r="J2143" t="s">
        <v>5320</v>
      </c>
      <c r="K2143">
        <v>11236</v>
      </c>
      <c r="L2143" t="s">
        <v>5355</v>
      </c>
      <c r="M2143" t="s">
        <v>5356</v>
      </c>
      <c r="N2143" t="s">
        <v>6231</v>
      </c>
      <c r="O2143" t="s">
        <v>6491</v>
      </c>
      <c r="P2143" t="s">
        <v>6530</v>
      </c>
      <c r="R2143" t="s">
        <v>6539</v>
      </c>
      <c r="S2143" t="s">
        <v>5357</v>
      </c>
      <c r="U2143" t="s">
        <v>6557</v>
      </c>
      <c r="W2143" t="s">
        <v>419</v>
      </c>
      <c r="X2143">
        <v>1289.69</v>
      </c>
      <c r="Y2143" t="s">
        <v>6605</v>
      </c>
      <c r="Z2143" t="s">
        <v>6615</v>
      </c>
      <c r="AB2143" t="s">
        <v>8408</v>
      </c>
      <c r="AC2143" t="s">
        <v>9060</v>
      </c>
      <c r="AD2143" t="s">
        <v>10729</v>
      </c>
      <c r="AE2143">
        <v>37</v>
      </c>
      <c r="AF2143" t="s">
        <v>11005</v>
      </c>
      <c r="AG2143" t="s">
        <v>11020</v>
      </c>
      <c r="AH2143">
        <v>5</v>
      </c>
      <c r="AI2143">
        <v>1</v>
      </c>
      <c r="AJ2143">
        <v>0</v>
      </c>
      <c r="AK2143">
        <v>130.8</v>
      </c>
      <c r="AL2143" t="s">
        <v>11038</v>
      </c>
      <c r="AN2143" t="s">
        <v>11050</v>
      </c>
      <c r="AO2143">
        <v>15774</v>
      </c>
      <c r="AU2143">
        <v>92.2</v>
      </c>
      <c r="AV2143" t="s">
        <v>679</v>
      </c>
      <c r="AW2143" t="s">
        <v>11489</v>
      </c>
    </row>
    <row r="2144" spans="1:50">
      <c r="A2144" s="1">
        <f>HYPERLINK("https://cms.ls-nyc.org/matter/dynamic-profile/view/0822571","16-0822571")</f>
        <v>0</v>
      </c>
      <c r="B2144" t="s">
        <v>99</v>
      </c>
      <c r="C2144" t="s">
        <v>234</v>
      </c>
      <c r="D2144" t="s">
        <v>627</v>
      </c>
      <c r="E2144" t="s">
        <v>669</v>
      </c>
      <c r="F2144" t="s">
        <v>1961</v>
      </c>
      <c r="G2144" t="s">
        <v>3265</v>
      </c>
      <c r="H2144" t="s">
        <v>4547</v>
      </c>
      <c r="I2144" t="s">
        <v>4770</v>
      </c>
      <c r="J2144" t="s">
        <v>5320</v>
      </c>
      <c r="K2144">
        <v>11207</v>
      </c>
      <c r="L2144" t="s">
        <v>5355</v>
      </c>
      <c r="M2144" t="s">
        <v>5356</v>
      </c>
      <c r="N2144" t="s">
        <v>6232</v>
      </c>
      <c r="O2144" t="s">
        <v>6494</v>
      </c>
      <c r="P2144" t="s">
        <v>6530</v>
      </c>
      <c r="Q2144" t="s">
        <v>6534</v>
      </c>
      <c r="R2144" t="s">
        <v>6539</v>
      </c>
      <c r="S2144" t="s">
        <v>5355</v>
      </c>
      <c r="U2144" t="s">
        <v>6557</v>
      </c>
      <c r="W2144" t="s">
        <v>6595</v>
      </c>
      <c r="X2144">
        <v>650</v>
      </c>
      <c r="Y2144" t="s">
        <v>6605</v>
      </c>
      <c r="Z2144" t="s">
        <v>6623</v>
      </c>
      <c r="AA2144" t="s">
        <v>6640</v>
      </c>
      <c r="AB2144" t="s">
        <v>8409</v>
      </c>
      <c r="AD2144" t="s">
        <v>10730</v>
      </c>
      <c r="AE2144">
        <v>7</v>
      </c>
      <c r="AF2144" t="s">
        <v>11005</v>
      </c>
      <c r="AG2144" t="s">
        <v>5406</v>
      </c>
      <c r="AH2144">
        <v>1</v>
      </c>
      <c r="AI2144">
        <v>1</v>
      </c>
      <c r="AJ2144">
        <v>0</v>
      </c>
      <c r="AK2144">
        <v>131.31</v>
      </c>
      <c r="AN2144" t="s">
        <v>11050</v>
      </c>
      <c r="AO2144">
        <v>15600</v>
      </c>
      <c r="AU2144">
        <v>0.2</v>
      </c>
      <c r="AV2144" t="s">
        <v>669</v>
      </c>
      <c r="AW2144" t="s">
        <v>99</v>
      </c>
    </row>
    <row r="2145" spans="1:49">
      <c r="A2145" s="1">
        <f>HYPERLINK("https://cms.ls-nyc.org/matter/dynamic-profile/view/1867742","18-1867742")</f>
        <v>0</v>
      </c>
      <c r="B2145" t="s">
        <v>133</v>
      </c>
      <c r="C2145" t="s">
        <v>234</v>
      </c>
      <c r="D2145" t="s">
        <v>382</v>
      </c>
      <c r="E2145" t="s">
        <v>541</v>
      </c>
      <c r="F2145" t="s">
        <v>1134</v>
      </c>
      <c r="G2145" t="s">
        <v>2812</v>
      </c>
      <c r="H2145" t="s">
        <v>4091</v>
      </c>
      <c r="I2145" t="s">
        <v>5065</v>
      </c>
      <c r="J2145" t="s">
        <v>5317</v>
      </c>
      <c r="K2145">
        <v>11435</v>
      </c>
      <c r="L2145" t="s">
        <v>5355</v>
      </c>
      <c r="M2145" t="s">
        <v>5356</v>
      </c>
      <c r="N2145" t="s">
        <v>6233</v>
      </c>
      <c r="O2145" t="s">
        <v>6491</v>
      </c>
      <c r="P2145" t="s">
        <v>6530</v>
      </c>
      <c r="Q2145" t="s">
        <v>6534</v>
      </c>
      <c r="R2145" t="s">
        <v>6539</v>
      </c>
      <c r="S2145" t="s">
        <v>5357</v>
      </c>
      <c r="U2145" t="s">
        <v>6557</v>
      </c>
      <c r="W2145" t="s">
        <v>382</v>
      </c>
      <c r="X2145">
        <v>1756.34</v>
      </c>
      <c r="Y2145" t="s">
        <v>6604</v>
      </c>
      <c r="Z2145" t="s">
        <v>6614</v>
      </c>
      <c r="AA2145" t="s">
        <v>6637</v>
      </c>
      <c r="AB2145" t="s">
        <v>7640</v>
      </c>
      <c r="AC2145" t="s">
        <v>8841</v>
      </c>
      <c r="AD2145" t="s">
        <v>10000</v>
      </c>
      <c r="AE2145">
        <v>112</v>
      </c>
      <c r="AF2145" t="s">
        <v>11005</v>
      </c>
      <c r="AG2145" t="s">
        <v>5406</v>
      </c>
      <c r="AH2145">
        <v>5</v>
      </c>
      <c r="AI2145">
        <v>3</v>
      </c>
      <c r="AJ2145">
        <v>0</v>
      </c>
      <c r="AK2145">
        <v>131.6</v>
      </c>
      <c r="AN2145" t="s">
        <v>11050</v>
      </c>
      <c r="AO2145">
        <v>27347</v>
      </c>
      <c r="AU2145">
        <v>8.029999999999999</v>
      </c>
      <c r="AV2145" t="s">
        <v>402</v>
      </c>
      <c r="AW2145" t="s">
        <v>11506</v>
      </c>
    </row>
    <row r="2146" spans="1:49">
      <c r="A2146" s="1">
        <f>HYPERLINK("https://cms.ls-nyc.org/matter/dynamic-profile/view/0831849","17-0831849")</f>
        <v>0</v>
      </c>
      <c r="B2146" t="s">
        <v>90</v>
      </c>
      <c r="C2146" t="s">
        <v>234</v>
      </c>
      <c r="D2146" t="s">
        <v>432</v>
      </c>
      <c r="E2146" t="s">
        <v>398</v>
      </c>
      <c r="F2146" t="s">
        <v>1962</v>
      </c>
      <c r="G2146" t="s">
        <v>2918</v>
      </c>
      <c r="H2146" t="s">
        <v>4361</v>
      </c>
      <c r="I2146" t="s">
        <v>5261</v>
      </c>
      <c r="J2146" t="s">
        <v>5321</v>
      </c>
      <c r="K2146">
        <v>10453</v>
      </c>
      <c r="L2146" t="s">
        <v>5355</v>
      </c>
      <c r="M2146" t="s">
        <v>5356</v>
      </c>
      <c r="N2146" t="s">
        <v>5968</v>
      </c>
      <c r="O2146" t="s">
        <v>6494</v>
      </c>
      <c r="P2146" t="s">
        <v>6530</v>
      </c>
      <c r="Q2146" t="s">
        <v>6532</v>
      </c>
      <c r="R2146" t="s">
        <v>6539</v>
      </c>
      <c r="S2146" t="s">
        <v>5355</v>
      </c>
      <c r="U2146" t="s">
        <v>6557</v>
      </c>
      <c r="W2146" t="s">
        <v>406</v>
      </c>
      <c r="X2146">
        <v>1223.78</v>
      </c>
      <c r="Y2146" t="s">
        <v>6606</v>
      </c>
      <c r="Z2146" t="s">
        <v>6616</v>
      </c>
      <c r="AA2146" t="s">
        <v>6631</v>
      </c>
      <c r="AB2146" t="s">
        <v>8410</v>
      </c>
      <c r="AD2146" t="s">
        <v>10731</v>
      </c>
      <c r="AE2146">
        <v>111</v>
      </c>
      <c r="AF2146" t="s">
        <v>11005</v>
      </c>
      <c r="AG2146" t="s">
        <v>5406</v>
      </c>
      <c r="AH2146">
        <v>20</v>
      </c>
      <c r="AI2146">
        <v>3</v>
      </c>
      <c r="AJ2146">
        <v>0</v>
      </c>
      <c r="AK2146">
        <v>131.66</v>
      </c>
      <c r="AN2146" t="s">
        <v>11049</v>
      </c>
      <c r="AO2146">
        <v>26884</v>
      </c>
      <c r="AU2146">
        <v>0.3</v>
      </c>
      <c r="AV2146" t="s">
        <v>398</v>
      </c>
      <c r="AW2146" t="s">
        <v>11509</v>
      </c>
    </row>
    <row r="2147" spans="1:49">
      <c r="A2147" s="1">
        <f>HYPERLINK("https://cms.ls-nyc.org/matter/dynamic-profile/view/0789143","15-0789143")</f>
        <v>0</v>
      </c>
      <c r="B2147" t="s">
        <v>181</v>
      </c>
      <c r="C2147" t="s">
        <v>234</v>
      </c>
      <c r="D2147" t="s">
        <v>628</v>
      </c>
      <c r="E2147" t="s">
        <v>829</v>
      </c>
      <c r="F2147" t="s">
        <v>1922</v>
      </c>
      <c r="G2147" t="s">
        <v>2821</v>
      </c>
      <c r="H2147" t="s">
        <v>4092</v>
      </c>
      <c r="I2147" t="s">
        <v>4776</v>
      </c>
      <c r="J2147" t="s">
        <v>5317</v>
      </c>
      <c r="K2147">
        <v>11432</v>
      </c>
      <c r="L2147" t="s">
        <v>5355</v>
      </c>
      <c r="M2147" t="s">
        <v>5356</v>
      </c>
      <c r="N2147" t="s">
        <v>6198</v>
      </c>
      <c r="O2147" t="s">
        <v>6492</v>
      </c>
      <c r="P2147" t="s">
        <v>6530</v>
      </c>
      <c r="Q2147" t="s">
        <v>6534</v>
      </c>
      <c r="R2147" t="s">
        <v>6539</v>
      </c>
      <c r="S2147" t="s">
        <v>5357</v>
      </c>
      <c r="T2147" t="s">
        <v>6547</v>
      </c>
      <c r="U2147" t="s">
        <v>6557</v>
      </c>
      <c r="W2147" t="s">
        <v>6578</v>
      </c>
      <c r="X2147">
        <v>1175</v>
      </c>
      <c r="Y2147" t="s">
        <v>6604</v>
      </c>
      <c r="Z2147" t="s">
        <v>6609</v>
      </c>
      <c r="AA2147" t="s">
        <v>6634</v>
      </c>
      <c r="AB2147" t="s">
        <v>7065</v>
      </c>
      <c r="AC2147" t="s">
        <v>5383</v>
      </c>
      <c r="AD2147" t="s">
        <v>10012</v>
      </c>
      <c r="AE2147">
        <v>190</v>
      </c>
      <c r="AF2147" t="s">
        <v>11005</v>
      </c>
      <c r="AG2147" t="s">
        <v>5406</v>
      </c>
      <c r="AH2147">
        <v>5</v>
      </c>
      <c r="AI2147">
        <v>2</v>
      </c>
      <c r="AJ2147">
        <v>0</v>
      </c>
      <c r="AK2147">
        <v>131.83</v>
      </c>
      <c r="AL2147" t="s">
        <v>485</v>
      </c>
      <c r="AN2147" t="s">
        <v>11059</v>
      </c>
      <c r="AO2147">
        <v>21000</v>
      </c>
      <c r="AP2147" t="s">
        <v>11136</v>
      </c>
      <c r="AU2147">
        <v>41.47</v>
      </c>
      <c r="AV2147" t="s">
        <v>685</v>
      </c>
      <c r="AW2147" t="s">
        <v>93</v>
      </c>
    </row>
    <row r="2148" spans="1:49">
      <c r="A2148" s="1">
        <f>HYPERLINK("https://cms.ls-nyc.org/matter/dynamic-profile/view/1863515","18-1863515")</f>
        <v>0</v>
      </c>
      <c r="B2148" t="s">
        <v>195</v>
      </c>
      <c r="C2148" t="s">
        <v>234</v>
      </c>
      <c r="D2148" t="s">
        <v>373</v>
      </c>
      <c r="E2148" t="s">
        <v>756</v>
      </c>
      <c r="F2148" t="s">
        <v>914</v>
      </c>
      <c r="G2148" t="s">
        <v>2197</v>
      </c>
      <c r="H2148" t="s">
        <v>4548</v>
      </c>
      <c r="I2148" t="s">
        <v>4852</v>
      </c>
      <c r="J2148" t="s">
        <v>5323</v>
      </c>
      <c r="K2148">
        <v>10029</v>
      </c>
      <c r="L2148" t="s">
        <v>5355</v>
      </c>
      <c r="M2148" t="s">
        <v>5355</v>
      </c>
      <c r="N2148" t="s">
        <v>6234</v>
      </c>
      <c r="O2148" t="s">
        <v>6492</v>
      </c>
      <c r="P2148" t="s">
        <v>6530</v>
      </c>
      <c r="Q2148" t="s">
        <v>6535</v>
      </c>
      <c r="R2148" t="s">
        <v>6539</v>
      </c>
      <c r="U2148" t="s">
        <v>6557</v>
      </c>
      <c r="W2148" t="s">
        <v>241</v>
      </c>
      <c r="X2148">
        <v>1380.27</v>
      </c>
      <c r="Y2148" t="s">
        <v>6608</v>
      </c>
      <c r="Z2148" t="s">
        <v>6615</v>
      </c>
      <c r="AA2148" t="s">
        <v>6640</v>
      </c>
      <c r="AB2148" t="s">
        <v>8411</v>
      </c>
      <c r="AC2148" t="s">
        <v>9061</v>
      </c>
      <c r="AE2148">
        <v>48</v>
      </c>
      <c r="AF2148" t="s">
        <v>11005</v>
      </c>
      <c r="AG2148" t="s">
        <v>5406</v>
      </c>
      <c r="AH2148">
        <v>20</v>
      </c>
      <c r="AI2148">
        <v>4</v>
      </c>
      <c r="AJ2148">
        <v>2</v>
      </c>
      <c r="AK2148">
        <v>132.13</v>
      </c>
      <c r="AN2148" t="s">
        <v>11049</v>
      </c>
      <c r="AO2148">
        <v>44579</v>
      </c>
      <c r="AU2148">
        <v>75.05</v>
      </c>
      <c r="AV2148" t="s">
        <v>729</v>
      </c>
      <c r="AW2148" t="s">
        <v>11494</v>
      </c>
    </row>
    <row r="2149" spans="1:49">
      <c r="A2149" s="1">
        <f>HYPERLINK("https://cms.ls-nyc.org/matter/dynamic-profile/view/1855223","18-1855223")</f>
        <v>0</v>
      </c>
      <c r="B2149" t="s">
        <v>63</v>
      </c>
      <c r="C2149" t="s">
        <v>234</v>
      </c>
      <c r="D2149" t="s">
        <v>329</v>
      </c>
      <c r="E2149" t="s">
        <v>690</v>
      </c>
      <c r="F2149" t="s">
        <v>1132</v>
      </c>
      <c r="G2149" t="s">
        <v>3266</v>
      </c>
      <c r="H2149" t="s">
        <v>4377</v>
      </c>
      <c r="I2149" t="s">
        <v>4857</v>
      </c>
      <c r="J2149" t="s">
        <v>5322</v>
      </c>
      <c r="K2149">
        <v>10304</v>
      </c>
      <c r="L2149" t="s">
        <v>5355</v>
      </c>
      <c r="M2149" t="s">
        <v>5355</v>
      </c>
      <c r="N2149" t="s">
        <v>6235</v>
      </c>
      <c r="O2149" t="s">
        <v>6492</v>
      </c>
      <c r="P2149" t="s">
        <v>6530</v>
      </c>
      <c r="Q2149" t="s">
        <v>6538</v>
      </c>
      <c r="R2149" t="s">
        <v>6539</v>
      </c>
      <c r="S2149" t="s">
        <v>5357</v>
      </c>
      <c r="U2149" t="s">
        <v>6557</v>
      </c>
      <c r="V2149" t="s">
        <v>6566</v>
      </c>
      <c r="W2149" t="s">
        <v>351</v>
      </c>
      <c r="X2149">
        <v>1440</v>
      </c>
      <c r="Y2149" t="s">
        <v>6607</v>
      </c>
      <c r="Z2149" t="s">
        <v>6613</v>
      </c>
      <c r="AA2149" t="s">
        <v>6637</v>
      </c>
      <c r="AB2149" t="s">
        <v>8412</v>
      </c>
      <c r="AD2149" t="s">
        <v>10732</v>
      </c>
      <c r="AE2149">
        <v>131</v>
      </c>
      <c r="AF2149" t="s">
        <v>11008</v>
      </c>
      <c r="AG2149" t="s">
        <v>11020</v>
      </c>
      <c r="AH2149">
        <v>5</v>
      </c>
      <c r="AI2149">
        <v>2</v>
      </c>
      <c r="AJ2149">
        <v>1</v>
      </c>
      <c r="AK2149">
        <v>132.22</v>
      </c>
      <c r="AN2149" t="s">
        <v>11050</v>
      </c>
      <c r="AO2149">
        <v>27000</v>
      </c>
      <c r="AQ2149" t="s">
        <v>11196</v>
      </c>
      <c r="AR2149" t="s">
        <v>11213</v>
      </c>
      <c r="AS2149" t="s">
        <v>11253</v>
      </c>
      <c r="AT2149" t="s">
        <v>11406</v>
      </c>
      <c r="AU2149">
        <v>61.6</v>
      </c>
      <c r="AV2149" t="s">
        <v>690</v>
      </c>
      <c r="AW2149" t="s">
        <v>11510</v>
      </c>
    </row>
    <row r="2150" spans="1:49">
      <c r="A2150" s="1">
        <f>HYPERLINK("https://cms.ls-nyc.org/matter/dynamic-profile/view/0780213","15-0780213")</f>
        <v>0</v>
      </c>
      <c r="B2150" t="s">
        <v>224</v>
      </c>
      <c r="C2150" t="s">
        <v>235</v>
      </c>
      <c r="D2150" t="s">
        <v>629</v>
      </c>
      <c r="F2150" t="s">
        <v>1258</v>
      </c>
      <c r="G2150" t="s">
        <v>2472</v>
      </c>
      <c r="H2150" t="s">
        <v>4549</v>
      </c>
      <c r="I2150" t="s">
        <v>5056</v>
      </c>
      <c r="J2150" t="s">
        <v>5320</v>
      </c>
      <c r="K2150">
        <v>11215</v>
      </c>
      <c r="L2150" t="s">
        <v>5355</v>
      </c>
      <c r="M2150" t="s">
        <v>5356</v>
      </c>
      <c r="N2150" t="s">
        <v>6236</v>
      </c>
      <c r="O2150" t="s">
        <v>6491</v>
      </c>
      <c r="P2150" t="s">
        <v>6530</v>
      </c>
      <c r="R2150" t="s">
        <v>6539</v>
      </c>
      <c r="T2150" t="s">
        <v>6544</v>
      </c>
      <c r="U2150" t="s">
        <v>6557</v>
      </c>
      <c r="W2150" t="s">
        <v>262</v>
      </c>
      <c r="X2150">
        <v>214</v>
      </c>
      <c r="Y2150" t="s">
        <v>6605</v>
      </c>
      <c r="AB2150" t="s">
        <v>8413</v>
      </c>
      <c r="AD2150" t="s">
        <v>10733</v>
      </c>
      <c r="AE2150">
        <v>8</v>
      </c>
      <c r="AF2150" t="s">
        <v>11005</v>
      </c>
      <c r="AH2150">
        <v>31</v>
      </c>
      <c r="AI2150">
        <v>1</v>
      </c>
      <c r="AJ2150">
        <v>0</v>
      </c>
      <c r="AK2150">
        <v>132.54</v>
      </c>
      <c r="AN2150" t="s">
        <v>11050</v>
      </c>
      <c r="AO2150">
        <v>15600</v>
      </c>
      <c r="AU2150">
        <v>121.9</v>
      </c>
      <c r="AV2150" t="s">
        <v>11451</v>
      </c>
      <c r="AW2150" t="s">
        <v>11490</v>
      </c>
    </row>
    <row r="2151" spans="1:49">
      <c r="A2151" s="1">
        <f>HYPERLINK("https://cms.ls-nyc.org/matter/dynamic-profile/view/1856576","18-1856576")</f>
        <v>0</v>
      </c>
      <c r="B2151" t="s">
        <v>52</v>
      </c>
      <c r="C2151" t="s">
        <v>235</v>
      </c>
      <c r="D2151" t="s">
        <v>458</v>
      </c>
      <c r="F2151" t="s">
        <v>1238</v>
      </c>
      <c r="G2151" t="s">
        <v>2451</v>
      </c>
      <c r="H2151" t="s">
        <v>4550</v>
      </c>
      <c r="I2151" t="s">
        <v>4746</v>
      </c>
      <c r="J2151" t="s">
        <v>5329</v>
      </c>
      <c r="K2151">
        <v>11365</v>
      </c>
      <c r="L2151" t="s">
        <v>5355</v>
      </c>
      <c r="M2151" t="s">
        <v>5356</v>
      </c>
      <c r="N2151" t="s">
        <v>6237</v>
      </c>
      <c r="O2151" t="s">
        <v>6491</v>
      </c>
      <c r="P2151" t="s">
        <v>6530</v>
      </c>
      <c r="R2151" t="s">
        <v>6539</v>
      </c>
      <c r="S2151" t="s">
        <v>5357</v>
      </c>
      <c r="U2151" t="s">
        <v>6557</v>
      </c>
      <c r="W2151" t="s">
        <v>458</v>
      </c>
      <c r="X2151">
        <v>1115.18</v>
      </c>
      <c r="Y2151" t="s">
        <v>6604</v>
      </c>
      <c r="Z2151" t="s">
        <v>6615</v>
      </c>
      <c r="AB2151" t="s">
        <v>8414</v>
      </c>
      <c r="AC2151" t="s">
        <v>5392</v>
      </c>
      <c r="AD2151" t="s">
        <v>10734</v>
      </c>
      <c r="AE2151">
        <v>251</v>
      </c>
      <c r="AF2151" t="s">
        <v>11005</v>
      </c>
      <c r="AG2151" t="s">
        <v>11024</v>
      </c>
      <c r="AH2151">
        <v>28</v>
      </c>
      <c r="AI2151">
        <v>2</v>
      </c>
      <c r="AJ2151">
        <v>0</v>
      </c>
      <c r="AK2151">
        <v>132.64</v>
      </c>
      <c r="AN2151" t="s">
        <v>11049</v>
      </c>
      <c r="AO2151">
        <v>21540</v>
      </c>
      <c r="AU2151">
        <v>104.16</v>
      </c>
      <c r="AV2151" t="s">
        <v>727</v>
      </c>
      <c r="AW2151" t="s">
        <v>52</v>
      </c>
    </row>
    <row r="2152" spans="1:49">
      <c r="A2152" s="1">
        <f>HYPERLINK("https://cms.ls-nyc.org/matter/dynamic-profile/view/1840240","17-1840240")</f>
        <v>0</v>
      </c>
      <c r="B2152" t="s">
        <v>92</v>
      </c>
      <c r="C2152" t="s">
        <v>234</v>
      </c>
      <c r="D2152" t="s">
        <v>405</v>
      </c>
      <c r="E2152" t="s">
        <v>449</v>
      </c>
      <c r="F2152" t="s">
        <v>1414</v>
      </c>
      <c r="G2152" t="s">
        <v>2686</v>
      </c>
      <c r="H2152" t="s">
        <v>3994</v>
      </c>
      <c r="I2152" t="s">
        <v>4752</v>
      </c>
      <c r="J2152" t="s">
        <v>5323</v>
      </c>
      <c r="K2152">
        <v>10040</v>
      </c>
      <c r="L2152" t="s">
        <v>5355</v>
      </c>
      <c r="M2152" t="s">
        <v>5355</v>
      </c>
      <c r="N2152" t="s">
        <v>6238</v>
      </c>
      <c r="O2152" t="s">
        <v>6492</v>
      </c>
      <c r="P2152" t="s">
        <v>6530</v>
      </c>
      <c r="Q2152" t="s">
        <v>6534</v>
      </c>
      <c r="R2152" t="s">
        <v>6539</v>
      </c>
      <c r="S2152" t="s">
        <v>5357</v>
      </c>
      <c r="U2152" t="s">
        <v>6557</v>
      </c>
      <c r="V2152" t="s">
        <v>6566</v>
      </c>
      <c r="W2152" t="s">
        <v>460</v>
      </c>
      <c r="X2152">
        <v>1165.99</v>
      </c>
      <c r="Y2152" t="s">
        <v>6608</v>
      </c>
      <c r="Z2152" t="s">
        <v>6616</v>
      </c>
      <c r="AA2152" t="s">
        <v>6637</v>
      </c>
      <c r="AB2152" t="s">
        <v>7444</v>
      </c>
      <c r="AD2152" t="s">
        <v>9815</v>
      </c>
      <c r="AE2152">
        <v>42</v>
      </c>
      <c r="AF2152" t="s">
        <v>11005</v>
      </c>
      <c r="AG2152" t="s">
        <v>5406</v>
      </c>
      <c r="AH2152">
        <v>29</v>
      </c>
      <c r="AI2152">
        <v>1</v>
      </c>
      <c r="AJ2152">
        <v>0</v>
      </c>
      <c r="AK2152">
        <v>132.64</v>
      </c>
      <c r="AL2152" t="s">
        <v>301</v>
      </c>
      <c r="AN2152" t="s">
        <v>11050</v>
      </c>
      <c r="AO2152">
        <v>15996</v>
      </c>
      <c r="AU2152">
        <v>8.25</v>
      </c>
      <c r="AV2152" t="s">
        <v>267</v>
      </c>
      <c r="AW2152" t="s">
        <v>11495</v>
      </c>
    </row>
    <row r="2153" spans="1:49">
      <c r="A2153" s="1">
        <f>HYPERLINK("https://cms.ls-nyc.org/matter/dynamic-profile/view/1840246","17-1840246")</f>
        <v>0</v>
      </c>
      <c r="B2153" t="s">
        <v>92</v>
      </c>
      <c r="C2153" t="s">
        <v>234</v>
      </c>
      <c r="D2153" t="s">
        <v>405</v>
      </c>
      <c r="E2153" t="s">
        <v>449</v>
      </c>
      <c r="F2153" t="s">
        <v>1414</v>
      </c>
      <c r="G2153" t="s">
        <v>2686</v>
      </c>
      <c r="H2153" t="s">
        <v>3994</v>
      </c>
      <c r="I2153" t="s">
        <v>4752</v>
      </c>
      <c r="J2153" t="s">
        <v>5323</v>
      </c>
      <c r="K2153">
        <v>10040</v>
      </c>
      <c r="L2153" t="s">
        <v>5355</v>
      </c>
      <c r="M2153" t="s">
        <v>5356</v>
      </c>
      <c r="N2153" t="s">
        <v>6238</v>
      </c>
      <c r="O2153" t="s">
        <v>6492</v>
      </c>
      <c r="P2153" t="s">
        <v>6530</v>
      </c>
      <c r="Q2153" t="s">
        <v>6532</v>
      </c>
      <c r="R2153" t="s">
        <v>6539</v>
      </c>
      <c r="S2153" t="s">
        <v>5355</v>
      </c>
      <c r="U2153" t="s">
        <v>6557</v>
      </c>
      <c r="V2153" t="s">
        <v>6566</v>
      </c>
      <c r="W2153" t="s">
        <v>262</v>
      </c>
      <c r="X2153">
        <v>1165.99</v>
      </c>
      <c r="Y2153" t="s">
        <v>6608</v>
      </c>
      <c r="Z2153" t="s">
        <v>6616</v>
      </c>
      <c r="AA2153" t="s">
        <v>6636</v>
      </c>
      <c r="AB2153" t="s">
        <v>7444</v>
      </c>
      <c r="AD2153" t="s">
        <v>9815</v>
      </c>
      <c r="AE2153">
        <v>42</v>
      </c>
      <c r="AF2153" t="s">
        <v>11005</v>
      </c>
      <c r="AG2153" t="s">
        <v>5406</v>
      </c>
      <c r="AH2153">
        <v>29</v>
      </c>
      <c r="AI2153">
        <v>1</v>
      </c>
      <c r="AJ2153">
        <v>0</v>
      </c>
      <c r="AK2153">
        <v>132.64</v>
      </c>
      <c r="AL2153" t="s">
        <v>301</v>
      </c>
      <c r="AN2153" t="s">
        <v>11050</v>
      </c>
      <c r="AO2153">
        <v>15996</v>
      </c>
      <c r="AU2153">
        <v>16</v>
      </c>
      <c r="AV2153" t="s">
        <v>337</v>
      </c>
      <c r="AW2153" t="s">
        <v>11495</v>
      </c>
    </row>
    <row r="2154" spans="1:49">
      <c r="A2154" s="1">
        <f>HYPERLINK("https://cms.ls-nyc.org/matter/dynamic-profile/view/1869043","18-1869043")</f>
        <v>0</v>
      </c>
      <c r="B2154" t="s">
        <v>100</v>
      </c>
      <c r="C2154" t="s">
        <v>234</v>
      </c>
      <c r="D2154" t="s">
        <v>345</v>
      </c>
      <c r="E2154" t="s">
        <v>703</v>
      </c>
      <c r="F2154" t="s">
        <v>1963</v>
      </c>
      <c r="G2154" t="s">
        <v>3267</v>
      </c>
      <c r="H2154" t="s">
        <v>4551</v>
      </c>
      <c r="I2154" t="s">
        <v>5103</v>
      </c>
      <c r="J2154" t="s">
        <v>5320</v>
      </c>
      <c r="K2154">
        <v>11212</v>
      </c>
      <c r="L2154" t="s">
        <v>5355</v>
      </c>
      <c r="M2154" t="s">
        <v>5355</v>
      </c>
      <c r="N2154" t="s">
        <v>6239</v>
      </c>
      <c r="O2154" t="s">
        <v>6492</v>
      </c>
      <c r="P2154" t="s">
        <v>6530</v>
      </c>
      <c r="Q2154" t="s">
        <v>6535</v>
      </c>
      <c r="R2154" t="s">
        <v>6539</v>
      </c>
      <c r="S2154" t="s">
        <v>5357</v>
      </c>
      <c r="U2154" t="s">
        <v>6557</v>
      </c>
      <c r="W2154" t="s">
        <v>516</v>
      </c>
      <c r="X2154">
        <v>1169</v>
      </c>
      <c r="Y2154" t="s">
        <v>6605</v>
      </c>
      <c r="Z2154" t="s">
        <v>6611</v>
      </c>
      <c r="AA2154" t="s">
        <v>6637</v>
      </c>
      <c r="AB2154" t="s">
        <v>8415</v>
      </c>
      <c r="AC2154" t="s">
        <v>9062</v>
      </c>
      <c r="AD2154" t="s">
        <v>10735</v>
      </c>
      <c r="AE2154">
        <v>3</v>
      </c>
      <c r="AF2154" t="s">
        <v>11004</v>
      </c>
      <c r="AH2154">
        <v>6</v>
      </c>
      <c r="AI2154">
        <v>2</v>
      </c>
      <c r="AJ2154">
        <v>1</v>
      </c>
      <c r="AK2154">
        <v>132.82</v>
      </c>
      <c r="AN2154" t="s">
        <v>11050</v>
      </c>
      <c r="AO2154">
        <v>27600</v>
      </c>
      <c r="AU2154">
        <v>71.05</v>
      </c>
      <c r="AV2154" t="s">
        <v>517</v>
      </c>
      <c r="AW2154" t="s">
        <v>11517</v>
      </c>
    </row>
    <row r="2155" spans="1:49">
      <c r="A2155" s="1">
        <f>HYPERLINK("https://cms.ls-nyc.org/matter/dynamic-profile/view/1855264","18-1855264")</f>
        <v>0</v>
      </c>
      <c r="B2155" t="s">
        <v>111</v>
      </c>
      <c r="C2155" t="s">
        <v>234</v>
      </c>
      <c r="D2155" t="s">
        <v>351</v>
      </c>
      <c r="E2155" t="s">
        <v>708</v>
      </c>
      <c r="F2155" t="s">
        <v>1964</v>
      </c>
      <c r="G2155" t="s">
        <v>1325</v>
      </c>
      <c r="H2155" t="s">
        <v>3464</v>
      </c>
      <c r="I2155" t="s">
        <v>5262</v>
      </c>
      <c r="J2155" t="s">
        <v>5323</v>
      </c>
      <c r="K2155">
        <v>10029</v>
      </c>
      <c r="L2155" t="s">
        <v>5355</v>
      </c>
      <c r="M2155" t="s">
        <v>5355</v>
      </c>
      <c r="N2155" t="s">
        <v>6240</v>
      </c>
      <c r="O2155" t="s">
        <v>5393</v>
      </c>
      <c r="P2155" t="s">
        <v>6530</v>
      </c>
      <c r="Q2155" t="s">
        <v>6534</v>
      </c>
      <c r="R2155" t="s">
        <v>6539</v>
      </c>
      <c r="S2155" t="s">
        <v>5357</v>
      </c>
      <c r="U2155" t="s">
        <v>6557</v>
      </c>
      <c r="W2155" t="s">
        <v>458</v>
      </c>
      <c r="X2155">
        <v>1800</v>
      </c>
      <c r="Y2155" t="s">
        <v>6608</v>
      </c>
      <c r="Z2155" t="s">
        <v>6609</v>
      </c>
      <c r="AA2155" t="s">
        <v>6637</v>
      </c>
      <c r="AB2155" t="s">
        <v>8416</v>
      </c>
      <c r="AD2155" t="s">
        <v>10736</v>
      </c>
      <c r="AE2155">
        <v>80</v>
      </c>
      <c r="AF2155" t="s">
        <v>11008</v>
      </c>
      <c r="AG2155" t="s">
        <v>11020</v>
      </c>
      <c r="AH2155">
        <v>5</v>
      </c>
      <c r="AI2155">
        <v>2</v>
      </c>
      <c r="AJ2155">
        <v>2</v>
      </c>
      <c r="AK2155">
        <v>132.89</v>
      </c>
      <c r="AN2155" t="s">
        <v>11050</v>
      </c>
      <c r="AO2155">
        <v>32692</v>
      </c>
      <c r="AU2155">
        <v>37.9</v>
      </c>
      <c r="AV2155" t="s">
        <v>672</v>
      </c>
      <c r="AW2155" t="s">
        <v>11504</v>
      </c>
    </row>
    <row r="2156" spans="1:49">
      <c r="A2156" s="1">
        <f>HYPERLINK("https://cms.ls-nyc.org/matter/dynamic-profile/view/1863909","18-1863909")</f>
        <v>0</v>
      </c>
      <c r="B2156" t="s">
        <v>92</v>
      </c>
      <c r="C2156" t="s">
        <v>235</v>
      </c>
      <c r="D2156" t="s">
        <v>425</v>
      </c>
      <c r="F2156" t="s">
        <v>1870</v>
      </c>
      <c r="G2156" t="s">
        <v>2217</v>
      </c>
      <c r="H2156" t="s">
        <v>3579</v>
      </c>
      <c r="I2156">
        <v>709</v>
      </c>
      <c r="J2156" t="s">
        <v>5323</v>
      </c>
      <c r="K2156">
        <v>10029</v>
      </c>
      <c r="L2156" t="s">
        <v>5355</v>
      </c>
      <c r="M2156" t="s">
        <v>5355</v>
      </c>
      <c r="N2156" t="s">
        <v>5632</v>
      </c>
      <c r="O2156" t="s">
        <v>6494</v>
      </c>
      <c r="P2156" t="s">
        <v>6530</v>
      </c>
      <c r="R2156" t="s">
        <v>6539</v>
      </c>
      <c r="S2156" t="s">
        <v>5355</v>
      </c>
      <c r="U2156" t="s">
        <v>6557</v>
      </c>
      <c r="V2156" t="s">
        <v>6566</v>
      </c>
      <c r="W2156" t="s">
        <v>425</v>
      </c>
      <c r="X2156">
        <v>0</v>
      </c>
      <c r="Y2156" t="s">
        <v>6608</v>
      </c>
      <c r="Z2156" t="s">
        <v>6622</v>
      </c>
      <c r="AB2156" t="s">
        <v>8417</v>
      </c>
      <c r="AD2156" t="s">
        <v>10737</v>
      </c>
      <c r="AE2156">
        <v>108</v>
      </c>
      <c r="AF2156" t="s">
        <v>11008</v>
      </c>
      <c r="AG2156" t="s">
        <v>11020</v>
      </c>
      <c r="AH2156">
        <v>32</v>
      </c>
      <c r="AI2156">
        <v>2</v>
      </c>
      <c r="AJ2156">
        <v>0</v>
      </c>
      <c r="AK2156">
        <v>134</v>
      </c>
      <c r="AN2156" t="s">
        <v>11049</v>
      </c>
      <c r="AO2156">
        <v>22056</v>
      </c>
      <c r="AU2156">
        <v>0.85</v>
      </c>
      <c r="AV2156" t="s">
        <v>11438</v>
      </c>
      <c r="AW2156" t="s">
        <v>11497</v>
      </c>
    </row>
    <row r="2157" spans="1:49">
      <c r="A2157" s="1">
        <f>HYPERLINK("https://cms.ls-nyc.org/matter/dynamic-profile/view/1867388","18-1867388")</f>
        <v>0</v>
      </c>
      <c r="B2157" t="s">
        <v>134</v>
      </c>
      <c r="C2157" t="s">
        <v>235</v>
      </c>
      <c r="D2157" t="s">
        <v>320</v>
      </c>
      <c r="F2157" t="s">
        <v>957</v>
      </c>
      <c r="G2157" t="s">
        <v>2353</v>
      </c>
      <c r="H2157" t="s">
        <v>4552</v>
      </c>
      <c r="I2157">
        <v>1</v>
      </c>
      <c r="J2157" t="s">
        <v>5326</v>
      </c>
      <c r="K2157">
        <v>11691</v>
      </c>
      <c r="L2157" t="s">
        <v>5355</v>
      </c>
      <c r="M2157" t="s">
        <v>5356</v>
      </c>
      <c r="N2157" t="s">
        <v>6241</v>
      </c>
      <c r="O2157" t="s">
        <v>6491</v>
      </c>
      <c r="P2157" t="s">
        <v>6530</v>
      </c>
      <c r="R2157" t="s">
        <v>6539</v>
      </c>
      <c r="S2157" t="s">
        <v>5357</v>
      </c>
      <c r="U2157" t="s">
        <v>6557</v>
      </c>
      <c r="W2157" t="s">
        <v>320</v>
      </c>
      <c r="X2157">
        <v>1300</v>
      </c>
      <c r="Y2157" t="s">
        <v>6604</v>
      </c>
      <c r="Z2157" t="s">
        <v>6623</v>
      </c>
      <c r="AB2157" t="s">
        <v>8418</v>
      </c>
      <c r="AC2157" t="s">
        <v>5383</v>
      </c>
      <c r="AD2157" t="s">
        <v>10738</v>
      </c>
      <c r="AE2157">
        <v>1</v>
      </c>
      <c r="AF2157" t="s">
        <v>11004</v>
      </c>
      <c r="AG2157" t="s">
        <v>11020</v>
      </c>
      <c r="AH2157">
        <v>4</v>
      </c>
      <c r="AI2157">
        <v>1</v>
      </c>
      <c r="AJ2157">
        <v>0</v>
      </c>
      <c r="AK2157">
        <v>134.07</v>
      </c>
      <c r="AN2157" t="s">
        <v>11050</v>
      </c>
      <c r="AO2157">
        <v>16276</v>
      </c>
      <c r="AU2157">
        <v>11.8</v>
      </c>
      <c r="AV2157" t="s">
        <v>732</v>
      </c>
      <c r="AW2157" t="s">
        <v>11506</v>
      </c>
    </row>
    <row r="2158" spans="1:49">
      <c r="A2158" s="1">
        <f>HYPERLINK("https://cms.ls-nyc.org/matter/dynamic-profile/view/1869858","18-1869858")</f>
        <v>0</v>
      </c>
      <c r="B2158" t="s">
        <v>65</v>
      </c>
      <c r="C2158" t="s">
        <v>235</v>
      </c>
      <c r="D2158" t="s">
        <v>313</v>
      </c>
      <c r="F2158" t="s">
        <v>1019</v>
      </c>
      <c r="G2158" t="s">
        <v>2101</v>
      </c>
      <c r="H2158" t="s">
        <v>3920</v>
      </c>
      <c r="I2158">
        <v>25</v>
      </c>
      <c r="J2158" t="s">
        <v>5323</v>
      </c>
      <c r="K2158">
        <v>10034</v>
      </c>
      <c r="L2158" t="s">
        <v>5355</v>
      </c>
      <c r="M2158" t="s">
        <v>5356</v>
      </c>
      <c r="O2158" t="s">
        <v>6499</v>
      </c>
      <c r="P2158" t="s">
        <v>6530</v>
      </c>
      <c r="R2158" t="s">
        <v>6539</v>
      </c>
      <c r="S2158" t="s">
        <v>5357</v>
      </c>
      <c r="U2158" t="s">
        <v>6557</v>
      </c>
      <c r="W2158" t="s">
        <v>313</v>
      </c>
      <c r="X2158">
        <v>906.26</v>
      </c>
      <c r="Y2158" t="s">
        <v>6608</v>
      </c>
      <c r="Z2158" t="s">
        <v>6616</v>
      </c>
      <c r="AB2158" t="s">
        <v>8419</v>
      </c>
      <c r="AE2158">
        <v>0</v>
      </c>
      <c r="AF2158" t="s">
        <v>11005</v>
      </c>
      <c r="AG2158" t="s">
        <v>5406</v>
      </c>
      <c r="AH2158">
        <v>20</v>
      </c>
      <c r="AI2158">
        <v>2</v>
      </c>
      <c r="AJ2158">
        <v>0</v>
      </c>
      <c r="AK2158">
        <v>134.26</v>
      </c>
      <c r="AN2158" t="s">
        <v>11050</v>
      </c>
      <c r="AO2158">
        <v>22100</v>
      </c>
      <c r="AU2158">
        <v>34.3</v>
      </c>
      <c r="AV2158" t="s">
        <v>541</v>
      </c>
      <c r="AW2158" t="s">
        <v>11495</v>
      </c>
    </row>
    <row r="2159" spans="1:49">
      <c r="A2159" s="1">
        <f>HYPERLINK("https://cms.ls-nyc.org/matter/dynamic-profile/view/1864440","18-1864440")</f>
        <v>0</v>
      </c>
      <c r="B2159" t="s">
        <v>92</v>
      </c>
      <c r="C2159" t="s">
        <v>235</v>
      </c>
      <c r="D2159" t="s">
        <v>256</v>
      </c>
      <c r="F2159" t="s">
        <v>1876</v>
      </c>
      <c r="G2159" t="s">
        <v>2480</v>
      </c>
      <c r="H2159" t="s">
        <v>3579</v>
      </c>
      <c r="I2159">
        <v>412</v>
      </c>
      <c r="J2159" t="s">
        <v>5323</v>
      </c>
      <c r="K2159">
        <v>10029</v>
      </c>
      <c r="L2159" t="s">
        <v>5355</v>
      </c>
      <c r="M2159" t="s">
        <v>5355</v>
      </c>
      <c r="N2159" t="s">
        <v>5936</v>
      </c>
      <c r="O2159" t="s">
        <v>6494</v>
      </c>
      <c r="P2159" t="s">
        <v>6530</v>
      </c>
      <c r="R2159" t="s">
        <v>6539</v>
      </c>
      <c r="S2159" t="s">
        <v>5355</v>
      </c>
      <c r="U2159" t="s">
        <v>6557</v>
      </c>
      <c r="V2159" t="s">
        <v>6566</v>
      </c>
      <c r="W2159" t="s">
        <v>256</v>
      </c>
      <c r="X2159">
        <v>0</v>
      </c>
      <c r="Y2159" t="s">
        <v>6608</v>
      </c>
      <c r="Z2159" t="s">
        <v>6622</v>
      </c>
      <c r="AB2159" t="s">
        <v>8420</v>
      </c>
      <c r="AE2159">
        <v>108</v>
      </c>
      <c r="AF2159" t="s">
        <v>11008</v>
      </c>
      <c r="AG2159" t="s">
        <v>11020</v>
      </c>
      <c r="AH2159">
        <v>4</v>
      </c>
      <c r="AI2159">
        <v>2</v>
      </c>
      <c r="AJ2159">
        <v>0</v>
      </c>
      <c r="AK2159">
        <v>134.26</v>
      </c>
      <c r="AN2159" t="s">
        <v>11050</v>
      </c>
      <c r="AO2159">
        <v>22100</v>
      </c>
      <c r="AU2159">
        <v>0</v>
      </c>
      <c r="AW2159" t="s">
        <v>11497</v>
      </c>
    </row>
    <row r="2160" spans="1:49">
      <c r="A2160" s="1">
        <f>HYPERLINK("https://cms.ls-nyc.org/matter/dynamic-profile/view/1853679","17-1853679")</f>
        <v>0</v>
      </c>
      <c r="B2160" t="s">
        <v>162</v>
      </c>
      <c r="C2160" t="s">
        <v>234</v>
      </c>
      <c r="D2160" t="s">
        <v>509</v>
      </c>
      <c r="E2160" t="s">
        <v>756</v>
      </c>
      <c r="F2160" t="s">
        <v>1965</v>
      </c>
      <c r="G2160" t="s">
        <v>2406</v>
      </c>
      <c r="H2160" t="s">
        <v>4553</v>
      </c>
      <c r="I2160" t="s">
        <v>4817</v>
      </c>
      <c r="J2160" t="s">
        <v>5321</v>
      </c>
      <c r="K2160">
        <v>10452</v>
      </c>
      <c r="L2160" t="s">
        <v>5355</v>
      </c>
      <c r="M2160" t="s">
        <v>5355</v>
      </c>
      <c r="N2160" t="s">
        <v>6242</v>
      </c>
      <c r="O2160" t="s">
        <v>6491</v>
      </c>
      <c r="P2160" t="s">
        <v>6530</v>
      </c>
      <c r="Q2160" t="s">
        <v>6534</v>
      </c>
      <c r="R2160" t="s">
        <v>6539</v>
      </c>
      <c r="S2160" t="s">
        <v>5357</v>
      </c>
      <c r="U2160" t="s">
        <v>6557</v>
      </c>
      <c r="V2160" t="s">
        <v>6570</v>
      </c>
      <c r="W2160" t="s">
        <v>262</v>
      </c>
      <c r="X2160">
        <v>842</v>
      </c>
      <c r="Y2160" t="s">
        <v>6606</v>
      </c>
      <c r="Z2160" t="s">
        <v>6613</v>
      </c>
      <c r="AA2160" t="s">
        <v>6637</v>
      </c>
      <c r="AB2160" t="s">
        <v>8421</v>
      </c>
      <c r="AD2160" t="s">
        <v>10739</v>
      </c>
      <c r="AE2160">
        <v>49</v>
      </c>
      <c r="AF2160" t="s">
        <v>11005</v>
      </c>
      <c r="AG2160" t="s">
        <v>5406</v>
      </c>
      <c r="AH2160">
        <v>20</v>
      </c>
      <c r="AI2160">
        <v>2</v>
      </c>
      <c r="AJ2160">
        <v>0</v>
      </c>
      <c r="AK2160">
        <v>134.48</v>
      </c>
      <c r="AN2160" t="s">
        <v>11049</v>
      </c>
      <c r="AO2160">
        <v>21840</v>
      </c>
      <c r="AQ2160" t="s">
        <v>11194</v>
      </c>
      <c r="AR2160" t="s">
        <v>11210</v>
      </c>
      <c r="AS2160" t="s">
        <v>11253</v>
      </c>
      <c r="AT2160" t="s">
        <v>11407</v>
      </c>
      <c r="AU2160">
        <v>109.35</v>
      </c>
      <c r="AV2160" t="s">
        <v>756</v>
      </c>
      <c r="AW2160" t="s">
        <v>11499</v>
      </c>
    </row>
    <row r="2161" spans="1:49">
      <c r="A2161" s="1">
        <f>HYPERLINK("https://cms.ls-nyc.org/matter/dynamic-profile/view/0804515","16-0804515")</f>
        <v>0</v>
      </c>
      <c r="B2161" t="s">
        <v>225</v>
      </c>
      <c r="C2161" t="s">
        <v>235</v>
      </c>
      <c r="D2161" t="s">
        <v>630</v>
      </c>
      <c r="F2161" t="s">
        <v>1918</v>
      </c>
      <c r="G2161" t="s">
        <v>2453</v>
      </c>
      <c r="H2161" t="s">
        <v>4554</v>
      </c>
      <c r="I2161" t="s">
        <v>5075</v>
      </c>
      <c r="J2161" t="s">
        <v>5317</v>
      </c>
      <c r="K2161">
        <v>11434</v>
      </c>
      <c r="L2161" t="s">
        <v>5355</v>
      </c>
      <c r="M2161" t="s">
        <v>5356</v>
      </c>
      <c r="N2161" t="s">
        <v>6243</v>
      </c>
      <c r="O2161" t="s">
        <v>6492</v>
      </c>
      <c r="P2161" t="s">
        <v>6530</v>
      </c>
      <c r="R2161" t="s">
        <v>6539</v>
      </c>
      <c r="S2161" t="s">
        <v>5357</v>
      </c>
      <c r="T2161" t="s">
        <v>6547</v>
      </c>
      <c r="U2161" t="s">
        <v>6557</v>
      </c>
      <c r="W2161" t="s">
        <v>294</v>
      </c>
      <c r="X2161">
        <v>1148.98</v>
      </c>
      <c r="Y2161" t="s">
        <v>6604</v>
      </c>
      <c r="Z2161" t="s">
        <v>6609</v>
      </c>
      <c r="AB2161" t="s">
        <v>8422</v>
      </c>
      <c r="AC2161" t="s">
        <v>5392</v>
      </c>
      <c r="AD2161" t="s">
        <v>10740</v>
      </c>
      <c r="AE2161">
        <v>100</v>
      </c>
      <c r="AF2161" t="s">
        <v>11010</v>
      </c>
      <c r="AG2161" t="s">
        <v>5406</v>
      </c>
      <c r="AH2161">
        <v>10</v>
      </c>
      <c r="AI2161">
        <v>1</v>
      </c>
      <c r="AJ2161">
        <v>0</v>
      </c>
      <c r="AK2161">
        <v>134.68</v>
      </c>
      <c r="AN2161" t="s">
        <v>11050</v>
      </c>
      <c r="AO2161">
        <v>16000</v>
      </c>
      <c r="AP2161" t="s">
        <v>11136</v>
      </c>
      <c r="AU2161">
        <v>54</v>
      </c>
      <c r="AV2161" t="s">
        <v>11451</v>
      </c>
      <c r="AW2161" t="s">
        <v>127</v>
      </c>
    </row>
    <row r="2162" spans="1:49">
      <c r="A2162" s="1">
        <f>HYPERLINK("https://cms.ls-nyc.org/matter/dynamic-profile/view/1840979","17-1840979")</f>
        <v>0</v>
      </c>
      <c r="B2162" t="s">
        <v>131</v>
      </c>
      <c r="C2162" t="s">
        <v>234</v>
      </c>
      <c r="D2162" t="s">
        <v>473</v>
      </c>
      <c r="E2162" t="s">
        <v>801</v>
      </c>
      <c r="F2162" t="s">
        <v>1966</v>
      </c>
      <c r="G2162" t="s">
        <v>2440</v>
      </c>
      <c r="H2162" t="s">
        <v>4037</v>
      </c>
      <c r="I2162" t="s">
        <v>4880</v>
      </c>
      <c r="J2162" t="s">
        <v>5323</v>
      </c>
      <c r="K2162">
        <v>10034</v>
      </c>
      <c r="L2162" t="s">
        <v>5355</v>
      </c>
      <c r="M2162" t="s">
        <v>5356</v>
      </c>
      <c r="N2162" t="s">
        <v>6244</v>
      </c>
      <c r="O2162" t="s">
        <v>6491</v>
      </c>
      <c r="P2162" t="s">
        <v>6530</v>
      </c>
      <c r="Q2162" t="s">
        <v>6538</v>
      </c>
      <c r="R2162" t="s">
        <v>6539</v>
      </c>
      <c r="S2162" t="s">
        <v>5357</v>
      </c>
      <c r="U2162" t="s">
        <v>6557</v>
      </c>
      <c r="W2162" t="s">
        <v>404</v>
      </c>
      <c r="X2162">
        <v>660</v>
      </c>
      <c r="Y2162" t="s">
        <v>6608</v>
      </c>
      <c r="Z2162" t="s">
        <v>6616</v>
      </c>
      <c r="AA2162" t="s">
        <v>6640</v>
      </c>
      <c r="AB2162" t="s">
        <v>8423</v>
      </c>
      <c r="AD2162" t="s">
        <v>10741</v>
      </c>
      <c r="AE2162">
        <v>228</v>
      </c>
      <c r="AF2162" t="s">
        <v>11005</v>
      </c>
      <c r="AG2162" t="s">
        <v>5406</v>
      </c>
      <c r="AH2162">
        <v>11</v>
      </c>
      <c r="AI2162">
        <v>2</v>
      </c>
      <c r="AJ2162">
        <v>0</v>
      </c>
      <c r="AK2162">
        <v>135.47</v>
      </c>
      <c r="AN2162" t="s">
        <v>11050</v>
      </c>
      <c r="AO2162">
        <v>22000</v>
      </c>
      <c r="AU2162">
        <v>79.84999999999999</v>
      </c>
      <c r="AV2162" t="s">
        <v>801</v>
      </c>
      <c r="AW2162" t="s">
        <v>11495</v>
      </c>
    </row>
    <row r="2163" spans="1:49">
      <c r="A2163" s="1">
        <f>HYPERLINK("https://cms.ls-nyc.org/matter/dynamic-profile/view/1868979","18-1868979")</f>
        <v>0</v>
      </c>
      <c r="B2163" t="s">
        <v>58</v>
      </c>
      <c r="C2163" t="s">
        <v>234</v>
      </c>
      <c r="D2163" t="s">
        <v>345</v>
      </c>
      <c r="E2163" t="s">
        <v>665</v>
      </c>
      <c r="F2163" t="s">
        <v>1082</v>
      </c>
      <c r="G2163" t="s">
        <v>3268</v>
      </c>
      <c r="H2163" t="s">
        <v>3686</v>
      </c>
      <c r="I2163" t="s">
        <v>4862</v>
      </c>
      <c r="J2163" t="s">
        <v>5321</v>
      </c>
      <c r="K2163">
        <v>10453</v>
      </c>
      <c r="L2163" t="s">
        <v>5355</v>
      </c>
      <c r="M2163" t="s">
        <v>5356</v>
      </c>
      <c r="N2163" t="s">
        <v>6245</v>
      </c>
      <c r="O2163" t="s">
        <v>6492</v>
      </c>
      <c r="P2163" t="s">
        <v>6530</v>
      </c>
      <c r="Q2163" t="s">
        <v>6534</v>
      </c>
      <c r="R2163" t="s">
        <v>6539</v>
      </c>
      <c r="S2163" t="s">
        <v>5357</v>
      </c>
      <c r="U2163" t="s">
        <v>6557</v>
      </c>
      <c r="W2163" t="s">
        <v>516</v>
      </c>
      <c r="X2163">
        <v>625</v>
      </c>
      <c r="Y2163" t="s">
        <v>6606</v>
      </c>
      <c r="Z2163" t="s">
        <v>6612</v>
      </c>
      <c r="AA2163" t="s">
        <v>6637</v>
      </c>
      <c r="AB2163" t="s">
        <v>6934</v>
      </c>
      <c r="AD2163" t="s">
        <v>9346</v>
      </c>
      <c r="AE2163">
        <v>48</v>
      </c>
      <c r="AF2163" t="s">
        <v>11012</v>
      </c>
      <c r="AH2163">
        <v>9</v>
      </c>
      <c r="AI2163">
        <v>2</v>
      </c>
      <c r="AJ2163">
        <v>0</v>
      </c>
      <c r="AK2163">
        <v>136.04</v>
      </c>
      <c r="AN2163" t="s">
        <v>11069</v>
      </c>
      <c r="AO2163">
        <v>22392</v>
      </c>
      <c r="AR2163" t="s">
        <v>11211</v>
      </c>
      <c r="AS2163" t="s">
        <v>11253</v>
      </c>
      <c r="AT2163" t="s">
        <v>11408</v>
      </c>
      <c r="AU2163">
        <v>3.5</v>
      </c>
      <c r="AV2163" t="s">
        <v>307</v>
      </c>
      <c r="AW2163" t="s">
        <v>11493</v>
      </c>
    </row>
    <row r="2164" spans="1:49">
      <c r="A2164" s="1">
        <f>HYPERLINK("https://cms.ls-nyc.org/matter/dynamic-profile/view/1869875","18-1869875")</f>
        <v>0</v>
      </c>
      <c r="B2164" t="s">
        <v>133</v>
      </c>
      <c r="C2164" t="s">
        <v>234</v>
      </c>
      <c r="D2164" t="s">
        <v>313</v>
      </c>
      <c r="E2164" t="s">
        <v>675</v>
      </c>
      <c r="F2164" t="s">
        <v>1967</v>
      </c>
      <c r="G2164" t="s">
        <v>3269</v>
      </c>
      <c r="H2164" t="s">
        <v>4555</v>
      </c>
      <c r="I2164" t="s">
        <v>5263</v>
      </c>
      <c r="J2164" t="s">
        <v>5326</v>
      </c>
      <c r="K2164">
        <v>11691</v>
      </c>
      <c r="L2164" t="s">
        <v>5355</v>
      </c>
      <c r="M2164" t="s">
        <v>5355</v>
      </c>
      <c r="N2164" t="s">
        <v>6246</v>
      </c>
      <c r="O2164" t="s">
        <v>6492</v>
      </c>
      <c r="P2164" t="s">
        <v>6530</v>
      </c>
      <c r="Q2164" t="s">
        <v>6534</v>
      </c>
      <c r="R2164" t="s">
        <v>6539</v>
      </c>
      <c r="S2164" t="s">
        <v>5357</v>
      </c>
      <c r="U2164" t="s">
        <v>6557</v>
      </c>
      <c r="V2164" t="s">
        <v>6566</v>
      </c>
      <c r="W2164" t="s">
        <v>313</v>
      </c>
      <c r="X2164">
        <v>1017</v>
      </c>
      <c r="Y2164" t="s">
        <v>6604</v>
      </c>
      <c r="Z2164" t="s">
        <v>6615</v>
      </c>
      <c r="AA2164" t="s">
        <v>6637</v>
      </c>
      <c r="AB2164" t="s">
        <v>8424</v>
      </c>
      <c r="AC2164" t="s">
        <v>9063</v>
      </c>
      <c r="AD2164" t="s">
        <v>10742</v>
      </c>
      <c r="AE2164">
        <v>42</v>
      </c>
      <c r="AF2164" t="s">
        <v>11005</v>
      </c>
      <c r="AG2164" t="s">
        <v>5406</v>
      </c>
      <c r="AH2164">
        <v>6</v>
      </c>
      <c r="AI2164">
        <v>1</v>
      </c>
      <c r="AJ2164">
        <v>0</v>
      </c>
      <c r="AK2164">
        <v>136.31</v>
      </c>
      <c r="AN2164" t="s">
        <v>11050</v>
      </c>
      <c r="AO2164">
        <v>16548</v>
      </c>
      <c r="AQ2164" t="s">
        <v>11190</v>
      </c>
      <c r="AR2164" t="s">
        <v>11213</v>
      </c>
      <c r="AS2164" t="s">
        <v>11253</v>
      </c>
      <c r="AT2164" t="s">
        <v>11370</v>
      </c>
      <c r="AU2164">
        <v>7</v>
      </c>
      <c r="AV2164" t="s">
        <v>675</v>
      </c>
      <c r="AW2164" t="s">
        <v>93</v>
      </c>
    </row>
    <row r="2165" spans="1:49">
      <c r="A2165" s="1">
        <f>HYPERLINK("https://cms.ls-nyc.org/matter/dynamic-profile/view/1835055","17-1835055")</f>
        <v>0</v>
      </c>
      <c r="B2165" t="s">
        <v>83</v>
      </c>
      <c r="C2165" t="s">
        <v>234</v>
      </c>
      <c r="D2165" t="s">
        <v>631</v>
      </c>
      <c r="E2165" t="s">
        <v>716</v>
      </c>
      <c r="F2165" t="s">
        <v>1069</v>
      </c>
      <c r="G2165" t="s">
        <v>1742</v>
      </c>
      <c r="H2165" t="s">
        <v>4452</v>
      </c>
      <c r="I2165">
        <v>2004</v>
      </c>
      <c r="J2165" t="s">
        <v>5323</v>
      </c>
      <c r="K2165">
        <v>10029</v>
      </c>
      <c r="L2165" t="s">
        <v>5355</v>
      </c>
      <c r="M2165" t="s">
        <v>5355</v>
      </c>
      <c r="N2165" t="s">
        <v>6247</v>
      </c>
      <c r="O2165" t="s">
        <v>6492</v>
      </c>
      <c r="P2165" t="s">
        <v>6530</v>
      </c>
      <c r="Q2165" t="s">
        <v>6532</v>
      </c>
      <c r="R2165" t="s">
        <v>6539</v>
      </c>
      <c r="S2165" t="s">
        <v>5357</v>
      </c>
      <c r="U2165" t="s">
        <v>6557</v>
      </c>
      <c r="V2165" t="s">
        <v>6566</v>
      </c>
      <c r="W2165" t="s">
        <v>6583</v>
      </c>
      <c r="X2165">
        <v>1237</v>
      </c>
      <c r="Y2165" t="s">
        <v>6608</v>
      </c>
      <c r="Z2165" t="s">
        <v>6617</v>
      </c>
      <c r="AA2165" t="s">
        <v>6636</v>
      </c>
      <c r="AB2165" t="s">
        <v>8425</v>
      </c>
      <c r="AD2165" t="s">
        <v>10743</v>
      </c>
      <c r="AE2165">
        <v>426</v>
      </c>
      <c r="AF2165" t="s">
        <v>11010</v>
      </c>
      <c r="AG2165" t="s">
        <v>5406</v>
      </c>
      <c r="AH2165">
        <v>4</v>
      </c>
      <c r="AI2165">
        <v>1</v>
      </c>
      <c r="AJ2165">
        <v>1</v>
      </c>
      <c r="AK2165">
        <v>136.33</v>
      </c>
      <c r="AN2165" t="s">
        <v>11050</v>
      </c>
      <c r="AO2165">
        <v>22140</v>
      </c>
      <c r="AU2165">
        <v>6</v>
      </c>
      <c r="AV2165" t="s">
        <v>450</v>
      </c>
      <c r="AW2165" t="s">
        <v>11497</v>
      </c>
    </row>
    <row r="2166" spans="1:49">
      <c r="A2166" s="1">
        <f>HYPERLINK("https://cms.ls-nyc.org/matter/dynamic-profile/view/0823982","17-0823982")</f>
        <v>0</v>
      </c>
      <c r="B2166" t="s">
        <v>66</v>
      </c>
      <c r="C2166" t="s">
        <v>235</v>
      </c>
      <c r="D2166" t="s">
        <v>632</v>
      </c>
      <c r="F2166" t="s">
        <v>1968</v>
      </c>
      <c r="G2166" t="s">
        <v>2617</v>
      </c>
      <c r="H2166" t="s">
        <v>4556</v>
      </c>
      <c r="I2166" t="s">
        <v>5264</v>
      </c>
      <c r="J2166" t="s">
        <v>5323</v>
      </c>
      <c r="K2166">
        <v>10028</v>
      </c>
      <c r="L2166" t="s">
        <v>5355</v>
      </c>
      <c r="M2166" t="s">
        <v>5356</v>
      </c>
      <c r="O2166" t="s">
        <v>6491</v>
      </c>
      <c r="P2166" t="s">
        <v>6530</v>
      </c>
      <c r="R2166" t="s">
        <v>6539</v>
      </c>
      <c r="S2166" t="s">
        <v>5357</v>
      </c>
      <c r="U2166" t="s">
        <v>6557</v>
      </c>
      <c r="W2166" t="s">
        <v>452</v>
      </c>
      <c r="X2166">
        <v>1850</v>
      </c>
      <c r="Y2166" t="s">
        <v>6608</v>
      </c>
      <c r="Z2166" t="s">
        <v>6616</v>
      </c>
      <c r="AB2166" t="s">
        <v>8426</v>
      </c>
      <c r="AD2166" t="s">
        <v>10744</v>
      </c>
      <c r="AE2166">
        <v>0</v>
      </c>
      <c r="AF2166" t="s">
        <v>11005</v>
      </c>
      <c r="AG2166" t="s">
        <v>5406</v>
      </c>
      <c r="AH2166">
        <v>27</v>
      </c>
      <c r="AI2166">
        <v>1</v>
      </c>
      <c r="AJ2166">
        <v>0</v>
      </c>
      <c r="AK2166">
        <v>136.46</v>
      </c>
      <c r="AN2166" t="s">
        <v>11050</v>
      </c>
      <c r="AO2166">
        <v>16212</v>
      </c>
      <c r="AU2166">
        <v>54.9</v>
      </c>
      <c r="AV2166" t="s">
        <v>791</v>
      </c>
      <c r="AW2166" t="s">
        <v>11546</v>
      </c>
    </row>
    <row r="2167" spans="1:49">
      <c r="A2167" s="1">
        <f>HYPERLINK("https://cms.ls-nyc.org/matter/dynamic-profile/view/1855152","18-1855152")</f>
        <v>0</v>
      </c>
      <c r="B2167" t="s">
        <v>97</v>
      </c>
      <c r="C2167" t="s">
        <v>235</v>
      </c>
      <c r="D2167" t="s">
        <v>269</v>
      </c>
      <c r="F2167" t="s">
        <v>1332</v>
      </c>
      <c r="G2167" t="s">
        <v>3270</v>
      </c>
      <c r="H2167" t="s">
        <v>3695</v>
      </c>
      <c r="I2167" t="s">
        <v>4907</v>
      </c>
      <c r="J2167" t="s">
        <v>5323</v>
      </c>
      <c r="K2167">
        <v>10034</v>
      </c>
      <c r="L2167" t="s">
        <v>5355</v>
      </c>
      <c r="M2167" t="s">
        <v>5356</v>
      </c>
      <c r="N2167" t="s">
        <v>6248</v>
      </c>
      <c r="O2167" t="s">
        <v>6496</v>
      </c>
      <c r="P2167" t="s">
        <v>6530</v>
      </c>
      <c r="R2167" t="s">
        <v>6539</v>
      </c>
      <c r="S2167" t="s">
        <v>5357</v>
      </c>
      <c r="U2167" t="s">
        <v>6557</v>
      </c>
      <c r="W2167" t="s">
        <v>269</v>
      </c>
      <c r="X2167">
        <v>2300</v>
      </c>
      <c r="Y2167" t="s">
        <v>6608</v>
      </c>
      <c r="Z2167" t="s">
        <v>6614</v>
      </c>
      <c r="AB2167" t="s">
        <v>8427</v>
      </c>
      <c r="AD2167" t="s">
        <v>10745</v>
      </c>
      <c r="AE2167">
        <v>22</v>
      </c>
      <c r="AF2167" t="s">
        <v>11005</v>
      </c>
      <c r="AG2167" t="s">
        <v>11024</v>
      </c>
      <c r="AH2167">
        <v>11</v>
      </c>
      <c r="AI2167">
        <v>1</v>
      </c>
      <c r="AJ2167">
        <v>1</v>
      </c>
      <c r="AK2167">
        <v>136.55</v>
      </c>
      <c r="AN2167" t="s">
        <v>11050</v>
      </c>
      <c r="AO2167">
        <v>22176</v>
      </c>
      <c r="AU2167">
        <v>86.59999999999999</v>
      </c>
      <c r="AV2167" t="s">
        <v>11474</v>
      </c>
      <c r="AW2167" t="s">
        <v>11495</v>
      </c>
    </row>
    <row r="2168" spans="1:49">
      <c r="A2168" s="1">
        <f>HYPERLINK("https://cms.ls-nyc.org/matter/dynamic-profile/view/1866450","18-1866450")</f>
        <v>0</v>
      </c>
      <c r="B2168" t="s">
        <v>189</v>
      </c>
      <c r="C2168" t="s">
        <v>235</v>
      </c>
      <c r="D2168" t="s">
        <v>241</v>
      </c>
      <c r="F2168" t="s">
        <v>1621</v>
      </c>
      <c r="G2168" t="s">
        <v>2919</v>
      </c>
      <c r="H2168" t="s">
        <v>3923</v>
      </c>
      <c r="I2168">
        <v>2027</v>
      </c>
      <c r="J2168" t="s">
        <v>5322</v>
      </c>
      <c r="K2168">
        <v>10304</v>
      </c>
      <c r="L2168" t="s">
        <v>5355</v>
      </c>
      <c r="M2168" t="s">
        <v>5355</v>
      </c>
      <c r="N2168" t="s">
        <v>6249</v>
      </c>
      <c r="O2168" t="s">
        <v>6492</v>
      </c>
      <c r="P2168" t="s">
        <v>6530</v>
      </c>
      <c r="R2168" t="s">
        <v>6539</v>
      </c>
      <c r="S2168" t="s">
        <v>5355</v>
      </c>
      <c r="U2168" t="s">
        <v>6557</v>
      </c>
      <c r="V2168" t="s">
        <v>6566</v>
      </c>
      <c r="W2168" t="s">
        <v>241</v>
      </c>
      <c r="X2168">
        <v>867</v>
      </c>
      <c r="Y2168" t="s">
        <v>6607</v>
      </c>
      <c r="Z2168" t="s">
        <v>6609</v>
      </c>
      <c r="AB2168" t="s">
        <v>7802</v>
      </c>
      <c r="AD2168" t="s">
        <v>10157</v>
      </c>
      <c r="AE2168">
        <v>200</v>
      </c>
      <c r="AF2168" t="s">
        <v>11015</v>
      </c>
      <c r="AG2168" t="s">
        <v>11019</v>
      </c>
      <c r="AH2168">
        <v>2</v>
      </c>
      <c r="AI2168">
        <v>1</v>
      </c>
      <c r="AJ2168">
        <v>0</v>
      </c>
      <c r="AK2168">
        <v>137.07</v>
      </c>
      <c r="AN2168" t="s">
        <v>11050</v>
      </c>
      <c r="AO2168">
        <v>16640</v>
      </c>
      <c r="AU2168">
        <v>45.4</v>
      </c>
      <c r="AV2168" t="s">
        <v>702</v>
      </c>
      <c r="AW2168" t="s">
        <v>11510</v>
      </c>
    </row>
    <row r="2169" spans="1:49">
      <c r="A2169" s="1">
        <f>HYPERLINK("https://cms.ls-nyc.org/matter/dynamic-profile/view/1870631","18-1870631")</f>
        <v>0</v>
      </c>
      <c r="B2169" t="s">
        <v>92</v>
      </c>
      <c r="C2169" t="s">
        <v>234</v>
      </c>
      <c r="D2169" t="s">
        <v>474</v>
      </c>
      <c r="E2169" t="s">
        <v>680</v>
      </c>
      <c r="F2169" t="s">
        <v>1450</v>
      </c>
      <c r="G2169" t="s">
        <v>3271</v>
      </c>
      <c r="H2169" t="s">
        <v>3587</v>
      </c>
      <c r="I2169">
        <v>510</v>
      </c>
      <c r="J2169" t="s">
        <v>5323</v>
      </c>
      <c r="K2169">
        <v>10035</v>
      </c>
      <c r="L2169" t="s">
        <v>5355</v>
      </c>
      <c r="M2169" t="s">
        <v>5355</v>
      </c>
      <c r="N2169" t="s">
        <v>6250</v>
      </c>
      <c r="O2169" t="s">
        <v>6492</v>
      </c>
      <c r="P2169" t="s">
        <v>6530</v>
      </c>
      <c r="Q2169" t="s">
        <v>6534</v>
      </c>
      <c r="R2169" t="s">
        <v>6539</v>
      </c>
      <c r="S2169" t="s">
        <v>5357</v>
      </c>
      <c r="U2169" t="s">
        <v>6557</v>
      </c>
      <c r="V2169" t="s">
        <v>6567</v>
      </c>
      <c r="W2169" t="s">
        <v>474</v>
      </c>
      <c r="X2169">
        <v>1361</v>
      </c>
      <c r="Y2169" t="s">
        <v>6608</v>
      </c>
      <c r="Z2169" t="s">
        <v>6616</v>
      </c>
      <c r="AA2169" t="s">
        <v>6637</v>
      </c>
      <c r="AB2169" t="s">
        <v>8428</v>
      </c>
      <c r="AD2169" t="s">
        <v>10746</v>
      </c>
      <c r="AE2169">
        <v>87</v>
      </c>
      <c r="AF2169" t="s">
        <v>11005</v>
      </c>
      <c r="AG2169" t="s">
        <v>11020</v>
      </c>
      <c r="AH2169">
        <v>3</v>
      </c>
      <c r="AI2169">
        <v>2</v>
      </c>
      <c r="AJ2169">
        <v>0</v>
      </c>
      <c r="AK2169">
        <v>137.18</v>
      </c>
      <c r="AN2169" t="s">
        <v>11050</v>
      </c>
      <c r="AO2169">
        <v>22580</v>
      </c>
      <c r="AR2169" t="s">
        <v>11213</v>
      </c>
      <c r="AS2169" t="s">
        <v>11253</v>
      </c>
      <c r="AT2169" t="s">
        <v>11300</v>
      </c>
      <c r="AU2169">
        <v>16.15</v>
      </c>
      <c r="AV2169" t="s">
        <v>806</v>
      </c>
      <c r="AW2169" t="s">
        <v>11497</v>
      </c>
    </row>
    <row r="2170" spans="1:49">
      <c r="A2170" s="1">
        <f>HYPERLINK("https://cms.ls-nyc.org/matter/dynamic-profile/view/1853894","17-1853894")</f>
        <v>0</v>
      </c>
      <c r="B2170" t="s">
        <v>202</v>
      </c>
      <c r="C2170" t="s">
        <v>234</v>
      </c>
      <c r="D2170" t="s">
        <v>579</v>
      </c>
      <c r="E2170" t="s">
        <v>541</v>
      </c>
      <c r="F2170" t="s">
        <v>1969</v>
      </c>
      <c r="G2170" t="s">
        <v>2144</v>
      </c>
      <c r="H2170" t="s">
        <v>4557</v>
      </c>
      <c r="I2170" t="s">
        <v>4738</v>
      </c>
      <c r="J2170" t="s">
        <v>5321</v>
      </c>
      <c r="K2170">
        <v>10453</v>
      </c>
      <c r="L2170" t="s">
        <v>5355</v>
      </c>
      <c r="M2170" t="s">
        <v>5356</v>
      </c>
      <c r="N2170" t="s">
        <v>6251</v>
      </c>
      <c r="O2170" t="s">
        <v>6492</v>
      </c>
      <c r="P2170" t="s">
        <v>6530</v>
      </c>
      <c r="Q2170" t="s">
        <v>6534</v>
      </c>
      <c r="R2170" t="s">
        <v>6539</v>
      </c>
      <c r="S2170" t="s">
        <v>5357</v>
      </c>
      <c r="U2170" t="s">
        <v>6557</v>
      </c>
      <c r="W2170" t="s">
        <v>579</v>
      </c>
      <c r="X2170">
        <v>1051</v>
      </c>
      <c r="Y2170" t="s">
        <v>6606</v>
      </c>
      <c r="Z2170" t="s">
        <v>6616</v>
      </c>
      <c r="AA2170" t="s">
        <v>6637</v>
      </c>
      <c r="AB2170" t="s">
        <v>8429</v>
      </c>
      <c r="AD2170" t="s">
        <v>10747</v>
      </c>
      <c r="AE2170">
        <v>46</v>
      </c>
      <c r="AF2170" t="s">
        <v>11005</v>
      </c>
      <c r="AG2170" t="s">
        <v>5406</v>
      </c>
      <c r="AH2170">
        <v>6</v>
      </c>
      <c r="AI2170">
        <v>3</v>
      </c>
      <c r="AJ2170">
        <v>0</v>
      </c>
      <c r="AK2170">
        <v>137.38</v>
      </c>
      <c r="AN2170" t="s">
        <v>11050</v>
      </c>
      <c r="AO2170">
        <v>28054</v>
      </c>
      <c r="AP2170" t="s">
        <v>11075</v>
      </c>
      <c r="AT2170" t="s">
        <v>11324</v>
      </c>
      <c r="AU2170">
        <v>4.9</v>
      </c>
      <c r="AV2170" t="s">
        <v>541</v>
      </c>
      <c r="AW2170" t="s">
        <v>11505</v>
      </c>
    </row>
    <row r="2171" spans="1:49">
      <c r="A2171" s="1">
        <f>HYPERLINK("https://cms.ls-nyc.org/matter/dynamic-profile/view/1840077","17-1840077")</f>
        <v>0</v>
      </c>
      <c r="B2171" t="s">
        <v>92</v>
      </c>
      <c r="C2171" t="s">
        <v>234</v>
      </c>
      <c r="D2171" t="s">
        <v>359</v>
      </c>
      <c r="E2171" t="s">
        <v>676</v>
      </c>
      <c r="F2171" t="s">
        <v>903</v>
      </c>
      <c r="G2171" t="s">
        <v>2779</v>
      </c>
      <c r="H2171" t="s">
        <v>3575</v>
      </c>
      <c r="I2171">
        <v>47</v>
      </c>
      <c r="J2171" t="s">
        <v>5323</v>
      </c>
      <c r="K2171">
        <v>10040</v>
      </c>
      <c r="L2171" t="s">
        <v>5355</v>
      </c>
      <c r="M2171" t="s">
        <v>5356</v>
      </c>
      <c r="N2171" t="s">
        <v>5439</v>
      </c>
      <c r="O2171" t="s">
        <v>6494</v>
      </c>
      <c r="P2171" t="s">
        <v>6530</v>
      </c>
      <c r="Q2171" t="s">
        <v>6534</v>
      </c>
      <c r="R2171" t="s">
        <v>6539</v>
      </c>
      <c r="S2171" t="s">
        <v>5355</v>
      </c>
      <c r="U2171" t="s">
        <v>6557</v>
      </c>
      <c r="W2171" t="s">
        <v>262</v>
      </c>
      <c r="X2171">
        <v>1303.4</v>
      </c>
      <c r="Y2171" t="s">
        <v>6608</v>
      </c>
      <c r="Z2171" t="s">
        <v>6622</v>
      </c>
      <c r="AA2171" t="s">
        <v>6634</v>
      </c>
      <c r="AB2171" t="s">
        <v>8430</v>
      </c>
      <c r="AD2171" t="s">
        <v>10748</v>
      </c>
      <c r="AE2171">
        <v>45</v>
      </c>
      <c r="AF2171" t="s">
        <v>11005</v>
      </c>
      <c r="AG2171" t="s">
        <v>5406</v>
      </c>
      <c r="AH2171">
        <v>25</v>
      </c>
      <c r="AI2171">
        <v>4</v>
      </c>
      <c r="AJ2171">
        <v>1</v>
      </c>
      <c r="AK2171">
        <v>137.6</v>
      </c>
      <c r="AL2171" t="s">
        <v>301</v>
      </c>
      <c r="AN2171" t="s">
        <v>11049</v>
      </c>
      <c r="AO2171">
        <v>39600</v>
      </c>
      <c r="AQ2171" t="s">
        <v>11190</v>
      </c>
      <c r="AR2171" t="s">
        <v>11206</v>
      </c>
      <c r="AS2171" t="s">
        <v>11253</v>
      </c>
      <c r="AT2171" t="s">
        <v>11263</v>
      </c>
      <c r="AU2171">
        <v>14.55</v>
      </c>
      <c r="AV2171" t="s">
        <v>676</v>
      </c>
      <c r="AW2171" t="s">
        <v>11495</v>
      </c>
    </row>
    <row r="2172" spans="1:49">
      <c r="A2172" s="1">
        <f>HYPERLINK("https://cms.ls-nyc.org/matter/dynamic-profile/view/0827277","17-0827277")</f>
        <v>0</v>
      </c>
      <c r="B2172" t="s">
        <v>194</v>
      </c>
      <c r="C2172" t="s">
        <v>234</v>
      </c>
      <c r="D2172" t="s">
        <v>633</v>
      </c>
      <c r="E2172" t="s">
        <v>791</v>
      </c>
      <c r="F2172" t="s">
        <v>1970</v>
      </c>
      <c r="G2172" t="s">
        <v>2832</v>
      </c>
      <c r="H2172" t="s">
        <v>4558</v>
      </c>
      <c r="I2172" t="s">
        <v>4854</v>
      </c>
      <c r="J2172" t="s">
        <v>5320</v>
      </c>
      <c r="K2172">
        <v>11208</v>
      </c>
      <c r="L2172" t="s">
        <v>5355</v>
      </c>
      <c r="M2172" t="s">
        <v>5355</v>
      </c>
      <c r="O2172" t="s">
        <v>6492</v>
      </c>
      <c r="P2172" t="s">
        <v>6530</v>
      </c>
      <c r="Q2172" t="s">
        <v>6534</v>
      </c>
      <c r="R2172" t="s">
        <v>6539</v>
      </c>
      <c r="S2172" t="s">
        <v>5355</v>
      </c>
      <c r="U2172" t="s">
        <v>6557</v>
      </c>
      <c r="W2172" t="s">
        <v>6583</v>
      </c>
      <c r="X2172">
        <v>1101</v>
      </c>
      <c r="Y2172" t="s">
        <v>6605</v>
      </c>
      <c r="Z2172" t="s">
        <v>6620</v>
      </c>
      <c r="AA2172" t="s">
        <v>6637</v>
      </c>
      <c r="AB2172" t="s">
        <v>8431</v>
      </c>
      <c r="AD2172" t="s">
        <v>10749</v>
      </c>
      <c r="AE2172">
        <v>24</v>
      </c>
      <c r="AF2172" t="s">
        <v>11005</v>
      </c>
      <c r="AG2172" t="s">
        <v>11020</v>
      </c>
      <c r="AH2172">
        <v>11</v>
      </c>
      <c r="AI2172">
        <v>1</v>
      </c>
      <c r="AJ2172">
        <v>1</v>
      </c>
      <c r="AK2172">
        <v>137.68</v>
      </c>
      <c r="AN2172" t="s">
        <v>11050</v>
      </c>
      <c r="AO2172">
        <v>22360</v>
      </c>
      <c r="AR2172" t="s">
        <v>11210</v>
      </c>
      <c r="AS2172" t="s">
        <v>11253</v>
      </c>
      <c r="AT2172" t="s">
        <v>11303</v>
      </c>
      <c r="AU2172">
        <v>4.7</v>
      </c>
      <c r="AV2172" t="s">
        <v>268</v>
      </c>
      <c r="AW2172" t="s">
        <v>11512</v>
      </c>
    </row>
    <row r="2173" spans="1:49">
      <c r="A2173" s="1">
        <f>HYPERLINK("https://cms.ls-nyc.org/matter/dynamic-profile/view/1847547","17-1847547")</f>
        <v>0</v>
      </c>
      <c r="B2173" t="s">
        <v>204</v>
      </c>
      <c r="C2173" t="s">
        <v>234</v>
      </c>
      <c r="D2173" t="s">
        <v>340</v>
      </c>
      <c r="E2173" t="s">
        <v>830</v>
      </c>
      <c r="F2173" t="s">
        <v>1750</v>
      </c>
      <c r="G2173" t="s">
        <v>2475</v>
      </c>
      <c r="H2173" t="s">
        <v>4559</v>
      </c>
      <c r="I2173" t="s">
        <v>4925</v>
      </c>
      <c r="J2173" t="s">
        <v>5321</v>
      </c>
      <c r="K2173">
        <v>10452</v>
      </c>
      <c r="L2173" t="s">
        <v>5355</v>
      </c>
      <c r="M2173" t="s">
        <v>5356</v>
      </c>
      <c r="N2173" t="s">
        <v>6252</v>
      </c>
      <c r="O2173" t="s">
        <v>6492</v>
      </c>
      <c r="P2173" t="s">
        <v>6530</v>
      </c>
      <c r="Q2173" t="s">
        <v>6534</v>
      </c>
      <c r="R2173" t="s">
        <v>6539</v>
      </c>
      <c r="U2173" t="s">
        <v>6557</v>
      </c>
      <c r="W2173" t="s">
        <v>372</v>
      </c>
      <c r="X2173">
        <v>534</v>
      </c>
      <c r="Y2173" t="s">
        <v>6606</v>
      </c>
      <c r="AA2173" t="s">
        <v>6637</v>
      </c>
      <c r="AB2173" t="s">
        <v>8432</v>
      </c>
      <c r="AC2173" t="s">
        <v>9064</v>
      </c>
      <c r="AD2173" t="s">
        <v>10750</v>
      </c>
      <c r="AE2173">
        <v>105</v>
      </c>
      <c r="AH2173">
        <v>20</v>
      </c>
      <c r="AI2173">
        <v>1</v>
      </c>
      <c r="AJ2173">
        <v>1</v>
      </c>
      <c r="AK2173">
        <v>138.33</v>
      </c>
      <c r="AO2173">
        <v>22464</v>
      </c>
      <c r="AP2173" t="s">
        <v>11170</v>
      </c>
      <c r="AT2173" t="s">
        <v>11324</v>
      </c>
      <c r="AU2173">
        <v>1.3</v>
      </c>
      <c r="AV2173" t="s">
        <v>830</v>
      </c>
      <c r="AW2173" t="s">
        <v>11499</v>
      </c>
    </row>
    <row r="2174" spans="1:49">
      <c r="A2174" s="1">
        <f>HYPERLINK("https://cms.ls-nyc.org/matter/dynamic-profile/view/1851112","17-1851112")</f>
        <v>0</v>
      </c>
      <c r="B2174" t="s">
        <v>141</v>
      </c>
      <c r="C2174" t="s">
        <v>235</v>
      </c>
      <c r="D2174" t="s">
        <v>367</v>
      </c>
      <c r="F2174" t="s">
        <v>1971</v>
      </c>
      <c r="G2174" t="s">
        <v>2891</v>
      </c>
      <c r="H2174" t="s">
        <v>4560</v>
      </c>
      <c r="I2174" t="s">
        <v>4758</v>
      </c>
      <c r="J2174" t="s">
        <v>5320</v>
      </c>
      <c r="K2174">
        <v>11233</v>
      </c>
      <c r="L2174" t="s">
        <v>5355</v>
      </c>
      <c r="M2174" t="s">
        <v>5356</v>
      </c>
      <c r="N2174" t="s">
        <v>6253</v>
      </c>
      <c r="O2174" t="s">
        <v>6491</v>
      </c>
      <c r="P2174" t="s">
        <v>6530</v>
      </c>
      <c r="R2174" t="s">
        <v>6539</v>
      </c>
      <c r="S2174" t="s">
        <v>5357</v>
      </c>
      <c r="U2174" t="s">
        <v>6557</v>
      </c>
      <c r="W2174" t="s">
        <v>372</v>
      </c>
      <c r="X2174">
        <v>1175</v>
      </c>
      <c r="Y2174" t="s">
        <v>6605</v>
      </c>
      <c r="Z2174" t="s">
        <v>6609</v>
      </c>
      <c r="AB2174" t="s">
        <v>6799</v>
      </c>
      <c r="AC2174" t="s">
        <v>5392</v>
      </c>
      <c r="AD2174" t="s">
        <v>10751</v>
      </c>
      <c r="AE2174">
        <v>6</v>
      </c>
      <c r="AF2174" t="s">
        <v>11005</v>
      </c>
      <c r="AG2174" t="s">
        <v>5406</v>
      </c>
      <c r="AH2174">
        <v>8</v>
      </c>
      <c r="AI2174">
        <v>1</v>
      </c>
      <c r="AJ2174">
        <v>1</v>
      </c>
      <c r="AK2174">
        <v>138.49</v>
      </c>
      <c r="AN2174" t="s">
        <v>11050</v>
      </c>
      <c r="AO2174">
        <v>22490</v>
      </c>
      <c r="AU2174">
        <v>103.25</v>
      </c>
      <c r="AV2174" t="s">
        <v>795</v>
      </c>
      <c r="AW2174" t="s">
        <v>11512</v>
      </c>
    </row>
    <row r="2175" spans="1:49">
      <c r="A2175" s="1">
        <f>HYPERLINK("https://cms.ls-nyc.org/matter/dynamic-profile/view/1846884","17-1846884")</f>
        <v>0</v>
      </c>
      <c r="B2175" t="s">
        <v>52</v>
      </c>
      <c r="C2175" t="s">
        <v>234</v>
      </c>
      <c r="D2175" t="s">
        <v>356</v>
      </c>
      <c r="E2175" t="s">
        <v>767</v>
      </c>
      <c r="F2175" t="s">
        <v>914</v>
      </c>
      <c r="G2175" t="s">
        <v>3272</v>
      </c>
      <c r="H2175" t="s">
        <v>4561</v>
      </c>
      <c r="I2175" t="s">
        <v>4772</v>
      </c>
      <c r="J2175" t="s">
        <v>5324</v>
      </c>
      <c r="K2175">
        <v>11355</v>
      </c>
      <c r="L2175" t="s">
        <v>5355</v>
      </c>
      <c r="M2175" t="s">
        <v>5355</v>
      </c>
      <c r="N2175" t="s">
        <v>6254</v>
      </c>
      <c r="O2175" t="s">
        <v>6492</v>
      </c>
      <c r="P2175" t="s">
        <v>6530</v>
      </c>
      <c r="Q2175" t="s">
        <v>6534</v>
      </c>
      <c r="R2175" t="s">
        <v>6539</v>
      </c>
      <c r="S2175" t="s">
        <v>5357</v>
      </c>
      <c r="U2175" t="s">
        <v>6557</v>
      </c>
      <c r="V2175" t="s">
        <v>6566</v>
      </c>
      <c r="W2175" t="s">
        <v>356</v>
      </c>
      <c r="X2175">
        <v>2300</v>
      </c>
      <c r="Y2175" t="s">
        <v>6604</v>
      </c>
      <c r="Z2175" t="s">
        <v>6615</v>
      </c>
      <c r="AA2175" t="s">
        <v>6633</v>
      </c>
      <c r="AB2175" t="s">
        <v>8433</v>
      </c>
      <c r="AC2175" t="s">
        <v>5392</v>
      </c>
      <c r="AD2175" t="s">
        <v>10752</v>
      </c>
      <c r="AE2175">
        <v>50</v>
      </c>
      <c r="AF2175" t="s">
        <v>11009</v>
      </c>
      <c r="AG2175" t="s">
        <v>5406</v>
      </c>
      <c r="AH2175">
        <v>1</v>
      </c>
      <c r="AI2175">
        <v>2</v>
      </c>
      <c r="AJ2175">
        <v>0</v>
      </c>
      <c r="AK2175">
        <v>138.55</v>
      </c>
      <c r="AL2175" t="s">
        <v>533</v>
      </c>
      <c r="AN2175" t="s">
        <v>11049</v>
      </c>
      <c r="AO2175">
        <v>22500</v>
      </c>
      <c r="AQ2175" t="s">
        <v>11191</v>
      </c>
      <c r="AR2175" t="s">
        <v>11214</v>
      </c>
      <c r="AS2175" t="s">
        <v>11254</v>
      </c>
      <c r="AT2175" t="s">
        <v>11292</v>
      </c>
      <c r="AU2175">
        <v>65.15000000000001</v>
      </c>
      <c r="AV2175" t="s">
        <v>295</v>
      </c>
      <c r="AW2175" t="s">
        <v>93</v>
      </c>
    </row>
    <row r="2176" spans="1:49">
      <c r="A2176" s="1">
        <f>HYPERLINK("https://cms.ls-nyc.org/matter/dynamic-profile/view/1861962","18-1861962")</f>
        <v>0</v>
      </c>
      <c r="B2176" t="s">
        <v>90</v>
      </c>
      <c r="C2176" t="s">
        <v>235</v>
      </c>
      <c r="D2176" t="s">
        <v>358</v>
      </c>
      <c r="F2176" t="s">
        <v>899</v>
      </c>
      <c r="G2176" t="s">
        <v>3273</v>
      </c>
      <c r="H2176" t="s">
        <v>4147</v>
      </c>
      <c r="I2176" t="s">
        <v>4775</v>
      </c>
      <c r="J2176" t="s">
        <v>5321</v>
      </c>
      <c r="K2176">
        <v>10453</v>
      </c>
      <c r="L2176" t="s">
        <v>5355</v>
      </c>
      <c r="M2176" t="s">
        <v>5355</v>
      </c>
      <c r="N2176" t="s">
        <v>5670</v>
      </c>
      <c r="O2176" t="s">
        <v>6494</v>
      </c>
      <c r="P2176" t="s">
        <v>6530</v>
      </c>
      <c r="R2176" t="s">
        <v>6539</v>
      </c>
      <c r="S2176" t="s">
        <v>5355</v>
      </c>
      <c r="U2176" t="s">
        <v>6557</v>
      </c>
      <c r="W2176" t="s">
        <v>480</v>
      </c>
      <c r="X2176">
        <v>1150</v>
      </c>
      <c r="Y2176" t="s">
        <v>6606</v>
      </c>
      <c r="Z2176" t="s">
        <v>6616</v>
      </c>
      <c r="AB2176" t="s">
        <v>8434</v>
      </c>
      <c r="AC2176" t="s">
        <v>9065</v>
      </c>
      <c r="AD2176" t="s">
        <v>10753</v>
      </c>
      <c r="AE2176">
        <v>46</v>
      </c>
      <c r="AF2176" t="s">
        <v>11005</v>
      </c>
      <c r="AG2176" t="s">
        <v>11022</v>
      </c>
      <c r="AH2176">
        <v>7</v>
      </c>
      <c r="AI2176">
        <v>1</v>
      </c>
      <c r="AJ2176">
        <v>3</v>
      </c>
      <c r="AK2176">
        <v>139.44</v>
      </c>
      <c r="AN2176" t="s">
        <v>11050</v>
      </c>
      <c r="AO2176">
        <v>35000</v>
      </c>
      <c r="AU2176">
        <v>1.2</v>
      </c>
      <c r="AV2176" t="s">
        <v>758</v>
      </c>
      <c r="AW2176" t="s">
        <v>59</v>
      </c>
    </row>
    <row r="2177" spans="1:49">
      <c r="A2177" s="1">
        <f>HYPERLINK("https://cms.ls-nyc.org/matter/dynamic-profile/view/1866504","18-1866504")</f>
        <v>0</v>
      </c>
      <c r="B2177" t="s">
        <v>63</v>
      </c>
      <c r="C2177" t="s">
        <v>234</v>
      </c>
      <c r="D2177" t="s">
        <v>355</v>
      </c>
      <c r="E2177" t="s">
        <v>713</v>
      </c>
      <c r="F2177" t="s">
        <v>1123</v>
      </c>
      <c r="G2177" t="s">
        <v>3274</v>
      </c>
      <c r="H2177" t="s">
        <v>4562</v>
      </c>
      <c r="I2177" t="s">
        <v>4891</v>
      </c>
      <c r="J2177" t="s">
        <v>5322</v>
      </c>
      <c r="K2177">
        <v>10301</v>
      </c>
      <c r="L2177" t="s">
        <v>5355</v>
      </c>
      <c r="M2177" t="s">
        <v>5355</v>
      </c>
      <c r="N2177" t="s">
        <v>6255</v>
      </c>
      <c r="O2177" t="s">
        <v>6492</v>
      </c>
      <c r="P2177" t="s">
        <v>6530</v>
      </c>
      <c r="Q2177" t="s">
        <v>6534</v>
      </c>
      <c r="R2177" t="s">
        <v>6539</v>
      </c>
      <c r="S2177" t="s">
        <v>5357</v>
      </c>
      <c r="U2177" t="s">
        <v>6557</v>
      </c>
      <c r="V2177" t="s">
        <v>6566</v>
      </c>
      <c r="W2177" t="s">
        <v>355</v>
      </c>
      <c r="X2177">
        <v>675</v>
      </c>
      <c r="Y2177" t="s">
        <v>6607</v>
      </c>
      <c r="Z2177" t="s">
        <v>6613</v>
      </c>
      <c r="AA2177" t="s">
        <v>6637</v>
      </c>
      <c r="AB2177" t="s">
        <v>8435</v>
      </c>
      <c r="AD2177" t="s">
        <v>10754</v>
      </c>
      <c r="AE2177">
        <v>2</v>
      </c>
      <c r="AF2177" t="s">
        <v>11008</v>
      </c>
      <c r="AG2177" t="s">
        <v>11020</v>
      </c>
      <c r="AH2177">
        <v>20</v>
      </c>
      <c r="AI2177">
        <v>2</v>
      </c>
      <c r="AJ2177">
        <v>1</v>
      </c>
      <c r="AK2177">
        <v>139.56</v>
      </c>
      <c r="AN2177" t="s">
        <v>11050</v>
      </c>
      <c r="AO2177">
        <v>29000</v>
      </c>
      <c r="AQ2177" t="s">
        <v>11193</v>
      </c>
      <c r="AR2177" t="s">
        <v>11213</v>
      </c>
      <c r="AS2177" t="s">
        <v>11253</v>
      </c>
      <c r="AT2177" t="s">
        <v>11266</v>
      </c>
      <c r="AU2177">
        <v>16</v>
      </c>
      <c r="AV2177" t="s">
        <v>713</v>
      </c>
      <c r="AW2177" t="s">
        <v>11510</v>
      </c>
    </row>
    <row r="2178" spans="1:49">
      <c r="A2178" s="1">
        <f>HYPERLINK("https://cms.ls-nyc.org/matter/dynamic-profile/view/1840410","17-1840410")</f>
        <v>0</v>
      </c>
      <c r="B2178" t="s">
        <v>65</v>
      </c>
      <c r="C2178" t="s">
        <v>234</v>
      </c>
      <c r="D2178" t="s">
        <v>387</v>
      </c>
      <c r="E2178" t="s">
        <v>758</v>
      </c>
      <c r="F2178" t="s">
        <v>1972</v>
      </c>
      <c r="G2178" t="s">
        <v>2932</v>
      </c>
      <c r="H2178" t="s">
        <v>3702</v>
      </c>
      <c r="I2178" t="s">
        <v>5265</v>
      </c>
      <c r="J2178" t="s">
        <v>5323</v>
      </c>
      <c r="K2178">
        <v>10033</v>
      </c>
      <c r="L2178" t="s">
        <v>5355</v>
      </c>
      <c r="M2178" t="s">
        <v>5356</v>
      </c>
      <c r="N2178" t="s">
        <v>5871</v>
      </c>
      <c r="O2178" t="s">
        <v>6502</v>
      </c>
      <c r="P2178" t="s">
        <v>6530</v>
      </c>
      <c r="Q2178" t="s">
        <v>6534</v>
      </c>
      <c r="R2178" t="s">
        <v>6539</v>
      </c>
      <c r="S2178" t="s">
        <v>5355</v>
      </c>
      <c r="U2178" t="s">
        <v>6557</v>
      </c>
      <c r="W2178" t="s">
        <v>404</v>
      </c>
      <c r="X2178">
        <v>589</v>
      </c>
      <c r="Y2178" t="s">
        <v>6608</v>
      </c>
      <c r="Z2178" t="s">
        <v>6616</v>
      </c>
      <c r="AA2178" t="s">
        <v>6642</v>
      </c>
      <c r="AB2178" t="s">
        <v>8436</v>
      </c>
      <c r="AE2178">
        <v>33</v>
      </c>
      <c r="AF2178" t="s">
        <v>11005</v>
      </c>
      <c r="AG2178" t="s">
        <v>11024</v>
      </c>
      <c r="AH2178">
        <v>35</v>
      </c>
      <c r="AI2178">
        <v>1</v>
      </c>
      <c r="AJ2178">
        <v>0</v>
      </c>
      <c r="AK2178">
        <v>139.8</v>
      </c>
      <c r="AL2178" t="s">
        <v>11030</v>
      </c>
      <c r="AN2178" t="s">
        <v>11050</v>
      </c>
      <c r="AO2178">
        <v>16860</v>
      </c>
      <c r="AU2178">
        <v>0.3</v>
      </c>
      <c r="AV2178" t="s">
        <v>259</v>
      </c>
      <c r="AW2178" t="s">
        <v>11495</v>
      </c>
    </row>
    <row r="2179" spans="1:49">
      <c r="A2179" s="1">
        <f>HYPERLINK("https://cms.ls-nyc.org/matter/dynamic-profile/view/1868424","18-1868424")</f>
        <v>0</v>
      </c>
      <c r="B2179" t="s">
        <v>189</v>
      </c>
      <c r="C2179" t="s">
        <v>234</v>
      </c>
      <c r="D2179" t="s">
        <v>245</v>
      </c>
      <c r="E2179" t="s">
        <v>813</v>
      </c>
      <c r="F2179" t="s">
        <v>1973</v>
      </c>
      <c r="G2179" t="s">
        <v>3275</v>
      </c>
      <c r="H2179" t="s">
        <v>4563</v>
      </c>
      <c r="I2179" t="s">
        <v>4783</v>
      </c>
      <c r="J2179" t="s">
        <v>5322</v>
      </c>
      <c r="K2179">
        <v>10301</v>
      </c>
      <c r="L2179" t="s">
        <v>5355</v>
      </c>
      <c r="M2179" t="s">
        <v>5356</v>
      </c>
      <c r="N2179" t="s">
        <v>6256</v>
      </c>
      <c r="O2179" t="s">
        <v>6492</v>
      </c>
      <c r="P2179" t="s">
        <v>6530</v>
      </c>
      <c r="Q2179" t="s">
        <v>6534</v>
      </c>
      <c r="R2179" t="s">
        <v>6539</v>
      </c>
      <c r="S2179" t="s">
        <v>5357</v>
      </c>
      <c r="U2179" t="s">
        <v>6557</v>
      </c>
      <c r="V2179" t="s">
        <v>6566</v>
      </c>
      <c r="W2179" t="s">
        <v>245</v>
      </c>
      <c r="X2179">
        <v>1213</v>
      </c>
      <c r="Y2179" t="s">
        <v>6607</v>
      </c>
      <c r="Z2179" t="s">
        <v>6612</v>
      </c>
      <c r="AA2179" t="s">
        <v>6637</v>
      </c>
      <c r="AB2179" t="s">
        <v>8437</v>
      </c>
      <c r="AD2179" t="s">
        <v>10755</v>
      </c>
      <c r="AE2179">
        <v>16</v>
      </c>
      <c r="AF2179" t="s">
        <v>11005</v>
      </c>
      <c r="AG2179" t="s">
        <v>11019</v>
      </c>
      <c r="AH2179">
        <v>2</v>
      </c>
      <c r="AI2179">
        <v>1</v>
      </c>
      <c r="AJ2179">
        <v>0</v>
      </c>
      <c r="AK2179">
        <v>140.03</v>
      </c>
      <c r="AN2179" t="s">
        <v>11050</v>
      </c>
      <c r="AO2179">
        <v>17000</v>
      </c>
      <c r="AU2179">
        <v>10.95</v>
      </c>
      <c r="AV2179" t="s">
        <v>824</v>
      </c>
      <c r="AW2179" t="s">
        <v>140</v>
      </c>
    </row>
    <row r="2180" spans="1:49">
      <c r="A2180" s="1">
        <f>HYPERLINK("https://cms.ls-nyc.org/matter/dynamic-profile/view/1867444","18-1867444")</f>
        <v>0</v>
      </c>
      <c r="B2180" t="s">
        <v>131</v>
      </c>
      <c r="C2180" t="s">
        <v>234</v>
      </c>
      <c r="D2180" t="s">
        <v>320</v>
      </c>
      <c r="E2180" t="s">
        <v>437</v>
      </c>
      <c r="F2180" t="s">
        <v>1265</v>
      </c>
      <c r="G2180" t="s">
        <v>1213</v>
      </c>
      <c r="H2180" t="s">
        <v>3769</v>
      </c>
      <c r="I2180" t="s">
        <v>4928</v>
      </c>
      <c r="J2180" t="s">
        <v>5323</v>
      </c>
      <c r="K2180">
        <v>10034</v>
      </c>
      <c r="L2180" t="s">
        <v>5355</v>
      </c>
      <c r="M2180" t="s">
        <v>5356</v>
      </c>
      <c r="O2180" t="s">
        <v>6492</v>
      </c>
      <c r="P2180" t="s">
        <v>6530</v>
      </c>
      <c r="Q2180" t="s">
        <v>6534</v>
      </c>
      <c r="R2180" t="s">
        <v>6539</v>
      </c>
      <c r="S2180" t="s">
        <v>5357</v>
      </c>
      <c r="U2180" t="s">
        <v>6557</v>
      </c>
      <c r="W2180" t="s">
        <v>320</v>
      </c>
      <c r="X2180">
        <v>947</v>
      </c>
      <c r="Y2180" t="s">
        <v>6608</v>
      </c>
      <c r="Z2180" t="s">
        <v>6614</v>
      </c>
      <c r="AA2180" t="s">
        <v>6637</v>
      </c>
      <c r="AB2180" t="s">
        <v>7189</v>
      </c>
      <c r="AD2180" t="s">
        <v>9576</v>
      </c>
      <c r="AE2180">
        <v>50</v>
      </c>
      <c r="AF2180" t="s">
        <v>11005</v>
      </c>
      <c r="AG2180" t="s">
        <v>5406</v>
      </c>
      <c r="AH2180">
        <v>15</v>
      </c>
      <c r="AI2180">
        <v>1</v>
      </c>
      <c r="AJ2180">
        <v>0</v>
      </c>
      <c r="AK2180">
        <v>140.03</v>
      </c>
      <c r="AN2180" t="s">
        <v>11050</v>
      </c>
      <c r="AO2180">
        <v>17000</v>
      </c>
      <c r="AU2180">
        <v>11.95</v>
      </c>
      <c r="AV2180" t="s">
        <v>454</v>
      </c>
      <c r="AW2180" t="s">
        <v>11495</v>
      </c>
    </row>
    <row r="2181" spans="1:49">
      <c r="A2181" s="1">
        <f>HYPERLINK("https://cms.ls-nyc.org/matter/dynamic-profile/view/1856387","18-1856387")</f>
        <v>0</v>
      </c>
      <c r="B2181" t="s">
        <v>102</v>
      </c>
      <c r="C2181" t="s">
        <v>234</v>
      </c>
      <c r="D2181" t="s">
        <v>261</v>
      </c>
      <c r="E2181" t="s">
        <v>744</v>
      </c>
      <c r="F2181" t="s">
        <v>1035</v>
      </c>
      <c r="G2181" t="s">
        <v>2292</v>
      </c>
      <c r="H2181" t="s">
        <v>3526</v>
      </c>
      <c r="I2181">
        <v>510</v>
      </c>
      <c r="J2181" t="s">
        <v>5321</v>
      </c>
      <c r="K2181">
        <v>10453</v>
      </c>
      <c r="L2181" t="s">
        <v>5355</v>
      </c>
      <c r="M2181" t="s">
        <v>5356</v>
      </c>
      <c r="N2181" t="s">
        <v>5883</v>
      </c>
      <c r="O2181" t="s">
        <v>6494</v>
      </c>
      <c r="P2181" t="s">
        <v>6530</v>
      </c>
      <c r="Q2181" t="s">
        <v>6534</v>
      </c>
      <c r="R2181" t="s">
        <v>6539</v>
      </c>
      <c r="S2181" t="s">
        <v>5355</v>
      </c>
      <c r="U2181" t="s">
        <v>6557</v>
      </c>
      <c r="W2181" t="s">
        <v>247</v>
      </c>
      <c r="X2181">
        <v>1103</v>
      </c>
      <c r="Y2181" t="s">
        <v>6606</v>
      </c>
      <c r="Z2181" t="s">
        <v>6622</v>
      </c>
      <c r="AA2181" t="s">
        <v>6634</v>
      </c>
      <c r="AB2181" t="s">
        <v>6881</v>
      </c>
      <c r="AC2181" t="s">
        <v>9066</v>
      </c>
      <c r="AD2181" t="s">
        <v>9302</v>
      </c>
      <c r="AE2181">
        <v>146</v>
      </c>
      <c r="AF2181" t="s">
        <v>11005</v>
      </c>
      <c r="AG2181" t="s">
        <v>5406</v>
      </c>
      <c r="AH2181">
        <v>10</v>
      </c>
      <c r="AI2181">
        <v>2</v>
      </c>
      <c r="AJ2181">
        <v>1</v>
      </c>
      <c r="AK2181">
        <v>140.06</v>
      </c>
      <c r="AN2181" t="s">
        <v>11049</v>
      </c>
      <c r="AO2181">
        <v>28600</v>
      </c>
      <c r="AU2181">
        <v>2.3</v>
      </c>
      <c r="AV2181" t="s">
        <v>745</v>
      </c>
      <c r="AW2181" t="s">
        <v>11492</v>
      </c>
    </row>
    <row r="2182" spans="1:49">
      <c r="A2182" s="1">
        <f>HYPERLINK("https://cms.ls-nyc.org/matter/dynamic-profile/view/1854786","17-1854786")</f>
        <v>0</v>
      </c>
      <c r="B2182" t="s">
        <v>140</v>
      </c>
      <c r="C2182" t="s">
        <v>234</v>
      </c>
      <c r="D2182" t="s">
        <v>281</v>
      </c>
      <c r="E2182" t="s">
        <v>676</v>
      </c>
      <c r="F2182" t="s">
        <v>1974</v>
      </c>
      <c r="G2182" t="s">
        <v>2270</v>
      </c>
      <c r="H2182" t="s">
        <v>4564</v>
      </c>
      <c r="I2182" t="s">
        <v>5266</v>
      </c>
      <c r="J2182" t="s">
        <v>5322</v>
      </c>
      <c r="K2182">
        <v>10304</v>
      </c>
      <c r="L2182" t="s">
        <v>5355</v>
      </c>
      <c r="M2182" t="s">
        <v>5355</v>
      </c>
      <c r="N2182" t="s">
        <v>6257</v>
      </c>
      <c r="O2182" t="s">
        <v>6492</v>
      </c>
      <c r="P2182" t="s">
        <v>6530</v>
      </c>
      <c r="Q2182" t="s">
        <v>6534</v>
      </c>
      <c r="R2182" t="s">
        <v>6539</v>
      </c>
      <c r="S2182" t="s">
        <v>5357</v>
      </c>
      <c r="U2182" t="s">
        <v>6560</v>
      </c>
      <c r="V2182" t="s">
        <v>6568</v>
      </c>
      <c r="W2182" t="s">
        <v>281</v>
      </c>
      <c r="X2182">
        <v>1300</v>
      </c>
      <c r="Y2182" t="s">
        <v>6607</v>
      </c>
      <c r="Z2182" t="s">
        <v>6622</v>
      </c>
      <c r="AA2182" t="s">
        <v>6651</v>
      </c>
      <c r="AB2182" t="s">
        <v>8438</v>
      </c>
      <c r="AD2182" t="s">
        <v>10756</v>
      </c>
      <c r="AE2182">
        <v>96</v>
      </c>
      <c r="AF2182" t="s">
        <v>11008</v>
      </c>
      <c r="AG2182" t="s">
        <v>11020</v>
      </c>
      <c r="AH2182">
        <v>16</v>
      </c>
      <c r="AI2182">
        <v>2</v>
      </c>
      <c r="AJ2182">
        <v>1</v>
      </c>
      <c r="AK2182">
        <v>140.06</v>
      </c>
      <c r="AN2182" t="s">
        <v>11050</v>
      </c>
      <c r="AO2182">
        <v>28600</v>
      </c>
      <c r="AQ2182" t="s">
        <v>11191</v>
      </c>
      <c r="AR2182" t="s">
        <v>11213</v>
      </c>
      <c r="AS2182" t="s">
        <v>11253</v>
      </c>
      <c r="AT2182" t="s">
        <v>11409</v>
      </c>
      <c r="AU2182">
        <v>23</v>
      </c>
      <c r="AV2182" t="s">
        <v>676</v>
      </c>
      <c r="AW2182" t="s">
        <v>140</v>
      </c>
    </row>
    <row r="2183" spans="1:49">
      <c r="A2183" s="1">
        <f>HYPERLINK("https://cms.ls-nyc.org/matter/dynamic-profile/view/1863990","18-1863990")</f>
        <v>0</v>
      </c>
      <c r="B2183" t="s">
        <v>92</v>
      </c>
      <c r="C2183" t="s">
        <v>235</v>
      </c>
      <c r="D2183" t="s">
        <v>425</v>
      </c>
      <c r="F2183" t="s">
        <v>914</v>
      </c>
      <c r="G2183" t="s">
        <v>2448</v>
      </c>
      <c r="H2183" t="s">
        <v>3579</v>
      </c>
      <c r="I2183">
        <v>312</v>
      </c>
      <c r="J2183" t="s">
        <v>5323</v>
      </c>
      <c r="K2183">
        <v>10029</v>
      </c>
      <c r="L2183" t="s">
        <v>5355</v>
      </c>
      <c r="M2183" t="s">
        <v>5355</v>
      </c>
      <c r="N2183" t="s">
        <v>5632</v>
      </c>
      <c r="O2183" t="s">
        <v>6494</v>
      </c>
      <c r="P2183" t="s">
        <v>6530</v>
      </c>
      <c r="R2183" t="s">
        <v>6539</v>
      </c>
      <c r="S2183" t="s">
        <v>5355</v>
      </c>
      <c r="U2183" t="s">
        <v>6557</v>
      </c>
      <c r="V2183" t="s">
        <v>6566</v>
      </c>
      <c r="W2183" t="s">
        <v>425</v>
      </c>
      <c r="X2183">
        <v>0</v>
      </c>
      <c r="Y2183" t="s">
        <v>6608</v>
      </c>
      <c r="Z2183" t="s">
        <v>6622</v>
      </c>
      <c r="AB2183" t="s">
        <v>8439</v>
      </c>
      <c r="AD2183" t="s">
        <v>10757</v>
      </c>
      <c r="AE2183">
        <v>108</v>
      </c>
      <c r="AF2183" t="s">
        <v>11008</v>
      </c>
      <c r="AG2183" t="s">
        <v>11020</v>
      </c>
      <c r="AH2183">
        <v>20</v>
      </c>
      <c r="AI2183">
        <v>2</v>
      </c>
      <c r="AJ2183">
        <v>0</v>
      </c>
      <c r="AK2183">
        <v>140.1</v>
      </c>
      <c r="AN2183" t="s">
        <v>11049</v>
      </c>
      <c r="AO2183">
        <v>23060</v>
      </c>
      <c r="AU2183">
        <v>2.1</v>
      </c>
      <c r="AV2183" t="s">
        <v>698</v>
      </c>
      <c r="AW2183" t="s">
        <v>11497</v>
      </c>
    </row>
    <row r="2184" spans="1:49">
      <c r="A2184" s="1">
        <f>HYPERLINK("https://cms.ls-nyc.org/matter/dynamic-profile/view/1847707","17-1847707")</f>
        <v>0</v>
      </c>
      <c r="B2184" t="s">
        <v>177</v>
      </c>
      <c r="C2184" t="s">
        <v>234</v>
      </c>
      <c r="D2184" t="s">
        <v>346</v>
      </c>
      <c r="E2184" t="s">
        <v>622</v>
      </c>
      <c r="F2184" t="s">
        <v>1975</v>
      </c>
      <c r="G2184" t="s">
        <v>3276</v>
      </c>
      <c r="H2184" t="s">
        <v>4565</v>
      </c>
      <c r="I2184" t="s">
        <v>4769</v>
      </c>
      <c r="J2184" t="s">
        <v>5320</v>
      </c>
      <c r="K2184">
        <v>11208</v>
      </c>
      <c r="L2184" t="s">
        <v>5357</v>
      </c>
      <c r="M2184" t="s">
        <v>5356</v>
      </c>
      <c r="N2184" t="s">
        <v>6258</v>
      </c>
      <c r="O2184" t="s">
        <v>6492</v>
      </c>
      <c r="P2184" t="s">
        <v>6530</v>
      </c>
      <c r="Q2184" t="s">
        <v>6534</v>
      </c>
      <c r="R2184" t="s">
        <v>6539</v>
      </c>
      <c r="S2184" t="s">
        <v>5355</v>
      </c>
      <c r="U2184" t="s">
        <v>6557</v>
      </c>
      <c r="W2184" t="s">
        <v>535</v>
      </c>
      <c r="X2184">
        <v>1020</v>
      </c>
      <c r="Y2184" t="s">
        <v>6605</v>
      </c>
      <c r="Z2184" t="s">
        <v>6613</v>
      </c>
      <c r="AA2184" t="s">
        <v>6633</v>
      </c>
      <c r="AB2184" t="s">
        <v>8440</v>
      </c>
      <c r="AD2184" t="s">
        <v>10758</v>
      </c>
      <c r="AE2184">
        <v>107</v>
      </c>
      <c r="AF2184" t="s">
        <v>11010</v>
      </c>
      <c r="AG2184" t="s">
        <v>5406</v>
      </c>
      <c r="AH2184">
        <v>1</v>
      </c>
      <c r="AI2184">
        <v>1</v>
      </c>
      <c r="AJ2184">
        <v>0</v>
      </c>
      <c r="AK2184">
        <v>140.13</v>
      </c>
      <c r="AN2184" t="s">
        <v>11050</v>
      </c>
      <c r="AO2184">
        <v>16900</v>
      </c>
      <c r="AP2184" t="s">
        <v>11171</v>
      </c>
      <c r="AR2184" t="s">
        <v>6493</v>
      </c>
      <c r="AS2184" t="s">
        <v>11252</v>
      </c>
      <c r="AT2184" t="s">
        <v>11404</v>
      </c>
      <c r="AU2184">
        <v>5.15</v>
      </c>
      <c r="AV2184" t="s">
        <v>622</v>
      </c>
      <c r="AW2184" t="s">
        <v>11512</v>
      </c>
    </row>
    <row r="2185" spans="1:49">
      <c r="A2185" s="1">
        <f>HYPERLINK("https://cms.ls-nyc.org/matter/dynamic-profile/view/1837592","17-1837592")</f>
        <v>0</v>
      </c>
      <c r="B2185" t="s">
        <v>131</v>
      </c>
      <c r="C2185" t="s">
        <v>234</v>
      </c>
      <c r="D2185" t="s">
        <v>545</v>
      </c>
      <c r="E2185" t="s">
        <v>454</v>
      </c>
      <c r="F2185" t="s">
        <v>1265</v>
      </c>
      <c r="G2185" t="s">
        <v>1213</v>
      </c>
      <c r="H2185" t="s">
        <v>3769</v>
      </c>
      <c r="I2185" t="s">
        <v>4928</v>
      </c>
      <c r="J2185" t="s">
        <v>5323</v>
      </c>
      <c r="K2185">
        <v>10034</v>
      </c>
      <c r="L2185" t="s">
        <v>5355</v>
      </c>
      <c r="M2185" t="s">
        <v>5356</v>
      </c>
      <c r="N2185" t="s">
        <v>6259</v>
      </c>
      <c r="O2185" t="s">
        <v>6491</v>
      </c>
      <c r="P2185" t="s">
        <v>6530</v>
      </c>
      <c r="Q2185" t="s">
        <v>6538</v>
      </c>
      <c r="R2185" t="s">
        <v>6539</v>
      </c>
      <c r="S2185" t="s">
        <v>5357</v>
      </c>
      <c r="U2185" t="s">
        <v>6557</v>
      </c>
      <c r="W2185" t="s">
        <v>404</v>
      </c>
      <c r="X2185">
        <v>947</v>
      </c>
      <c r="Y2185" t="s">
        <v>6608</v>
      </c>
      <c r="Z2185" t="s">
        <v>6622</v>
      </c>
      <c r="AA2185" t="s">
        <v>6637</v>
      </c>
      <c r="AB2185" t="s">
        <v>7189</v>
      </c>
      <c r="AD2185" t="s">
        <v>9576</v>
      </c>
      <c r="AE2185">
        <v>50</v>
      </c>
      <c r="AF2185" t="s">
        <v>11005</v>
      </c>
      <c r="AG2185" t="s">
        <v>5406</v>
      </c>
      <c r="AH2185">
        <v>15</v>
      </c>
      <c r="AI2185">
        <v>1</v>
      </c>
      <c r="AJ2185">
        <v>0</v>
      </c>
      <c r="AK2185">
        <v>140.96</v>
      </c>
      <c r="AN2185" t="s">
        <v>11050</v>
      </c>
      <c r="AO2185">
        <v>17000</v>
      </c>
      <c r="AU2185">
        <v>61.45</v>
      </c>
      <c r="AV2185" t="s">
        <v>447</v>
      </c>
      <c r="AW2185" t="s">
        <v>11497</v>
      </c>
    </row>
    <row r="2186" spans="1:49">
      <c r="A2186" s="1">
        <f>HYPERLINK("https://cms.ls-nyc.org/matter/dynamic-profile/view/1867669","18-1867669")</f>
        <v>0</v>
      </c>
      <c r="B2186" t="s">
        <v>56</v>
      </c>
      <c r="C2186" t="s">
        <v>235</v>
      </c>
      <c r="D2186" t="s">
        <v>299</v>
      </c>
      <c r="F2186" t="s">
        <v>1941</v>
      </c>
      <c r="G2186" t="s">
        <v>2799</v>
      </c>
      <c r="H2186" t="s">
        <v>4020</v>
      </c>
      <c r="I2186" t="s">
        <v>4796</v>
      </c>
      <c r="J2186" t="s">
        <v>5321</v>
      </c>
      <c r="K2186">
        <v>10458</v>
      </c>
      <c r="L2186" t="s">
        <v>5355</v>
      </c>
      <c r="M2186" t="s">
        <v>5356</v>
      </c>
      <c r="N2186" t="s">
        <v>6260</v>
      </c>
      <c r="O2186" t="s">
        <v>6492</v>
      </c>
      <c r="P2186" t="s">
        <v>6530</v>
      </c>
      <c r="R2186" t="s">
        <v>6539</v>
      </c>
      <c r="S2186" t="s">
        <v>5355</v>
      </c>
      <c r="U2186" t="s">
        <v>6557</v>
      </c>
      <c r="W2186" t="s">
        <v>516</v>
      </c>
      <c r="X2186">
        <v>1600</v>
      </c>
      <c r="Y2186" t="s">
        <v>6606</v>
      </c>
      <c r="Z2186" t="s">
        <v>6614</v>
      </c>
      <c r="AB2186" t="s">
        <v>8375</v>
      </c>
      <c r="AD2186" t="s">
        <v>10697</v>
      </c>
      <c r="AE2186">
        <v>11</v>
      </c>
      <c r="AF2186" t="s">
        <v>11005</v>
      </c>
      <c r="AG2186" t="s">
        <v>5406</v>
      </c>
      <c r="AH2186">
        <v>3</v>
      </c>
      <c r="AI2186">
        <v>3</v>
      </c>
      <c r="AJ2186">
        <v>2</v>
      </c>
      <c r="AK2186">
        <v>141.4</v>
      </c>
      <c r="AN2186" t="s">
        <v>11049</v>
      </c>
      <c r="AO2186">
        <v>41600</v>
      </c>
      <c r="AU2186">
        <v>50.2</v>
      </c>
      <c r="AV2186" t="s">
        <v>11469</v>
      </c>
      <c r="AW2186" t="s">
        <v>11492</v>
      </c>
    </row>
    <row r="2187" spans="1:49">
      <c r="A2187" s="1">
        <f>HYPERLINK("https://cms.ls-nyc.org/matter/dynamic-profile/view/1860896","18-1860896")</f>
        <v>0</v>
      </c>
      <c r="B2187" t="s">
        <v>90</v>
      </c>
      <c r="C2187" t="s">
        <v>235</v>
      </c>
      <c r="D2187" t="s">
        <v>296</v>
      </c>
      <c r="F2187" t="s">
        <v>1130</v>
      </c>
      <c r="G2187" t="s">
        <v>3075</v>
      </c>
      <c r="H2187" t="s">
        <v>4147</v>
      </c>
      <c r="I2187" t="s">
        <v>5267</v>
      </c>
      <c r="J2187" t="s">
        <v>5321</v>
      </c>
      <c r="K2187">
        <v>10453</v>
      </c>
      <c r="L2187" t="s">
        <v>5355</v>
      </c>
      <c r="M2187" t="s">
        <v>5356</v>
      </c>
      <c r="N2187" t="s">
        <v>5670</v>
      </c>
      <c r="O2187" t="s">
        <v>6494</v>
      </c>
      <c r="P2187" t="s">
        <v>6530</v>
      </c>
      <c r="R2187" t="s">
        <v>6539</v>
      </c>
      <c r="S2187" t="s">
        <v>5355</v>
      </c>
      <c r="U2187" t="s">
        <v>6557</v>
      </c>
      <c r="W2187" t="s">
        <v>480</v>
      </c>
      <c r="X2187">
        <v>1418</v>
      </c>
      <c r="Y2187" t="s">
        <v>6606</v>
      </c>
      <c r="Z2187" t="s">
        <v>6616</v>
      </c>
      <c r="AB2187" t="s">
        <v>8441</v>
      </c>
      <c r="AD2187" t="s">
        <v>10759</v>
      </c>
      <c r="AE2187">
        <v>46</v>
      </c>
      <c r="AF2187" t="s">
        <v>11005</v>
      </c>
      <c r="AG2187" t="s">
        <v>5406</v>
      </c>
      <c r="AH2187">
        <v>6</v>
      </c>
      <c r="AI2187">
        <v>2</v>
      </c>
      <c r="AJ2187">
        <v>3</v>
      </c>
      <c r="AK2187">
        <v>141.4</v>
      </c>
      <c r="AN2187" t="s">
        <v>11049</v>
      </c>
      <c r="AO2187">
        <v>91600</v>
      </c>
      <c r="AU2187">
        <v>0.6</v>
      </c>
      <c r="AV2187" t="s">
        <v>296</v>
      </c>
      <c r="AW2187" t="s">
        <v>59</v>
      </c>
    </row>
    <row r="2188" spans="1:49">
      <c r="A2188" s="1">
        <f>HYPERLINK("https://cms.ls-nyc.org/matter/dynamic-profile/view/1859560","18-1859560")</f>
        <v>0</v>
      </c>
      <c r="B2188" t="s">
        <v>106</v>
      </c>
      <c r="C2188" t="s">
        <v>235</v>
      </c>
      <c r="D2188" t="s">
        <v>316</v>
      </c>
      <c r="F2188" t="s">
        <v>1111</v>
      </c>
      <c r="G2188" t="s">
        <v>2188</v>
      </c>
      <c r="H2188" t="s">
        <v>4566</v>
      </c>
      <c r="I2188">
        <v>44</v>
      </c>
      <c r="J2188" t="s">
        <v>5321</v>
      </c>
      <c r="K2188">
        <v>10452</v>
      </c>
      <c r="L2188" t="s">
        <v>5355</v>
      </c>
      <c r="M2188" t="s">
        <v>5356</v>
      </c>
      <c r="N2188" t="s">
        <v>6261</v>
      </c>
      <c r="O2188" t="s">
        <v>6492</v>
      </c>
      <c r="P2188" t="s">
        <v>6530</v>
      </c>
      <c r="R2188" t="s">
        <v>6539</v>
      </c>
      <c r="S2188" t="s">
        <v>5357</v>
      </c>
      <c r="U2188" t="s">
        <v>6557</v>
      </c>
      <c r="W2188" t="s">
        <v>319</v>
      </c>
      <c r="X2188">
        <v>1120</v>
      </c>
      <c r="Y2188" t="s">
        <v>6606</v>
      </c>
      <c r="Z2188" t="s">
        <v>6613</v>
      </c>
      <c r="AB2188" t="s">
        <v>8442</v>
      </c>
      <c r="AC2188" t="s">
        <v>9067</v>
      </c>
      <c r="AD2188" t="s">
        <v>10760</v>
      </c>
      <c r="AE2188">
        <v>64</v>
      </c>
      <c r="AF2188" t="s">
        <v>11005</v>
      </c>
      <c r="AG2188" t="s">
        <v>5406</v>
      </c>
      <c r="AH2188">
        <v>5</v>
      </c>
      <c r="AI2188">
        <v>2</v>
      </c>
      <c r="AJ2188">
        <v>2</v>
      </c>
      <c r="AK2188">
        <v>141.63</v>
      </c>
      <c r="AN2188" t="s">
        <v>11049</v>
      </c>
      <c r="AO2188">
        <v>34840</v>
      </c>
      <c r="AT2188" t="s">
        <v>11324</v>
      </c>
      <c r="AU2188">
        <v>16.61</v>
      </c>
      <c r="AV2188" t="s">
        <v>312</v>
      </c>
      <c r="AW2188" t="s">
        <v>11500</v>
      </c>
    </row>
    <row r="2189" spans="1:49">
      <c r="A2189" s="1">
        <f>HYPERLINK("https://cms.ls-nyc.org/matter/dynamic-profile/view/1837243","17-1837243")</f>
        <v>0</v>
      </c>
      <c r="B2189" t="s">
        <v>143</v>
      </c>
      <c r="C2189" t="s">
        <v>234</v>
      </c>
      <c r="D2189" t="s">
        <v>368</v>
      </c>
      <c r="E2189" t="s">
        <v>831</v>
      </c>
      <c r="F2189" t="s">
        <v>1976</v>
      </c>
      <c r="G2189" t="s">
        <v>3277</v>
      </c>
      <c r="H2189" t="s">
        <v>3842</v>
      </c>
      <c r="I2189" t="s">
        <v>4849</v>
      </c>
      <c r="J2189" t="s">
        <v>5323</v>
      </c>
      <c r="K2189">
        <v>10035</v>
      </c>
      <c r="L2189" t="s">
        <v>5355</v>
      </c>
      <c r="M2189" t="s">
        <v>5355</v>
      </c>
      <c r="N2189" t="s">
        <v>6262</v>
      </c>
      <c r="O2189" t="s">
        <v>6494</v>
      </c>
      <c r="P2189" t="s">
        <v>6530</v>
      </c>
      <c r="Q2189" t="s">
        <v>6534</v>
      </c>
      <c r="R2189" t="s">
        <v>6539</v>
      </c>
      <c r="S2189" t="s">
        <v>5355</v>
      </c>
      <c r="T2189" t="s">
        <v>6542</v>
      </c>
      <c r="U2189" t="s">
        <v>6557</v>
      </c>
      <c r="V2189" t="s">
        <v>6566</v>
      </c>
      <c r="W2189" t="s">
        <v>375</v>
      </c>
      <c r="X2189">
        <v>1312</v>
      </c>
      <c r="Y2189" t="s">
        <v>6608</v>
      </c>
      <c r="Z2189" t="s">
        <v>6609</v>
      </c>
      <c r="AA2189" t="s">
        <v>6634</v>
      </c>
      <c r="AB2189" t="s">
        <v>8443</v>
      </c>
      <c r="AD2189" t="s">
        <v>10761</v>
      </c>
      <c r="AE2189">
        <v>36</v>
      </c>
      <c r="AF2189" t="s">
        <v>11005</v>
      </c>
      <c r="AG2189" t="s">
        <v>5406</v>
      </c>
      <c r="AH2189">
        <v>6</v>
      </c>
      <c r="AI2189">
        <v>2</v>
      </c>
      <c r="AJ2189">
        <v>0</v>
      </c>
      <c r="AK2189">
        <v>141.63</v>
      </c>
      <c r="AN2189" t="s">
        <v>11070</v>
      </c>
      <c r="AO2189">
        <v>23000</v>
      </c>
      <c r="AU2189">
        <v>5.6</v>
      </c>
      <c r="AV2189" t="s">
        <v>11465</v>
      </c>
      <c r="AW2189" t="s">
        <v>83</v>
      </c>
    </row>
    <row r="2190" spans="1:49">
      <c r="A2190" s="1">
        <f>HYPERLINK("https://cms.ls-nyc.org/matter/dynamic-profile/view/1845341","17-1845341")</f>
        <v>0</v>
      </c>
      <c r="B2190" t="s">
        <v>137</v>
      </c>
      <c r="C2190" t="s">
        <v>235</v>
      </c>
      <c r="D2190" t="s">
        <v>563</v>
      </c>
      <c r="F2190" t="s">
        <v>1741</v>
      </c>
      <c r="G2190" t="s">
        <v>3278</v>
      </c>
      <c r="H2190" t="s">
        <v>3909</v>
      </c>
      <c r="I2190" t="s">
        <v>5175</v>
      </c>
      <c r="J2190" t="s">
        <v>5320</v>
      </c>
      <c r="K2190">
        <v>11213</v>
      </c>
      <c r="L2190" t="s">
        <v>5355</v>
      </c>
      <c r="M2190" t="s">
        <v>5356</v>
      </c>
      <c r="O2190" t="s">
        <v>6494</v>
      </c>
      <c r="P2190" t="s">
        <v>6530</v>
      </c>
      <c r="R2190" t="s">
        <v>6539</v>
      </c>
      <c r="S2190" t="s">
        <v>5355</v>
      </c>
      <c r="U2190" t="s">
        <v>6557</v>
      </c>
      <c r="W2190" t="s">
        <v>404</v>
      </c>
      <c r="X2190">
        <v>0</v>
      </c>
      <c r="Y2190" t="s">
        <v>6605</v>
      </c>
      <c r="AB2190" t="s">
        <v>6728</v>
      </c>
      <c r="AE2190">
        <v>74</v>
      </c>
      <c r="AF2190" t="s">
        <v>11005</v>
      </c>
      <c r="AH2190">
        <v>0</v>
      </c>
      <c r="AI2190">
        <v>2</v>
      </c>
      <c r="AJ2190">
        <v>1</v>
      </c>
      <c r="AK2190">
        <v>142.86</v>
      </c>
      <c r="AL2190" t="s">
        <v>511</v>
      </c>
      <c r="AN2190" t="s">
        <v>11050</v>
      </c>
      <c r="AO2190">
        <v>29172</v>
      </c>
      <c r="AU2190">
        <v>0</v>
      </c>
      <c r="AW2190" t="s">
        <v>11489</v>
      </c>
    </row>
    <row r="2191" spans="1:49">
      <c r="A2191" s="1">
        <f>HYPERLINK("https://cms.ls-nyc.org/matter/dynamic-profile/view/1864510","18-1864510")</f>
        <v>0</v>
      </c>
      <c r="B2191" t="s">
        <v>153</v>
      </c>
      <c r="C2191" t="s">
        <v>234</v>
      </c>
      <c r="D2191" t="s">
        <v>256</v>
      </c>
      <c r="E2191" t="s">
        <v>437</v>
      </c>
      <c r="F2191" t="s">
        <v>1588</v>
      </c>
      <c r="G2191" t="s">
        <v>3279</v>
      </c>
      <c r="H2191" t="s">
        <v>4567</v>
      </c>
      <c r="I2191" t="s">
        <v>4852</v>
      </c>
      <c r="J2191" t="s">
        <v>5321</v>
      </c>
      <c r="K2191">
        <v>10454</v>
      </c>
      <c r="L2191" t="s">
        <v>5355</v>
      </c>
      <c r="M2191" t="s">
        <v>5356</v>
      </c>
      <c r="N2191" t="s">
        <v>6263</v>
      </c>
      <c r="O2191" t="s">
        <v>6492</v>
      </c>
      <c r="P2191" t="s">
        <v>6530</v>
      </c>
      <c r="Q2191" t="s">
        <v>6534</v>
      </c>
      <c r="R2191" t="s">
        <v>6539</v>
      </c>
      <c r="S2191" t="s">
        <v>5357</v>
      </c>
      <c r="U2191" t="s">
        <v>6557</v>
      </c>
      <c r="W2191" t="s">
        <v>516</v>
      </c>
      <c r="X2191">
        <v>677</v>
      </c>
      <c r="Y2191" t="s">
        <v>6606</v>
      </c>
      <c r="Z2191" t="s">
        <v>6614</v>
      </c>
      <c r="AA2191" t="s">
        <v>6637</v>
      </c>
      <c r="AB2191" t="s">
        <v>8444</v>
      </c>
      <c r="AC2191" t="s">
        <v>9068</v>
      </c>
      <c r="AD2191" t="s">
        <v>10762</v>
      </c>
      <c r="AE2191">
        <v>0</v>
      </c>
      <c r="AF2191" t="s">
        <v>11008</v>
      </c>
      <c r="AG2191" t="s">
        <v>11020</v>
      </c>
      <c r="AH2191">
        <v>38</v>
      </c>
      <c r="AI2191">
        <v>2</v>
      </c>
      <c r="AJ2191">
        <v>0</v>
      </c>
      <c r="AK2191">
        <v>143.33</v>
      </c>
      <c r="AN2191" t="s">
        <v>11050</v>
      </c>
      <c r="AO2191">
        <v>32520</v>
      </c>
      <c r="AU2191">
        <v>11.9</v>
      </c>
      <c r="AV2191" t="s">
        <v>255</v>
      </c>
      <c r="AW2191" t="s">
        <v>11499</v>
      </c>
    </row>
    <row r="2192" spans="1:49">
      <c r="A2192" s="1">
        <f>HYPERLINK("https://cms.ls-nyc.org/matter/dynamic-profile/view/1870607","18-1870607")</f>
        <v>0</v>
      </c>
      <c r="B2192" t="s">
        <v>97</v>
      </c>
      <c r="C2192" t="s">
        <v>235</v>
      </c>
      <c r="D2192" t="s">
        <v>474</v>
      </c>
      <c r="F2192" t="s">
        <v>1708</v>
      </c>
      <c r="G2192" t="s">
        <v>3280</v>
      </c>
      <c r="H2192" t="s">
        <v>4568</v>
      </c>
      <c r="I2192" t="s">
        <v>5268</v>
      </c>
      <c r="J2192" t="s">
        <v>5323</v>
      </c>
      <c r="K2192">
        <v>10040</v>
      </c>
      <c r="L2192" t="s">
        <v>5355</v>
      </c>
      <c r="M2192" t="s">
        <v>5356</v>
      </c>
      <c r="P2192" t="s">
        <v>6530</v>
      </c>
      <c r="R2192" t="s">
        <v>6539</v>
      </c>
      <c r="S2192" t="s">
        <v>5357</v>
      </c>
      <c r="U2192" t="s">
        <v>6557</v>
      </c>
      <c r="W2192" t="s">
        <v>474</v>
      </c>
      <c r="X2192">
        <v>1225</v>
      </c>
      <c r="Y2192" t="s">
        <v>6608</v>
      </c>
      <c r="Z2192" t="s">
        <v>6616</v>
      </c>
      <c r="AB2192" t="s">
        <v>8445</v>
      </c>
      <c r="AD2192" t="s">
        <v>10763</v>
      </c>
      <c r="AE2192">
        <v>0</v>
      </c>
      <c r="AF2192" t="s">
        <v>11005</v>
      </c>
      <c r="AG2192" t="s">
        <v>5406</v>
      </c>
      <c r="AH2192">
        <v>7</v>
      </c>
      <c r="AI2192">
        <v>2</v>
      </c>
      <c r="AJ2192">
        <v>2</v>
      </c>
      <c r="AK2192">
        <v>143.43</v>
      </c>
      <c r="AN2192" t="s">
        <v>11049</v>
      </c>
      <c r="AO2192">
        <v>36000</v>
      </c>
      <c r="AU2192">
        <v>45.5</v>
      </c>
      <c r="AV2192" t="s">
        <v>763</v>
      </c>
      <c r="AW2192" t="s">
        <v>11495</v>
      </c>
    </row>
    <row r="2193" spans="1:50">
      <c r="A2193" s="1">
        <f>HYPERLINK("https://cms.ls-nyc.org/matter/dynamic-profile/view/1862472","18-1862472")</f>
        <v>0</v>
      </c>
      <c r="B2193" t="s">
        <v>54</v>
      </c>
      <c r="C2193" t="s">
        <v>234</v>
      </c>
      <c r="D2193" t="s">
        <v>285</v>
      </c>
      <c r="E2193" t="s">
        <v>665</v>
      </c>
      <c r="F2193" t="s">
        <v>1226</v>
      </c>
      <c r="G2193" t="s">
        <v>2517</v>
      </c>
      <c r="H2193" t="s">
        <v>3870</v>
      </c>
      <c r="I2193" t="s">
        <v>4908</v>
      </c>
      <c r="J2193" t="s">
        <v>5320</v>
      </c>
      <c r="K2193">
        <v>11207</v>
      </c>
      <c r="L2193" t="s">
        <v>5355</v>
      </c>
      <c r="M2193" t="s">
        <v>5355</v>
      </c>
      <c r="N2193" t="s">
        <v>6264</v>
      </c>
      <c r="O2193" t="s">
        <v>6492</v>
      </c>
      <c r="P2193" t="s">
        <v>6530</v>
      </c>
      <c r="Q2193" t="s">
        <v>6534</v>
      </c>
      <c r="R2193" t="s">
        <v>6539</v>
      </c>
      <c r="S2193" t="s">
        <v>5355</v>
      </c>
      <c r="U2193" t="s">
        <v>6557</v>
      </c>
      <c r="W2193" t="s">
        <v>285</v>
      </c>
      <c r="X2193">
        <v>1488</v>
      </c>
      <c r="Y2193" t="s">
        <v>6605</v>
      </c>
      <c r="Z2193" t="s">
        <v>6622</v>
      </c>
      <c r="AA2193" t="s">
        <v>6644</v>
      </c>
      <c r="AB2193" t="s">
        <v>7193</v>
      </c>
      <c r="AD2193" t="s">
        <v>9580</v>
      </c>
      <c r="AE2193">
        <v>280</v>
      </c>
      <c r="AF2193" t="s">
        <v>11008</v>
      </c>
      <c r="AH2193">
        <v>30</v>
      </c>
      <c r="AI2193">
        <v>3</v>
      </c>
      <c r="AJ2193">
        <v>0</v>
      </c>
      <c r="AK2193">
        <v>144.37</v>
      </c>
      <c r="AN2193" t="s">
        <v>11050</v>
      </c>
      <c r="AO2193">
        <v>30000</v>
      </c>
      <c r="AR2193" t="s">
        <v>11211</v>
      </c>
      <c r="AS2193" t="s">
        <v>11253</v>
      </c>
      <c r="AT2193" t="s">
        <v>11270</v>
      </c>
      <c r="AU2193">
        <v>4.1</v>
      </c>
      <c r="AV2193" t="s">
        <v>456</v>
      </c>
      <c r="AW2193" t="s">
        <v>54</v>
      </c>
    </row>
    <row r="2194" spans="1:50">
      <c r="A2194" s="1">
        <f>HYPERLINK("https://cms.ls-nyc.org/matter/dynamic-profile/view/1870509","18-1870509")</f>
        <v>0</v>
      </c>
      <c r="B2194" t="s">
        <v>104</v>
      </c>
      <c r="C2194" t="s">
        <v>235</v>
      </c>
      <c r="D2194" t="s">
        <v>255</v>
      </c>
      <c r="F2194" t="s">
        <v>1546</v>
      </c>
      <c r="G2194" t="s">
        <v>2828</v>
      </c>
      <c r="H2194" t="s">
        <v>4095</v>
      </c>
      <c r="I2194" t="s">
        <v>4925</v>
      </c>
      <c r="J2194" t="s">
        <v>5321</v>
      </c>
      <c r="K2194">
        <v>10456</v>
      </c>
      <c r="L2194" t="s">
        <v>5355</v>
      </c>
      <c r="M2194" t="s">
        <v>5356</v>
      </c>
      <c r="N2194" t="s">
        <v>6035</v>
      </c>
      <c r="O2194" t="s">
        <v>6494</v>
      </c>
      <c r="P2194" t="s">
        <v>6530</v>
      </c>
      <c r="R2194" t="s">
        <v>6539</v>
      </c>
      <c r="S2194" t="s">
        <v>5355</v>
      </c>
      <c r="U2194" t="s">
        <v>6557</v>
      </c>
      <c r="W2194" t="s">
        <v>516</v>
      </c>
      <c r="X2194">
        <v>560</v>
      </c>
      <c r="Y2194" t="s">
        <v>6606</v>
      </c>
      <c r="Z2194" t="s">
        <v>6612</v>
      </c>
      <c r="AB2194" t="s">
        <v>7663</v>
      </c>
      <c r="AD2194" t="s">
        <v>10023</v>
      </c>
      <c r="AE2194">
        <v>131</v>
      </c>
      <c r="AF2194" t="s">
        <v>11005</v>
      </c>
      <c r="AG2194" t="s">
        <v>5406</v>
      </c>
      <c r="AH2194">
        <v>25</v>
      </c>
      <c r="AI2194">
        <v>3</v>
      </c>
      <c r="AJ2194">
        <v>0</v>
      </c>
      <c r="AK2194">
        <v>144.37</v>
      </c>
      <c r="AN2194" t="s">
        <v>11050</v>
      </c>
      <c r="AO2194">
        <v>30000</v>
      </c>
      <c r="AU2194">
        <v>2.5</v>
      </c>
      <c r="AV2194" t="s">
        <v>819</v>
      </c>
      <c r="AW2194" t="s">
        <v>11505</v>
      </c>
    </row>
    <row r="2195" spans="1:50">
      <c r="A2195" s="1">
        <f>HYPERLINK("https://cms.ls-nyc.org/matter/dynamic-profile/view/1871418","18-1871418")</f>
        <v>0</v>
      </c>
      <c r="B2195" t="s">
        <v>99</v>
      </c>
      <c r="C2195" t="s">
        <v>235</v>
      </c>
      <c r="D2195" t="s">
        <v>413</v>
      </c>
      <c r="F2195" t="s">
        <v>1750</v>
      </c>
      <c r="G2195" t="s">
        <v>3187</v>
      </c>
      <c r="H2195" t="s">
        <v>4441</v>
      </c>
      <c r="I2195" t="s">
        <v>4772</v>
      </c>
      <c r="J2195" t="s">
        <v>5320</v>
      </c>
      <c r="K2195">
        <v>11212</v>
      </c>
      <c r="L2195" t="s">
        <v>5355</v>
      </c>
      <c r="M2195" t="s">
        <v>5356</v>
      </c>
      <c r="N2195" t="s">
        <v>6265</v>
      </c>
      <c r="O2195" t="s">
        <v>6494</v>
      </c>
      <c r="P2195" t="s">
        <v>6530</v>
      </c>
      <c r="R2195" t="s">
        <v>6539</v>
      </c>
      <c r="S2195" t="s">
        <v>5355</v>
      </c>
      <c r="U2195" t="s">
        <v>6557</v>
      </c>
      <c r="W2195" t="s">
        <v>380</v>
      </c>
      <c r="X2195">
        <v>1350</v>
      </c>
      <c r="Y2195" t="s">
        <v>6605</v>
      </c>
      <c r="Z2195" t="s">
        <v>6614</v>
      </c>
      <c r="AB2195" t="s">
        <v>8261</v>
      </c>
      <c r="AD2195" t="s">
        <v>10590</v>
      </c>
      <c r="AE2195">
        <v>6</v>
      </c>
      <c r="AF2195" t="s">
        <v>11005</v>
      </c>
      <c r="AH2195">
        <v>4</v>
      </c>
      <c r="AI2195">
        <v>1</v>
      </c>
      <c r="AJ2195">
        <v>3</v>
      </c>
      <c r="AK2195">
        <v>144.48</v>
      </c>
      <c r="AN2195" t="s">
        <v>11050</v>
      </c>
      <c r="AO2195">
        <v>35543</v>
      </c>
      <c r="AU2195">
        <v>98.2</v>
      </c>
      <c r="AV2195" t="s">
        <v>729</v>
      </c>
      <c r="AW2195" t="s">
        <v>99</v>
      </c>
      <c r="AX2195" t="s">
        <v>11564</v>
      </c>
    </row>
    <row r="2196" spans="1:50">
      <c r="A2196" s="1">
        <f>HYPERLINK("https://cms.ls-nyc.org/matter/dynamic-profile/view/1841463","17-1841463")</f>
        <v>0</v>
      </c>
      <c r="B2196" t="s">
        <v>92</v>
      </c>
      <c r="C2196" t="s">
        <v>235</v>
      </c>
      <c r="D2196" t="s">
        <v>499</v>
      </c>
      <c r="F2196" t="s">
        <v>1253</v>
      </c>
      <c r="G2196" t="s">
        <v>2355</v>
      </c>
      <c r="H2196" t="s">
        <v>4569</v>
      </c>
      <c r="I2196" t="s">
        <v>4743</v>
      </c>
      <c r="J2196" t="s">
        <v>5323</v>
      </c>
      <c r="K2196">
        <v>10034</v>
      </c>
      <c r="L2196" t="s">
        <v>5355</v>
      </c>
      <c r="M2196" t="s">
        <v>5355</v>
      </c>
      <c r="N2196" t="s">
        <v>6266</v>
      </c>
      <c r="O2196" t="s">
        <v>6492</v>
      </c>
      <c r="P2196" t="s">
        <v>6530</v>
      </c>
      <c r="R2196" t="s">
        <v>6539</v>
      </c>
      <c r="S2196" t="s">
        <v>5357</v>
      </c>
      <c r="U2196" t="s">
        <v>6557</v>
      </c>
      <c r="W2196" t="s">
        <v>533</v>
      </c>
      <c r="X2196">
        <v>971</v>
      </c>
      <c r="Y2196" t="s">
        <v>6608</v>
      </c>
      <c r="Z2196" t="s">
        <v>6613</v>
      </c>
      <c r="AB2196" t="s">
        <v>7637</v>
      </c>
      <c r="AD2196" t="s">
        <v>10764</v>
      </c>
      <c r="AE2196">
        <v>100</v>
      </c>
      <c r="AF2196" t="s">
        <v>11005</v>
      </c>
      <c r="AG2196" t="s">
        <v>5406</v>
      </c>
      <c r="AH2196">
        <v>15</v>
      </c>
      <c r="AI2196">
        <v>2</v>
      </c>
      <c r="AJ2196">
        <v>3</v>
      </c>
      <c r="AK2196">
        <v>144.54</v>
      </c>
      <c r="AN2196" t="s">
        <v>11049</v>
      </c>
      <c r="AO2196">
        <v>41600</v>
      </c>
      <c r="AU2196">
        <v>69.75</v>
      </c>
      <c r="AV2196" t="s">
        <v>757</v>
      </c>
      <c r="AW2196" t="s">
        <v>11527</v>
      </c>
    </row>
    <row r="2197" spans="1:50">
      <c r="A2197" s="1">
        <f>HYPERLINK("https://cms.ls-nyc.org/matter/dynamic-profile/view/1846931","17-1846931")</f>
        <v>0</v>
      </c>
      <c r="B2197" t="s">
        <v>52</v>
      </c>
      <c r="C2197" t="s">
        <v>234</v>
      </c>
      <c r="D2197" t="s">
        <v>533</v>
      </c>
      <c r="E2197" t="s">
        <v>818</v>
      </c>
      <c r="F2197" t="s">
        <v>914</v>
      </c>
      <c r="G2197" t="s">
        <v>2975</v>
      </c>
      <c r="H2197" t="s">
        <v>4570</v>
      </c>
      <c r="I2197" t="s">
        <v>4816</v>
      </c>
      <c r="J2197" t="s">
        <v>5327</v>
      </c>
      <c r="K2197">
        <v>11101</v>
      </c>
      <c r="L2197" t="s">
        <v>5355</v>
      </c>
      <c r="M2197" t="s">
        <v>5355</v>
      </c>
      <c r="N2197" t="s">
        <v>6267</v>
      </c>
      <c r="O2197" t="s">
        <v>6492</v>
      </c>
      <c r="P2197" t="s">
        <v>6530</v>
      </c>
      <c r="Q2197" t="s">
        <v>6534</v>
      </c>
      <c r="R2197" t="s">
        <v>6539</v>
      </c>
      <c r="S2197" t="s">
        <v>5357</v>
      </c>
      <c r="U2197" t="s">
        <v>6557</v>
      </c>
      <c r="V2197" t="s">
        <v>6568</v>
      </c>
      <c r="W2197" t="s">
        <v>533</v>
      </c>
      <c r="X2197">
        <v>1158.4</v>
      </c>
      <c r="Y2197" t="s">
        <v>6604</v>
      </c>
      <c r="Z2197" t="s">
        <v>6615</v>
      </c>
      <c r="AA2197" t="s">
        <v>6637</v>
      </c>
      <c r="AB2197" t="s">
        <v>8446</v>
      </c>
      <c r="AD2197" t="s">
        <v>10765</v>
      </c>
      <c r="AE2197">
        <v>48</v>
      </c>
      <c r="AF2197" t="s">
        <v>11005</v>
      </c>
      <c r="AG2197" t="s">
        <v>11024</v>
      </c>
      <c r="AH2197">
        <v>35</v>
      </c>
      <c r="AI2197">
        <v>1</v>
      </c>
      <c r="AJ2197">
        <v>0</v>
      </c>
      <c r="AK2197">
        <v>145.07</v>
      </c>
      <c r="AN2197" t="s">
        <v>11050</v>
      </c>
      <c r="AO2197">
        <v>17496</v>
      </c>
      <c r="AQ2197" t="s">
        <v>11194</v>
      </c>
      <c r="AR2197" t="s">
        <v>11244</v>
      </c>
      <c r="AS2197" t="s">
        <v>11253</v>
      </c>
      <c r="AT2197" t="s">
        <v>11410</v>
      </c>
      <c r="AU2197">
        <v>56.12</v>
      </c>
      <c r="AV2197" t="s">
        <v>758</v>
      </c>
      <c r="AW2197" t="s">
        <v>93</v>
      </c>
    </row>
    <row r="2198" spans="1:50">
      <c r="A2198" s="1">
        <f>HYPERLINK("https://cms.ls-nyc.org/matter/dynamic-profile/view/1845273","17-1845273")</f>
        <v>0</v>
      </c>
      <c r="B2198" t="s">
        <v>137</v>
      </c>
      <c r="C2198" t="s">
        <v>235</v>
      </c>
      <c r="D2198" t="s">
        <v>417</v>
      </c>
      <c r="F2198" t="s">
        <v>974</v>
      </c>
      <c r="G2198" t="s">
        <v>3281</v>
      </c>
      <c r="H2198" t="s">
        <v>3909</v>
      </c>
      <c r="I2198" t="s">
        <v>5269</v>
      </c>
      <c r="J2198" t="s">
        <v>5320</v>
      </c>
      <c r="K2198">
        <v>11213</v>
      </c>
      <c r="L2198" t="s">
        <v>5355</v>
      </c>
      <c r="M2198" t="s">
        <v>5356</v>
      </c>
      <c r="O2198" t="s">
        <v>6494</v>
      </c>
      <c r="P2198" t="s">
        <v>6530</v>
      </c>
      <c r="R2198" t="s">
        <v>6539</v>
      </c>
      <c r="S2198" t="s">
        <v>5355</v>
      </c>
      <c r="U2198" t="s">
        <v>6557</v>
      </c>
      <c r="W2198" t="s">
        <v>404</v>
      </c>
      <c r="X2198">
        <v>0</v>
      </c>
      <c r="Y2198" t="s">
        <v>6605</v>
      </c>
      <c r="Z2198" t="s">
        <v>6612</v>
      </c>
      <c r="AB2198" t="s">
        <v>8447</v>
      </c>
      <c r="AE2198">
        <v>74</v>
      </c>
      <c r="AF2198" t="s">
        <v>11005</v>
      </c>
      <c r="AH2198">
        <v>0</v>
      </c>
      <c r="AI2198">
        <v>1</v>
      </c>
      <c r="AJ2198">
        <v>2</v>
      </c>
      <c r="AK2198">
        <v>145.62</v>
      </c>
      <c r="AL2198" t="s">
        <v>511</v>
      </c>
      <c r="AN2198" t="s">
        <v>11050</v>
      </c>
      <c r="AO2198">
        <v>29736</v>
      </c>
      <c r="AU2198">
        <v>0.5</v>
      </c>
      <c r="AV2198" t="s">
        <v>344</v>
      </c>
      <c r="AW2198" t="s">
        <v>11489</v>
      </c>
    </row>
    <row r="2199" spans="1:50">
      <c r="A2199" s="1">
        <f>HYPERLINK("https://cms.ls-nyc.org/matter/dynamic-profile/view/0808632","16-0808632")</f>
        <v>0</v>
      </c>
      <c r="B2199" t="s">
        <v>105</v>
      </c>
      <c r="C2199" t="s">
        <v>234</v>
      </c>
      <c r="D2199" t="s">
        <v>634</v>
      </c>
      <c r="E2199" t="s">
        <v>810</v>
      </c>
      <c r="F2199" t="s">
        <v>1231</v>
      </c>
      <c r="G2199" t="s">
        <v>2599</v>
      </c>
      <c r="H2199" t="s">
        <v>4571</v>
      </c>
      <c r="I2199">
        <v>51</v>
      </c>
      <c r="J2199" t="s">
        <v>5323</v>
      </c>
      <c r="K2199">
        <v>10032</v>
      </c>
      <c r="L2199" t="s">
        <v>5355</v>
      </c>
      <c r="M2199" t="s">
        <v>5356</v>
      </c>
      <c r="N2199" t="s">
        <v>6268</v>
      </c>
      <c r="O2199" t="s">
        <v>6491</v>
      </c>
      <c r="P2199" t="s">
        <v>6530</v>
      </c>
      <c r="Q2199" t="s">
        <v>6534</v>
      </c>
      <c r="R2199" t="s">
        <v>6539</v>
      </c>
      <c r="S2199" t="s">
        <v>5357</v>
      </c>
      <c r="T2199" t="s">
        <v>6542</v>
      </c>
      <c r="U2199" t="s">
        <v>6557</v>
      </c>
      <c r="V2199" t="s">
        <v>6568</v>
      </c>
      <c r="W2199" t="s">
        <v>337</v>
      </c>
      <c r="X2199">
        <v>900</v>
      </c>
      <c r="Y2199" t="s">
        <v>6608</v>
      </c>
      <c r="Z2199" t="s">
        <v>6613</v>
      </c>
      <c r="AA2199" t="s">
        <v>6633</v>
      </c>
      <c r="AB2199" t="s">
        <v>8448</v>
      </c>
      <c r="AD2199" t="s">
        <v>10766</v>
      </c>
      <c r="AE2199">
        <v>0</v>
      </c>
      <c r="AF2199" t="s">
        <v>11013</v>
      </c>
      <c r="AG2199" t="s">
        <v>5406</v>
      </c>
      <c r="AH2199">
        <v>18</v>
      </c>
      <c r="AI2199">
        <v>1</v>
      </c>
      <c r="AJ2199">
        <v>1</v>
      </c>
      <c r="AK2199">
        <v>146.07</v>
      </c>
      <c r="AN2199" t="s">
        <v>11049</v>
      </c>
      <c r="AO2199">
        <v>23400</v>
      </c>
      <c r="AS2199" t="s">
        <v>11252</v>
      </c>
      <c r="AT2199" t="s">
        <v>11411</v>
      </c>
      <c r="AU2199">
        <v>77.7</v>
      </c>
      <c r="AV2199" t="s">
        <v>810</v>
      </c>
      <c r="AW2199" t="s">
        <v>11497</v>
      </c>
    </row>
    <row r="2200" spans="1:50">
      <c r="A2200" s="1">
        <f>HYPERLINK("https://cms.ls-nyc.org/matter/dynamic-profile/view/1852984","17-1852984")</f>
        <v>0</v>
      </c>
      <c r="B2200" t="s">
        <v>112</v>
      </c>
      <c r="C2200" t="s">
        <v>235</v>
      </c>
      <c r="D2200" t="s">
        <v>464</v>
      </c>
      <c r="F2200" t="s">
        <v>1373</v>
      </c>
      <c r="G2200" t="s">
        <v>3282</v>
      </c>
      <c r="H2200" t="s">
        <v>4572</v>
      </c>
      <c r="I2200" t="s">
        <v>4960</v>
      </c>
      <c r="J2200" t="s">
        <v>5317</v>
      </c>
      <c r="K2200">
        <v>11432</v>
      </c>
      <c r="L2200" t="s">
        <v>5355</v>
      </c>
      <c r="M2200" t="s">
        <v>5356</v>
      </c>
      <c r="N2200" t="s">
        <v>6269</v>
      </c>
      <c r="O2200" t="s">
        <v>6494</v>
      </c>
      <c r="P2200" t="s">
        <v>6530</v>
      </c>
      <c r="R2200" t="s">
        <v>6539</v>
      </c>
      <c r="S2200" t="s">
        <v>5357</v>
      </c>
      <c r="U2200" t="s">
        <v>6557</v>
      </c>
      <c r="W2200" t="s">
        <v>264</v>
      </c>
      <c r="X2200">
        <v>1416</v>
      </c>
      <c r="Y2200" t="s">
        <v>6604</v>
      </c>
      <c r="Z2200" t="s">
        <v>6616</v>
      </c>
      <c r="AB2200" t="s">
        <v>8449</v>
      </c>
      <c r="AC2200" t="s">
        <v>5392</v>
      </c>
      <c r="AD2200" t="s">
        <v>10767</v>
      </c>
      <c r="AE2200">
        <v>64</v>
      </c>
      <c r="AF2200" t="s">
        <v>11005</v>
      </c>
      <c r="AG2200" t="s">
        <v>5406</v>
      </c>
      <c r="AH2200">
        <v>4</v>
      </c>
      <c r="AI2200">
        <v>4</v>
      </c>
      <c r="AJ2200">
        <v>0</v>
      </c>
      <c r="AK2200">
        <v>146.34</v>
      </c>
      <c r="AL2200" t="s">
        <v>485</v>
      </c>
      <c r="AN2200" t="s">
        <v>11049</v>
      </c>
      <c r="AO2200">
        <v>36000</v>
      </c>
      <c r="AU2200">
        <v>86.25</v>
      </c>
      <c r="AV2200" t="s">
        <v>434</v>
      </c>
      <c r="AW2200" t="s">
        <v>11506</v>
      </c>
    </row>
    <row r="2201" spans="1:50">
      <c r="A2201" s="1">
        <f>HYPERLINK("https://cms.ls-nyc.org/matter/dynamic-profile/view/1848767","17-1848767")</f>
        <v>0</v>
      </c>
      <c r="B2201" t="s">
        <v>127</v>
      </c>
      <c r="C2201" t="s">
        <v>234</v>
      </c>
      <c r="D2201" t="s">
        <v>635</v>
      </c>
      <c r="E2201" t="s">
        <v>665</v>
      </c>
      <c r="F2201" t="s">
        <v>1125</v>
      </c>
      <c r="G2201" t="s">
        <v>2997</v>
      </c>
      <c r="H2201" t="s">
        <v>4573</v>
      </c>
      <c r="I2201" t="s">
        <v>4738</v>
      </c>
      <c r="J2201" t="s">
        <v>5324</v>
      </c>
      <c r="K2201">
        <v>11355</v>
      </c>
      <c r="L2201" t="s">
        <v>5355</v>
      </c>
      <c r="M2201" t="s">
        <v>5355</v>
      </c>
      <c r="N2201" t="s">
        <v>6270</v>
      </c>
      <c r="O2201" t="s">
        <v>6492</v>
      </c>
      <c r="P2201" t="s">
        <v>6530</v>
      </c>
      <c r="Q2201" t="s">
        <v>6534</v>
      </c>
      <c r="R2201" t="s">
        <v>6539</v>
      </c>
      <c r="S2201" t="s">
        <v>5357</v>
      </c>
      <c r="U2201" t="s">
        <v>6557</v>
      </c>
      <c r="W2201" t="s">
        <v>635</v>
      </c>
      <c r="X2201">
        <v>1340.16</v>
      </c>
      <c r="Y2201" t="s">
        <v>6604</v>
      </c>
      <c r="Z2201" t="s">
        <v>6614</v>
      </c>
      <c r="AA2201" t="s">
        <v>6637</v>
      </c>
      <c r="AB2201" t="s">
        <v>8450</v>
      </c>
      <c r="AD2201" t="s">
        <v>10768</v>
      </c>
      <c r="AE2201">
        <v>296</v>
      </c>
      <c r="AF2201" t="s">
        <v>11005</v>
      </c>
      <c r="AG2201" t="s">
        <v>11024</v>
      </c>
      <c r="AH2201">
        <v>34</v>
      </c>
      <c r="AI2201">
        <v>1</v>
      </c>
      <c r="AJ2201">
        <v>1</v>
      </c>
      <c r="AK2201">
        <v>146.72</v>
      </c>
      <c r="AL2201" t="s">
        <v>11039</v>
      </c>
      <c r="AN2201" t="s">
        <v>11049</v>
      </c>
      <c r="AO2201">
        <v>23828</v>
      </c>
      <c r="AQ2201" t="s">
        <v>11190</v>
      </c>
      <c r="AR2201" t="s">
        <v>11213</v>
      </c>
      <c r="AS2201" t="s">
        <v>11253</v>
      </c>
      <c r="AT2201" t="s">
        <v>11412</v>
      </c>
      <c r="AU2201">
        <v>17.15</v>
      </c>
      <c r="AV2201" t="s">
        <v>238</v>
      </c>
      <c r="AW2201" t="s">
        <v>127</v>
      </c>
    </row>
    <row r="2202" spans="1:50">
      <c r="A2202" s="1">
        <f>HYPERLINK("https://cms.ls-nyc.org/matter/dynamic-profile/view/1843438","17-1843438")</f>
        <v>0</v>
      </c>
      <c r="B2202" t="s">
        <v>73</v>
      </c>
      <c r="C2202" t="s">
        <v>234</v>
      </c>
      <c r="D2202" t="s">
        <v>460</v>
      </c>
      <c r="E2202" t="s">
        <v>674</v>
      </c>
      <c r="F2202" t="s">
        <v>903</v>
      </c>
      <c r="G2202" t="s">
        <v>2785</v>
      </c>
      <c r="H2202" t="s">
        <v>4574</v>
      </c>
      <c r="I2202" t="s">
        <v>4817</v>
      </c>
      <c r="J2202" t="s">
        <v>5323</v>
      </c>
      <c r="K2202">
        <v>10040</v>
      </c>
      <c r="L2202" t="s">
        <v>5355</v>
      </c>
      <c r="M2202" t="s">
        <v>5356</v>
      </c>
      <c r="N2202" t="s">
        <v>6271</v>
      </c>
      <c r="O2202" t="s">
        <v>6492</v>
      </c>
      <c r="P2202" t="s">
        <v>6530</v>
      </c>
      <c r="Q2202" t="s">
        <v>6534</v>
      </c>
      <c r="R2202" t="s">
        <v>6539</v>
      </c>
      <c r="S2202" t="s">
        <v>5357</v>
      </c>
      <c r="U2202" t="s">
        <v>6557</v>
      </c>
      <c r="W2202" t="s">
        <v>460</v>
      </c>
      <c r="X2202">
        <v>951.52</v>
      </c>
      <c r="Y2202" t="s">
        <v>6608</v>
      </c>
      <c r="Z2202" t="s">
        <v>6616</v>
      </c>
      <c r="AA2202" t="s">
        <v>6637</v>
      </c>
      <c r="AB2202" t="s">
        <v>8451</v>
      </c>
      <c r="AD2202" t="s">
        <v>10769</v>
      </c>
      <c r="AE2202">
        <v>56</v>
      </c>
      <c r="AF2202" t="s">
        <v>11005</v>
      </c>
      <c r="AG2202" t="s">
        <v>5406</v>
      </c>
      <c r="AH2202">
        <v>20</v>
      </c>
      <c r="AI2202">
        <v>3</v>
      </c>
      <c r="AJ2202">
        <v>0</v>
      </c>
      <c r="AK2202">
        <v>146.91</v>
      </c>
      <c r="AN2202" t="s">
        <v>11049</v>
      </c>
      <c r="AO2202">
        <v>30000</v>
      </c>
      <c r="AU2202">
        <v>16.7</v>
      </c>
      <c r="AV2202" t="s">
        <v>320</v>
      </c>
      <c r="AW2202" t="s">
        <v>11495</v>
      </c>
    </row>
    <row r="2203" spans="1:50">
      <c r="A2203" s="1">
        <f>HYPERLINK("https://cms.ls-nyc.org/matter/dynamic-profile/view/0820114","16-0820114")</f>
        <v>0</v>
      </c>
      <c r="B2203" t="s">
        <v>176</v>
      </c>
      <c r="C2203" t="s">
        <v>235</v>
      </c>
      <c r="D2203" t="s">
        <v>636</v>
      </c>
      <c r="F2203" t="s">
        <v>1977</v>
      </c>
      <c r="G2203" t="s">
        <v>3283</v>
      </c>
      <c r="H2203" t="s">
        <v>4092</v>
      </c>
      <c r="J2203" t="s">
        <v>5317</v>
      </c>
      <c r="K2203">
        <v>11432</v>
      </c>
      <c r="L2203" t="s">
        <v>5355</v>
      </c>
      <c r="M2203" t="s">
        <v>5355</v>
      </c>
      <c r="N2203" t="s">
        <v>6272</v>
      </c>
      <c r="O2203" t="s">
        <v>6491</v>
      </c>
      <c r="P2203" t="s">
        <v>6530</v>
      </c>
      <c r="R2203" t="s">
        <v>6539</v>
      </c>
      <c r="S2203" t="s">
        <v>5357</v>
      </c>
      <c r="T2203" t="s">
        <v>6547</v>
      </c>
      <c r="U2203" t="s">
        <v>6557</v>
      </c>
      <c r="V2203" t="s">
        <v>6566</v>
      </c>
      <c r="W2203" t="s">
        <v>294</v>
      </c>
      <c r="X2203">
        <v>1405</v>
      </c>
      <c r="Y2203" t="s">
        <v>6604</v>
      </c>
      <c r="Z2203" t="s">
        <v>6614</v>
      </c>
      <c r="AB2203" t="s">
        <v>8452</v>
      </c>
      <c r="AC2203" t="s">
        <v>5383</v>
      </c>
      <c r="AD2203" t="s">
        <v>10770</v>
      </c>
      <c r="AE2203">
        <v>190</v>
      </c>
      <c r="AF2203" t="s">
        <v>11005</v>
      </c>
      <c r="AG2203" t="s">
        <v>5406</v>
      </c>
      <c r="AH2203">
        <v>2</v>
      </c>
      <c r="AI2203">
        <v>2</v>
      </c>
      <c r="AJ2203">
        <v>3</v>
      </c>
      <c r="AK2203">
        <v>147.68</v>
      </c>
      <c r="AL2203" t="s">
        <v>485</v>
      </c>
      <c r="AN2203" t="s">
        <v>11059</v>
      </c>
      <c r="AO2203">
        <v>42000</v>
      </c>
      <c r="AP2203" t="s">
        <v>11136</v>
      </c>
      <c r="AU2203">
        <v>221.95</v>
      </c>
      <c r="AV2203" t="s">
        <v>829</v>
      </c>
      <c r="AW2203" t="s">
        <v>181</v>
      </c>
    </row>
    <row r="2204" spans="1:50">
      <c r="A2204" s="1">
        <f>HYPERLINK("https://cms.ls-nyc.org/matter/dynamic-profile/view/1841928","17-1841928")</f>
        <v>0</v>
      </c>
      <c r="B2204" t="s">
        <v>109</v>
      </c>
      <c r="C2204" t="s">
        <v>234</v>
      </c>
      <c r="D2204" t="s">
        <v>305</v>
      </c>
      <c r="E2204" t="s">
        <v>759</v>
      </c>
      <c r="F2204" t="s">
        <v>1978</v>
      </c>
      <c r="G2204" t="s">
        <v>3284</v>
      </c>
      <c r="H2204" t="s">
        <v>4575</v>
      </c>
      <c r="I2204" t="s">
        <v>4787</v>
      </c>
      <c r="J2204" t="s">
        <v>5320</v>
      </c>
      <c r="K2204">
        <v>11235</v>
      </c>
      <c r="L2204" t="s">
        <v>5355</v>
      </c>
      <c r="M2204" t="s">
        <v>5356</v>
      </c>
      <c r="N2204" t="s">
        <v>6273</v>
      </c>
      <c r="O2204" t="s">
        <v>6491</v>
      </c>
      <c r="P2204" t="s">
        <v>6530</v>
      </c>
      <c r="Q2204" t="s">
        <v>6534</v>
      </c>
      <c r="R2204" t="s">
        <v>6539</v>
      </c>
      <c r="S2204" t="s">
        <v>5357</v>
      </c>
      <c r="U2204" t="s">
        <v>6557</v>
      </c>
      <c r="W2204" t="s">
        <v>435</v>
      </c>
      <c r="X2204">
        <v>1170</v>
      </c>
      <c r="Y2204" t="s">
        <v>6605</v>
      </c>
      <c r="Z2204" t="s">
        <v>6613</v>
      </c>
      <c r="AA2204" t="s">
        <v>6637</v>
      </c>
      <c r="AB2204" t="s">
        <v>8453</v>
      </c>
      <c r="AC2204" t="s">
        <v>5392</v>
      </c>
      <c r="AD2204" t="s">
        <v>10771</v>
      </c>
      <c r="AE2204">
        <v>60</v>
      </c>
      <c r="AF2204" t="s">
        <v>11005</v>
      </c>
      <c r="AG2204" t="s">
        <v>5406</v>
      </c>
      <c r="AH2204">
        <v>14</v>
      </c>
      <c r="AI2204">
        <v>2</v>
      </c>
      <c r="AJ2204">
        <v>0</v>
      </c>
      <c r="AK2204">
        <v>147.78</v>
      </c>
      <c r="AL2204" t="s">
        <v>466</v>
      </c>
      <c r="AN2204" t="s">
        <v>11056</v>
      </c>
      <c r="AO2204">
        <v>24000</v>
      </c>
      <c r="AU2204">
        <v>41.15</v>
      </c>
      <c r="AV2204" t="s">
        <v>281</v>
      </c>
      <c r="AW2204" t="s">
        <v>11512</v>
      </c>
    </row>
    <row r="2205" spans="1:50">
      <c r="A2205" s="1">
        <f>HYPERLINK("https://cms.ls-nyc.org/matter/dynamic-profile/view/1842045","17-1842045")</f>
        <v>0</v>
      </c>
      <c r="B2205" t="s">
        <v>72</v>
      </c>
      <c r="C2205" t="s">
        <v>234</v>
      </c>
      <c r="D2205" t="s">
        <v>393</v>
      </c>
      <c r="E2205" t="s">
        <v>675</v>
      </c>
      <c r="F2205" t="s">
        <v>1979</v>
      </c>
      <c r="G2205" t="s">
        <v>3285</v>
      </c>
      <c r="H2205" t="s">
        <v>4576</v>
      </c>
      <c r="J2205" t="s">
        <v>5320</v>
      </c>
      <c r="K2205">
        <v>11233</v>
      </c>
      <c r="L2205" t="s">
        <v>5355</v>
      </c>
      <c r="M2205" t="s">
        <v>5356</v>
      </c>
      <c r="N2205" t="s">
        <v>6274</v>
      </c>
      <c r="O2205" t="s">
        <v>6492</v>
      </c>
      <c r="P2205" t="s">
        <v>6530</v>
      </c>
      <c r="Q2205" t="s">
        <v>6534</v>
      </c>
      <c r="R2205" t="s">
        <v>6539</v>
      </c>
      <c r="U2205" t="s">
        <v>6557</v>
      </c>
      <c r="W2205" t="s">
        <v>438</v>
      </c>
      <c r="X2205">
        <v>1052</v>
      </c>
      <c r="Y2205" t="s">
        <v>6605</v>
      </c>
      <c r="AA2205" t="s">
        <v>6637</v>
      </c>
      <c r="AB2205" t="s">
        <v>8454</v>
      </c>
      <c r="AE2205">
        <v>12</v>
      </c>
      <c r="AF2205" t="s">
        <v>11005</v>
      </c>
      <c r="AH2205">
        <v>7</v>
      </c>
      <c r="AI2205">
        <v>2</v>
      </c>
      <c r="AJ2205">
        <v>0</v>
      </c>
      <c r="AK2205">
        <v>147.78</v>
      </c>
      <c r="AN2205" t="s">
        <v>11050</v>
      </c>
      <c r="AO2205">
        <v>24000</v>
      </c>
      <c r="AR2205" t="s">
        <v>11210</v>
      </c>
      <c r="AS2205" t="s">
        <v>11253</v>
      </c>
      <c r="AT2205" t="s">
        <v>11378</v>
      </c>
      <c r="AU2205">
        <v>34.9</v>
      </c>
      <c r="AV2205" t="s">
        <v>683</v>
      </c>
      <c r="AW2205" t="s">
        <v>11489</v>
      </c>
    </row>
    <row r="2206" spans="1:50">
      <c r="A2206" s="1">
        <f>HYPERLINK("https://cms.ls-nyc.org/matter/dynamic-profile/view/1840460","17-1840460")</f>
        <v>0</v>
      </c>
      <c r="B2206" t="s">
        <v>99</v>
      </c>
      <c r="C2206" t="s">
        <v>234</v>
      </c>
      <c r="D2206" t="s">
        <v>387</v>
      </c>
      <c r="E2206" t="s">
        <v>785</v>
      </c>
      <c r="F2206" t="s">
        <v>1020</v>
      </c>
      <c r="G2206" t="s">
        <v>3226</v>
      </c>
      <c r="H2206" t="s">
        <v>4577</v>
      </c>
      <c r="I2206" t="s">
        <v>4838</v>
      </c>
      <c r="J2206" t="s">
        <v>5320</v>
      </c>
      <c r="K2206">
        <v>11226</v>
      </c>
      <c r="L2206" t="s">
        <v>5355</v>
      </c>
      <c r="M2206" t="s">
        <v>5356</v>
      </c>
      <c r="N2206" t="s">
        <v>6275</v>
      </c>
      <c r="O2206" t="s">
        <v>6491</v>
      </c>
      <c r="P2206" t="s">
        <v>6530</v>
      </c>
      <c r="Q2206" t="s">
        <v>6537</v>
      </c>
      <c r="R2206" t="s">
        <v>6539</v>
      </c>
      <c r="S2206" t="s">
        <v>5355</v>
      </c>
      <c r="U2206" t="s">
        <v>6557</v>
      </c>
      <c r="W2206" t="s">
        <v>363</v>
      </c>
      <c r="X2206">
        <v>1218.27</v>
      </c>
      <c r="Y2206" t="s">
        <v>6605</v>
      </c>
      <c r="Z2206" t="s">
        <v>6612</v>
      </c>
      <c r="AA2206" t="s">
        <v>6637</v>
      </c>
      <c r="AB2206" t="s">
        <v>7325</v>
      </c>
      <c r="AE2206">
        <v>66</v>
      </c>
      <c r="AF2206" t="s">
        <v>11005</v>
      </c>
      <c r="AG2206" t="s">
        <v>5406</v>
      </c>
      <c r="AH2206">
        <v>24</v>
      </c>
      <c r="AI2206">
        <v>2</v>
      </c>
      <c r="AJ2206">
        <v>0</v>
      </c>
      <c r="AK2206">
        <v>147.78</v>
      </c>
      <c r="AN2206" t="s">
        <v>11050</v>
      </c>
      <c r="AO2206">
        <v>24000</v>
      </c>
      <c r="AU2206">
        <v>87.7</v>
      </c>
      <c r="AV2206" t="s">
        <v>735</v>
      </c>
      <c r="AW2206" t="s">
        <v>228</v>
      </c>
    </row>
    <row r="2207" spans="1:50">
      <c r="A2207" s="1">
        <f>HYPERLINK("https://cms.ls-nyc.org/matter/dynamic-profile/view/1856266","18-1856266")</f>
        <v>0</v>
      </c>
      <c r="B2207" t="s">
        <v>131</v>
      </c>
      <c r="C2207" t="s">
        <v>234</v>
      </c>
      <c r="D2207" t="s">
        <v>261</v>
      </c>
      <c r="E2207" t="s">
        <v>809</v>
      </c>
      <c r="F2207" t="s">
        <v>1318</v>
      </c>
      <c r="G2207" t="s">
        <v>2512</v>
      </c>
      <c r="H2207" t="s">
        <v>3769</v>
      </c>
      <c r="I2207" t="s">
        <v>5270</v>
      </c>
      <c r="J2207" t="s">
        <v>5323</v>
      </c>
      <c r="K2207">
        <v>10034</v>
      </c>
      <c r="L2207" t="s">
        <v>5355</v>
      </c>
      <c r="M2207" t="s">
        <v>5356</v>
      </c>
      <c r="O2207" t="s">
        <v>6494</v>
      </c>
      <c r="P2207" t="s">
        <v>6530</v>
      </c>
      <c r="Q2207" t="s">
        <v>6534</v>
      </c>
      <c r="R2207" t="s">
        <v>6539</v>
      </c>
      <c r="S2207" t="s">
        <v>5355</v>
      </c>
      <c r="U2207" t="s">
        <v>6557</v>
      </c>
      <c r="W2207" t="s">
        <v>261</v>
      </c>
      <c r="X2207">
        <v>1295</v>
      </c>
      <c r="Y2207" t="s">
        <v>6608</v>
      </c>
      <c r="Z2207" t="s">
        <v>6614</v>
      </c>
      <c r="AA2207" t="s">
        <v>6634</v>
      </c>
      <c r="AB2207" t="s">
        <v>8455</v>
      </c>
      <c r="AD2207" t="s">
        <v>10772</v>
      </c>
      <c r="AE2207">
        <v>49</v>
      </c>
      <c r="AF2207" t="s">
        <v>11005</v>
      </c>
      <c r="AG2207" t="s">
        <v>5406</v>
      </c>
      <c r="AH2207">
        <v>15</v>
      </c>
      <c r="AI2207">
        <v>2</v>
      </c>
      <c r="AJ2207">
        <v>0</v>
      </c>
      <c r="AK2207">
        <v>147.78</v>
      </c>
      <c r="AN2207" t="s">
        <v>11049</v>
      </c>
      <c r="AO2207">
        <v>24000</v>
      </c>
      <c r="AU2207">
        <v>0.15</v>
      </c>
      <c r="AV2207" t="s">
        <v>680</v>
      </c>
      <c r="AW2207" t="s">
        <v>11495</v>
      </c>
    </row>
    <row r="2208" spans="1:50">
      <c r="A2208" s="1">
        <f>HYPERLINK("https://cms.ls-nyc.org/matter/dynamic-profile/view/1861031","18-1861031")</f>
        <v>0</v>
      </c>
      <c r="B2208" t="s">
        <v>134</v>
      </c>
      <c r="C2208" t="s">
        <v>235</v>
      </c>
      <c r="D2208" t="s">
        <v>246</v>
      </c>
      <c r="F2208" t="s">
        <v>1624</v>
      </c>
      <c r="G2208" t="s">
        <v>1007</v>
      </c>
      <c r="H2208" t="s">
        <v>4578</v>
      </c>
      <c r="I2208" t="s">
        <v>5271</v>
      </c>
      <c r="J2208" t="s">
        <v>5326</v>
      </c>
      <c r="K2208">
        <v>11691</v>
      </c>
      <c r="L2208" t="s">
        <v>5355</v>
      </c>
      <c r="M2208" t="s">
        <v>5356</v>
      </c>
      <c r="N2208" t="s">
        <v>6276</v>
      </c>
      <c r="O2208" t="s">
        <v>6492</v>
      </c>
      <c r="P2208" t="s">
        <v>6530</v>
      </c>
      <c r="R2208" t="s">
        <v>6539</v>
      </c>
      <c r="S2208" t="s">
        <v>5357</v>
      </c>
      <c r="U2208" t="s">
        <v>6557</v>
      </c>
      <c r="W2208" t="s">
        <v>246</v>
      </c>
      <c r="X2208">
        <v>850</v>
      </c>
      <c r="Y2208" t="s">
        <v>6604</v>
      </c>
      <c r="Z2208" t="s">
        <v>6614</v>
      </c>
      <c r="AB2208" t="s">
        <v>8456</v>
      </c>
      <c r="AC2208" t="s">
        <v>9069</v>
      </c>
      <c r="AD2208" t="s">
        <v>10773</v>
      </c>
      <c r="AE2208">
        <v>100</v>
      </c>
      <c r="AF2208" t="s">
        <v>11005</v>
      </c>
      <c r="AG2208" t="s">
        <v>5406</v>
      </c>
      <c r="AH2208">
        <v>10</v>
      </c>
      <c r="AI2208">
        <v>2</v>
      </c>
      <c r="AJ2208">
        <v>0</v>
      </c>
      <c r="AK2208">
        <v>147.85</v>
      </c>
      <c r="AN2208" t="s">
        <v>11050</v>
      </c>
      <c r="AO2208">
        <v>24336</v>
      </c>
      <c r="AU2208">
        <v>5.4</v>
      </c>
      <c r="AV2208" t="s">
        <v>11445</v>
      </c>
      <c r="AW2208" t="s">
        <v>93</v>
      </c>
    </row>
    <row r="2209" spans="1:49">
      <c r="A2209" s="1">
        <f>HYPERLINK("https://cms.ls-nyc.org/matter/dynamic-profile/view/1864513","18-1864513")</f>
        <v>0</v>
      </c>
      <c r="B2209" t="s">
        <v>92</v>
      </c>
      <c r="C2209" t="s">
        <v>235</v>
      </c>
      <c r="D2209" t="s">
        <v>256</v>
      </c>
      <c r="F2209" t="s">
        <v>1980</v>
      </c>
      <c r="G2209" t="s">
        <v>3286</v>
      </c>
      <c r="H2209" t="s">
        <v>3579</v>
      </c>
      <c r="I2209">
        <v>410</v>
      </c>
      <c r="J2209" t="s">
        <v>5323</v>
      </c>
      <c r="K2209">
        <v>10029</v>
      </c>
      <c r="L2209" t="s">
        <v>5355</v>
      </c>
      <c r="M2209" t="s">
        <v>5355</v>
      </c>
      <c r="N2209" t="s">
        <v>5632</v>
      </c>
      <c r="O2209" t="s">
        <v>6494</v>
      </c>
      <c r="P2209" t="s">
        <v>6530</v>
      </c>
      <c r="R2209" t="s">
        <v>6539</v>
      </c>
      <c r="S2209" t="s">
        <v>5355</v>
      </c>
      <c r="U2209" t="s">
        <v>6557</v>
      </c>
      <c r="V2209" t="s">
        <v>6566</v>
      </c>
      <c r="W2209" t="s">
        <v>256</v>
      </c>
      <c r="X2209">
        <v>0</v>
      </c>
      <c r="Y2209" t="s">
        <v>6608</v>
      </c>
      <c r="Z2209" t="s">
        <v>6622</v>
      </c>
      <c r="AB2209" t="s">
        <v>8457</v>
      </c>
      <c r="AE2209">
        <v>108</v>
      </c>
      <c r="AF2209" t="s">
        <v>11008</v>
      </c>
      <c r="AG2209" t="s">
        <v>11020</v>
      </c>
      <c r="AH2209">
        <v>19</v>
      </c>
      <c r="AI2209">
        <v>2</v>
      </c>
      <c r="AJ2209">
        <v>0</v>
      </c>
      <c r="AK2209">
        <v>148.19</v>
      </c>
      <c r="AN2209" t="s">
        <v>11049</v>
      </c>
      <c r="AO2209">
        <v>24392</v>
      </c>
      <c r="AU2209">
        <v>0.5</v>
      </c>
      <c r="AV2209" t="s">
        <v>11453</v>
      </c>
      <c r="AW2209" t="s">
        <v>11497</v>
      </c>
    </row>
    <row r="2210" spans="1:49">
      <c r="A2210" s="1">
        <f>HYPERLINK("https://cms.ls-nyc.org/matter/dynamic-profile/view/1844225","17-1844225")</f>
        <v>0</v>
      </c>
      <c r="B2210" t="s">
        <v>106</v>
      </c>
      <c r="C2210" t="s">
        <v>234</v>
      </c>
      <c r="D2210" t="s">
        <v>495</v>
      </c>
      <c r="E2210" t="s">
        <v>665</v>
      </c>
      <c r="F2210" t="s">
        <v>1914</v>
      </c>
      <c r="G2210" t="s">
        <v>2617</v>
      </c>
      <c r="H2210" t="s">
        <v>4489</v>
      </c>
      <c r="I2210" t="s">
        <v>5028</v>
      </c>
      <c r="J2210" t="s">
        <v>5321</v>
      </c>
      <c r="K2210">
        <v>10453</v>
      </c>
      <c r="L2210" t="s">
        <v>5355</v>
      </c>
      <c r="M2210" t="s">
        <v>5356</v>
      </c>
      <c r="N2210" t="s">
        <v>6277</v>
      </c>
      <c r="O2210" t="s">
        <v>6492</v>
      </c>
      <c r="P2210" t="s">
        <v>6530</v>
      </c>
      <c r="Q2210" t="s">
        <v>6534</v>
      </c>
      <c r="R2210" t="s">
        <v>6539</v>
      </c>
      <c r="S2210" t="s">
        <v>5357</v>
      </c>
      <c r="U2210" t="s">
        <v>6557</v>
      </c>
      <c r="W2210" t="s">
        <v>418</v>
      </c>
      <c r="X2210">
        <v>818</v>
      </c>
      <c r="Y2210" t="s">
        <v>6606</v>
      </c>
      <c r="Z2210" t="s">
        <v>6619</v>
      </c>
      <c r="AA2210" t="s">
        <v>6637</v>
      </c>
      <c r="AB2210" t="s">
        <v>8322</v>
      </c>
      <c r="AC2210" t="s">
        <v>9045</v>
      </c>
      <c r="AD2210" t="s">
        <v>10645</v>
      </c>
      <c r="AE2210">
        <v>87</v>
      </c>
      <c r="AF2210" t="s">
        <v>11013</v>
      </c>
      <c r="AG2210" t="s">
        <v>5406</v>
      </c>
      <c r="AH2210">
        <v>14</v>
      </c>
      <c r="AI2210">
        <v>1</v>
      </c>
      <c r="AJ2210">
        <v>0</v>
      </c>
      <c r="AK2210">
        <v>148.36</v>
      </c>
      <c r="AN2210" t="s">
        <v>11050</v>
      </c>
      <c r="AO2210">
        <v>17892</v>
      </c>
      <c r="AT2210" t="s">
        <v>11324</v>
      </c>
      <c r="AU2210">
        <v>102.2</v>
      </c>
      <c r="AV2210" t="s">
        <v>409</v>
      </c>
      <c r="AW2210" t="s">
        <v>11524</v>
      </c>
    </row>
    <row r="2211" spans="1:49">
      <c r="A2211" s="1">
        <f>HYPERLINK("https://cms.ls-nyc.org/matter/dynamic-profile/view/1856199","18-1856199")</f>
        <v>0</v>
      </c>
      <c r="B2211" t="s">
        <v>101</v>
      </c>
      <c r="C2211" t="s">
        <v>234</v>
      </c>
      <c r="D2211" t="s">
        <v>290</v>
      </c>
      <c r="E2211" t="s">
        <v>757</v>
      </c>
      <c r="F2211" t="s">
        <v>1710</v>
      </c>
      <c r="G2211" t="s">
        <v>3287</v>
      </c>
      <c r="H2211" t="s">
        <v>4579</v>
      </c>
      <c r="I2211" t="s">
        <v>4825</v>
      </c>
      <c r="J2211" t="s">
        <v>5320</v>
      </c>
      <c r="K2211">
        <v>11239</v>
      </c>
      <c r="L2211" t="s">
        <v>5355</v>
      </c>
      <c r="M2211" t="s">
        <v>5355</v>
      </c>
      <c r="N2211" t="s">
        <v>6278</v>
      </c>
      <c r="O2211" t="s">
        <v>6492</v>
      </c>
      <c r="P2211" t="s">
        <v>6530</v>
      </c>
      <c r="Q2211" t="s">
        <v>6534</v>
      </c>
      <c r="R2211" t="s">
        <v>6539</v>
      </c>
      <c r="S2211" t="s">
        <v>5357</v>
      </c>
      <c r="U2211" t="s">
        <v>6557</v>
      </c>
      <c r="W2211" t="s">
        <v>290</v>
      </c>
      <c r="X2211">
        <v>961</v>
      </c>
      <c r="Y2211" t="s">
        <v>6605</v>
      </c>
      <c r="Z2211" t="s">
        <v>6613</v>
      </c>
      <c r="AA2211" t="s">
        <v>6651</v>
      </c>
      <c r="AB2211" t="s">
        <v>8458</v>
      </c>
      <c r="AD2211" t="s">
        <v>10774</v>
      </c>
      <c r="AE2211">
        <v>56</v>
      </c>
      <c r="AF2211" t="s">
        <v>11014</v>
      </c>
      <c r="AG2211" t="s">
        <v>11020</v>
      </c>
      <c r="AH2211">
        <v>28</v>
      </c>
      <c r="AI2211">
        <v>3</v>
      </c>
      <c r="AJ2211">
        <v>0</v>
      </c>
      <c r="AK2211">
        <v>148.46</v>
      </c>
      <c r="AN2211" t="s">
        <v>11050</v>
      </c>
      <c r="AO2211">
        <v>30316</v>
      </c>
      <c r="AU2211">
        <v>11.5</v>
      </c>
      <c r="AV2211" t="s">
        <v>600</v>
      </c>
      <c r="AW2211" t="s">
        <v>11512</v>
      </c>
    </row>
    <row r="2212" spans="1:49">
      <c r="A2212" s="1">
        <f>HYPERLINK("https://cms.ls-nyc.org/matter/dynamic-profile/view/1869128","18-1869128")</f>
        <v>0</v>
      </c>
      <c r="B2212" t="s">
        <v>84</v>
      </c>
      <c r="C2212" t="s">
        <v>235</v>
      </c>
      <c r="D2212" t="s">
        <v>375</v>
      </c>
      <c r="F2212" t="s">
        <v>1981</v>
      </c>
      <c r="G2212" t="s">
        <v>2891</v>
      </c>
      <c r="H2212" t="s">
        <v>4580</v>
      </c>
      <c r="I2212">
        <v>3</v>
      </c>
      <c r="J2212" t="s">
        <v>5320</v>
      </c>
      <c r="K2212">
        <v>11208</v>
      </c>
      <c r="L2212" t="s">
        <v>5355</v>
      </c>
      <c r="M2212" t="s">
        <v>5356</v>
      </c>
      <c r="N2212" t="s">
        <v>6279</v>
      </c>
      <c r="O2212" t="s">
        <v>6491</v>
      </c>
      <c r="P2212" t="s">
        <v>6530</v>
      </c>
      <c r="R2212" t="s">
        <v>6539</v>
      </c>
      <c r="S2212" t="s">
        <v>5357</v>
      </c>
      <c r="U2212" t="s">
        <v>6557</v>
      </c>
      <c r="W2212" t="s">
        <v>313</v>
      </c>
      <c r="X2212">
        <v>851</v>
      </c>
      <c r="Y2212" t="s">
        <v>6605</v>
      </c>
      <c r="Z2212" t="s">
        <v>6613</v>
      </c>
      <c r="AB2212" t="s">
        <v>8459</v>
      </c>
      <c r="AC2212" t="s">
        <v>5406</v>
      </c>
      <c r="AD2212" t="s">
        <v>10775</v>
      </c>
      <c r="AE2212">
        <v>50</v>
      </c>
      <c r="AF2212" t="s">
        <v>11005</v>
      </c>
      <c r="AG2212" t="s">
        <v>5406</v>
      </c>
      <c r="AH2212">
        <v>12</v>
      </c>
      <c r="AI2212">
        <v>3</v>
      </c>
      <c r="AJ2212">
        <v>0</v>
      </c>
      <c r="AK2212">
        <v>149.18</v>
      </c>
      <c r="AN2212" t="s">
        <v>11050</v>
      </c>
      <c r="AO2212">
        <v>31000</v>
      </c>
      <c r="AU2212">
        <v>21.41</v>
      </c>
      <c r="AV2212" t="s">
        <v>11482</v>
      </c>
      <c r="AW2212" t="s">
        <v>11512</v>
      </c>
    </row>
    <row r="2213" spans="1:49">
      <c r="A2213" s="1">
        <f>HYPERLINK("https://cms.ls-nyc.org/matter/dynamic-profile/view/1841884","17-1841884")</f>
        <v>0</v>
      </c>
      <c r="B2213" t="s">
        <v>92</v>
      </c>
      <c r="C2213" t="s">
        <v>234</v>
      </c>
      <c r="D2213" t="s">
        <v>323</v>
      </c>
      <c r="E2213" t="s">
        <v>686</v>
      </c>
      <c r="F2213" t="s">
        <v>966</v>
      </c>
      <c r="G2213" t="s">
        <v>2105</v>
      </c>
      <c r="H2213" t="s">
        <v>3692</v>
      </c>
      <c r="I2213" t="s">
        <v>4776</v>
      </c>
      <c r="J2213" t="s">
        <v>5323</v>
      </c>
      <c r="K2213">
        <v>10040</v>
      </c>
      <c r="L2213" t="s">
        <v>5355</v>
      </c>
      <c r="M2213" t="s">
        <v>5355</v>
      </c>
      <c r="N2213" t="s">
        <v>5478</v>
      </c>
      <c r="O2213" t="s">
        <v>6494</v>
      </c>
      <c r="P2213" t="s">
        <v>6530</v>
      </c>
      <c r="Q2213" t="s">
        <v>6534</v>
      </c>
      <c r="R2213" t="s">
        <v>6539</v>
      </c>
      <c r="S2213" t="s">
        <v>5355</v>
      </c>
      <c r="U2213" t="s">
        <v>6557</v>
      </c>
      <c r="W2213" t="s">
        <v>404</v>
      </c>
      <c r="X2213">
        <v>850.98</v>
      </c>
      <c r="Y2213" t="s">
        <v>6608</v>
      </c>
      <c r="Z2213" t="s">
        <v>6616</v>
      </c>
      <c r="AA2213" t="s">
        <v>6634</v>
      </c>
      <c r="AB2213" t="s">
        <v>8460</v>
      </c>
      <c r="AE2213">
        <v>31</v>
      </c>
      <c r="AF2213" t="s">
        <v>11005</v>
      </c>
      <c r="AG2213" t="s">
        <v>5406</v>
      </c>
      <c r="AH2213">
        <v>20</v>
      </c>
      <c r="AI2213">
        <v>1</v>
      </c>
      <c r="AJ2213">
        <v>0</v>
      </c>
      <c r="AK2213">
        <v>149.25</v>
      </c>
      <c r="AN2213" t="s">
        <v>11049</v>
      </c>
      <c r="AO2213">
        <v>18000</v>
      </c>
      <c r="AP2213" t="s">
        <v>11089</v>
      </c>
      <c r="AQ2213" t="s">
        <v>11190</v>
      </c>
      <c r="AR2213" t="s">
        <v>11203</v>
      </c>
      <c r="AS2213" t="s">
        <v>11253</v>
      </c>
      <c r="AT2213" t="s">
        <v>11302</v>
      </c>
      <c r="AU2213">
        <v>2.7</v>
      </c>
      <c r="AV2213" t="s">
        <v>686</v>
      </c>
      <c r="AW2213" t="s">
        <v>11495</v>
      </c>
    </row>
    <row r="2214" spans="1:49">
      <c r="A2214" s="1">
        <f>HYPERLINK("https://cms.ls-nyc.org/matter/dynamic-profile/view/1864054","18-1864054")</f>
        <v>0</v>
      </c>
      <c r="B2214" t="s">
        <v>111</v>
      </c>
      <c r="C2214" t="s">
        <v>235</v>
      </c>
      <c r="D2214" t="s">
        <v>357</v>
      </c>
      <c r="F2214" t="s">
        <v>1228</v>
      </c>
      <c r="G2214" t="s">
        <v>2682</v>
      </c>
      <c r="H2214" t="s">
        <v>4075</v>
      </c>
      <c r="I2214" t="s">
        <v>4738</v>
      </c>
      <c r="J2214" t="s">
        <v>5323</v>
      </c>
      <c r="K2214">
        <v>10040</v>
      </c>
      <c r="L2214" t="s">
        <v>5355</v>
      </c>
      <c r="M2214" t="s">
        <v>5356</v>
      </c>
      <c r="N2214" t="s">
        <v>5591</v>
      </c>
      <c r="O2214" t="s">
        <v>6494</v>
      </c>
      <c r="P2214" t="s">
        <v>6530</v>
      </c>
      <c r="R2214" t="s">
        <v>6539</v>
      </c>
      <c r="S2214" t="s">
        <v>5355</v>
      </c>
      <c r="U2214" t="s">
        <v>6557</v>
      </c>
      <c r="W2214" t="s">
        <v>357</v>
      </c>
      <c r="X2214">
        <v>1398.48</v>
      </c>
      <c r="Y2214" t="s">
        <v>6608</v>
      </c>
      <c r="Z2214" t="s">
        <v>6614</v>
      </c>
      <c r="AB2214" t="s">
        <v>8461</v>
      </c>
      <c r="AD2214" t="s">
        <v>10776</v>
      </c>
      <c r="AE2214">
        <v>44</v>
      </c>
      <c r="AF2214" t="s">
        <v>11005</v>
      </c>
      <c r="AG2214" t="s">
        <v>5406</v>
      </c>
      <c r="AH2214">
        <v>18</v>
      </c>
      <c r="AI2214">
        <v>1</v>
      </c>
      <c r="AJ2214">
        <v>0</v>
      </c>
      <c r="AK2214">
        <v>149.92</v>
      </c>
      <c r="AL2214" t="s">
        <v>11035</v>
      </c>
      <c r="AN2214" t="s">
        <v>11049</v>
      </c>
      <c r="AO2214">
        <v>18200</v>
      </c>
      <c r="AU2214">
        <v>0</v>
      </c>
      <c r="AW2214" t="s">
        <v>11495</v>
      </c>
    </row>
    <row r="2215" spans="1:49">
      <c r="A2215" s="1">
        <f>HYPERLINK("https://cms.ls-nyc.org/matter/dynamic-profile/view/0795120","15-0795120")</f>
        <v>0</v>
      </c>
      <c r="B2215" t="s">
        <v>51</v>
      </c>
      <c r="C2215" t="s">
        <v>234</v>
      </c>
      <c r="D2215" t="s">
        <v>637</v>
      </c>
      <c r="E2215" t="s">
        <v>791</v>
      </c>
      <c r="F2215" t="s">
        <v>1982</v>
      </c>
      <c r="G2215" t="s">
        <v>2448</v>
      </c>
      <c r="H2215" t="s">
        <v>4581</v>
      </c>
      <c r="I2215" t="s">
        <v>5272</v>
      </c>
      <c r="J2215" t="s">
        <v>5337</v>
      </c>
      <c r="K2215">
        <v>11372</v>
      </c>
      <c r="L2215" t="s">
        <v>5355</v>
      </c>
      <c r="M2215" t="s">
        <v>5356</v>
      </c>
      <c r="N2215" t="s">
        <v>6280</v>
      </c>
      <c r="O2215" t="s">
        <v>6492</v>
      </c>
      <c r="P2215" t="s">
        <v>6530</v>
      </c>
      <c r="Q2215" t="s">
        <v>6534</v>
      </c>
      <c r="R2215" t="s">
        <v>6539</v>
      </c>
      <c r="S2215" t="s">
        <v>5357</v>
      </c>
      <c r="T2215" t="s">
        <v>6547</v>
      </c>
      <c r="U2215" t="s">
        <v>6557</v>
      </c>
      <c r="W2215" t="s">
        <v>404</v>
      </c>
      <c r="X2215">
        <v>1036.32</v>
      </c>
      <c r="Y2215" t="s">
        <v>6604</v>
      </c>
      <c r="Z2215" t="s">
        <v>6622</v>
      </c>
      <c r="AA2215" t="s">
        <v>6637</v>
      </c>
      <c r="AB2215" t="s">
        <v>8462</v>
      </c>
      <c r="AC2215" t="s">
        <v>9070</v>
      </c>
      <c r="AE2215">
        <v>10</v>
      </c>
      <c r="AF2215" t="s">
        <v>11005</v>
      </c>
      <c r="AG2215" t="s">
        <v>5406</v>
      </c>
      <c r="AH2215">
        <v>12</v>
      </c>
      <c r="AI2215">
        <v>3</v>
      </c>
      <c r="AJ2215">
        <v>1</v>
      </c>
      <c r="AK2215">
        <v>150.1</v>
      </c>
      <c r="AN2215" t="s">
        <v>11049</v>
      </c>
      <c r="AO2215">
        <v>41600</v>
      </c>
      <c r="AP2215" t="s">
        <v>11136</v>
      </c>
      <c r="AU2215">
        <v>17.3</v>
      </c>
      <c r="AV2215" t="s">
        <v>551</v>
      </c>
      <c r="AW2215" t="s">
        <v>51</v>
      </c>
    </row>
    <row r="2216" spans="1:49">
      <c r="A2216" s="1">
        <f>HYPERLINK("https://cms.ls-nyc.org/matter/dynamic-profile/view/0802902","16-0802902")</f>
        <v>0</v>
      </c>
      <c r="B2216" t="s">
        <v>178</v>
      </c>
      <c r="C2216" t="s">
        <v>235</v>
      </c>
      <c r="D2216" t="s">
        <v>610</v>
      </c>
      <c r="F2216" t="s">
        <v>1983</v>
      </c>
      <c r="G2216" t="s">
        <v>1578</v>
      </c>
      <c r="H2216" t="s">
        <v>4582</v>
      </c>
      <c r="I2216">
        <v>23</v>
      </c>
      <c r="J2216" t="s">
        <v>5320</v>
      </c>
      <c r="K2216">
        <v>11225</v>
      </c>
      <c r="L2216" t="s">
        <v>5355</v>
      </c>
      <c r="M2216" t="s">
        <v>5356</v>
      </c>
      <c r="N2216" t="s">
        <v>6281</v>
      </c>
      <c r="O2216" t="s">
        <v>6491</v>
      </c>
      <c r="P2216" t="s">
        <v>6530</v>
      </c>
      <c r="R2216" t="s">
        <v>6539</v>
      </c>
      <c r="T2216" t="s">
        <v>6544</v>
      </c>
      <c r="U2216" t="s">
        <v>6557</v>
      </c>
      <c r="W2216" t="s">
        <v>6583</v>
      </c>
      <c r="X2216">
        <v>0</v>
      </c>
      <c r="Y2216" t="s">
        <v>6605</v>
      </c>
      <c r="AB2216" t="s">
        <v>8463</v>
      </c>
      <c r="AD2216" t="s">
        <v>10777</v>
      </c>
      <c r="AE2216">
        <v>80</v>
      </c>
      <c r="AH2216">
        <v>0</v>
      </c>
      <c r="AI2216">
        <v>1</v>
      </c>
      <c r="AJ2216">
        <v>0</v>
      </c>
      <c r="AK2216">
        <v>150.31</v>
      </c>
      <c r="AN2216" t="s">
        <v>11050</v>
      </c>
      <c r="AO2216">
        <v>17857.06</v>
      </c>
      <c r="AU2216">
        <v>80.05</v>
      </c>
      <c r="AV2216" t="s">
        <v>702</v>
      </c>
      <c r="AW2216" t="s">
        <v>11541</v>
      </c>
    </row>
    <row r="2217" spans="1:49">
      <c r="A2217" s="1">
        <f>HYPERLINK("https://cms.ls-nyc.org/matter/dynamic-profile/view/1851168","17-1851168")</f>
        <v>0</v>
      </c>
      <c r="B2217" t="s">
        <v>67</v>
      </c>
      <c r="C2217" t="s">
        <v>234</v>
      </c>
      <c r="D2217" t="s">
        <v>367</v>
      </c>
      <c r="E2217" t="s">
        <v>677</v>
      </c>
      <c r="F2217" t="s">
        <v>1551</v>
      </c>
      <c r="G2217" t="s">
        <v>2831</v>
      </c>
      <c r="H2217" t="s">
        <v>4098</v>
      </c>
      <c r="I2217" t="s">
        <v>5075</v>
      </c>
      <c r="J2217" t="s">
        <v>5323</v>
      </c>
      <c r="K2217">
        <v>10029</v>
      </c>
      <c r="L2217" t="s">
        <v>5355</v>
      </c>
      <c r="M2217" t="s">
        <v>5355</v>
      </c>
      <c r="N2217" t="s">
        <v>6282</v>
      </c>
      <c r="O2217" t="s">
        <v>6492</v>
      </c>
      <c r="P2217" t="s">
        <v>6530</v>
      </c>
      <c r="Q2217" t="s">
        <v>6534</v>
      </c>
      <c r="R2217" t="s">
        <v>6539</v>
      </c>
      <c r="S2217" t="s">
        <v>5355</v>
      </c>
      <c r="U2217" t="s">
        <v>6557</v>
      </c>
      <c r="V2217" t="s">
        <v>6566</v>
      </c>
      <c r="W2217" t="s">
        <v>372</v>
      </c>
      <c r="X2217">
        <v>3072</v>
      </c>
      <c r="Y2217" t="s">
        <v>6608</v>
      </c>
      <c r="Z2217" t="s">
        <v>6614</v>
      </c>
      <c r="AA2217" t="s">
        <v>6637</v>
      </c>
      <c r="AB2217" t="s">
        <v>7669</v>
      </c>
      <c r="AD2217" t="s">
        <v>10029</v>
      </c>
      <c r="AE2217">
        <v>272</v>
      </c>
      <c r="AF2217" t="s">
        <v>11014</v>
      </c>
      <c r="AG2217" t="s">
        <v>11020</v>
      </c>
      <c r="AH2217">
        <v>12</v>
      </c>
      <c r="AI2217">
        <v>1</v>
      </c>
      <c r="AJ2217">
        <v>0</v>
      </c>
      <c r="AK2217">
        <v>150.56</v>
      </c>
      <c r="AN2217" t="s">
        <v>11050</v>
      </c>
      <c r="AO2217">
        <v>18158.04</v>
      </c>
      <c r="AU2217">
        <v>54.85</v>
      </c>
      <c r="AV2217" t="s">
        <v>600</v>
      </c>
      <c r="AW2217" t="s">
        <v>11514</v>
      </c>
    </row>
    <row r="2218" spans="1:49">
      <c r="A2218" s="1">
        <f>HYPERLINK("https://cms.ls-nyc.org/matter/dynamic-profile/view/0776227","15-0776227")</f>
        <v>0</v>
      </c>
      <c r="B2218" t="s">
        <v>55</v>
      </c>
      <c r="C2218" t="s">
        <v>234</v>
      </c>
      <c r="D2218" t="s">
        <v>638</v>
      </c>
      <c r="E2218" t="s">
        <v>774</v>
      </c>
      <c r="F2218" t="s">
        <v>1984</v>
      </c>
      <c r="G2218" t="s">
        <v>2278</v>
      </c>
      <c r="H2218" t="s">
        <v>4583</v>
      </c>
      <c r="I2218" t="s">
        <v>5273</v>
      </c>
      <c r="J2218" t="s">
        <v>5320</v>
      </c>
      <c r="K2218">
        <v>11216</v>
      </c>
      <c r="L2218" t="s">
        <v>5355</v>
      </c>
      <c r="M2218" t="s">
        <v>5356</v>
      </c>
      <c r="N2218" t="s">
        <v>6283</v>
      </c>
      <c r="O2218" t="s">
        <v>6521</v>
      </c>
      <c r="P2218" t="s">
        <v>6530</v>
      </c>
      <c r="Q2218" t="s">
        <v>6534</v>
      </c>
      <c r="R2218" t="s">
        <v>6539</v>
      </c>
      <c r="T2218" t="s">
        <v>6552</v>
      </c>
      <c r="U2218" t="s">
        <v>6557</v>
      </c>
      <c r="W2218" t="s">
        <v>6583</v>
      </c>
      <c r="X2218">
        <v>0</v>
      </c>
      <c r="Y2218" t="s">
        <v>6605</v>
      </c>
      <c r="AA2218" t="s">
        <v>6642</v>
      </c>
      <c r="AB2218" t="s">
        <v>8464</v>
      </c>
      <c r="AD2218" t="s">
        <v>10778</v>
      </c>
      <c r="AE2218">
        <v>16</v>
      </c>
      <c r="AF2218" t="s">
        <v>11005</v>
      </c>
      <c r="AH2218">
        <v>1</v>
      </c>
      <c r="AI2218">
        <v>2</v>
      </c>
      <c r="AJ2218">
        <v>0</v>
      </c>
      <c r="AK2218">
        <v>150.66</v>
      </c>
      <c r="AN2218" t="s">
        <v>11050</v>
      </c>
      <c r="AO2218">
        <v>24000</v>
      </c>
      <c r="AU2218">
        <v>5</v>
      </c>
      <c r="AV2218" t="s">
        <v>774</v>
      </c>
      <c r="AW2218" t="s">
        <v>11503</v>
      </c>
    </row>
    <row r="2219" spans="1:49">
      <c r="A2219" s="1">
        <f>HYPERLINK("https://cms.ls-nyc.org/matter/dynamic-profile/view/1867127","18-1867127")</f>
        <v>0</v>
      </c>
      <c r="B2219" t="s">
        <v>131</v>
      </c>
      <c r="C2219" t="s">
        <v>235</v>
      </c>
      <c r="D2219" t="s">
        <v>391</v>
      </c>
      <c r="F2219" t="s">
        <v>914</v>
      </c>
      <c r="G2219" t="s">
        <v>2761</v>
      </c>
      <c r="H2219" t="s">
        <v>4584</v>
      </c>
      <c r="I2219">
        <v>46</v>
      </c>
      <c r="J2219" t="s">
        <v>5323</v>
      </c>
      <c r="K2219">
        <v>10032</v>
      </c>
      <c r="L2219" t="s">
        <v>5355</v>
      </c>
      <c r="M2219" t="s">
        <v>5356</v>
      </c>
      <c r="N2219" t="s">
        <v>6284</v>
      </c>
      <c r="O2219" t="s">
        <v>6496</v>
      </c>
      <c r="P2219" t="s">
        <v>6530</v>
      </c>
      <c r="R2219" t="s">
        <v>6539</v>
      </c>
      <c r="S2219" t="s">
        <v>5357</v>
      </c>
      <c r="U2219" t="s">
        <v>6557</v>
      </c>
      <c r="V2219" t="s">
        <v>6566</v>
      </c>
      <c r="W2219" t="s">
        <v>391</v>
      </c>
      <c r="X2219">
        <v>1670</v>
      </c>
      <c r="Y2219" t="s">
        <v>6608</v>
      </c>
      <c r="Z2219" t="s">
        <v>6616</v>
      </c>
      <c r="AB2219" t="s">
        <v>8465</v>
      </c>
      <c r="AD2219" t="s">
        <v>10779</v>
      </c>
      <c r="AE2219">
        <v>40</v>
      </c>
      <c r="AF2219" t="s">
        <v>11005</v>
      </c>
      <c r="AG2219" t="s">
        <v>5406</v>
      </c>
      <c r="AH2219">
        <v>28</v>
      </c>
      <c r="AI2219">
        <v>4</v>
      </c>
      <c r="AJ2219">
        <v>0</v>
      </c>
      <c r="AK2219">
        <v>151.39</v>
      </c>
      <c r="AN2219" t="s">
        <v>11049</v>
      </c>
      <c r="AO2219">
        <v>38000</v>
      </c>
      <c r="AU2219">
        <v>108</v>
      </c>
      <c r="AV2219" t="s">
        <v>777</v>
      </c>
      <c r="AW2219" t="s">
        <v>11495</v>
      </c>
    </row>
    <row r="2220" spans="1:49">
      <c r="A2220" s="1">
        <f>HYPERLINK("https://cms.ls-nyc.org/matter/dynamic-profile/view/0805023","16-0805023")</f>
        <v>0</v>
      </c>
      <c r="B2220" t="s">
        <v>101</v>
      </c>
      <c r="C2220" t="s">
        <v>234</v>
      </c>
      <c r="D2220" t="s">
        <v>639</v>
      </c>
      <c r="E2220" t="s">
        <v>667</v>
      </c>
      <c r="F2220" t="s">
        <v>1985</v>
      </c>
      <c r="G2220" t="s">
        <v>2259</v>
      </c>
      <c r="H2220" t="s">
        <v>4585</v>
      </c>
      <c r="I2220" t="s">
        <v>4880</v>
      </c>
      <c r="J2220" t="s">
        <v>5320</v>
      </c>
      <c r="K2220">
        <v>11226</v>
      </c>
      <c r="L2220" t="s">
        <v>5355</v>
      </c>
      <c r="M2220" t="s">
        <v>5356</v>
      </c>
      <c r="N2220" t="s">
        <v>6285</v>
      </c>
      <c r="O2220" t="s">
        <v>6491</v>
      </c>
      <c r="P2220" t="s">
        <v>6530</v>
      </c>
      <c r="Q2220" t="s">
        <v>6535</v>
      </c>
      <c r="R2220" t="s">
        <v>6539</v>
      </c>
      <c r="S2220" t="s">
        <v>5355</v>
      </c>
      <c r="T2220" t="s">
        <v>6544</v>
      </c>
      <c r="U2220" t="s">
        <v>6557</v>
      </c>
      <c r="W2220" t="s">
        <v>262</v>
      </c>
      <c r="X2220">
        <v>1800</v>
      </c>
      <c r="Y2220" t="s">
        <v>6605</v>
      </c>
      <c r="Z2220" t="s">
        <v>6627</v>
      </c>
      <c r="AA2220" t="s">
        <v>6637</v>
      </c>
      <c r="AB2220" t="s">
        <v>8466</v>
      </c>
      <c r="AC2220" t="s">
        <v>9071</v>
      </c>
      <c r="AD2220" t="s">
        <v>10780</v>
      </c>
      <c r="AE2220">
        <v>65</v>
      </c>
      <c r="AF2220" t="s">
        <v>8722</v>
      </c>
      <c r="AH2220">
        <v>3</v>
      </c>
      <c r="AI2220">
        <v>1</v>
      </c>
      <c r="AJ2220">
        <v>0</v>
      </c>
      <c r="AK2220">
        <v>151.52</v>
      </c>
      <c r="AN2220" t="s">
        <v>11050</v>
      </c>
      <c r="AO2220">
        <v>18000</v>
      </c>
      <c r="AQ2220" t="s">
        <v>11192</v>
      </c>
      <c r="AR2220" t="s">
        <v>11210</v>
      </c>
      <c r="AS2220" t="s">
        <v>11253</v>
      </c>
      <c r="AT2220" t="s">
        <v>11355</v>
      </c>
      <c r="AU2220">
        <v>124.41</v>
      </c>
      <c r="AV2220" t="s">
        <v>822</v>
      </c>
      <c r="AW2220" t="s">
        <v>11488</v>
      </c>
    </row>
    <row r="2221" spans="1:49">
      <c r="A2221" s="1">
        <f>HYPERLINK("https://cms.ls-nyc.org/matter/dynamic-profile/view/0830541","17-0830541")</f>
        <v>0</v>
      </c>
      <c r="B2221" t="s">
        <v>194</v>
      </c>
      <c r="C2221" t="s">
        <v>234</v>
      </c>
      <c r="D2221" t="s">
        <v>506</v>
      </c>
      <c r="E2221" t="s">
        <v>791</v>
      </c>
      <c r="F2221" t="s">
        <v>1130</v>
      </c>
      <c r="G2221" t="s">
        <v>3288</v>
      </c>
      <c r="H2221" t="s">
        <v>4229</v>
      </c>
      <c r="I2221" t="s">
        <v>5129</v>
      </c>
      <c r="J2221" t="s">
        <v>5320</v>
      </c>
      <c r="K2221">
        <v>11233</v>
      </c>
      <c r="L2221" t="s">
        <v>5355</v>
      </c>
      <c r="M2221" t="s">
        <v>5356</v>
      </c>
      <c r="N2221" t="s">
        <v>6286</v>
      </c>
      <c r="O2221" t="s">
        <v>6492</v>
      </c>
      <c r="P2221" t="s">
        <v>6530</v>
      </c>
      <c r="Q2221" t="s">
        <v>6537</v>
      </c>
      <c r="R2221" t="s">
        <v>6539</v>
      </c>
      <c r="U2221" t="s">
        <v>6557</v>
      </c>
      <c r="W2221" t="s">
        <v>6583</v>
      </c>
      <c r="X2221">
        <v>803</v>
      </c>
      <c r="Y2221" t="s">
        <v>6605</v>
      </c>
      <c r="AA2221" t="s">
        <v>6637</v>
      </c>
      <c r="AB2221" t="s">
        <v>8467</v>
      </c>
      <c r="AD2221" t="s">
        <v>10781</v>
      </c>
      <c r="AE2221">
        <v>762</v>
      </c>
      <c r="AF2221" t="s">
        <v>11005</v>
      </c>
      <c r="AH2221">
        <v>0</v>
      </c>
      <c r="AI2221">
        <v>1</v>
      </c>
      <c r="AJ2221">
        <v>0</v>
      </c>
      <c r="AK2221">
        <v>151.77</v>
      </c>
      <c r="AN2221" t="s">
        <v>11050</v>
      </c>
      <c r="AO2221">
        <v>18304</v>
      </c>
      <c r="AP2221" t="s">
        <v>11172</v>
      </c>
      <c r="AR2221" t="s">
        <v>11210</v>
      </c>
      <c r="AS2221" t="s">
        <v>11253</v>
      </c>
      <c r="AT2221" t="s">
        <v>11303</v>
      </c>
      <c r="AU2221">
        <v>13.3</v>
      </c>
      <c r="AV2221" t="s">
        <v>263</v>
      </c>
      <c r="AW2221" t="s">
        <v>11489</v>
      </c>
    </row>
    <row r="2222" spans="1:49">
      <c r="A2222" s="1">
        <f>HYPERLINK("https://cms.ls-nyc.org/matter/dynamic-profile/view/1865326","18-1865326")</f>
        <v>0</v>
      </c>
      <c r="B2222" t="s">
        <v>56</v>
      </c>
      <c r="C2222" t="s">
        <v>234</v>
      </c>
      <c r="D2222" t="s">
        <v>496</v>
      </c>
      <c r="E2222" t="s">
        <v>665</v>
      </c>
      <c r="F2222" t="s">
        <v>1986</v>
      </c>
      <c r="G2222" t="s">
        <v>3289</v>
      </c>
      <c r="H2222" t="s">
        <v>4586</v>
      </c>
      <c r="I2222" t="s">
        <v>4932</v>
      </c>
      <c r="J2222" t="s">
        <v>5321</v>
      </c>
      <c r="K2222">
        <v>10453</v>
      </c>
      <c r="L2222" t="s">
        <v>5355</v>
      </c>
      <c r="M2222" t="s">
        <v>5356</v>
      </c>
      <c r="N2222" t="s">
        <v>6287</v>
      </c>
      <c r="O2222" t="s">
        <v>6491</v>
      </c>
      <c r="P2222" t="s">
        <v>6530</v>
      </c>
      <c r="Q2222" t="s">
        <v>6534</v>
      </c>
      <c r="R2222" t="s">
        <v>6539</v>
      </c>
      <c r="S2222" t="s">
        <v>5357</v>
      </c>
      <c r="U2222" t="s">
        <v>6557</v>
      </c>
      <c r="W2222" t="s">
        <v>516</v>
      </c>
      <c r="X2222">
        <v>1024</v>
      </c>
      <c r="Y2222" t="s">
        <v>6606</v>
      </c>
      <c r="Z2222" t="s">
        <v>6609</v>
      </c>
      <c r="AA2222" t="s">
        <v>6637</v>
      </c>
      <c r="AB2222" t="s">
        <v>8468</v>
      </c>
      <c r="AE2222">
        <v>67</v>
      </c>
      <c r="AF2222" t="s">
        <v>11005</v>
      </c>
      <c r="AG2222" t="s">
        <v>5406</v>
      </c>
      <c r="AH2222">
        <v>14</v>
      </c>
      <c r="AI2222">
        <v>4</v>
      </c>
      <c r="AJ2222">
        <v>1</v>
      </c>
      <c r="AK2222">
        <v>152.55</v>
      </c>
      <c r="AN2222" t="s">
        <v>11049</v>
      </c>
      <c r="AO2222">
        <v>44880</v>
      </c>
      <c r="AT2222" t="s">
        <v>11356</v>
      </c>
      <c r="AU2222">
        <v>4</v>
      </c>
      <c r="AV2222" t="s">
        <v>280</v>
      </c>
      <c r="AW2222" t="s">
        <v>11538</v>
      </c>
    </row>
    <row r="2223" spans="1:49">
      <c r="A2223" s="1">
        <f>HYPERLINK("https://cms.ls-nyc.org/matter/dynamic-profile/view/1841326","17-1841326")</f>
        <v>0</v>
      </c>
      <c r="B2223" t="s">
        <v>156</v>
      </c>
      <c r="C2223" t="s">
        <v>234</v>
      </c>
      <c r="D2223" t="s">
        <v>511</v>
      </c>
      <c r="E2223" t="s">
        <v>717</v>
      </c>
      <c r="F2223" t="s">
        <v>1987</v>
      </c>
      <c r="G2223" t="s">
        <v>3290</v>
      </c>
      <c r="H2223" t="s">
        <v>4587</v>
      </c>
      <c r="I2223" t="s">
        <v>5266</v>
      </c>
      <c r="J2223" t="s">
        <v>5322</v>
      </c>
      <c r="K2223">
        <v>10304</v>
      </c>
      <c r="L2223" t="s">
        <v>5355</v>
      </c>
      <c r="M2223" t="s">
        <v>5356</v>
      </c>
      <c r="N2223" t="s">
        <v>6288</v>
      </c>
      <c r="O2223" t="s">
        <v>6492</v>
      </c>
      <c r="P2223" t="s">
        <v>6530</v>
      </c>
      <c r="Q2223" t="s">
        <v>6534</v>
      </c>
      <c r="R2223" t="s">
        <v>6539</v>
      </c>
      <c r="S2223" t="s">
        <v>5357</v>
      </c>
      <c r="U2223" t="s">
        <v>6560</v>
      </c>
      <c r="W2223" t="s">
        <v>511</v>
      </c>
      <c r="X2223">
        <v>332</v>
      </c>
      <c r="Y2223" t="s">
        <v>6607</v>
      </c>
      <c r="Z2223" t="s">
        <v>6612</v>
      </c>
      <c r="AA2223" t="s">
        <v>6637</v>
      </c>
      <c r="AB2223" t="s">
        <v>8469</v>
      </c>
      <c r="AC2223" t="s">
        <v>5406</v>
      </c>
      <c r="AD2223" t="s">
        <v>10782</v>
      </c>
      <c r="AE2223">
        <v>403</v>
      </c>
      <c r="AF2223" t="s">
        <v>11008</v>
      </c>
      <c r="AG2223" t="s">
        <v>11020</v>
      </c>
      <c r="AH2223">
        <v>-1</v>
      </c>
      <c r="AI2223">
        <v>1</v>
      </c>
      <c r="AJ2223">
        <v>2</v>
      </c>
      <c r="AK2223">
        <v>152.79</v>
      </c>
      <c r="AN2223" t="s">
        <v>11050</v>
      </c>
      <c r="AO2223">
        <v>31200</v>
      </c>
      <c r="AU2223">
        <v>34</v>
      </c>
      <c r="AV2223" t="s">
        <v>785</v>
      </c>
      <c r="AW2223" t="s">
        <v>11510</v>
      </c>
    </row>
    <row r="2224" spans="1:49">
      <c r="A2224" s="1">
        <f>HYPERLINK("https://cms.ls-nyc.org/matter/dynamic-profile/view/1862582","18-1862582")</f>
        <v>0</v>
      </c>
      <c r="B2224" t="s">
        <v>90</v>
      </c>
      <c r="C2224" t="s">
        <v>235</v>
      </c>
      <c r="D2224" t="s">
        <v>408</v>
      </c>
      <c r="F2224" t="s">
        <v>1424</v>
      </c>
      <c r="G2224" t="s">
        <v>2693</v>
      </c>
      <c r="H2224" t="s">
        <v>3589</v>
      </c>
      <c r="I2224" t="s">
        <v>4750</v>
      </c>
      <c r="J2224" t="s">
        <v>5321</v>
      </c>
      <c r="K2224">
        <v>10452</v>
      </c>
      <c r="L2224" t="s">
        <v>5355</v>
      </c>
      <c r="M2224" t="s">
        <v>5356</v>
      </c>
      <c r="N2224" t="s">
        <v>5792</v>
      </c>
      <c r="O2224" t="s">
        <v>6494</v>
      </c>
      <c r="P2224" t="s">
        <v>6530</v>
      </c>
      <c r="R2224" t="s">
        <v>6539</v>
      </c>
      <c r="S2224" t="s">
        <v>5355</v>
      </c>
      <c r="U2224" t="s">
        <v>6557</v>
      </c>
      <c r="W2224" t="s">
        <v>480</v>
      </c>
      <c r="X2224">
        <v>1079</v>
      </c>
      <c r="Y2224" t="s">
        <v>6606</v>
      </c>
      <c r="Z2224" t="s">
        <v>6612</v>
      </c>
      <c r="AB2224" t="s">
        <v>7456</v>
      </c>
      <c r="AC2224" t="s">
        <v>9072</v>
      </c>
      <c r="AD2224" t="s">
        <v>9827</v>
      </c>
      <c r="AE2224">
        <v>60</v>
      </c>
      <c r="AF2224" t="s">
        <v>11005</v>
      </c>
      <c r="AG2224" t="s">
        <v>5406</v>
      </c>
      <c r="AH2224">
        <v>4</v>
      </c>
      <c r="AI2224">
        <v>1</v>
      </c>
      <c r="AJ2224">
        <v>2</v>
      </c>
      <c r="AK2224">
        <v>153.9</v>
      </c>
      <c r="AN2224" t="s">
        <v>11049</v>
      </c>
      <c r="AO2224">
        <v>31980</v>
      </c>
      <c r="AU2224">
        <v>0</v>
      </c>
      <c r="AW2224" t="s">
        <v>11492</v>
      </c>
    </row>
    <row r="2225" spans="1:49">
      <c r="A2225" s="1">
        <f>HYPERLINK("https://cms.ls-nyc.org/matter/dynamic-profile/view/1854804","17-1854804")</f>
        <v>0</v>
      </c>
      <c r="B2225" t="s">
        <v>182</v>
      </c>
      <c r="C2225" t="s">
        <v>234</v>
      </c>
      <c r="D2225" t="s">
        <v>521</v>
      </c>
      <c r="E2225" t="s">
        <v>755</v>
      </c>
      <c r="F2225" t="s">
        <v>1988</v>
      </c>
      <c r="G2225" t="s">
        <v>3138</v>
      </c>
      <c r="H2225" t="s">
        <v>4152</v>
      </c>
      <c r="I2225" t="s">
        <v>4750</v>
      </c>
      <c r="J2225" t="s">
        <v>5322</v>
      </c>
      <c r="K2225">
        <v>10304</v>
      </c>
      <c r="L2225" t="s">
        <v>5355</v>
      </c>
      <c r="M2225" t="s">
        <v>5356</v>
      </c>
      <c r="N2225" t="s">
        <v>6289</v>
      </c>
      <c r="O2225" t="s">
        <v>6492</v>
      </c>
      <c r="P2225" t="s">
        <v>6530</v>
      </c>
      <c r="Q2225" t="s">
        <v>6534</v>
      </c>
      <c r="R2225" t="s">
        <v>6539</v>
      </c>
      <c r="S2225" t="s">
        <v>5357</v>
      </c>
      <c r="U2225" t="s">
        <v>6557</v>
      </c>
      <c r="W2225" t="s">
        <v>521</v>
      </c>
      <c r="X2225">
        <v>774</v>
      </c>
      <c r="Y2225" t="s">
        <v>6607</v>
      </c>
      <c r="Z2225" t="s">
        <v>6614</v>
      </c>
      <c r="AA2225" t="s">
        <v>6637</v>
      </c>
      <c r="AB2225" t="s">
        <v>8470</v>
      </c>
      <c r="AD2225" t="s">
        <v>10783</v>
      </c>
      <c r="AE2225">
        <v>360</v>
      </c>
      <c r="AF2225" t="s">
        <v>11008</v>
      </c>
      <c r="AG2225" t="s">
        <v>11020</v>
      </c>
      <c r="AH2225">
        <v>10</v>
      </c>
      <c r="AI2225">
        <v>2</v>
      </c>
      <c r="AJ2225">
        <v>0</v>
      </c>
      <c r="AK2225">
        <v>153.94</v>
      </c>
      <c r="AN2225" t="s">
        <v>11050</v>
      </c>
      <c r="AO2225">
        <v>25000</v>
      </c>
      <c r="AU2225">
        <v>2.75</v>
      </c>
      <c r="AV2225" t="s">
        <v>342</v>
      </c>
      <c r="AW2225" t="s">
        <v>11510</v>
      </c>
    </row>
    <row r="2226" spans="1:49">
      <c r="A2226" s="1">
        <f>HYPERLINK("https://cms.ls-nyc.org/matter/dynamic-profile/view/0796758","16-0796758")</f>
        <v>0</v>
      </c>
      <c r="B2226" t="s">
        <v>58</v>
      </c>
      <c r="C2226" t="s">
        <v>235</v>
      </c>
      <c r="D2226" t="s">
        <v>603</v>
      </c>
      <c r="F2226" t="s">
        <v>1364</v>
      </c>
      <c r="G2226" t="s">
        <v>1607</v>
      </c>
      <c r="H2226" t="s">
        <v>4007</v>
      </c>
      <c r="I2226" t="s">
        <v>5077</v>
      </c>
      <c r="J2226" t="s">
        <v>5321</v>
      </c>
      <c r="K2226">
        <v>10452</v>
      </c>
      <c r="L2226" t="s">
        <v>5355</v>
      </c>
      <c r="M2226" t="s">
        <v>5356</v>
      </c>
      <c r="N2226" t="s">
        <v>6095</v>
      </c>
      <c r="O2226" t="s">
        <v>6502</v>
      </c>
      <c r="P2226" t="s">
        <v>6530</v>
      </c>
      <c r="R2226" t="s">
        <v>6539</v>
      </c>
      <c r="S2226" t="s">
        <v>5355</v>
      </c>
      <c r="U2226" t="s">
        <v>6557</v>
      </c>
      <c r="W2226" t="s">
        <v>236</v>
      </c>
      <c r="X2226">
        <v>914.08</v>
      </c>
      <c r="Y2226" t="s">
        <v>6606</v>
      </c>
      <c r="Z2226" t="s">
        <v>6612</v>
      </c>
      <c r="AB2226" t="s">
        <v>7671</v>
      </c>
      <c r="AD2226" t="s">
        <v>10031</v>
      </c>
      <c r="AE2226">
        <v>122</v>
      </c>
      <c r="AF2226" t="s">
        <v>11005</v>
      </c>
      <c r="AH2226">
        <v>12</v>
      </c>
      <c r="AI2226">
        <v>1</v>
      </c>
      <c r="AJ2226">
        <v>0</v>
      </c>
      <c r="AK2226">
        <v>154.63</v>
      </c>
      <c r="AN2226" t="s">
        <v>11050</v>
      </c>
      <c r="AO2226">
        <v>18200</v>
      </c>
      <c r="AU2226">
        <v>0.1</v>
      </c>
      <c r="AV2226" t="s">
        <v>11483</v>
      </c>
      <c r="AW2226" t="s">
        <v>11539</v>
      </c>
    </row>
    <row r="2227" spans="1:49">
      <c r="A2227" s="1">
        <f>HYPERLINK("https://cms.ls-nyc.org/matter/dynamic-profile/view/0804124","16-0804124")</f>
        <v>0</v>
      </c>
      <c r="B2227" t="s">
        <v>115</v>
      </c>
      <c r="C2227" t="s">
        <v>235</v>
      </c>
      <c r="D2227" t="s">
        <v>609</v>
      </c>
      <c r="F2227" t="s">
        <v>1245</v>
      </c>
      <c r="G2227" t="s">
        <v>3291</v>
      </c>
      <c r="H2227" t="s">
        <v>4588</v>
      </c>
      <c r="I2227" t="s">
        <v>5145</v>
      </c>
      <c r="J2227" t="s">
        <v>5320</v>
      </c>
      <c r="K2227">
        <v>11225</v>
      </c>
      <c r="L2227" t="s">
        <v>5355</v>
      </c>
      <c r="M2227" t="s">
        <v>5356</v>
      </c>
      <c r="N2227" t="s">
        <v>6290</v>
      </c>
      <c r="O2227" t="s">
        <v>6502</v>
      </c>
      <c r="P2227" t="s">
        <v>6530</v>
      </c>
      <c r="R2227" t="s">
        <v>6539</v>
      </c>
      <c r="S2227" t="s">
        <v>5355</v>
      </c>
      <c r="U2227" t="s">
        <v>6557</v>
      </c>
      <c r="W2227" t="s">
        <v>6583</v>
      </c>
      <c r="X2227">
        <v>790</v>
      </c>
      <c r="Y2227" t="s">
        <v>6605</v>
      </c>
      <c r="Z2227" t="s">
        <v>6612</v>
      </c>
      <c r="AB2227" t="s">
        <v>8471</v>
      </c>
      <c r="AD2227" t="s">
        <v>10784</v>
      </c>
      <c r="AE2227">
        <v>3</v>
      </c>
      <c r="AF2227" t="s">
        <v>11005</v>
      </c>
      <c r="AH2227">
        <v>16</v>
      </c>
      <c r="AI2227">
        <v>2</v>
      </c>
      <c r="AJ2227">
        <v>1</v>
      </c>
      <c r="AK2227">
        <v>154.76</v>
      </c>
      <c r="AL2227" t="s">
        <v>11031</v>
      </c>
      <c r="AN2227" t="s">
        <v>11050</v>
      </c>
      <c r="AO2227">
        <v>31200</v>
      </c>
      <c r="AU2227">
        <v>2.1</v>
      </c>
      <c r="AV2227" t="s">
        <v>530</v>
      </c>
      <c r="AW2227" t="s">
        <v>11503</v>
      </c>
    </row>
    <row r="2228" spans="1:49">
      <c r="A2228" s="1">
        <f>HYPERLINK("https://cms.ls-nyc.org/matter/dynamic-profile/view/1858723","18-1858723")</f>
        <v>0</v>
      </c>
      <c r="B2228" t="s">
        <v>109</v>
      </c>
      <c r="C2228" t="s">
        <v>234</v>
      </c>
      <c r="D2228" t="s">
        <v>248</v>
      </c>
      <c r="E2228" t="s">
        <v>709</v>
      </c>
      <c r="F2228" t="s">
        <v>1040</v>
      </c>
      <c r="G2228" t="s">
        <v>2189</v>
      </c>
      <c r="H2228" t="s">
        <v>4589</v>
      </c>
      <c r="I2228">
        <v>1</v>
      </c>
      <c r="J2228" t="s">
        <v>5320</v>
      </c>
      <c r="K2228">
        <v>11208</v>
      </c>
      <c r="L2228" t="s">
        <v>5357</v>
      </c>
      <c r="M2228" t="s">
        <v>5356</v>
      </c>
      <c r="N2228" t="s">
        <v>6291</v>
      </c>
      <c r="P2228" t="s">
        <v>6530</v>
      </c>
      <c r="Q2228" t="s">
        <v>6535</v>
      </c>
      <c r="R2228" t="s">
        <v>6539</v>
      </c>
      <c r="S2228" t="s">
        <v>5357</v>
      </c>
      <c r="U2228" t="s">
        <v>6557</v>
      </c>
      <c r="W2228" t="s">
        <v>339</v>
      </c>
      <c r="X2228">
        <v>750</v>
      </c>
      <c r="Y2228" t="s">
        <v>6605</v>
      </c>
      <c r="Z2228" t="s">
        <v>6613</v>
      </c>
      <c r="AA2228" t="s">
        <v>6637</v>
      </c>
      <c r="AB2228" t="s">
        <v>8472</v>
      </c>
      <c r="AD2228" t="s">
        <v>10785</v>
      </c>
      <c r="AE2228">
        <v>7</v>
      </c>
      <c r="AF2228" t="s">
        <v>11004</v>
      </c>
      <c r="AG2228" t="s">
        <v>5406</v>
      </c>
      <c r="AH2228">
        <v>1</v>
      </c>
      <c r="AI2228">
        <v>1</v>
      </c>
      <c r="AJ2228">
        <v>0</v>
      </c>
      <c r="AK2228">
        <v>155.22</v>
      </c>
      <c r="AN2228" t="s">
        <v>11050</v>
      </c>
      <c r="AO2228">
        <v>18720</v>
      </c>
      <c r="AR2228" t="s">
        <v>11210</v>
      </c>
      <c r="AS2228" t="s">
        <v>11253</v>
      </c>
      <c r="AT2228" t="s">
        <v>11266</v>
      </c>
      <c r="AU2228">
        <v>32.65</v>
      </c>
      <c r="AV2228" t="s">
        <v>293</v>
      </c>
      <c r="AW2228" t="s">
        <v>11512</v>
      </c>
    </row>
    <row r="2229" spans="1:49">
      <c r="A2229" s="1">
        <f>HYPERLINK("https://cms.ls-nyc.org/matter/dynamic-profile/view/1865879","18-1865879")</f>
        <v>0</v>
      </c>
      <c r="B2229" t="s">
        <v>92</v>
      </c>
      <c r="C2229" t="s">
        <v>235</v>
      </c>
      <c r="D2229" t="s">
        <v>326</v>
      </c>
      <c r="F2229" t="s">
        <v>1393</v>
      </c>
      <c r="G2229" t="s">
        <v>2122</v>
      </c>
      <c r="H2229" t="s">
        <v>4590</v>
      </c>
      <c r="I2229">
        <v>1007</v>
      </c>
      <c r="J2229" t="s">
        <v>5323</v>
      </c>
      <c r="K2229">
        <v>10029</v>
      </c>
      <c r="L2229" t="s">
        <v>5355</v>
      </c>
      <c r="M2229" t="s">
        <v>5356</v>
      </c>
      <c r="N2229" t="s">
        <v>6292</v>
      </c>
      <c r="O2229" t="s">
        <v>6491</v>
      </c>
      <c r="P2229" t="s">
        <v>6530</v>
      </c>
      <c r="R2229" t="s">
        <v>6539</v>
      </c>
      <c r="S2229" t="s">
        <v>5357</v>
      </c>
      <c r="U2229" t="s">
        <v>6557</v>
      </c>
      <c r="W2229" t="s">
        <v>244</v>
      </c>
      <c r="X2229">
        <v>800</v>
      </c>
      <c r="Y2229" t="s">
        <v>6608</v>
      </c>
      <c r="Z2229" t="s">
        <v>6616</v>
      </c>
      <c r="AB2229" t="s">
        <v>8473</v>
      </c>
      <c r="AD2229" t="s">
        <v>10786</v>
      </c>
      <c r="AE2229">
        <v>88</v>
      </c>
      <c r="AF2229" t="s">
        <v>11014</v>
      </c>
      <c r="AG2229" t="s">
        <v>5406</v>
      </c>
      <c r="AH2229">
        <v>2</v>
      </c>
      <c r="AI2229">
        <v>1</v>
      </c>
      <c r="AJ2229">
        <v>0</v>
      </c>
      <c r="AK2229">
        <v>156.51</v>
      </c>
      <c r="AN2229" t="s">
        <v>11050</v>
      </c>
      <c r="AO2229">
        <v>19000</v>
      </c>
      <c r="AU2229">
        <v>51.3</v>
      </c>
      <c r="AV2229" t="s">
        <v>806</v>
      </c>
      <c r="AW2229" t="s">
        <v>11524</v>
      </c>
    </row>
    <row r="2230" spans="1:49">
      <c r="A2230" s="1">
        <f>HYPERLINK("https://cms.ls-nyc.org/matter/dynamic-profile/view/1847877","17-1847877")</f>
        <v>0</v>
      </c>
      <c r="B2230" t="s">
        <v>148</v>
      </c>
      <c r="C2230" t="s">
        <v>234</v>
      </c>
      <c r="D2230" t="s">
        <v>635</v>
      </c>
      <c r="E2230" t="s">
        <v>735</v>
      </c>
      <c r="F2230" t="s">
        <v>1989</v>
      </c>
      <c r="G2230" t="s">
        <v>3292</v>
      </c>
      <c r="H2230" t="s">
        <v>4591</v>
      </c>
      <c r="I2230" t="s">
        <v>4841</v>
      </c>
      <c r="J2230" t="s">
        <v>5322</v>
      </c>
      <c r="K2230">
        <v>10301</v>
      </c>
      <c r="L2230" t="s">
        <v>5355</v>
      </c>
      <c r="M2230" t="s">
        <v>5356</v>
      </c>
      <c r="N2230" t="s">
        <v>6293</v>
      </c>
      <c r="O2230" t="s">
        <v>6491</v>
      </c>
      <c r="P2230" t="s">
        <v>6530</v>
      </c>
      <c r="Q2230" t="s">
        <v>6534</v>
      </c>
      <c r="R2230" t="s">
        <v>6539</v>
      </c>
      <c r="S2230" t="s">
        <v>5357</v>
      </c>
      <c r="U2230" t="s">
        <v>6557</v>
      </c>
      <c r="W2230" t="s">
        <v>635</v>
      </c>
      <c r="X2230">
        <v>1250</v>
      </c>
      <c r="Y2230" t="s">
        <v>6607</v>
      </c>
      <c r="Z2230" t="s">
        <v>6614</v>
      </c>
      <c r="AA2230" t="s">
        <v>6640</v>
      </c>
      <c r="AB2230" t="s">
        <v>8474</v>
      </c>
      <c r="AC2230" t="s">
        <v>9073</v>
      </c>
      <c r="AD2230" t="s">
        <v>10787</v>
      </c>
      <c r="AE2230">
        <v>4</v>
      </c>
      <c r="AF2230" t="s">
        <v>8722</v>
      </c>
      <c r="AG2230" t="s">
        <v>5406</v>
      </c>
      <c r="AH2230">
        <v>6</v>
      </c>
      <c r="AI2230">
        <v>3</v>
      </c>
      <c r="AJ2230">
        <v>0</v>
      </c>
      <c r="AK2230">
        <v>156.71</v>
      </c>
      <c r="AN2230" t="s">
        <v>11050</v>
      </c>
      <c r="AO2230">
        <v>32000</v>
      </c>
      <c r="AU2230">
        <v>32.6</v>
      </c>
      <c r="AV2230" t="s">
        <v>735</v>
      </c>
      <c r="AW2230" t="s">
        <v>11510</v>
      </c>
    </row>
    <row r="2231" spans="1:49">
      <c r="A2231" s="1">
        <f>HYPERLINK("https://cms.ls-nyc.org/matter/dynamic-profile/view/1841882","17-1841882")</f>
        <v>0</v>
      </c>
      <c r="B2231" t="s">
        <v>71</v>
      </c>
      <c r="C2231" t="s">
        <v>235</v>
      </c>
      <c r="D2231" t="s">
        <v>323</v>
      </c>
      <c r="F2231" t="s">
        <v>1990</v>
      </c>
      <c r="G2231" t="s">
        <v>2700</v>
      </c>
      <c r="H2231" t="s">
        <v>4592</v>
      </c>
      <c r="I2231">
        <v>804</v>
      </c>
      <c r="J2231" t="s">
        <v>5321</v>
      </c>
      <c r="K2231">
        <v>10453</v>
      </c>
      <c r="L2231" t="s">
        <v>5355</v>
      </c>
      <c r="M2231" t="s">
        <v>5356</v>
      </c>
      <c r="N2231" t="s">
        <v>6294</v>
      </c>
      <c r="O2231" t="s">
        <v>6492</v>
      </c>
      <c r="P2231" t="s">
        <v>6530</v>
      </c>
      <c r="R2231" t="s">
        <v>6539</v>
      </c>
      <c r="S2231" t="s">
        <v>5357</v>
      </c>
      <c r="U2231" t="s">
        <v>6557</v>
      </c>
      <c r="W2231" t="s">
        <v>6599</v>
      </c>
      <c r="X2231">
        <v>1157</v>
      </c>
      <c r="Y2231" t="s">
        <v>6606</v>
      </c>
      <c r="AB2231" t="s">
        <v>8475</v>
      </c>
      <c r="AD2231" t="s">
        <v>10788</v>
      </c>
      <c r="AE2231">
        <v>55</v>
      </c>
      <c r="AF2231" t="s">
        <v>11005</v>
      </c>
      <c r="AG2231" t="s">
        <v>11020</v>
      </c>
      <c r="AH2231">
        <v>7</v>
      </c>
      <c r="AI2231">
        <v>1</v>
      </c>
      <c r="AJ2231">
        <v>2</v>
      </c>
      <c r="AK2231">
        <v>156.92</v>
      </c>
      <c r="AN2231" t="s">
        <v>11050</v>
      </c>
      <c r="AO2231">
        <v>32044.08</v>
      </c>
      <c r="AU2231">
        <v>66.55</v>
      </c>
      <c r="AV2231" t="s">
        <v>785</v>
      </c>
      <c r="AW2231" t="s">
        <v>11509</v>
      </c>
    </row>
    <row r="2232" spans="1:49">
      <c r="A2232" s="1">
        <f>HYPERLINK("https://cms.ls-nyc.org/matter/dynamic-profile/view/1865729","18-1865729")</f>
        <v>0</v>
      </c>
      <c r="B2232" t="s">
        <v>53</v>
      </c>
      <c r="C2232" t="s">
        <v>235</v>
      </c>
      <c r="D2232" t="s">
        <v>385</v>
      </c>
      <c r="F2232" t="s">
        <v>1991</v>
      </c>
      <c r="G2232" t="s">
        <v>2440</v>
      </c>
      <c r="H2232" t="s">
        <v>4593</v>
      </c>
      <c r="I2232" t="s">
        <v>4778</v>
      </c>
      <c r="J2232" t="s">
        <v>5320</v>
      </c>
      <c r="K2232">
        <v>11208</v>
      </c>
      <c r="L2232" t="s">
        <v>5355</v>
      </c>
      <c r="M2232" t="s">
        <v>5355</v>
      </c>
      <c r="N2232" t="s">
        <v>6295</v>
      </c>
      <c r="O2232" t="s">
        <v>6491</v>
      </c>
      <c r="P2232" t="s">
        <v>6530</v>
      </c>
      <c r="R2232" t="s">
        <v>6539</v>
      </c>
      <c r="S2232" t="s">
        <v>5357</v>
      </c>
      <c r="U2232" t="s">
        <v>6557</v>
      </c>
      <c r="W2232" t="s">
        <v>313</v>
      </c>
      <c r="X2232">
        <v>1515</v>
      </c>
      <c r="Y2232" t="s">
        <v>6605</v>
      </c>
      <c r="Z2232" t="s">
        <v>6615</v>
      </c>
      <c r="AB2232" t="s">
        <v>8476</v>
      </c>
      <c r="AD2232" t="s">
        <v>10789</v>
      </c>
      <c r="AE2232">
        <v>3</v>
      </c>
      <c r="AF2232" t="s">
        <v>8722</v>
      </c>
      <c r="AG2232" t="s">
        <v>11019</v>
      </c>
      <c r="AH2232">
        <v>3</v>
      </c>
      <c r="AI2232">
        <v>2</v>
      </c>
      <c r="AJ2232">
        <v>1</v>
      </c>
      <c r="AK2232">
        <v>157.65</v>
      </c>
      <c r="AN2232" t="s">
        <v>11050</v>
      </c>
      <c r="AO2232">
        <v>32760</v>
      </c>
      <c r="AU2232">
        <v>106.85</v>
      </c>
      <c r="AV2232" t="s">
        <v>311</v>
      </c>
      <c r="AW2232" t="s">
        <v>11512</v>
      </c>
    </row>
    <row r="2233" spans="1:49">
      <c r="A2233" s="1">
        <f>HYPERLINK("https://cms.ls-nyc.org/matter/dynamic-profile/view/1862267","18-1862267")</f>
        <v>0</v>
      </c>
      <c r="B2233" t="s">
        <v>136</v>
      </c>
      <c r="C2233" t="s">
        <v>235</v>
      </c>
      <c r="D2233" t="s">
        <v>331</v>
      </c>
      <c r="F2233" t="s">
        <v>1226</v>
      </c>
      <c r="G2233" t="s">
        <v>3293</v>
      </c>
      <c r="H2233" t="s">
        <v>4594</v>
      </c>
      <c r="I2233">
        <v>7</v>
      </c>
      <c r="J2233" t="s">
        <v>5320</v>
      </c>
      <c r="K2233">
        <v>11238</v>
      </c>
      <c r="L2233" t="s">
        <v>5357</v>
      </c>
      <c r="M2233" t="s">
        <v>5356</v>
      </c>
      <c r="O2233" t="s">
        <v>6491</v>
      </c>
      <c r="P2233" t="s">
        <v>6530</v>
      </c>
      <c r="R2233" t="s">
        <v>6539</v>
      </c>
      <c r="S2233" t="s">
        <v>5355</v>
      </c>
      <c r="U2233" t="s">
        <v>6557</v>
      </c>
      <c r="W2233" t="s">
        <v>331</v>
      </c>
      <c r="X2233">
        <v>1008.18</v>
      </c>
      <c r="Y2233" t="s">
        <v>6605</v>
      </c>
      <c r="AB2233" t="s">
        <v>8477</v>
      </c>
      <c r="AD2233" t="s">
        <v>10790</v>
      </c>
      <c r="AE2233">
        <v>10</v>
      </c>
      <c r="AH2233">
        <v>17</v>
      </c>
      <c r="AI2233">
        <v>2</v>
      </c>
      <c r="AJ2233">
        <v>0</v>
      </c>
      <c r="AK2233">
        <v>157.96</v>
      </c>
      <c r="AN2233" t="s">
        <v>11050</v>
      </c>
      <c r="AO2233">
        <v>26000</v>
      </c>
      <c r="AU2233">
        <v>22.75</v>
      </c>
      <c r="AV2233" t="s">
        <v>806</v>
      </c>
      <c r="AW2233" t="s">
        <v>11548</v>
      </c>
    </row>
    <row r="2234" spans="1:49">
      <c r="A2234" s="1">
        <f>HYPERLINK("https://cms.ls-nyc.org/matter/dynamic-profile/view/1864865","18-1864865")</f>
        <v>0</v>
      </c>
      <c r="B2234" t="s">
        <v>56</v>
      </c>
      <c r="C2234" t="s">
        <v>235</v>
      </c>
      <c r="D2234" t="s">
        <v>395</v>
      </c>
      <c r="F2234" t="s">
        <v>1048</v>
      </c>
      <c r="G2234" t="s">
        <v>2106</v>
      </c>
      <c r="H2234" t="s">
        <v>4595</v>
      </c>
      <c r="I2234" t="s">
        <v>4783</v>
      </c>
      <c r="J2234" t="s">
        <v>5321</v>
      </c>
      <c r="K2234">
        <v>10452</v>
      </c>
      <c r="L2234" t="s">
        <v>5355</v>
      </c>
      <c r="M2234" t="s">
        <v>5356</v>
      </c>
      <c r="N2234" t="s">
        <v>6296</v>
      </c>
      <c r="O2234" t="s">
        <v>6492</v>
      </c>
      <c r="P2234" t="s">
        <v>6530</v>
      </c>
      <c r="R2234" t="s">
        <v>6539</v>
      </c>
      <c r="S2234" t="s">
        <v>5357</v>
      </c>
      <c r="U2234" t="s">
        <v>6557</v>
      </c>
      <c r="W2234" t="s">
        <v>326</v>
      </c>
      <c r="X2234">
        <v>1333</v>
      </c>
      <c r="Y2234" t="s">
        <v>6606</v>
      </c>
      <c r="Z2234" t="s">
        <v>6612</v>
      </c>
      <c r="AB2234" t="s">
        <v>8478</v>
      </c>
      <c r="AC2234" t="s">
        <v>9074</v>
      </c>
      <c r="AD2234" t="s">
        <v>10791</v>
      </c>
      <c r="AE2234">
        <v>53</v>
      </c>
      <c r="AF2234" t="s">
        <v>11008</v>
      </c>
      <c r="AG2234" t="s">
        <v>11020</v>
      </c>
      <c r="AH2234">
        <v>8</v>
      </c>
      <c r="AI2234">
        <v>1</v>
      </c>
      <c r="AJ2234">
        <v>1</v>
      </c>
      <c r="AK2234">
        <v>157.96</v>
      </c>
      <c r="AN2234" t="s">
        <v>11050</v>
      </c>
      <c r="AO2234">
        <v>26000</v>
      </c>
      <c r="AU2234">
        <v>60</v>
      </c>
      <c r="AV2234" t="s">
        <v>819</v>
      </c>
      <c r="AW2234" t="s">
        <v>11492</v>
      </c>
    </row>
    <row r="2235" spans="1:49">
      <c r="A2235" s="1">
        <f>HYPERLINK("https://cms.ls-nyc.org/matter/dynamic-profile/view/1865111","18-1865111")</f>
        <v>0</v>
      </c>
      <c r="B2235" t="s">
        <v>56</v>
      </c>
      <c r="C2235" t="s">
        <v>235</v>
      </c>
      <c r="D2235" t="s">
        <v>251</v>
      </c>
      <c r="F2235" t="s">
        <v>1048</v>
      </c>
      <c r="G2235" t="s">
        <v>2106</v>
      </c>
      <c r="H2235" t="s">
        <v>4595</v>
      </c>
      <c r="I2235" t="s">
        <v>4783</v>
      </c>
      <c r="J2235" t="s">
        <v>5321</v>
      </c>
      <c r="K2235">
        <v>10452</v>
      </c>
      <c r="L2235" t="s">
        <v>5355</v>
      </c>
      <c r="M2235" t="s">
        <v>5356</v>
      </c>
      <c r="O2235" t="s">
        <v>6492</v>
      </c>
      <c r="P2235" t="s">
        <v>6530</v>
      </c>
      <c r="R2235" t="s">
        <v>6539</v>
      </c>
      <c r="S2235" t="s">
        <v>5357</v>
      </c>
      <c r="U2235" t="s">
        <v>6557</v>
      </c>
      <c r="W2235" t="s">
        <v>326</v>
      </c>
      <c r="X2235">
        <v>0</v>
      </c>
      <c r="Y2235" t="s">
        <v>6606</v>
      </c>
      <c r="Z2235" t="s">
        <v>6612</v>
      </c>
      <c r="AB2235" t="s">
        <v>8478</v>
      </c>
      <c r="AD2235" t="s">
        <v>10791</v>
      </c>
      <c r="AE2235">
        <v>0</v>
      </c>
      <c r="AF2235" t="s">
        <v>11008</v>
      </c>
      <c r="AG2235" t="s">
        <v>11020</v>
      </c>
      <c r="AH2235">
        <v>8</v>
      </c>
      <c r="AI2235">
        <v>1</v>
      </c>
      <c r="AJ2235">
        <v>1</v>
      </c>
      <c r="AK2235">
        <v>157.96</v>
      </c>
      <c r="AN2235" t="s">
        <v>11050</v>
      </c>
      <c r="AO2235">
        <v>26000</v>
      </c>
      <c r="AU2235">
        <v>109.29</v>
      </c>
      <c r="AV2235" t="s">
        <v>416</v>
      </c>
      <c r="AW2235" t="s">
        <v>11492</v>
      </c>
    </row>
    <row r="2236" spans="1:49">
      <c r="A2236" s="1">
        <f>HYPERLINK("https://cms.ls-nyc.org/matter/dynamic-profile/view/1845320","17-1845320")</f>
        <v>0</v>
      </c>
      <c r="B2236" t="s">
        <v>137</v>
      </c>
      <c r="C2236" t="s">
        <v>235</v>
      </c>
      <c r="D2236" t="s">
        <v>457</v>
      </c>
      <c r="F2236" t="s">
        <v>1992</v>
      </c>
      <c r="G2236" t="s">
        <v>2144</v>
      </c>
      <c r="H2236" t="s">
        <v>3759</v>
      </c>
      <c r="I2236" t="s">
        <v>5094</v>
      </c>
      <c r="J2236" t="s">
        <v>5320</v>
      </c>
      <c r="K2236">
        <v>11213</v>
      </c>
      <c r="L2236" t="s">
        <v>5355</v>
      </c>
      <c r="M2236" t="s">
        <v>5356</v>
      </c>
      <c r="O2236" t="s">
        <v>6494</v>
      </c>
      <c r="P2236" t="s">
        <v>6530</v>
      </c>
      <c r="R2236" t="s">
        <v>6539</v>
      </c>
      <c r="S2236" t="s">
        <v>5355</v>
      </c>
      <c r="U2236" t="s">
        <v>6557</v>
      </c>
      <c r="W2236" t="s">
        <v>404</v>
      </c>
      <c r="X2236">
        <v>0</v>
      </c>
      <c r="Y2236" t="s">
        <v>6605</v>
      </c>
      <c r="AB2236" t="s">
        <v>8479</v>
      </c>
      <c r="AE2236">
        <v>74</v>
      </c>
      <c r="AF2236" t="s">
        <v>11005</v>
      </c>
      <c r="AH2236">
        <v>0</v>
      </c>
      <c r="AI2236">
        <v>1</v>
      </c>
      <c r="AJ2236">
        <v>0</v>
      </c>
      <c r="AK2236">
        <v>158.21</v>
      </c>
      <c r="AL2236" t="s">
        <v>511</v>
      </c>
      <c r="AN2236" t="s">
        <v>11050</v>
      </c>
      <c r="AO2236">
        <v>19080</v>
      </c>
      <c r="AU2236">
        <v>0</v>
      </c>
      <c r="AW2236" t="s">
        <v>11489</v>
      </c>
    </row>
    <row r="2237" spans="1:49">
      <c r="A2237" s="1">
        <f>HYPERLINK("https://cms.ls-nyc.org/matter/dynamic-profile/view/1867681","18-1867681")</f>
        <v>0</v>
      </c>
      <c r="B2237" t="s">
        <v>71</v>
      </c>
      <c r="C2237" t="s">
        <v>235</v>
      </c>
      <c r="D2237" t="s">
        <v>299</v>
      </c>
      <c r="F2237" t="s">
        <v>1993</v>
      </c>
      <c r="G2237" t="s">
        <v>3294</v>
      </c>
      <c r="H2237" t="s">
        <v>4596</v>
      </c>
      <c r="I2237" t="s">
        <v>4849</v>
      </c>
      <c r="J2237" t="s">
        <v>5321</v>
      </c>
      <c r="K2237">
        <v>10459</v>
      </c>
      <c r="L2237" t="s">
        <v>5355</v>
      </c>
      <c r="M2237" t="s">
        <v>5356</v>
      </c>
      <c r="N2237" t="s">
        <v>6297</v>
      </c>
      <c r="O2237" t="s">
        <v>6491</v>
      </c>
      <c r="P2237" t="s">
        <v>6530</v>
      </c>
      <c r="R2237" t="s">
        <v>6539</v>
      </c>
      <c r="U2237" t="s">
        <v>6557</v>
      </c>
      <c r="W2237" t="s">
        <v>309</v>
      </c>
      <c r="X2237">
        <v>810</v>
      </c>
      <c r="Y2237" t="s">
        <v>6606</v>
      </c>
      <c r="AB2237" t="s">
        <v>8480</v>
      </c>
      <c r="AE2237">
        <v>0</v>
      </c>
      <c r="AH2237">
        <v>0</v>
      </c>
      <c r="AI2237">
        <v>3</v>
      </c>
      <c r="AJ2237">
        <v>2</v>
      </c>
      <c r="AK2237">
        <v>159.06</v>
      </c>
      <c r="AO2237">
        <v>46796.4</v>
      </c>
      <c r="AP2237" t="s">
        <v>11079</v>
      </c>
      <c r="AU2237">
        <v>39.65</v>
      </c>
      <c r="AV2237" t="s">
        <v>743</v>
      </c>
      <c r="AW2237" t="s">
        <v>11505</v>
      </c>
    </row>
    <row r="2238" spans="1:49">
      <c r="A2238" s="1">
        <f>HYPERLINK("https://cms.ls-nyc.org/matter/dynamic-profile/view/1842691","17-1842691")</f>
        <v>0</v>
      </c>
      <c r="B2238" t="s">
        <v>141</v>
      </c>
      <c r="C2238" t="s">
        <v>234</v>
      </c>
      <c r="D2238" t="s">
        <v>481</v>
      </c>
      <c r="E2238" t="s">
        <v>699</v>
      </c>
      <c r="F2238" t="s">
        <v>1994</v>
      </c>
      <c r="G2238" t="s">
        <v>2147</v>
      </c>
      <c r="H2238" t="s">
        <v>4597</v>
      </c>
      <c r="I2238" t="s">
        <v>4752</v>
      </c>
      <c r="J2238" t="s">
        <v>5320</v>
      </c>
      <c r="K2238">
        <v>11210</v>
      </c>
      <c r="L2238" t="s">
        <v>5355</v>
      </c>
      <c r="M2238" t="s">
        <v>5356</v>
      </c>
      <c r="N2238" t="s">
        <v>6298</v>
      </c>
      <c r="O2238" t="s">
        <v>6492</v>
      </c>
      <c r="P2238" t="s">
        <v>6530</v>
      </c>
      <c r="Q2238" t="s">
        <v>6531</v>
      </c>
      <c r="R2238" t="s">
        <v>6539</v>
      </c>
      <c r="S2238" t="s">
        <v>5355</v>
      </c>
      <c r="U2238" t="s">
        <v>6557</v>
      </c>
      <c r="W2238" t="s">
        <v>372</v>
      </c>
      <c r="X2238">
        <v>1309</v>
      </c>
      <c r="Y2238" t="s">
        <v>6605</v>
      </c>
      <c r="Z2238" t="s">
        <v>6623</v>
      </c>
      <c r="AA2238" t="s">
        <v>6637</v>
      </c>
      <c r="AB2238" t="s">
        <v>8481</v>
      </c>
      <c r="AC2238" t="s">
        <v>9075</v>
      </c>
      <c r="AD2238" t="s">
        <v>10792</v>
      </c>
      <c r="AE2238">
        <v>20</v>
      </c>
      <c r="AF2238" t="s">
        <v>11005</v>
      </c>
      <c r="AH2238">
        <v>5</v>
      </c>
      <c r="AI2238">
        <v>1</v>
      </c>
      <c r="AJ2238">
        <v>0</v>
      </c>
      <c r="AK2238">
        <v>159.2</v>
      </c>
      <c r="AN2238" t="s">
        <v>11050</v>
      </c>
      <c r="AO2238">
        <v>19200</v>
      </c>
      <c r="AU2238">
        <v>30.75</v>
      </c>
      <c r="AV2238" t="s">
        <v>325</v>
      </c>
      <c r="AW2238" t="s">
        <v>11489</v>
      </c>
    </row>
    <row r="2239" spans="1:49">
      <c r="A2239" s="1">
        <f>HYPERLINK("https://cms.ls-nyc.org/matter/dynamic-profile/view/1850956","17-1850956")</f>
        <v>0</v>
      </c>
      <c r="B2239" t="s">
        <v>88</v>
      </c>
      <c r="C2239" t="s">
        <v>234</v>
      </c>
      <c r="D2239" t="s">
        <v>292</v>
      </c>
      <c r="E2239" t="s">
        <v>265</v>
      </c>
      <c r="F2239" t="s">
        <v>1995</v>
      </c>
      <c r="G2239" t="s">
        <v>3295</v>
      </c>
      <c r="H2239" t="s">
        <v>4598</v>
      </c>
      <c r="I2239" t="s">
        <v>4758</v>
      </c>
      <c r="J2239" t="s">
        <v>5320</v>
      </c>
      <c r="K2239">
        <v>11207</v>
      </c>
      <c r="L2239" t="s">
        <v>5355</v>
      </c>
      <c r="M2239" t="s">
        <v>5356</v>
      </c>
      <c r="N2239" t="s">
        <v>6299</v>
      </c>
      <c r="O2239" t="s">
        <v>6494</v>
      </c>
      <c r="P2239" t="s">
        <v>6530</v>
      </c>
      <c r="Q2239" t="s">
        <v>6534</v>
      </c>
      <c r="R2239" t="s">
        <v>6539</v>
      </c>
      <c r="S2239" t="s">
        <v>5357</v>
      </c>
      <c r="U2239" t="s">
        <v>6557</v>
      </c>
      <c r="W2239" t="s">
        <v>262</v>
      </c>
      <c r="X2239">
        <v>0</v>
      </c>
      <c r="Y2239" t="s">
        <v>6605</v>
      </c>
      <c r="AA2239" t="s">
        <v>6634</v>
      </c>
      <c r="AB2239" t="s">
        <v>8482</v>
      </c>
      <c r="AD2239" t="s">
        <v>9166</v>
      </c>
      <c r="AE2239">
        <v>6</v>
      </c>
      <c r="AF2239" t="s">
        <v>11005</v>
      </c>
      <c r="AH2239">
        <v>0</v>
      </c>
      <c r="AI2239">
        <v>1</v>
      </c>
      <c r="AJ2239">
        <v>0</v>
      </c>
      <c r="AK2239">
        <v>159.2</v>
      </c>
      <c r="AN2239" t="s">
        <v>11050</v>
      </c>
      <c r="AO2239">
        <v>19200</v>
      </c>
      <c r="AP2239" t="s">
        <v>11173</v>
      </c>
      <c r="AU2239">
        <v>14</v>
      </c>
      <c r="AV2239" t="s">
        <v>377</v>
      </c>
      <c r="AW2239" t="s">
        <v>88</v>
      </c>
    </row>
    <row r="2240" spans="1:49">
      <c r="A2240" s="1">
        <f>HYPERLINK("https://cms.ls-nyc.org/matter/dynamic-profile/view/1858010","18-1858010")</f>
        <v>0</v>
      </c>
      <c r="B2240" t="s">
        <v>84</v>
      </c>
      <c r="C2240" t="s">
        <v>234</v>
      </c>
      <c r="D2240" t="s">
        <v>272</v>
      </c>
      <c r="E2240" t="s">
        <v>668</v>
      </c>
      <c r="F2240" t="s">
        <v>1996</v>
      </c>
      <c r="G2240" t="s">
        <v>1520</v>
      </c>
      <c r="H2240" t="s">
        <v>4599</v>
      </c>
      <c r="J2240" t="s">
        <v>5320</v>
      </c>
      <c r="K2240">
        <v>11223</v>
      </c>
      <c r="L2240" t="s">
        <v>5355</v>
      </c>
      <c r="M2240" t="s">
        <v>5355</v>
      </c>
      <c r="N2240" t="s">
        <v>6300</v>
      </c>
      <c r="O2240" t="s">
        <v>6491</v>
      </c>
      <c r="P2240" t="s">
        <v>6530</v>
      </c>
      <c r="Q2240" t="s">
        <v>6534</v>
      </c>
      <c r="R2240" t="s">
        <v>6539</v>
      </c>
      <c r="U2240" t="s">
        <v>6557</v>
      </c>
      <c r="W2240" t="s">
        <v>272</v>
      </c>
      <c r="X2240">
        <v>0</v>
      </c>
      <c r="Y2240" t="s">
        <v>6605</v>
      </c>
      <c r="Z2240" t="s">
        <v>6615</v>
      </c>
      <c r="AA2240" t="s">
        <v>6633</v>
      </c>
      <c r="AB2240" t="s">
        <v>8483</v>
      </c>
      <c r="AD2240" t="s">
        <v>10793</v>
      </c>
      <c r="AE2240">
        <v>2</v>
      </c>
      <c r="AF2240" t="s">
        <v>11004</v>
      </c>
      <c r="AH2240">
        <v>34</v>
      </c>
      <c r="AI2240">
        <v>2</v>
      </c>
      <c r="AJ2240">
        <v>0</v>
      </c>
      <c r="AK2240">
        <v>159.38</v>
      </c>
      <c r="AL2240" t="s">
        <v>262</v>
      </c>
      <c r="AN2240" t="s">
        <v>11050</v>
      </c>
      <c r="AO2240">
        <v>26234</v>
      </c>
      <c r="AQ2240" t="s">
        <v>11192</v>
      </c>
      <c r="AR2240" t="s">
        <v>6493</v>
      </c>
      <c r="AS2240" t="s">
        <v>11252</v>
      </c>
      <c r="AT2240" t="s">
        <v>11375</v>
      </c>
      <c r="AU2240">
        <v>25.2</v>
      </c>
      <c r="AV2240" t="s">
        <v>11484</v>
      </c>
      <c r="AW2240" t="s">
        <v>11489</v>
      </c>
    </row>
    <row r="2241" spans="1:49">
      <c r="A2241" s="1">
        <f>HYPERLINK("https://cms.ls-nyc.org/matter/dynamic-profile/view/1848008","17-1848008")</f>
        <v>0</v>
      </c>
      <c r="B2241" t="s">
        <v>67</v>
      </c>
      <c r="C2241" t="s">
        <v>234</v>
      </c>
      <c r="D2241" t="s">
        <v>403</v>
      </c>
      <c r="E2241" t="s">
        <v>677</v>
      </c>
      <c r="F2241" t="s">
        <v>1045</v>
      </c>
      <c r="G2241" t="s">
        <v>2301</v>
      </c>
      <c r="H2241" t="s">
        <v>3647</v>
      </c>
      <c r="I2241" t="s">
        <v>4746</v>
      </c>
      <c r="J2241" t="s">
        <v>5323</v>
      </c>
      <c r="K2241">
        <v>10035</v>
      </c>
      <c r="L2241" t="s">
        <v>5355</v>
      </c>
      <c r="M2241" t="s">
        <v>5355</v>
      </c>
      <c r="N2241" t="s">
        <v>6301</v>
      </c>
      <c r="O2241" t="s">
        <v>6492</v>
      </c>
      <c r="P2241" t="s">
        <v>6530</v>
      </c>
      <c r="Q2241" t="s">
        <v>6534</v>
      </c>
      <c r="R2241" t="s">
        <v>6539</v>
      </c>
      <c r="S2241" t="s">
        <v>5357</v>
      </c>
      <c r="U2241" t="s">
        <v>6557</v>
      </c>
      <c r="V2241" t="s">
        <v>6566</v>
      </c>
      <c r="W2241" t="s">
        <v>403</v>
      </c>
      <c r="X2241">
        <v>843.01</v>
      </c>
      <c r="Y2241" t="s">
        <v>6608</v>
      </c>
      <c r="Z2241" t="s">
        <v>6616</v>
      </c>
      <c r="AA2241" t="s">
        <v>6637</v>
      </c>
      <c r="AB2241" t="s">
        <v>6893</v>
      </c>
      <c r="AD2241" t="s">
        <v>9313</v>
      </c>
      <c r="AE2241">
        <v>11</v>
      </c>
      <c r="AF2241" t="s">
        <v>11005</v>
      </c>
      <c r="AG2241" t="s">
        <v>5406</v>
      </c>
      <c r="AH2241">
        <v>21</v>
      </c>
      <c r="AI2241">
        <v>1</v>
      </c>
      <c r="AJ2241">
        <v>1</v>
      </c>
      <c r="AK2241">
        <v>159.38</v>
      </c>
      <c r="AN2241" t="s">
        <v>11050</v>
      </c>
      <c r="AO2241">
        <v>25884</v>
      </c>
      <c r="AU2241">
        <v>17.2</v>
      </c>
      <c r="AV2241" t="s">
        <v>334</v>
      </c>
      <c r="AW2241" t="s">
        <v>11494</v>
      </c>
    </row>
    <row r="2242" spans="1:49">
      <c r="A2242" s="1">
        <f>HYPERLINK("https://cms.ls-nyc.org/matter/dynamic-profile/view/1840931","17-1840931")</f>
        <v>0</v>
      </c>
      <c r="B2242" t="s">
        <v>136</v>
      </c>
      <c r="C2242" t="s">
        <v>235</v>
      </c>
      <c r="D2242" t="s">
        <v>588</v>
      </c>
      <c r="F2242" t="s">
        <v>941</v>
      </c>
      <c r="G2242" t="s">
        <v>3296</v>
      </c>
      <c r="H2242" t="s">
        <v>4329</v>
      </c>
      <c r="J2242" t="s">
        <v>5320</v>
      </c>
      <c r="K2242">
        <v>11212</v>
      </c>
      <c r="L2242" t="s">
        <v>5355</v>
      </c>
      <c r="M2242" t="s">
        <v>5356</v>
      </c>
      <c r="N2242" t="s">
        <v>5918</v>
      </c>
      <c r="O2242" t="s">
        <v>6491</v>
      </c>
      <c r="P2242" t="s">
        <v>6530</v>
      </c>
      <c r="R2242" t="s">
        <v>6539</v>
      </c>
      <c r="S2242" t="s">
        <v>5357</v>
      </c>
      <c r="U2242" t="s">
        <v>6557</v>
      </c>
      <c r="W2242" t="s">
        <v>499</v>
      </c>
      <c r="X2242">
        <v>1500</v>
      </c>
      <c r="Y2242" t="s">
        <v>6605</v>
      </c>
      <c r="Z2242" t="s">
        <v>6611</v>
      </c>
      <c r="AB2242" t="s">
        <v>8484</v>
      </c>
      <c r="AD2242" t="s">
        <v>10794</v>
      </c>
      <c r="AE2242">
        <v>4</v>
      </c>
      <c r="AF2242" t="s">
        <v>11004</v>
      </c>
      <c r="AH2242">
        <v>0</v>
      </c>
      <c r="AI2242">
        <v>2</v>
      </c>
      <c r="AJ2242">
        <v>0</v>
      </c>
      <c r="AK2242">
        <v>160.1</v>
      </c>
      <c r="AN2242" t="s">
        <v>11050</v>
      </c>
      <c r="AO2242">
        <v>26000</v>
      </c>
      <c r="AU2242">
        <v>105.05</v>
      </c>
      <c r="AV2242" t="s">
        <v>244</v>
      </c>
      <c r="AW2242" t="s">
        <v>11488</v>
      </c>
    </row>
    <row r="2243" spans="1:49">
      <c r="A2243" s="1">
        <f>HYPERLINK("https://cms.ls-nyc.org/matter/dynamic-profile/view/1853637","17-1853637")</f>
        <v>0</v>
      </c>
      <c r="B2243" t="s">
        <v>114</v>
      </c>
      <c r="C2243" t="s">
        <v>234</v>
      </c>
      <c r="D2243" t="s">
        <v>327</v>
      </c>
      <c r="E2243" t="s">
        <v>735</v>
      </c>
      <c r="F2243" t="s">
        <v>1223</v>
      </c>
      <c r="G2243" t="s">
        <v>2600</v>
      </c>
      <c r="H2243" t="s">
        <v>3927</v>
      </c>
      <c r="I2243" t="s">
        <v>4778</v>
      </c>
      <c r="J2243" t="s">
        <v>5320</v>
      </c>
      <c r="K2243">
        <v>11212</v>
      </c>
      <c r="L2243" t="s">
        <v>5355</v>
      </c>
      <c r="M2243" t="s">
        <v>5355</v>
      </c>
      <c r="N2243" t="s">
        <v>6302</v>
      </c>
      <c r="O2243" t="s">
        <v>6491</v>
      </c>
      <c r="P2243" t="s">
        <v>6530</v>
      </c>
      <c r="Q2243" t="s">
        <v>6535</v>
      </c>
      <c r="R2243" t="s">
        <v>6539</v>
      </c>
      <c r="S2243" t="s">
        <v>6541</v>
      </c>
      <c r="U2243" t="s">
        <v>6557</v>
      </c>
      <c r="W2243" t="s">
        <v>289</v>
      </c>
      <c r="X2243">
        <v>1180</v>
      </c>
      <c r="Y2243" t="s">
        <v>6605</v>
      </c>
      <c r="Z2243" t="s">
        <v>6614</v>
      </c>
      <c r="AA2243" t="s">
        <v>6637</v>
      </c>
      <c r="AB2243" t="s">
        <v>7307</v>
      </c>
      <c r="AC2243" t="s">
        <v>8776</v>
      </c>
      <c r="AD2243" t="s">
        <v>9682</v>
      </c>
      <c r="AE2243">
        <v>8</v>
      </c>
      <c r="AF2243" t="s">
        <v>11005</v>
      </c>
      <c r="AG2243" t="s">
        <v>5406</v>
      </c>
      <c r="AH2243">
        <v>4</v>
      </c>
      <c r="AI2243">
        <v>1</v>
      </c>
      <c r="AJ2243">
        <v>1</v>
      </c>
      <c r="AK2243">
        <v>160.1</v>
      </c>
      <c r="AN2243" t="s">
        <v>11050</v>
      </c>
      <c r="AO2243">
        <v>26000</v>
      </c>
      <c r="AQ2243" t="s">
        <v>11192</v>
      </c>
      <c r="AR2243" t="s">
        <v>11210</v>
      </c>
      <c r="AS2243" t="s">
        <v>11253</v>
      </c>
      <c r="AT2243" t="s">
        <v>11402</v>
      </c>
      <c r="AU2243">
        <v>0.4</v>
      </c>
      <c r="AV2243" t="s">
        <v>521</v>
      </c>
      <c r="AW2243" t="s">
        <v>11512</v>
      </c>
    </row>
    <row r="2244" spans="1:49">
      <c r="A2244" s="1">
        <f>HYPERLINK("https://cms.ls-nyc.org/matter/dynamic-profile/view/1847473","17-1847473")</f>
        <v>0</v>
      </c>
      <c r="B2244" t="s">
        <v>104</v>
      </c>
      <c r="C2244" t="s">
        <v>235</v>
      </c>
      <c r="D2244" t="s">
        <v>390</v>
      </c>
      <c r="F2244" t="s">
        <v>997</v>
      </c>
      <c r="G2244" t="s">
        <v>3297</v>
      </c>
      <c r="H2244" t="s">
        <v>3716</v>
      </c>
      <c r="I2244" t="s">
        <v>4787</v>
      </c>
      <c r="J2244" t="s">
        <v>5321</v>
      </c>
      <c r="K2244">
        <v>10453</v>
      </c>
      <c r="L2244" t="s">
        <v>5355</v>
      </c>
      <c r="M2244" t="s">
        <v>5356</v>
      </c>
      <c r="N2244" t="s">
        <v>6303</v>
      </c>
      <c r="O2244" t="s">
        <v>6492</v>
      </c>
      <c r="P2244" t="s">
        <v>6530</v>
      </c>
      <c r="R2244" t="s">
        <v>6539</v>
      </c>
      <c r="S2244" t="s">
        <v>5357</v>
      </c>
      <c r="U2244" t="s">
        <v>6557</v>
      </c>
      <c r="W2244" t="s">
        <v>372</v>
      </c>
      <c r="X2244">
        <v>1432.96</v>
      </c>
      <c r="Y2244" t="s">
        <v>6606</v>
      </c>
      <c r="Z2244" t="s">
        <v>6614</v>
      </c>
      <c r="AB2244" t="s">
        <v>8485</v>
      </c>
      <c r="AD2244" t="s">
        <v>10795</v>
      </c>
      <c r="AE2244">
        <v>101</v>
      </c>
      <c r="AF2244" t="s">
        <v>11005</v>
      </c>
      <c r="AG2244" t="s">
        <v>5406</v>
      </c>
      <c r="AH2244">
        <v>25</v>
      </c>
      <c r="AI2244">
        <v>2</v>
      </c>
      <c r="AJ2244">
        <v>0</v>
      </c>
      <c r="AK2244">
        <v>160.1</v>
      </c>
      <c r="AN2244" t="s">
        <v>11050</v>
      </c>
      <c r="AO2244">
        <v>62400</v>
      </c>
      <c r="AU2244">
        <v>11.5</v>
      </c>
      <c r="AV2244" t="s">
        <v>247</v>
      </c>
      <c r="AW2244" t="s">
        <v>11509</v>
      </c>
    </row>
    <row r="2245" spans="1:49">
      <c r="A2245" s="1">
        <f>HYPERLINK("https://cms.ls-nyc.org/matter/dynamic-profile/view/1864066","18-1864066")</f>
        <v>0</v>
      </c>
      <c r="B2245" t="s">
        <v>92</v>
      </c>
      <c r="C2245" t="s">
        <v>235</v>
      </c>
      <c r="D2245" t="s">
        <v>357</v>
      </c>
      <c r="F2245" t="s">
        <v>914</v>
      </c>
      <c r="G2245" t="s">
        <v>2231</v>
      </c>
      <c r="H2245" t="s">
        <v>3579</v>
      </c>
      <c r="I2245">
        <v>302</v>
      </c>
      <c r="J2245" t="s">
        <v>5323</v>
      </c>
      <c r="K2245">
        <v>10029</v>
      </c>
      <c r="L2245" t="s">
        <v>5355</v>
      </c>
      <c r="M2245" t="s">
        <v>5355</v>
      </c>
      <c r="N2245" t="s">
        <v>5632</v>
      </c>
      <c r="O2245" t="s">
        <v>6494</v>
      </c>
      <c r="P2245" t="s">
        <v>6530</v>
      </c>
      <c r="R2245" t="s">
        <v>6539</v>
      </c>
      <c r="S2245" t="s">
        <v>5355</v>
      </c>
      <c r="U2245" t="s">
        <v>6557</v>
      </c>
      <c r="V2245" t="s">
        <v>6566</v>
      </c>
      <c r="W2245" t="s">
        <v>357</v>
      </c>
      <c r="X2245">
        <v>0</v>
      </c>
      <c r="Y2245" t="s">
        <v>6608</v>
      </c>
      <c r="Z2245" t="s">
        <v>6622</v>
      </c>
      <c r="AB2245" t="s">
        <v>8486</v>
      </c>
      <c r="AD2245" t="s">
        <v>10796</v>
      </c>
      <c r="AE2245">
        <v>108</v>
      </c>
      <c r="AF2245" t="s">
        <v>11008</v>
      </c>
      <c r="AG2245" t="s">
        <v>11020</v>
      </c>
      <c r="AH2245">
        <v>32</v>
      </c>
      <c r="AI2245">
        <v>1</v>
      </c>
      <c r="AJ2245">
        <v>0</v>
      </c>
      <c r="AK2245">
        <v>160.23</v>
      </c>
      <c r="AN2245" t="s">
        <v>11049</v>
      </c>
      <c r="AO2245">
        <v>19452</v>
      </c>
      <c r="AU2245">
        <v>0.25</v>
      </c>
      <c r="AV2245" t="s">
        <v>11453</v>
      </c>
      <c r="AW2245" t="s">
        <v>11497</v>
      </c>
    </row>
    <row r="2246" spans="1:49">
      <c r="A2246" s="1">
        <f>HYPERLINK("https://cms.ls-nyc.org/matter/dynamic-profile/view/1866236","18-1866236")</f>
        <v>0</v>
      </c>
      <c r="B2246" t="s">
        <v>112</v>
      </c>
      <c r="C2246" t="s">
        <v>235</v>
      </c>
      <c r="D2246" t="s">
        <v>274</v>
      </c>
      <c r="F2246" t="s">
        <v>1231</v>
      </c>
      <c r="G2246" t="s">
        <v>2109</v>
      </c>
      <c r="H2246" t="s">
        <v>3576</v>
      </c>
      <c r="I2246" t="s">
        <v>5274</v>
      </c>
      <c r="J2246" t="s">
        <v>5317</v>
      </c>
      <c r="K2246">
        <v>11432</v>
      </c>
      <c r="L2246" t="s">
        <v>5355</v>
      </c>
      <c r="M2246" t="s">
        <v>5356</v>
      </c>
      <c r="N2246" t="s">
        <v>6304</v>
      </c>
      <c r="O2246" t="s">
        <v>6494</v>
      </c>
      <c r="P2246" t="s">
        <v>6530</v>
      </c>
      <c r="R2246" t="s">
        <v>6539</v>
      </c>
      <c r="S2246" t="s">
        <v>5355</v>
      </c>
      <c r="U2246" t="s">
        <v>6557</v>
      </c>
      <c r="W2246" t="s">
        <v>274</v>
      </c>
      <c r="X2246">
        <v>1324.07</v>
      </c>
      <c r="Y2246" t="s">
        <v>6604</v>
      </c>
      <c r="Z2246" t="s">
        <v>6614</v>
      </c>
      <c r="AB2246" t="s">
        <v>8487</v>
      </c>
      <c r="AC2246" t="s">
        <v>5392</v>
      </c>
      <c r="AD2246" t="s">
        <v>10797</v>
      </c>
      <c r="AE2246">
        <v>60</v>
      </c>
      <c r="AF2246" t="s">
        <v>11005</v>
      </c>
      <c r="AG2246" t="s">
        <v>5406</v>
      </c>
      <c r="AH2246">
        <v>38</v>
      </c>
      <c r="AI2246">
        <v>2</v>
      </c>
      <c r="AJ2246">
        <v>0</v>
      </c>
      <c r="AK2246">
        <v>160.39</v>
      </c>
      <c r="AL2246" t="s">
        <v>485</v>
      </c>
      <c r="AN2246" t="s">
        <v>11049</v>
      </c>
      <c r="AO2246">
        <v>26400</v>
      </c>
      <c r="AU2246">
        <v>0.5</v>
      </c>
      <c r="AV2246" t="s">
        <v>335</v>
      </c>
      <c r="AW2246" t="s">
        <v>11506</v>
      </c>
    </row>
    <row r="2247" spans="1:49">
      <c r="A2247" s="1">
        <f>HYPERLINK("https://cms.ls-nyc.org/matter/dynamic-profile/view/0832574","17-0832574")</f>
        <v>0</v>
      </c>
      <c r="B2247" t="s">
        <v>131</v>
      </c>
      <c r="C2247" t="s">
        <v>235</v>
      </c>
      <c r="D2247" t="s">
        <v>487</v>
      </c>
      <c r="F2247" t="s">
        <v>1997</v>
      </c>
      <c r="G2247" t="s">
        <v>3152</v>
      </c>
      <c r="H2247" t="s">
        <v>4600</v>
      </c>
      <c r="I2247" t="s">
        <v>4738</v>
      </c>
      <c r="J2247" t="s">
        <v>5323</v>
      </c>
      <c r="K2247">
        <v>10032</v>
      </c>
      <c r="L2247" t="s">
        <v>5355</v>
      </c>
      <c r="M2247" t="s">
        <v>5356</v>
      </c>
      <c r="O2247" t="s">
        <v>5393</v>
      </c>
      <c r="P2247" t="s">
        <v>6530</v>
      </c>
      <c r="R2247" t="s">
        <v>6539</v>
      </c>
      <c r="S2247" t="s">
        <v>5355</v>
      </c>
      <c r="U2247" t="s">
        <v>6557</v>
      </c>
      <c r="W2247" t="s">
        <v>6583</v>
      </c>
      <c r="X2247">
        <v>831</v>
      </c>
      <c r="Y2247" t="s">
        <v>6608</v>
      </c>
      <c r="Z2247" t="s">
        <v>6622</v>
      </c>
      <c r="AB2247" t="s">
        <v>8053</v>
      </c>
      <c r="AD2247" t="s">
        <v>10798</v>
      </c>
      <c r="AE2247">
        <v>44</v>
      </c>
      <c r="AF2247" t="s">
        <v>11005</v>
      </c>
      <c r="AG2247" t="s">
        <v>5406</v>
      </c>
      <c r="AH2247">
        <v>40</v>
      </c>
      <c r="AI2247">
        <v>2</v>
      </c>
      <c r="AJ2247">
        <v>2</v>
      </c>
      <c r="AK2247">
        <v>160.65</v>
      </c>
      <c r="AL2247" t="s">
        <v>11032</v>
      </c>
      <c r="AN2247" t="s">
        <v>11049</v>
      </c>
      <c r="AO2247">
        <v>68640</v>
      </c>
      <c r="AU2247">
        <v>17.55</v>
      </c>
      <c r="AV2247" t="s">
        <v>670</v>
      </c>
      <c r="AW2247" t="s">
        <v>11497</v>
      </c>
    </row>
    <row r="2248" spans="1:49">
      <c r="A2248" s="1">
        <f>HYPERLINK("https://cms.ls-nyc.org/matter/dynamic-profile/view/1857311","18-1857311")</f>
        <v>0</v>
      </c>
      <c r="B2248" t="s">
        <v>136</v>
      </c>
      <c r="C2248" t="s">
        <v>234</v>
      </c>
      <c r="D2248" t="s">
        <v>343</v>
      </c>
      <c r="E2248" t="s">
        <v>702</v>
      </c>
      <c r="F2248" t="s">
        <v>871</v>
      </c>
      <c r="G2248" t="s">
        <v>2516</v>
      </c>
      <c r="H2248" t="s">
        <v>4601</v>
      </c>
      <c r="I2248" t="s">
        <v>5275</v>
      </c>
      <c r="J2248" t="s">
        <v>5320</v>
      </c>
      <c r="K2248">
        <v>11206</v>
      </c>
      <c r="L2248" t="s">
        <v>5355</v>
      </c>
      <c r="M2248" t="s">
        <v>5356</v>
      </c>
      <c r="N2248" t="s">
        <v>6305</v>
      </c>
      <c r="O2248" t="s">
        <v>6492</v>
      </c>
      <c r="P2248" t="s">
        <v>6530</v>
      </c>
      <c r="Q2248" t="s">
        <v>6534</v>
      </c>
      <c r="R2248" t="s">
        <v>6539</v>
      </c>
      <c r="S2248" t="s">
        <v>5357</v>
      </c>
      <c r="U2248" t="s">
        <v>6557</v>
      </c>
      <c r="W2248" t="s">
        <v>343</v>
      </c>
      <c r="X2248">
        <v>907</v>
      </c>
      <c r="Y2248" t="s">
        <v>6605</v>
      </c>
      <c r="Z2248" t="s">
        <v>6611</v>
      </c>
      <c r="AA2248" t="s">
        <v>6637</v>
      </c>
      <c r="AB2248" t="s">
        <v>8481</v>
      </c>
      <c r="AC2248" t="s">
        <v>9076</v>
      </c>
      <c r="AD2248" t="s">
        <v>10799</v>
      </c>
      <c r="AE2248">
        <v>4</v>
      </c>
      <c r="AG2248" t="s">
        <v>5406</v>
      </c>
      <c r="AH2248">
        <v>4</v>
      </c>
      <c r="AI2248">
        <v>1</v>
      </c>
      <c r="AJ2248">
        <v>1</v>
      </c>
      <c r="AK2248">
        <v>162.61</v>
      </c>
      <c r="AN2248" t="s">
        <v>11050</v>
      </c>
      <c r="AO2248">
        <v>26408</v>
      </c>
      <c r="AU2248">
        <v>14.8</v>
      </c>
      <c r="AV2248" t="s">
        <v>805</v>
      </c>
      <c r="AW2248" t="s">
        <v>11487</v>
      </c>
    </row>
    <row r="2249" spans="1:49">
      <c r="A2249" s="1">
        <f>HYPERLINK("https://cms.ls-nyc.org/matter/dynamic-profile/view/1864044","18-1864044")</f>
        <v>0</v>
      </c>
      <c r="B2249" t="s">
        <v>111</v>
      </c>
      <c r="C2249" t="s">
        <v>235</v>
      </c>
      <c r="D2249" t="s">
        <v>357</v>
      </c>
      <c r="F2249" t="s">
        <v>1405</v>
      </c>
      <c r="G2249" t="s">
        <v>2101</v>
      </c>
      <c r="H2249" t="s">
        <v>4075</v>
      </c>
      <c r="I2249" t="s">
        <v>4752</v>
      </c>
      <c r="J2249" t="s">
        <v>5323</v>
      </c>
      <c r="K2249">
        <v>10040</v>
      </c>
      <c r="L2249" t="s">
        <v>5355</v>
      </c>
      <c r="M2249" t="s">
        <v>5356</v>
      </c>
      <c r="N2249" t="s">
        <v>5591</v>
      </c>
      <c r="O2249" t="s">
        <v>6494</v>
      </c>
      <c r="P2249" t="s">
        <v>6530</v>
      </c>
      <c r="R2249" t="s">
        <v>6539</v>
      </c>
      <c r="S2249" t="s">
        <v>5355</v>
      </c>
      <c r="U2249" t="s">
        <v>6557</v>
      </c>
      <c r="W2249" t="s">
        <v>357</v>
      </c>
      <c r="X2249">
        <v>1355</v>
      </c>
      <c r="Y2249" t="s">
        <v>6608</v>
      </c>
      <c r="Z2249" t="s">
        <v>6614</v>
      </c>
      <c r="AB2249" t="s">
        <v>8488</v>
      </c>
      <c r="AD2249" t="s">
        <v>10800</v>
      </c>
      <c r="AE2249">
        <v>44</v>
      </c>
      <c r="AF2249" t="s">
        <v>11005</v>
      </c>
      <c r="AG2249" t="s">
        <v>5406</v>
      </c>
      <c r="AH2249">
        <v>19</v>
      </c>
      <c r="AI2249">
        <v>3</v>
      </c>
      <c r="AJ2249">
        <v>2</v>
      </c>
      <c r="AK2249">
        <v>163.15</v>
      </c>
      <c r="AL2249" t="s">
        <v>11035</v>
      </c>
      <c r="AN2249" t="s">
        <v>11049</v>
      </c>
      <c r="AO2249">
        <v>76800</v>
      </c>
      <c r="AU2249">
        <v>1.2</v>
      </c>
      <c r="AV2249" t="s">
        <v>831</v>
      </c>
      <c r="AW2249" t="s">
        <v>11495</v>
      </c>
    </row>
    <row r="2250" spans="1:49">
      <c r="A2250" s="1">
        <f>HYPERLINK("https://cms.ls-nyc.org/matter/dynamic-profile/view/1835319","17-1835319")</f>
        <v>0</v>
      </c>
      <c r="B2250" t="s">
        <v>174</v>
      </c>
      <c r="C2250" t="s">
        <v>234</v>
      </c>
      <c r="D2250" t="s">
        <v>640</v>
      </c>
      <c r="E2250" t="s">
        <v>703</v>
      </c>
      <c r="F2250" t="s">
        <v>1215</v>
      </c>
      <c r="G2250" t="s">
        <v>2311</v>
      </c>
      <c r="H2250" t="s">
        <v>4602</v>
      </c>
      <c r="I2250">
        <v>2</v>
      </c>
      <c r="J2250" t="s">
        <v>5320</v>
      </c>
      <c r="K2250">
        <v>11220</v>
      </c>
      <c r="L2250" t="s">
        <v>5355</v>
      </c>
      <c r="M2250" t="s">
        <v>5356</v>
      </c>
      <c r="N2250" t="s">
        <v>6306</v>
      </c>
      <c r="O2250" t="s">
        <v>6492</v>
      </c>
      <c r="P2250" t="s">
        <v>6530</v>
      </c>
      <c r="Q2250" t="s">
        <v>6534</v>
      </c>
      <c r="R2250" t="s">
        <v>6539</v>
      </c>
      <c r="S2250" t="s">
        <v>5357</v>
      </c>
      <c r="T2250" t="s">
        <v>6544</v>
      </c>
      <c r="U2250" t="s">
        <v>6557</v>
      </c>
      <c r="W2250" t="s">
        <v>419</v>
      </c>
      <c r="X2250">
        <v>1753</v>
      </c>
      <c r="Y2250" t="s">
        <v>6605</v>
      </c>
      <c r="Z2250" t="s">
        <v>6616</v>
      </c>
      <c r="AA2250" t="s">
        <v>6637</v>
      </c>
      <c r="AB2250" t="s">
        <v>8489</v>
      </c>
      <c r="AD2250" t="s">
        <v>10801</v>
      </c>
      <c r="AE2250">
        <v>3</v>
      </c>
      <c r="AF2250" t="s">
        <v>11004</v>
      </c>
      <c r="AG2250" t="s">
        <v>11020</v>
      </c>
      <c r="AH2250">
        <v>19</v>
      </c>
      <c r="AI2250">
        <v>2</v>
      </c>
      <c r="AJ2250">
        <v>0</v>
      </c>
      <c r="AK2250">
        <v>163.55</v>
      </c>
      <c r="AN2250" t="s">
        <v>11049</v>
      </c>
      <c r="AO2250">
        <v>26560</v>
      </c>
      <c r="AU2250">
        <v>21.3</v>
      </c>
      <c r="AV2250" t="s">
        <v>550</v>
      </c>
      <c r="AW2250" t="s">
        <v>11511</v>
      </c>
    </row>
    <row r="2251" spans="1:49">
      <c r="A2251" s="1">
        <f>HYPERLINK("https://cms.ls-nyc.org/matter/dynamic-profile/view/1863695","18-1863695")</f>
        <v>0</v>
      </c>
      <c r="B2251" t="s">
        <v>67</v>
      </c>
      <c r="C2251" t="s">
        <v>234</v>
      </c>
      <c r="D2251" t="s">
        <v>263</v>
      </c>
      <c r="E2251" t="s">
        <v>743</v>
      </c>
      <c r="F2251" t="s">
        <v>1159</v>
      </c>
      <c r="G2251" t="s">
        <v>3298</v>
      </c>
      <c r="H2251" t="s">
        <v>4603</v>
      </c>
      <c r="I2251">
        <v>10029</v>
      </c>
      <c r="J2251" t="s">
        <v>5323</v>
      </c>
      <c r="K2251">
        <v>10029</v>
      </c>
      <c r="L2251" t="s">
        <v>5355</v>
      </c>
      <c r="M2251" t="s">
        <v>5356</v>
      </c>
      <c r="N2251" t="s">
        <v>6307</v>
      </c>
      <c r="O2251" t="s">
        <v>6492</v>
      </c>
      <c r="P2251" t="s">
        <v>6530</v>
      </c>
      <c r="Q2251" t="s">
        <v>6534</v>
      </c>
      <c r="R2251" t="s">
        <v>6539</v>
      </c>
      <c r="S2251" t="s">
        <v>5357</v>
      </c>
      <c r="U2251" t="s">
        <v>6557</v>
      </c>
      <c r="V2251" t="s">
        <v>6566</v>
      </c>
      <c r="W2251" t="s">
        <v>263</v>
      </c>
      <c r="X2251">
        <v>707</v>
      </c>
      <c r="Y2251" t="s">
        <v>6608</v>
      </c>
      <c r="Z2251" t="s">
        <v>6616</v>
      </c>
      <c r="AA2251" t="s">
        <v>6637</v>
      </c>
      <c r="AB2251" t="s">
        <v>8490</v>
      </c>
      <c r="AD2251" t="s">
        <v>10802</v>
      </c>
      <c r="AE2251">
        <v>10</v>
      </c>
      <c r="AF2251" t="s">
        <v>11005</v>
      </c>
      <c r="AG2251" t="s">
        <v>5406</v>
      </c>
      <c r="AH2251">
        <v>18</v>
      </c>
      <c r="AI2251">
        <v>1</v>
      </c>
      <c r="AJ2251">
        <v>0</v>
      </c>
      <c r="AK2251">
        <v>164.05</v>
      </c>
      <c r="AN2251" t="s">
        <v>11050</v>
      </c>
      <c r="AO2251">
        <v>19916</v>
      </c>
      <c r="AU2251">
        <v>26.15</v>
      </c>
      <c r="AV2251" t="s">
        <v>808</v>
      </c>
      <c r="AW2251" t="s">
        <v>11497</v>
      </c>
    </row>
    <row r="2252" spans="1:49">
      <c r="A2252" s="1">
        <f>HYPERLINK("https://cms.ls-nyc.org/matter/dynamic-profile/view/1858292","18-1858292")</f>
        <v>0</v>
      </c>
      <c r="B2252" t="s">
        <v>104</v>
      </c>
      <c r="C2252" t="s">
        <v>234</v>
      </c>
      <c r="D2252" t="s">
        <v>238</v>
      </c>
      <c r="E2252" t="s">
        <v>706</v>
      </c>
      <c r="F2252" t="s">
        <v>1998</v>
      </c>
      <c r="G2252" t="s">
        <v>2136</v>
      </c>
      <c r="H2252" t="s">
        <v>4604</v>
      </c>
      <c r="I2252" t="s">
        <v>4783</v>
      </c>
      <c r="J2252" t="s">
        <v>5321</v>
      </c>
      <c r="K2252">
        <v>10460</v>
      </c>
      <c r="L2252" t="s">
        <v>5355</v>
      </c>
      <c r="M2252" t="s">
        <v>5356</v>
      </c>
      <c r="N2252" t="s">
        <v>6308</v>
      </c>
      <c r="O2252" t="s">
        <v>6494</v>
      </c>
      <c r="P2252" t="s">
        <v>6530</v>
      </c>
      <c r="Q2252" t="s">
        <v>6534</v>
      </c>
      <c r="R2252" t="s">
        <v>6539</v>
      </c>
      <c r="S2252" t="s">
        <v>5357</v>
      </c>
      <c r="U2252" t="s">
        <v>6557</v>
      </c>
      <c r="W2252" t="s">
        <v>319</v>
      </c>
      <c r="X2252">
        <v>587.6</v>
      </c>
      <c r="Y2252" t="s">
        <v>6606</v>
      </c>
      <c r="Z2252" t="s">
        <v>6613</v>
      </c>
      <c r="AA2252" t="s">
        <v>6634</v>
      </c>
      <c r="AB2252" t="s">
        <v>8491</v>
      </c>
      <c r="AD2252" t="s">
        <v>10803</v>
      </c>
      <c r="AE2252">
        <v>31</v>
      </c>
      <c r="AF2252" t="s">
        <v>11005</v>
      </c>
      <c r="AG2252" t="s">
        <v>5406</v>
      </c>
      <c r="AH2252">
        <v>40</v>
      </c>
      <c r="AI2252">
        <v>3</v>
      </c>
      <c r="AJ2252">
        <v>0</v>
      </c>
      <c r="AK2252">
        <v>164.54</v>
      </c>
      <c r="AN2252" t="s">
        <v>11050</v>
      </c>
      <c r="AO2252">
        <v>33600</v>
      </c>
      <c r="AQ2252" t="s">
        <v>11190</v>
      </c>
      <c r="AR2252" t="s">
        <v>11203</v>
      </c>
      <c r="AS2252" t="s">
        <v>11253</v>
      </c>
      <c r="AT2252" t="s">
        <v>11413</v>
      </c>
      <c r="AU2252">
        <v>55.25</v>
      </c>
      <c r="AV2252" t="s">
        <v>716</v>
      </c>
      <c r="AW2252" t="s">
        <v>11492</v>
      </c>
    </row>
    <row r="2253" spans="1:49">
      <c r="A2253" s="1">
        <f>HYPERLINK("https://cms.ls-nyc.org/matter/dynamic-profile/view/1848674","17-1848674")</f>
        <v>0</v>
      </c>
      <c r="B2253" t="s">
        <v>115</v>
      </c>
      <c r="C2253" t="s">
        <v>234</v>
      </c>
      <c r="D2253" t="s">
        <v>635</v>
      </c>
      <c r="E2253" t="s">
        <v>720</v>
      </c>
      <c r="F2253" t="s">
        <v>987</v>
      </c>
      <c r="G2253" t="s">
        <v>2219</v>
      </c>
      <c r="H2253" t="s">
        <v>4605</v>
      </c>
      <c r="I2253" t="s">
        <v>4749</v>
      </c>
      <c r="J2253" t="s">
        <v>5320</v>
      </c>
      <c r="K2253">
        <v>11239</v>
      </c>
      <c r="L2253" t="s">
        <v>5355</v>
      </c>
      <c r="M2253" t="s">
        <v>5355</v>
      </c>
      <c r="N2253" t="s">
        <v>6309</v>
      </c>
      <c r="O2253" t="s">
        <v>6491</v>
      </c>
      <c r="P2253" t="s">
        <v>6530</v>
      </c>
      <c r="Q2253" t="s">
        <v>6534</v>
      </c>
      <c r="R2253" t="s">
        <v>6539</v>
      </c>
      <c r="S2253" t="s">
        <v>5357</v>
      </c>
      <c r="U2253" t="s">
        <v>6557</v>
      </c>
      <c r="W2253" t="s">
        <v>262</v>
      </c>
      <c r="X2253">
        <v>0</v>
      </c>
      <c r="Y2253" t="s">
        <v>6605</v>
      </c>
      <c r="AA2253" t="s">
        <v>6633</v>
      </c>
      <c r="AB2253" t="s">
        <v>8492</v>
      </c>
      <c r="AD2253" t="s">
        <v>10804</v>
      </c>
      <c r="AE2253">
        <v>1092</v>
      </c>
      <c r="AF2253" t="s">
        <v>11005</v>
      </c>
      <c r="AH2253">
        <v>9</v>
      </c>
      <c r="AI2253">
        <v>1</v>
      </c>
      <c r="AJ2253">
        <v>0</v>
      </c>
      <c r="AK2253">
        <v>165.84</v>
      </c>
      <c r="AN2253" t="s">
        <v>11050</v>
      </c>
      <c r="AO2253">
        <v>20000</v>
      </c>
      <c r="AQ2253" t="s">
        <v>11192</v>
      </c>
      <c r="AR2253" t="s">
        <v>6493</v>
      </c>
      <c r="AS2253" t="s">
        <v>11252</v>
      </c>
      <c r="AT2253" t="s">
        <v>11298</v>
      </c>
      <c r="AU2253">
        <v>8</v>
      </c>
      <c r="AV2253" t="s">
        <v>373</v>
      </c>
      <c r="AW2253" t="s">
        <v>11489</v>
      </c>
    </row>
    <row r="2254" spans="1:49">
      <c r="A2254" s="1">
        <f>HYPERLINK("https://cms.ls-nyc.org/matter/dynamic-profile/view/1861500","18-1861500")</f>
        <v>0</v>
      </c>
      <c r="B2254" t="s">
        <v>217</v>
      </c>
      <c r="C2254" t="s">
        <v>234</v>
      </c>
      <c r="D2254" t="s">
        <v>339</v>
      </c>
      <c r="E2254" t="s">
        <v>786</v>
      </c>
      <c r="F2254" t="s">
        <v>1000</v>
      </c>
      <c r="G2254" t="s">
        <v>3299</v>
      </c>
      <c r="H2254" t="s">
        <v>4606</v>
      </c>
      <c r="I2254" t="s">
        <v>4770</v>
      </c>
      <c r="J2254" t="s">
        <v>5340</v>
      </c>
      <c r="K2254">
        <v>11692</v>
      </c>
      <c r="L2254" t="s">
        <v>5355</v>
      </c>
      <c r="M2254" t="s">
        <v>5355</v>
      </c>
      <c r="N2254" t="s">
        <v>6310</v>
      </c>
      <c r="O2254" t="s">
        <v>6491</v>
      </c>
      <c r="P2254" t="s">
        <v>6530</v>
      </c>
      <c r="Q2254" t="s">
        <v>6534</v>
      </c>
      <c r="R2254" t="s">
        <v>6539</v>
      </c>
      <c r="S2254" t="s">
        <v>5357</v>
      </c>
      <c r="U2254" t="s">
        <v>6557</v>
      </c>
      <c r="W2254" t="s">
        <v>242</v>
      </c>
      <c r="X2254">
        <v>1800</v>
      </c>
      <c r="Y2254" t="s">
        <v>6604</v>
      </c>
      <c r="Z2254" t="s">
        <v>6613</v>
      </c>
      <c r="AA2254" t="s">
        <v>6633</v>
      </c>
      <c r="AB2254" t="s">
        <v>8493</v>
      </c>
      <c r="AC2254" t="s">
        <v>9077</v>
      </c>
      <c r="AD2254" t="s">
        <v>10805</v>
      </c>
      <c r="AE2254">
        <v>3</v>
      </c>
      <c r="AF2254" t="s">
        <v>11004</v>
      </c>
      <c r="AG2254" t="s">
        <v>11023</v>
      </c>
      <c r="AH2254">
        <v>1</v>
      </c>
      <c r="AI2254">
        <v>1</v>
      </c>
      <c r="AJ2254">
        <v>2</v>
      </c>
      <c r="AK2254">
        <v>166.04</v>
      </c>
      <c r="AN2254" t="s">
        <v>11050</v>
      </c>
      <c r="AO2254">
        <v>34504</v>
      </c>
      <c r="AQ2254" t="s">
        <v>11191</v>
      </c>
      <c r="AR2254" t="s">
        <v>6493</v>
      </c>
      <c r="AS2254" t="s">
        <v>11252</v>
      </c>
      <c r="AT2254" t="s">
        <v>11414</v>
      </c>
      <c r="AU2254">
        <v>22.15</v>
      </c>
      <c r="AV2254" t="s">
        <v>786</v>
      </c>
      <c r="AW2254" t="s">
        <v>11507</v>
      </c>
    </row>
    <row r="2255" spans="1:49">
      <c r="A2255" s="1">
        <f>HYPERLINK("https://cms.ls-nyc.org/matter/dynamic-profile/view/1841364","17-1841364")</f>
        <v>0</v>
      </c>
      <c r="B2255" t="s">
        <v>99</v>
      </c>
      <c r="C2255" t="s">
        <v>235</v>
      </c>
      <c r="D2255" t="s">
        <v>273</v>
      </c>
      <c r="F2255" t="s">
        <v>1999</v>
      </c>
      <c r="G2255" t="s">
        <v>3300</v>
      </c>
      <c r="H2255" t="s">
        <v>4577</v>
      </c>
      <c r="I2255" t="s">
        <v>4756</v>
      </c>
      <c r="J2255" t="s">
        <v>5320</v>
      </c>
      <c r="K2255">
        <v>11226</v>
      </c>
      <c r="L2255" t="s">
        <v>5355</v>
      </c>
      <c r="M2255" t="s">
        <v>5356</v>
      </c>
      <c r="N2255" t="s">
        <v>6311</v>
      </c>
      <c r="O2255" t="s">
        <v>6491</v>
      </c>
      <c r="P2255" t="s">
        <v>6530</v>
      </c>
      <c r="R2255" t="s">
        <v>6539</v>
      </c>
      <c r="S2255" t="s">
        <v>5355</v>
      </c>
      <c r="U2255" t="s">
        <v>6557</v>
      </c>
      <c r="W2255" t="s">
        <v>6603</v>
      </c>
      <c r="X2255">
        <v>1021.56</v>
      </c>
      <c r="Y2255" t="s">
        <v>6605</v>
      </c>
      <c r="Z2255" t="s">
        <v>6612</v>
      </c>
      <c r="AB2255" t="s">
        <v>8494</v>
      </c>
      <c r="AE2255">
        <v>66</v>
      </c>
      <c r="AF2255" t="s">
        <v>11005</v>
      </c>
      <c r="AG2255" t="s">
        <v>5406</v>
      </c>
      <c r="AH2255">
        <v>17</v>
      </c>
      <c r="AI2255">
        <v>2</v>
      </c>
      <c r="AJ2255">
        <v>0</v>
      </c>
      <c r="AK2255">
        <v>166.26</v>
      </c>
      <c r="AO2255">
        <v>27000</v>
      </c>
      <c r="AU2255">
        <v>85</v>
      </c>
      <c r="AV2255" t="s">
        <v>782</v>
      </c>
      <c r="AW2255" t="s">
        <v>174</v>
      </c>
    </row>
    <row r="2256" spans="1:49">
      <c r="A2256" s="1">
        <f>HYPERLINK("https://cms.ls-nyc.org/matter/dynamic-profile/view/1841525","17-1841525")</f>
        <v>0</v>
      </c>
      <c r="B2256" t="s">
        <v>90</v>
      </c>
      <c r="C2256" t="s">
        <v>235</v>
      </c>
      <c r="D2256" t="s">
        <v>410</v>
      </c>
      <c r="F2256" t="s">
        <v>1080</v>
      </c>
      <c r="G2256" t="s">
        <v>3301</v>
      </c>
      <c r="H2256" t="s">
        <v>4170</v>
      </c>
      <c r="I2256" t="s">
        <v>4752</v>
      </c>
      <c r="J2256" t="s">
        <v>5321</v>
      </c>
      <c r="K2256">
        <v>10453</v>
      </c>
      <c r="L2256" t="s">
        <v>5355</v>
      </c>
      <c r="M2256" t="s">
        <v>5356</v>
      </c>
      <c r="N2256" t="s">
        <v>6312</v>
      </c>
      <c r="O2256" t="s">
        <v>6494</v>
      </c>
      <c r="P2256" t="s">
        <v>6530</v>
      </c>
      <c r="R2256" t="s">
        <v>6539</v>
      </c>
      <c r="S2256" t="s">
        <v>5357</v>
      </c>
      <c r="U2256" t="s">
        <v>6557</v>
      </c>
      <c r="W2256" t="s">
        <v>404</v>
      </c>
      <c r="X2256">
        <v>1295</v>
      </c>
      <c r="Y2256" t="s">
        <v>6606</v>
      </c>
      <c r="Z2256" t="s">
        <v>6612</v>
      </c>
      <c r="AB2256" t="s">
        <v>8495</v>
      </c>
      <c r="AD2256" t="s">
        <v>10806</v>
      </c>
      <c r="AE2256">
        <v>56</v>
      </c>
      <c r="AF2256" t="s">
        <v>11005</v>
      </c>
      <c r="AG2256" t="s">
        <v>11020</v>
      </c>
      <c r="AH2256">
        <v>20</v>
      </c>
      <c r="AI2256">
        <v>1</v>
      </c>
      <c r="AJ2256">
        <v>1</v>
      </c>
      <c r="AK2256">
        <v>166.26</v>
      </c>
      <c r="AN2256" t="s">
        <v>11050</v>
      </c>
      <c r="AO2256">
        <v>27000</v>
      </c>
      <c r="AU2256">
        <v>96.65000000000001</v>
      </c>
      <c r="AV2256" t="s">
        <v>11451</v>
      </c>
      <c r="AW2256" t="s">
        <v>11537</v>
      </c>
    </row>
    <row r="2257" spans="1:50">
      <c r="A2257" s="1">
        <f>HYPERLINK("https://cms.ls-nyc.org/matter/dynamic-profile/view/1853766","17-1853766")</f>
        <v>0</v>
      </c>
      <c r="B2257" t="s">
        <v>147</v>
      </c>
      <c r="C2257" t="s">
        <v>234</v>
      </c>
      <c r="D2257" t="s">
        <v>332</v>
      </c>
      <c r="E2257" t="s">
        <v>265</v>
      </c>
      <c r="F2257" t="s">
        <v>2000</v>
      </c>
      <c r="G2257" t="s">
        <v>2733</v>
      </c>
      <c r="H2257" t="s">
        <v>4607</v>
      </c>
      <c r="I2257" t="s">
        <v>4772</v>
      </c>
      <c r="J2257" t="s">
        <v>5321</v>
      </c>
      <c r="K2257">
        <v>10453</v>
      </c>
      <c r="L2257" t="s">
        <v>5355</v>
      </c>
      <c r="M2257" t="s">
        <v>5356</v>
      </c>
      <c r="N2257" t="s">
        <v>6313</v>
      </c>
      <c r="O2257" t="s">
        <v>6492</v>
      </c>
      <c r="P2257" t="s">
        <v>6530</v>
      </c>
      <c r="Q2257" t="s">
        <v>6534</v>
      </c>
      <c r="R2257" t="s">
        <v>6539</v>
      </c>
      <c r="U2257" t="s">
        <v>6557</v>
      </c>
      <c r="W2257" t="s">
        <v>332</v>
      </c>
      <c r="X2257">
        <v>1203</v>
      </c>
      <c r="Y2257" t="s">
        <v>6606</v>
      </c>
      <c r="Z2257" t="s">
        <v>6615</v>
      </c>
      <c r="AA2257" t="s">
        <v>6637</v>
      </c>
      <c r="AB2257" t="s">
        <v>8496</v>
      </c>
      <c r="AE2257">
        <v>45</v>
      </c>
      <c r="AF2257" t="s">
        <v>11005</v>
      </c>
      <c r="AG2257" t="s">
        <v>5406</v>
      </c>
      <c r="AH2257">
        <v>10</v>
      </c>
      <c r="AI2257">
        <v>2</v>
      </c>
      <c r="AJ2257">
        <v>0</v>
      </c>
      <c r="AK2257">
        <v>166.26</v>
      </c>
      <c r="AN2257" t="s">
        <v>11050</v>
      </c>
      <c r="AO2257">
        <v>27000</v>
      </c>
      <c r="AP2257" t="s">
        <v>11075</v>
      </c>
      <c r="AT2257" t="s">
        <v>11324</v>
      </c>
      <c r="AU2257">
        <v>6.2</v>
      </c>
      <c r="AV2257" t="s">
        <v>439</v>
      </c>
      <c r="AW2257" t="s">
        <v>11535</v>
      </c>
    </row>
    <row r="2258" spans="1:50">
      <c r="A2258" s="1">
        <f>HYPERLINK("https://cms.ls-nyc.org/matter/dynamic-profile/view/1858879","18-1858879")</f>
        <v>0</v>
      </c>
      <c r="B2258" t="s">
        <v>131</v>
      </c>
      <c r="C2258" t="s">
        <v>234</v>
      </c>
      <c r="D2258" t="s">
        <v>240</v>
      </c>
      <c r="E2258" t="s">
        <v>686</v>
      </c>
      <c r="F2258" t="s">
        <v>1157</v>
      </c>
      <c r="G2258" t="s">
        <v>2678</v>
      </c>
      <c r="H2258" t="s">
        <v>4608</v>
      </c>
      <c r="I2258" t="s">
        <v>4932</v>
      </c>
      <c r="J2258" t="s">
        <v>5323</v>
      </c>
      <c r="K2258">
        <v>10034</v>
      </c>
      <c r="L2258" t="s">
        <v>5355</v>
      </c>
      <c r="M2258" t="s">
        <v>5356</v>
      </c>
      <c r="N2258" t="s">
        <v>6314</v>
      </c>
      <c r="O2258" t="s">
        <v>6492</v>
      </c>
      <c r="P2258" t="s">
        <v>6530</v>
      </c>
      <c r="Q2258" t="s">
        <v>6534</v>
      </c>
      <c r="R2258" t="s">
        <v>6539</v>
      </c>
      <c r="U2258" t="s">
        <v>6557</v>
      </c>
      <c r="W2258" t="s">
        <v>262</v>
      </c>
      <c r="X2258">
        <v>1600</v>
      </c>
      <c r="Y2258" t="s">
        <v>6608</v>
      </c>
      <c r="Z2258" t="s">
        <v>6615</v>
      </c>
      <c r="AA2258" t="s">
        <v>6637</v>
      </c>
      <c r="AB2258" t="s">
        <v>8497</v>
      </c>
      <c r="AD2258" t="s">
        <v>10807</v>
      </c>
      <c r="AE2258">
        <v>72</v>
      </c>
      <c r="AF2258" t="s">
        <v>8722</v>
      </c>
      <c r="AG2258" t="s">
        <v>5406</v>
      </c>
      <c r="AH2258">
        <v>14</v>
      </c>
      <c r="AI2258">
        <v>2</v>
      </c>
      <c r="AJ2258">
        <v>0</v>
      </c>
      <c r="AK2258">
        <v>166.64</v>
      </c>
      <c r="AN2258" t="s">
        <v>11049</v>
      </c>
      <c r="AO2258">
        <v>27061.6</v>
      </c>
      <c r="AU2258">
        <v>105.72</v>
      </c>
      <c r="AV2258" t="s">
        <v>673</v>
      </c>
      <c r="AW2258" t="s">
        <v>11494</v>
      </c>
    </row>
    <row r="2259" spans="1:50">
      <c r="A2259" s="1">
        <f>HYPERLINK("https://cms.ls-nyc.org/matter/dynamic-profile/view/1859923","18-1859923")</f>
        <v>0</v>
      </c>
      <c r="B2259" t="s">
        <v>112</v>
      </c>
      <c r="C2259" t="s">
        <v>235</v>
      </c>
      <c r="D2259" t="s">
        <v>291</v>
      </c>
      <c r="F2259" t="s">
        <v>2001</v>
      </c>
      <c r="G2259" t="s">
        <v>2175</v>
      </c>
      <c r="H2259" t="s">
        <v>4092</v>
      </c>
      <c r="I2259" t="s">
        <v>4825</v>
      </c>
      <c r="J2259" t="s">
        <v>5317</v>
      </c>
      <c r="K2259">
        <v>11432</v>
      </c>
      <c r="L2259" t="s">
        <v>5355</v>
      </c>
      <c r="M2259" t="s">
        <v>5356</v>
      </c>
      <c r="N2259" t="s">
        <v>6315</v>
      </c>
      <c r="O2259" t="s">
        <v>6518</v>
      </c>
      <c r="P2259" t="s">
        <v>6530</v>
      </c>
      <c r="R2259" t="s">
        <v>6539</v>
      </c>
      <c r="S2259" t="s">
        <v>5357</v>
      </c>
      <c r="U2259" t="s">
        <v>6557</v>
      </c>
      <c r="W2259" t="s">
        <v>291</v>
      </c>
      <c r="X2259">
        <v>1150</v>
      </c>
      <c r="Y2259" t="s">
        <v>6604</v>
      </c>
      <c r="Z2259" t="s">
        <v>6614</v>
      </c>
      <c r="AB2259" t="s">
        <v>8498</v>
      </c>
      <c r="AD2259" t="s">
        <v>10808</v>
      </c>
      <c r="AE2259">
        <v>168</v>
      </c>
      <c r="AF2259" t="s">
        <v>11005</v>
      </c>
      <c r="AG2259" t="s">
        <v>5406</v>
      </c>
      <c r="AH2259">
        <v>9</v>
      </c>
      <c r="AI2259">
        <v>2</v>
      </c>
      <c r="AJ2259">
        <v>2</v>
      </c>
      <c r="AK2259">
        <v>167.33</v>
      </c>
      <c r="AL2259" t="s">
        <v>485</v>
      </c>
      <c r="AN2259" t="s">
        <v>11059</v>
      </c>
      <c r="AO2259">
        <v>42000</v>
      </c>
      <c r="AU2259">
        <v>67</v>
      </c>
      <c r="AV2259" t="s">
        <v>763</v>
      </c>
      <c r="AW2259" t="s">
        <v>11506</v>
      </c>
    </row>
    <row r="2260" spans="1:50">
      <c r="A2260" s="1">
        <f>HYPERLINK("https://cms.ls-nyc.org/matter/dynamic-profile/view/1854384","17-1854384")</f>
        <v>0</v>
      </c>
      <c r="B2260" t="s">
        <v>195</v>
      </c>
      <c r="C2260" t="s">
        <v>235</v>
      </c>
      <c r="D2260" t="s">
        <v>378</v>
      </c>
      <c r="F2260" t="s">
        <v>944</v>
      </c>
      <c r="G2260" t="s">
        <v>2164</v>
      </c>
      <c r="H2260" t="s">
        <v>4609</v>
      </c>
      <c r="I2260">
        <v>2501</v>
      </c>
      <c r="J2260" t="s">
        <v>5323</v>
      </c>
      <c r="K2260">
        <v>10035</v>
      </c>
      <c r="L2260" t="s">
        <v>5355</v>
      </c>
      <c r="M2260" t="s">
        <v>5355</v>
      </c>
      <c r="N2260" t="s">
        <v>6316</v>
      </c>
      <c r="O2260" t="s">
        <v>6492</v>
      </c>
      <c r="P2260" t="s">
        <v>6530</v>
      </c>
      <c r="R2260" t="s">
        <v>6539</v>
      </c>
      <c r="S2260" t="s">
        <v>5357</v>
      </c>
      <c r="U2260" t="s">
        <v>6557</v>
      </c>
      <c r="W2260" t="s">
        <v>297</v>
      </c>
      <c r="X2260">
        <v>2942.3</v>
      </c>
      <c r="Y2260" t="s">
        <v>6608</v>
      </c>
      <c r="Z2260" t="s">
        <v>6616</v>
      </c>
      <c r="AB2260" t="s">
        <v>8499</v>
      </c>
      <c r="AD2260" t="s">
        <v>10809</v>
      </c>
      <c r="AE2260">
        <v>148</v>
      </c>
      <c r="AF2260" t="s">
        <v>11013</v>
      </c>
      <c r="AG2260" t="s">
        <v>11020</v>
      </c>
      <c r="AH2260">
        <v>38</v>
      </c>
      <c r="AI2260">
        <v>3</v>
      </c>
      <c r="AJ2260">
        <v>0</v>
      </c>
      <c r="AK2260">
        <v>167.4</v>
      </c>
      <c r="AN2260" t="s">
        <v>11050</v>
      </c>
      <c r="AO2260">
        <v>34184</v>
      </c>
      <c r="AU2260">
        <v>77.55</v>
      </c>
      <c r="AV2260" t="s">
        <v>11451</v>
      </c>
      <c r="AW2260" t="s">
        <v>11549</v>
      </c>
    </row>
    <row r="2261" spans="1:50">
      <c r="A2261" s="1">
        <f>HYPERLINK("https://cms.ls-nyc.org/matter/dynamic-profile/view/1864843","18-1864843")</f>
        <v>0</v>
      </c>
      <c r="B2261" t="s">
        <v>128</v>
      </c>
      <c r="C2261" t="s">
        <v>235</v>
      </c>
      <c r="D2261" t="s">
        <v>325</v>
      </c>
      <c r="F2261" t="s">
        <v>986</v>
      </c>
      <c r="G2261" t="s">
        <v>3302</v>
      </c>
      <c r="H2261" t="s">
        <v>3762</v>
      </c>
      <c r="I2261" t="s">
        <v>5276</v>
      </c>
      <c r="J2261" t="s">
        <v>5320</v>
      </c>
      <c r="K2261">
        <v>11206</v>
      </c>
      <c r="L2261" t="s">
        <v>5355</v>
      </c>
      <c r="M2261" t="s">
        <v>5355</v>
      </c>
      <c r="N2261" t="s">
        <v>6317</v>
      </c>
      <c r="P2261" t="s">
        <v>6530</v>
      </c>
      <c r="R2261" t="s">
        <v>6539</v>
      </c>
      <c r="S2261" t="s">
        <v>5357</v>
      </c>
      <c r="U2261" t="s">
        <v>6557</v>
      </c>
      <c r="W2261" t="s">
        <v>355</v>
      </c>
      <c r="X2261">
        <v>0</v>
      </c>
      <c r="Y2261" t="s">
        <v>6605</v>
      </c>
      <c r="AB2261" t="s">
        <v>8500</v>
      </c>
      <c r="AD2261" t="s">
        <v>10810</v>
      </c>
      <c r="AE2261">
        <v>11</v>
      </c>
      <c r="AF2261" t="s">
        <v>11005</v>
      </c>
      <c r="AH2261">
        <v>35</v>
      </c>
      <c r="AI2261">
        <v>2</v>
      </c>
      <c r="AJ2261">
        <v>0</v>
      </c>
      <c r="AK2261">
        <v>167.68</v>
      </c>
      <c r="AN2261" t="s">
        <v>11050</v>
      </c>
      <c r="AO2261">
        <v>27600</v>
      </c>
      <c r="AP2261" t="s">
        <v>11151</v>
      </c>
      <c r="AU2261">
        <v>59.85</v>
      </c>
      <c r="AV2261" t="s">
        <v>11451</v>
      </c>
      <c r="AW2261" t="s">
        <v>135</v>
      </c>
      <c r="AX2261" t="s">
        <v>11564</v>
      </c>
    </row>
    <row r="2262" spans="1:50">
      <c r="A2262" s="1">
        <f>HYPERLINK("https://cms.ls-nyc.org/matter/dynamic-profile/view/1864594","18-1864594")</f>
        <v>0</v>
      </c>
      <c r="B2262" t="s">
        <v>53</v>
      </c>
      <c r="C2262" t="s">
        <v>234</v>
      </c>
      <c r="D2262" t="s">
        <v>361</v>
      </c>
      <c r="E2262" t="s">
        <v>665</v>
      </c>
      <c r="F2262" t="s">
        <v>1431</v>
      </c>
      <c r="G2262" t="s">
        <v>2700</v>
      </c>
      <c r="H2262" t="s">
        <v>3434</v>
      </c>
      <c r="I2262" t="s">
        <v>4941</v>
      </c>
      <c r="J2262" t="s">
        <v>5320</v>
      </c>
      <c r="K2262">
        <v>11208</v>
      </c>
      <c r="L2262" t="s">
        <v>5355</v>
      </c>
      <c r="M2262" t="s">
        <v>5355</v>
      </c>
      <c r="N2262" t="s">
        <v>6318</v>
      </c>
      <c r="O2262" t="s">
        <v>6491</v>
      </c>
      <c r="P2262" t="s">
        <v>6530</v>
      </c>
      <c r="Q2262" t="s">
        <v>6534</v>
      </c>
      <c r="R2262" t="s">
        <v>6539</v>
      </c>
      <c r="S2262" t="s">
        <v>5355</v>
      </c>
      <c r="U2262" t="s">
        <v>6557</v>
      </c>
      <c r="W2262" t="s">
        <v>361</v>
      </c>
      <c r="X2262">
        <v>700</v>
      </c>
      <c r="Y2262" t="s">
        <v>6605</v>
      </c>
      <c r="Z2262" t="s">
        <v>6625</v>
      </c>
      <c r="AA2262" t="s">
        <v>6637</v>
      </c>
      <c r="AB2262" t="s">
        <v>7464</v>
      </c>
      <c r="AD2262" t="s">
        <v>9835</v>
      </c>
      <c r="AE2262">
        <v>6</v>
      </c>
      <c r="AF2262" t="s">
        <v>11005</v>
      </c>
      <c r="AH2262">
        <v>5</v>
      </c>
      <c r="AI2262">
        <v>1</v>
      </c>
      <c r="AJ2262">
        <v>0</v>
      </c>
      <c r="AK2262">
        <v>168.04</v>
      </c>
      <c r="AO2262">
        <v>20400</v>
      </c>
      <c r="AQ2262" t="s">
        <v>11190</v>
      </c>
      <c r="AR2262" t="s">
        <v>11207</v>
      </c>
      <c r="AS2262" t="s">
        <v>11253</v>
      </c>
      <c r="AT2262" t="s">
        <v>11265</v>
      </c>
      <c r="AU2262">
        <v>65.59999999999999</v>
      </c>
      <c r="AV2262" t="s">
        <v>11433</v>
      </c>
      <c r="AW2262" t="s">
        <v>53</v>
      </c>
    </row>
    <row r="2263" spans="1:50">
      <c r="A2263" s="1">
        <f>HYPERLINK("https://cms.ls-nyc.org/matter/dynamic-profile/view/1848780","17-1848780")</f>
        <v>0</v>
      </c>
      <c r="B2263" t="s">
        <v>195</v>
      </c>
      <c r="C2263" t="s">
        <v>234</v>
      </c>
      <c r="D2263" t="s">
        <v>340</v>
      </c>
      <c r="E2263" t="s">
        <v>830</v>
      </c>
      <c r="F2263" t="s">
        <v>1231</v>
      </c>
      <c r="G2263" t="s">
        <v>2411</v>
      </c>
      <c r="H2263" t="s">
        <v>3890</v>
      </c>
      <c r="I2263" t="s">
        <v>4840</v>
      </c>
      <c r="J2263" t="s">
        <v>5323</v>
      </c>
      <c r="K2263">
        <v>10029</v>
      </c>
      <c r="L2263" t="s">
        <v>5355</v>
      </c>
      <c r="M2263" t="s">
        <v>5356</v>
      </c>
      <c r="N2263" t="s">
        <v>6319</v>
      </c>
      <c r="O2263" t="s">
        <v>6492</v>
      </c>
      <c r="P2263" t="s">
        <v>6530</v>
      </c>
      <c r="Q2263" t="s">
        <v>6537</v>
      </c>
      <c r="R2263" t="s">
        <v>6539</v>
      </c>
      <c r="S2263" t="s">
        <v>5357</v>
      </c>
      <c r="U2263" t="s">
        <v>6557</v>
      </c>
      <c r="V2263" t="s">
        <v>6566</v>
      </c>
      <c r="W2263" t="s">
        <v>340</v>
      </c>
      <c r="X2263">
        <v>2100</v>
      </c>
      <c r="Y2263" t="s">
        <v>6608</v>
      </c>
      <c r="Z2263" t="s">
        <v>6614</v>
      </c>
      <c r="AA2263" t="s">
        <v>6640</v>
      </c>
      <c r="AB2263" t="s">
        <v>8501</v>
      </c>
      <c r="AD2263" t="s">
        <v>10811</v>
      </c>
      <c r="AE2263">
        <v>10</v>
      </c>
      <c r="AF2263" t="s">
        <v>11004</v>
      </c>
      <c r="AG2263" t="s">
        <v>5406</v>
      </c>
      <c r="AH2263">
        <v>12</v>
      </c>
      <c r="AI2263">
        <v>1</v>
      </c>
      <c r="AJ2263">
        <v>0</v>
      </c>
      <c r="AK2263">
        <v>168.06</v>
      </c>
      <c r="AN2263" t="s">
        <v>11050</v>
      </c>
      <c r="AO2263">
        <v>20268</v>
      </c>
      <c r="AQ2263" t="s">
        <v>11200</v>
      </c>
      <c r="AR2263" t="s">
        <v>11245</v>
      </c>
      <c r="AS2263" t="s">
        <v>11253</v>
      </c>
      <c r="AT2263" t="s">
        <v>11415</v>
      </c>
      <c r="AU2263">
        <v>60.35</v>
      </c>
      <c r="AV2263" t="s">
        <v>830</v>
      </c>
      <c r="AW2263" t="s">
        <v>11497</v>
      </c>
    </row>
    <row r="2264" spans="1:50">
      <c r="A2264" s="1">
        <f>HYPERLINK("https://cms.ls-nyc.org/matter/dynamic-profile/view/1870023","18-1870023")</f>
        <v>0</v>
      </c>
      <c r="B2264" t="s">
        <v>106</v>
      </c>
      <c r="C2264" t="s">
        <v>235</v>
      </c>
      <c r="D2264" t="s">
        <v>307</v>
      </c>
      <c r="F2264" t="s">
        <v>1207</v>
      </c>
      <c r="G2264" t="s">
        <v>3303</v>
      </c>
      <c r="H2264" t="s">
        <v>4610</v>
      </c>
      <c r="I2264" t="s">
        <v>5277</v>
      </c>
      <c r="J2264" t="s">
        <v>5321</v>
      </c>
      <c r="K2264">
        <v>10467</v>
      </c>
      <c r="L2264" t="s">
        <v>5355</v>
      </c>
      <c r="M2264" t="s">
        <v>5356</v>
      </c>
      <c r="N2264" t="s">
        <v>6320</v>
      </c>
      <c r="O2264" t="s">
        <v>6492</v>
      </c>
      <c r="P2264" t="s">
        <v>6530</v>
      </c>
      <c r="R2264" t="s">
        <v>6539</v>
      </c>
      <c r="U2264" t="s">
        <v>6557</v>
      </c>
      <c r="W2264" t="s">
        <v>307</v>
      </c>
      <c r="X2264">
        <v>972.48</v>
      </c>
      <c r="Y2264" t="s">
        <v>6606</v>
      </c>
      <c r="Z2264" t="s">
        <v>6613</v>
      </c>
      <c r="AB2264" t="s">
        <v>8502</v>
      </c>
      <c r="AC2264" t="s">
        <v>9078</v>
      </c>
      <c r="AD2264" t="s">
        <v>10812</v>
      </c>
      <c r="AE2264">
        <v>0</v>
      </c>
      <c r="AF2264" t="s">
        <v>11005</v>
      </c>
      <c r="AG2264" t="s">
        <v>5406</v>
      </c>
      <c r="AH2264">
        <v>21</v>
      </c>
      <c r="AI2264">
        <v>1</v>
      </c>
      <c r="AJ2264">
        <v>1</v>
      </c>
      <c r="AK2264">
        <v>168.07</v>
      </c>
      <c r="AO2264">
        <v>27664</v>
      </c>
      <c r="AP2264" t="s">
        <v>11075</v>
      </c>
      <c r="AQ2264" t="s">
        <v>11191</v>
      </c>
      <c r="AR2264" t="s">
        <v>11213</v>
      </c>
      <c r="AS2264" t="s">
        <v>11253</v>
      </c>
      <c r="AT2264" t="s">
        <v>11416</v>
      </c>
      <c r="AU2264">
        <v>9.4</v>
      </c>
      <c r="AV2264" t="s">
        <v>541</v>
      </c>
      <c r="AW2264" t="s">
        <v>11538</v>
      </c>
    </row>
    <row r="2265" spans="1:50">
      <c r="A2265" s="1">
        <f>HYPERLINK("https://cms.ls-nyc.org/matter/dynamic-profile/view/1860883","18-1860883")</f>
        <v>0</v>
      </c>
      <c r="B2265" t="s">
        <v>90</v>
      </c>
      <c r="C2265" t="s">
        <v>235</v>
      </c>
      <c r="D2265" t="s">
        <v>296</v>
      </c>
      <c r="F2265" t="s">
        <v>1024</v>
      </c>
      <c r="G2265" t="s">
        <v>2136</v>
      </c>
      <c r="H2265" t="s">
        <v>4147</v>
      </c>
      <c r="I2265" t="s">
        <v>5231</v>
      </c>
      <c r="J2265" t="s">
        <v>5321</v>
      </c>
      <c r="K2265">
        <v>10453</v>
      </c>
      <c r="L2265" t="s">
        <v>5355</v>
      </c>
      <c r="M2265" t="s">
        <v>5356</v>
      </c>
      <c r="N2265" t="s">
        <v>5670</v>
      </c>
      <c r="O2265" t="s">
        <v>6494</v>
      </c>
      <c r="P2265" t="s">
        <v>6530</v>
      </c>
      <c r="R2265" t="s">
        <v>6539</v>
      </c>
      <c r="S2265" t="s">
        <v>5355</v>
      </c>
      <c r="U2265" t="s">
        <v>6557</v>
      </c>
      <c r="W2265" t="s">
        <v>480</v>
      </c>
      <c r="X2265">
        <v>1941</v>
      </c>
      <c r="Y2265" t="s">
        <v>6606</v>
      </c>
      <c r="Z2265" t="s">
        <v>6616</v>
      </c>
      <c r="AB2265" t="s">
        <v>8503</v>
      </c>
      <c r="AD2265" t="s">
        <v>10813</v>
      </c>
      <c r="AE2265">
        <v>46</v>
      </c>
      <c r="AF2265" t="s">
        <v>11005</v>
      </c>
      <c r="AG2265" t="s">
        <v>11020</v>
      </c>
      <c r="AH2265">
        <v>7</v>
      </c>
      <c r="AI2265">
        <v>2</v>
      </c>
      <c r="AJ2265">
        <v>1</v>
      </c>
      <c r="AK2265">
        <v>168.43</v>
      </c>
      <c r="AN2265" t="s">
        <v>11050</v>
      </c>
      <c r="AO2265">
        <v>35000</v>
      </c>
      <c r="AU2265">
        <v>2.3</v>
      </c>
      <c r="AV2265" t="s">
        <v>768</v>
      </c>
      <c r="AW2265" t="s">
        <v>59</v>
      </c>
    </row>
    <row r="2266" spans="1:50">
      <c r="A2266" s="1">
        <f>HYPERLINK("https://cms.ls-nyc.org/matter/dynamic-profile/view/1864402","18-1864402")</f>
        <v>0</v>
      </c>
      <c r="B2266" t="s">
        <v>92</v>
      </c>
      <c r="C2266" t="s">
        <v>235</v>
      </c>
      <c r="D2266" t="s">
        <v>342</v>
      </c>
      <c r="F2266" t="s">
        <v>871</v>
      </c>
      <c r="G2266" t="s">
        <v>3304</v>
      </c>
      <c r="H2266" t="s">
        <v>3579</v>
      </c>
      <c r="I2266">
        <v>509</v>
      </c>
      <c r="J2266" t="s">
        <v>5323</v>
      </c>
      <c r="K2266">
        <v>10029</v>
      </c>
      <c r="L2266" t="s">
        <v>5355</v>
      </c>
      <c r="M2266" t="s">
        <v>5355</v>
      </c>
      <c r="N2266" t="s">
        <v>5632</v>
      </c>
      <c r="O2266" t="s">
        <v>6494</v>
      </c>
      <c r="P2266" t="s">
        <v>6530</v>
      </c>
      <c r="R2266" t="s">
        <v>6539</v>
      </c>
      <c r="S2266" t="s">
        <v>5355</v>
      </c>
      <c r="U2266" t="s">
        <v>6557</v>
      </c>
      <c r="V2266" t="s">
        <v>6566</v>
      </c>
      <c r="W2266" t="s">
        <v>342</v>
      </c>
      <c r="X2266">
        <v>0</v>
      </c>
      <c r="Y2266" t="s">
        <v>6608</v>
      </c>
      <c r="Z2266" t="s">
        <v>6622</v>
      </c>
      <c r="AB2266" t="s">
        <v>8504</v>
      </c>
      <c r="AE2266">
        <v>108</v>
      </c>
      <c r="AF2266" t="s">
        <v>11008</v>
      </c>
      <c r="AG2266" t="s">
        <v>11020</v>
      </c>
      <c r="AH2266">
        <v>5</v>
      </c>
      <c r="AI2266">
        <v>1</v>
      </c>
      <c r="AJ2266">
        <v>2</v>
      </c>
      <c r="AK2266">
        <v>168.43</v>
      </c>
      <c r="AN2266" t="s">
        <v>11050</v>
      </c>
      <c r="AO2266">
        <v>35000</v>
      </c>
      <c r="AU2266">
        <v>1.5</v>
      </c>
      <c r="AV2266" t="s">
        <v>740</v>
      </c>
      <c r="AW2266" t="s">
        <v>11497</v>
      </c>
      <c r="AX2266" t="s">
        <v>11564</v>
      </c>
    </row>
    <row r="2267" spans="1:50">
      <c r="A2267" s="1">
        <f>HYPERLINK("https://cms.ls-nyc.org/matter/dynamic-profile/view/1841131","17-1841131")</f>
        <v>0</v>
      </c>
      <c r="B2267" t="s">
        <v>67</v>
      </c>
      <c r="C2267" t="s">
        <v>235</v>
      </c>
      <c r="D2267" t="s">
        <v>276</v>
      </c>
      <c r="F2267" t="s">
        <v>1270</v>
      </c>
      <c r="G2267" t="s">
        <v>3305</v>
      </c>
      <c r="H2267" t="s">
        <v>4611</v>
      </c>
      <c r="I2267" t="s">
        <v>4749</v>
      </c>
      <c r="J2267" t="s">
        <v>5323</v>
      </c>
      <c r="K2267">
        <v>10029</v>
      </c>
      <c r="L2267" t="s">
        <v>5355</v>
      </c>
      <c r="M2267" t="s">
        <v>5355</v>
      </c>
      <c r="N2267" t="s">
        <v>6321</v>
      </c>
      <c r="O2267" t="s">
        <v>6491</v>
      </c>
      <c r="P2267" t="s">
        <v>6530</v>
      </c>
      <c r="R2267" t="s">
        <v>6539</v>
      </c>
      <c r="S2267" t="s">
        <v>5357</v>
      </c>
      <c r="U2267" t="s">
        <v>6557</v>
      </c>
      <c r="W2267" t="s">
        <v>472</v>
      </c>
      <c r="X2267">
        <v>595</v>
      </c>
      <c r="Y2267" t="s">
        <v>6608</v>
      </c>
      <c r="Z2267" t="s">
        <v>6613</v>
      </c>
      <c r="AB2267" t="s">
        <v>8505</v>
      </c>
      <c r="AD2267" t="s">
        <v>10814</v>
      </c>
      <c r="AE2267">
        <v>22</v>
      </c>
      <c r="AF2267" t="s">
        <v>11005</v>
      </c>
      <c r="AG2267" t="s">
        <v>5406</v>
      </c>
      <c r="AH2267">
        <v>20</v>
      </c>
      <c r="AI2267">
        <v>3</v>
      </c>
      <c r="AJ2267">
        <v>1</v>
      </c>
      <c r="AK2267">
        <v>168.83</v>
      </c>
      <c r="AN2267" t="s">
        <v>11050</v>
      </c>
      <c r="AO2267">
        <v>41532</v>
      </c>
      <c r="AU2267">
        <v>133.7</v>
      </c>
      <c r="AV2267" t="s">
        <v>11463</v>
      </c>
      <c r="AW2267" t="s">
        <v>11521</v>
      </c>
    </row>
    <row r="2268" spans="1:50">
      <c r="A2268" s="1">
        <f>HYPERLINK("https://cms.ls-nyc.org/matter/dynamic-profile/view/1847345","17-1847345")</f>
        <v>0</v>
      </c>
      <c r="B2268" t="s">
        <v>157</v>
      </c>
      <c r="C2268" t="s">
        <v>235</v>
      </c>
      <c r="D2268" t="s">
        <v>283</v>
      </c>
      <c r="F2268" t="s">
        <v>1359</v>
      </c>
      <c r="G2268" t="s">
        <v>2270</v>
      </c>
      <c r="H2268" t="s">
        <v>4145</v>
      </c>
      <c r="I2268" t="s">
        <v>4783</v>
      </c>
      <c r="J2268" t="s">
        <v>5321</v>
      </c>
      <c r="K2268">
        <v>10467</v>
      </c>
      <c r="L2268" t="s">
        <v>5355</v>
      </c>
      <c r="M2268" t="s">
        <v>5356</v>
      </c>
      <c r="N2268" t="s">
        <v>5667</v>
      </c>
      <c r="O2268" t="s">
        <v>6517</v>
      </c>
      <c r="P2268" t="s">
        <v>6530</v>
      </c>
      <c r="R2268" t="s">
        <v>6539</v>
      </c>
      <c r="S2268" t="s">
        <v>5355</v>
      </c>
      <c r="U2268" t="s">
        <v>6557</v>
      </c>
      <c r="W2268" t="s">
        <v>294</v>
      </c>
      <c r="X2268">
        <v>608</v>
      </c>
      <c r="Y2268" t="s">
        <v>6606</v>
      </c>
      <c r="Z2268" t="s">
        <v>6616</v>
      </c>
      <c r="AB2268" t="s">
        <v>7714</v>
      </c>
      <c r="AD2268" t="s">
        <v>10815</v>
      </c>
      <c r="AE2268">
        <v>30</v>
      </c>
      <c r="AF2268" t="s">
        <v>11005</v>
      </c>
      <c r="AG2268" t="s">
        <v>11020</v>
      </c>
      <c r="AH2268">
        <v>7</v>
      </c>
      <c r="AI2268">
        <v>2</v>
      </c>
      <c r="AJ2268">
        <v>2</v>
      </c>
      <c r="AK2268">
        <v>168.94</v>
      </c>
      <c r="AL2268" t="s">
        <v>11037</v>
      </c>
      <c r="AN2268" t="s">
        <v>11050</v>
      </c>
      <c r="AO2268">
        <v>41560</v>
      </c>
      <c r="AU2268">
        <v>1.7</v>
      </c>
      <c r="AV2268" t="s">
        <v>675</v>
      </c>
      <c r="AW2268" t="s">
        <v>11499</v>
      </c>
    </row>
    <row r="2269" spans="1:50">
      <c r="A2269" s="1">
        <f>HYPERLINK("https://cms.ls-nyc.org/matter/dynamic-profile/view/1870969","18-1870969")</f>
        <v>0</v>
      </c>
      <c r="B2269" t="s">
        <v>190</v>
      </c>
      <c r="C2269" t="s">
        <v>235</v>
      </c>
      <c r="D2269" t="s">
        <v>245</v>
      </c>
      <c r="F2269" t="s">
        <v>1648</v>
      </c>
      <c r="G2269" t="s">
        <v>3306</v>
      </c>
      <c r="H2269" t="s">
        <v>4612</v>
      </c>
      <c r="I2269">
        <v>46</v>
      </c>
      <c r="J2269" t="s">
        <v>5323</v>
      </c>
      <c r="K2269">
        <v>10034</v>
      </c>
      <c r="L2269" t="s">
        <v>5355</v>
      </c>
      <c r="M2269" t="s">
        <v>5356</v>
      </c>
      <c r="N2269" t="s">
        <v>6322</v>
      </c>
      <c r="O2269" t="s">
        <v>6491</v>
      </c>
      <c r="P2269" t="s">
        <v>6530</v>
      </c>
      <c r="R2269" t="s">
        <v>6539</v>
      </c>
      <c r="S2269" t="s">
        <v>5357</v>
      </c>
      <c r="U2269" t="s">
        <v>6557</v>
      </c>
      <c r="W2269" t="s">
        <v>245</v>
      </c>
      <c r="X2269">
        <v>846.78</v>
      </c>
      <c r="Y2269" t="s">
        <v>6608</v>
      </c>
      <c r="Z2269" t="s">
        <v>6614</v>
      </c>
      <c r="AB2269" t="s">
        <v>8506</v>
      </c>
      <c r="AD2269" t="s">
        <v>10816</v>
      </c>
      <c r="AE2269">
        <v>28</v>
      </c>
      <c r="AF2269" t="s">
        <v>11005</v>
      </c>
      <c r="AG2269" t="s">
        <v>5406</v>
      </c>
      <c r="AH2269">
        <v>23</v>
      </c>
      <c r="AI2269">
        <v>3</v>
      </c>
      <c r="AJ2269">
        <v>0</v>
      </c>
      <c r="AK2269">
        <v>169.18</v>
      </c>
      <c r="AN2269" t="s">
        <v>11049</v>
      </c>
      <c r="AO2269">
        <v>35156</v>
      </c>
      <c r="AU2269">
        <v>123.33</v>
      </c>
      <c r="AV2269" t="s">
        <v>727</v>
      </c>
      <c r="AW2269" t="s">
        <v>209</v>
      </c>
    </row>
    <row r="2270" spans="1:50">
      <c r="A2270" s="1">
        <f>HYPERLINK("https://cms.ls-nyc.org/matter/dynamic-profile/view/1856189","18-1856189")</f>
        <v>0</v>
      </c>
      <c r="B2270" t="s">
        <v>111</v>
      </c>
      <c r="C2270" t="s">
        <v>234</v>
      </c>
      <c r="D2270" t="s">
        <v>290</v>
      </c>
      <c r="E2270" t="s">
        <v>295</v>
      </c>
      <c r="F2270" t="s">
        <v>1046</v>
      </c>
      <c r="G2270" t="s">
        <v>2599</v>
      </c>
      <c r="H2270" t="s">
        <v>4613</v>
      </c>
      <c r="I2270" t="s">
        <v>4823</v>
      </c>
      <c r="J2270" t="s">
        <v>5323</v>
      </c>
      <c r="K2270">
        <v>10034</v>
      </c>
      <c r="L2270" t="s">
        <v>5355</v>
      </c>
      <c r="M2270" t="s">
        <v>5356</v>
      </c>
      <c r="N2270" t="s">
        <v>6323</v>
      </c>
      <c r="O2270" t="s">
        <v>6491</v>
      </c>
      <c r="P2270" t="s">
        <v>6530</v>
      </c>
      <c r="Q2270" t="s">
        <v>6534</v>
      </c>
      <c r="R2270" t="s">
        <v>6539</v>
      </c>
      <c r="S2270" t="s">
        <v>5357</v>
      </c>
      <c r="U2270" t="s">
        <v>6557</v>
      </c>
      <c r="W2270" t="s">
        <v>290</v>
      </c>
      <c r="X2270">
        <v>973.84</v>
      </c>
      <c r="Y2270" t="s">
        <v>6608</v>
      </c>
      <c r="Z2270" t="s">
        <v>6616</v>
      </c>
      <c r="AA2270" t="s">
        <v>6637</v>
      </c>
      <c r="AB2270" t="s">
        <v>8507</v>
      </c>
      <c r="AD2270" t="s">
        <v>10817</v>
      </c>
      <c r="AE2270">
        <v>59</v>
      </c>
      <c r="AF2270" t="s">
        <v>11005</v>
      </c>
      <c r="AG2270" t="s">
        <v>5406</v>
      </c>
      <c r="AH2270">
        <v>15</v>
      </c>
      <c r="AI2270">
        <v>2</v>
      </c>
      <c r="AJ2270">
        <v>0</v>
      </c>
      <c r="AK2270">
        <v>169.67</v>
      </c>
      <c r="AN2270" t="s">
        <v>11049</v>
      </c>
      <c r="AO2270">
        <v>27554</v>
      </c>
      <c r="AU2270">
        <v>70.84999999999999</v>
      </c>
      <c r="AV2270" t="s">
        <v>783</v>
      </c>
      <c r="AW2270" t="s">
        <v>11495</v>
      </c>
    </row>
    <row r="2271" spans="1:50">
      <c r="A2271" s="1">
        <f>HYPERLINK("https://cms.ls-nyc.org/matter/dynamic-profile/view/0795319","16-0795319")</f>
        <v>0</v>
      </c>
      <c r="B2271" t="s">
        <v>108</v>
      </c>
      <c r="C2271" t="s">
        <v>235</v>
      </c>
      <c r="D2271" t="s">
        <v>641</v>
      </c>
      <c r="F2271" t="s">
        <v>2002</v>
      </c>
      <c r="G2271" t="s">
        <v>3307</v>
      </c>
      <c r="H2271" t="s">
        <v>4614</v>
      </c>
      <c r="I2271" t="s">
        <v>4757</v>
      </c>
      <c r="J2271" t="s">
        <v>5323</v>
      </c>
      <c r="K2271">
        <v>10025</v>
      </c>
      <c r="L2271" t="s">
        <v>5355</v>
      </c>
      <c r="M2271" t="s">
        <v>5356</v>
      </c>
      <c r="P2271" t="s">
        <v>6530</v>
      </c>
      <c r="R2271" t="s">
        <v>6539</v>
      </c>
      <c r="T2271" t="s">
        <v>6542</v>
      </c>
      <c r="U2271" t="s">
        <v>6557</v>
      </c>
      <c r="W2271" t="s">
        <v>322</v>
      </c>
      <c r="X2271">
        <v>0</v>
      </c>
      <c r="Y2271" t="s">
        <v>6608</v>
      </c>
      <c r="AB2271" t="s">
        <v>8508</v>
      </c>
      <c r="AE2271">
        <v>0</v>
      </c>
      <c r="AH2271">
        <v>0</v>
      </c>
      <c r="AI2271">
        <v>1</v>
      </c>
      <c r="AJ2271">
        <v>0</v>
      </c>
      <c r="AK2271">
        <v>169.92</v>
      </c>
      <c r="AN2271" t="s">
        <v>11050</v>
      </c>
      <c r="AO2271">
        <v>20000</v>
      </c>
      <c r="AU2271">
        <v>107.05</v>
      </c>
      <c r="AV2271" t="s">
        <v>370</v>
      </c>
      <c r="AW2271" t="s">
        <v>108</v>
      </c>
    </row>
    <row r="2272" spans="1:50">
      <c r="A2272" s="1">
        <f>HYPERLINK("https://cms.ls-nyc.org/matter/dynamic-profile/view/1857270","18-1857270")</f>
        <v>0</v>
      </c>
      <c r="B2272" t="s">
        <v>97</v>
      </c>
      <c r="C2272" t="s">
        <v>235</v>
      </c>
      <c r="D2272" t="s">
        <v>297</v>
      </c>
      <c r="F2272" t="s">
        <v>2003</v>
      </c>
      <c r="G2272" t="s">
        <v>3308</v>
      </c>
      <c r="H2272" t="s">
        <v>4032</v>
      </c>
      <c r="I2272">
        <v>106</v>
      </c>
      <c r="J2272" t="s">
        <v>5323</v>
      </c>
      <c r="K2272">
        <v>10034</v>
      </c>
      <c r="L2272" t="s">
        <v>5355</v>
      </c>
      <c r="M2272" t="s">
        <v>5356</v>
      </c>
      <c r="N2272" t="s">
        <v>6324</v>
      </c>
      <c r="O2272" t="s">
        <v>6492</v>
      </c>
      <c r="P2272" t="s">
        <v>6530</v>
      </c>
      <c r="R2272" t="s">
        <v>6539</v>
      </c>
      <c r="S2272" t="s">
        <v>5357</v>
      </c>
      <c r="U2272" t="s">
        <v>6557</v>
      </c>
      <c r="W2272" t="s">
        <v>297</v>
      </c>
      <c r="X2272">
        <v>1092</v>
      </c>
      <c r="Y2272" t="s">
        <v>6608</v>
      </c>
      <c r="Z2272" t="s">
        <v>6616</v>
      </c>
      <c r="AB2272" t="s">
        <v>7329</v>
      </c>
      <c r="AC2272" t="s">
        <v>9079</v>
      </c>
      <c r="AD2272" t="s">
        <v>10818</v>
      </c>
      <c r="AE2272">
        <v>47</v>
      </c>
      <c r="AF2272" t="s">
        <v>11005</v>
      </c>
      <c r="AG2272" t="s">
        <v>5406</v>
      </c>
      <c r="AH2272">
        <v>11</v>
      </c>
      <c r="AI2272">
        <v>3</v>
      </c>
      <c r="AJ2272">
        <v>0</v>
      </c>
      <c r="AK2272">
        <v>170.42</v>
      </c>
      <c r="AN2272" t="s">
        <v>11050</v>
      </c>
      <c r="AO2272">
        <v>34800</v>
      </c>
      <c r="AU2272">
        <v>84.5</v>
      </c>
      <c r="AV2272" t="s">
        <v>780</v>
      </c>
      <c r="AW2272" t="s">
        <v>11495</v>
      </c>
    </row>
    <row r="2273" spans="1:50">
      <c r="A2273" s="1">
        <f>HYPERLINK("https://cms.ls-nyc.org/matter/dynamic-profile/view/1836768","17-1836768")</f>
        <v>0</v>
      </c>
      <c r="B2273" t="s">
        <v>131</v>
      </c>
      <c r="C2273" t="s">
        <v>235</v>
      </c>
      <c r="D2273" t="s">
        <v>597</v>
      </c>
      <c r="F2273" t="s">
        <v>1040</v>
      </c>
      <c r="G2273" t="s">
        <v>3309</v>
      </c>
      <c r="H2273" t="s">
        <v>4210</v>
      </c>
      <c r="I2273" t="s">
        <v>4785</v>
      </c>
      <c r="J2273" t="s">
        <v>5323</v>
      </c>
      <c r="K2273">
        <v>10040</v>
      </c>
      <c r="L2273" t="s">
        <v>5355</v>
      </c>
      <c r="M2273" t="s">
        <v>5356</v>
      </c>
      <c r="N2273" t="s">
        <v>6325</v>
      </c>
      <c r="O2273" t="s">
        <v>6494</v>
      </c>
      <c r="P2273" t="s">
        <v>6530</v>
      </c>
      <c r="R2273" t="s">
        <v>6539</v>
      </c>
      <c r="S2273" t="s">
        <v>5355</v>
      </c>
      <c r="U2273" t="s">
        <v>6557</v>
      </c>
      <c r="W2273" t="s">
        <v>404</v>
      </c>
      <c r="X2273">
        <v>2180</v>
      </c>
      <c r="Y2273" t="s">
        <v>6608</v>
      </c>
      <c r="Z2273" t="s">
        <v>6622</v>
      </c>
      <c r="AB2273" t="s">
        <v>8509</v>
      </c>
      <c r="AD2273" t="s">
        <v>10819</v>
      </c>
      <c r="AE2273">
        <v>50</v>
      </c>
      <c r="AF2273" t="s">
        <v>11005</v>
      </c>
      <c r="AG2273" t="s">
        <v>5406</v>
      </c>
      <c r="AH2273">
        <v>23</v>
      </c>
      <c r="AI2273">
        <v>2</v>
      </c>
      <c r="AJ2273">
        <v>4</v>
      </c>
      <c r="AK2273">
        <v>170.48</v>
      </c>
      <c r="AL2273" t="s">
        <v>11040</v>
      </c>
      <c r="AN2273" t="s">
        <v>11050</v>
      </c>
      <c r="AO2273">
        <v>87190</v>
      </c>
      <c r="AU2273">
        <v>0</v>
      </c>
      <c r="AW2273" t="s">
        <v>11497</v>
      </c>
    </row>
    <row r="2274" spans="1:50">
      <c r="A2274" s="1">
        <f>HYPERLINK("https://cms.ls-nyc.org/matter/dynamic-profile/view/1867629","18-1867629")</f>
        <v>0</v>
      </c>
      <c r="B2274" t="s">
        <v>56</v>
      </c>
      <c r="C2274" t="s">
        <v>234</v>
      </c>
      <c r="D2274" t="s">
        <v>317</v>
      </c>
      <c r="E2274" t="s">
        <v>721</v>
      </c>
      <c r="F2274" t="s">
        <v>2004</v>
      </c>
      <c r="G2274" t="s">
        <v>3310</v>
      </c>
      <c r="H2274" t="s">
        <v>4615</v>
      </c>
      <c r="I2274" t="s">
        <v>4883</v>
      </c>
      <c r="J2274" t="s">
        <v>5321</v>
      </c>
      <c r="K2274">
        <v>10460</v>
      </c>
      <c r="L2274" t="s">
        <v>5355</v>
      </c>
      <c r="M2274" t="s">
        <v>5356</v>
      </c>
      <c r="N2274" t="s">
        <v>6326</v>
      </c>
      <c r="O2274" t="s">
        <v>6492</v>
      </c>
      <c r="P2274" t="s">
        <v>6530</v>
      </c>
      <c r="Q2274" t="s">
        <v>6534</v>
      </c>
      <c r="R2274" t="s">
        <v>6539</v>
      </c>
      <c r="S2274" t="s">
        <v>5357</v>
      </c>
      <c r="U2274" t="s">
        <v>6557</v>
      </c>
      <c r="W2274" t="s">
        <v>516</v>
      </c>
      <c r="X2274">
        <v>1061.22</v>
      </c>
      <c r="Y2274" t="s">
        <v>6606</v>
      </c>
      <c r="Z2274" t="s">
        <v>6609</v>
      </c>
      <c r="AA2274" t="s">
        <v>6637</v>
      </c>
      <c r="AB2274" t="s">
        <v>8510</v>
      </c>
      <c r="AC2274" t="s">
        <v>9080</v>
      </c>
      <c r="AD2274" t="s">
        <v>10820</v>
      </c>
      <c r="AE2274">
        <v>80</v>
      </c>
      <c r="AF2274" t="s">
        <v>11005</v>
      </c>
      <c r="AG2274" t="s">
        <v>5406</v>
      </c>
      <c r="AH2274">
        <v>7</v>
      </c>
      <c r="AI2274">
        <v>2</v>
      </c>
      <c r="AJ2274">
        <v>1</v>
      </c>
      <c r="AK2274">
        <v>170.53</v>
      </c>
      <c r="AN2274" t="s">
        <v>11050</v>
      </c>
      <c r="AO2274">
        <v>35436</v>
      </c>
      <c r="AP2274" t="s">
        <v>11079</v>
      </c>
      <c r="AU2274">
        <v>20.1</v>
      </c>
      <c r="AV2274" t="s">
        <v>721</v>
      </c>
      <c r="AW2274" t="s">
        <v>11499</v>
      </c>
    </row>
    <row r="2275" spans="1:50">
      <c r="A2275" s="1">
        <f>HYPERLINK("https://cms.ls-nyc.org/matter/dynamic-profile/view/1875998","18-1875998")</f>
        <v>0</v>
      </c>
      <c r="B2275" t="s">
        <v>135</v>
      </c>
      <c r="C2275" t="s">
        <v>235</v>
      </c>
      <c r="D2275" t="s">
        <v>459</v>
      </c>
      <c r="F2275" t="s">
        <v>1276</v>
      </c>
      <c r="G2275" t="s">
        <v>2524</v>
      </c>
      <c r="H2275" t="s">
        <v>3874</v>
      </c>
      <c r="I2275" t="s">
        <v>4752</v>
      </c>
      <c r="J2275" t="s">
        <v>5320</v>
      </c>
      <c r="K2275">
        <v>11221</v>
      </c>
      <c r="L2275" t="s">
        <v>5355</v>
      </c>
      <c r="M2275" t="s">
        <v>5355</v>
      </c>
      <c r="N2275" t="s">
        <v>6327</v>
      </c>
      <c r="O2275" t="s">
        <v>6494</v>
      </c>
      <c r="P2275" t="s">
        <v>6530</v>
      </c>
      <c r="R2275" t="s">
        <v>6539</v>
      </c>
      <c r="S2275" t="s">
        <v>5355</v>
      </c>
      <c r="U2275" t="s">
        <v>6557</v>
      </c>
      <c r="V2275" t="s">
        <v>6566</v>
      </c>
      <c r="W2275" t="s">
        <v>287</v>
      </c>
      <c r="X2275">
        <v>763</v>
      </c>
      <c r="Y2275" t="s">
        <v>6605</v>
      </c>
      <c r="Z2275" t="s">
        <v>6621</v>
      </c>
      <c r="AB2275" t="s">
        <v>7207</v>
      </c>
      <c r="AD2275" t="s">
        <v>9594</v>
      </c>
      <c r="AE2275">
        <v>12</v>
      </c>
      <c r="AF2275" t="s">
        <v>11005</v>
      </c>
      <c r="AG2275" t="s">
        <v>5406</v>
      </c>
      <c r="AH2275">
        <v>10</v>
      </c>
      <c r="AI2275">
        <v>1</v>
      </c>
      <c r="AJ2275">
        <v>0</v>
      </c>
      <c r="AK2275">
        <v>171.33</v>
      </c>
      <c r="AN2275" t="s">
        <v>11050</v>
      </c>
      <c r="AO2275">
        <v>20800</v>
      </c>
      <c r="AU2275">
        <v>63</v>
      </c>
      <c r="AV2275" t="s">
        <v>777</v>
      </c>
      <c r="AW2275" t="s">
        <v>11512</v>
      </c>
    </row>
    <row r="2276" spans="1:50">
      <c r="A2276" s="1">
        <f>HYPERLINK("https://cms.ls-nyc.org/matter/dynamic-profile/view/1869473","18-1869473")</f>
        <v>0</v>
      </c>
      <c r="B2276" t="s">
        <v>56</v>
      </c>
      <c r="C2276" t="s">
        <v>235</v>
      </c>
      <c r="D2276" t="s">
        <v>267</v>
      </c>
      <c r="F2276" t="s">
        <v>884</v>
      </c>
      <c r="G2276" t="s">
        <v>3311</v>
      </c>
      <c r="H2276" t="s">
        <v>4616</v>
      </c>
      <c r="I2276" t="s">
        <v>4753</v>
      </c>
      <c r="J2276" t="s">
        <v>5321</v>
      </c>
      <c r="K2276">
        <v>10459</v>
      </c>
      <c r="L2276" t="s">
        <v>5355</v>
      </c>
      <c r="M2276" t="s">
        <v>5355</v>
      </c>
      <c r="N2276" t="s">
        <v>6328</v>
      </c>
      <c r="O2276" t="s">
        <v>6492</v>
      </c>
      <c r="P2276" t="s">
        <v>6530</v>
      </c>
      <c r="R2276" t="s">
        <v>6539</v>
      </c>
      <c r="S2276" t="s">
        <v>5357</v>
      </c>
      <c r="U2276" t="s">
        <v>6557</v>
      </c>
      <c r="W2276" t="s">
        <v>267</v>
      </c>
      <c r="X2276">
        <v>1200</v>
      </c>
      <c r="Y2276" t="s">
        <v>6606</v>
      </c>
      <c r="Z2276" t="s">
        <v>6628</v>
      </c>
      <c r="AB2276" t="s">
        <v>8511</v>
      </c>
      <c r="AC2276" t="s">
        <v>9081</v>
      </c>
      <c r="AD2276" t="s">
        <v>10821</v>
      </c>
      <c r="AE2276">
        <v>69</v>
      </c>
      <c r="AF2276" t="s">
        <v>11005</v>
      </c>
      <c r="AG2276" t="s">
        <v>11021</v>
      </c>
      <c r="AH2276">
        <v>1</v>
      </c>
      <c r="AI2276">
        <v>1</v>
      </c>
      <c r="AJ2276">
        <v>0</v>
      </c>
      <c r="AK2276">
        <v>171.33</v>
      </c>
      <c r="AO2276">
        <v>20800</v>
      </c>
      <c r="AU2276">
        <v>20.07</v>
      </c>
      <c r="AV2276" t="s">
        <v>668</v>
      </c>
      <c r="AW2276" t="s">
        <v>11499</v>
      </c>
    </row>
    <row r="2277" spans="1:50">
      <c r="A2277" s="1">
        <f>HYPERLINK("https://cms.ls-nyc.org/matter/dynamic-profile/view/1862228","18-1862228")</f>
        <v>0</v>
      </c>
      <c r="B2277" t="s">
        <v>90</v>
      </c>
      <c r="C2277" t="s">
        <v>234</v>
      </c>
      <c r="D2277" t="s">
        <v>331</v>
      </c>
      <c r="E2277" t="s">
        <v>713</v>
      </c>
      <c r="F2277" t="s">
        <v>1563</v>
      </c>
      <c r="G2277" t="s">
        <v>2844</v>
      </c>
      <c r="H2277" t="s">
        <v>3549</v>
      </c>
      <c r="I2277" t="s">
        <v>4757</v>
      </c>
      <c r="J2277" t="s">
        <v>5321</v>
      </c>
      <c r="K2277">
        <v>10452</v>
      </c>
      <c r="L2277" t="s">
        <v>5355</v>
      </c>
      <c r="M2277" t="s">
        <v>5355</v>
      </c>
      <c r="N2277" t="s">
        <v>5740</v>
      </c>
      <c r="O2277" t="s">
        <v>6494</v>
      </c>
      <c r="P2277" t="s">
        <v>6530</v>
      </c>
      <c r="Q2277" t="s">
        <v>6534</v>
      </c>
      <c r="R2277" t="s">
        <v>6539</v>
      </c>
      <c r="S2277" t="s">
        <v>5355</v>
      </c>
      <c r="U2277" t="s">
        <v>6557</v>
      </c>
      <c r="W2277" t="s">
        <v>480</v>
      </c>
      <c r="X2277">
        <v>1000</v>
      </c>
      <c r="Y2277" t="s">
        <v>6606</v>
      </c>
      <c r="Z2277" t="s">
        <v>6612</v>
      </c>
      <c r="AA2277" t="s">
        <v>6634</v>
      </c>
      <c r="AB2277" t="s">
        <v>7688</v>
      </c>
      <c r="AD2277" t="s">
        <v>10048</v>
      </c>
      <c r="AE2277">
        <v>52</v>
      </c>
      <c r="AF2277" t="s">
        <v>11005</v>
      </c>
      <c r="AG2277" t="s">
        <v>11026</v>
      </c>
      <c r="AH2277">
        <v>13</v>
      </c>
      <c r="AI2277">
        <v>1</v>
      </c>
      <c r="AJ2277">
        <v>0</v>
      </c>
      <c r="AK2277">
        <v>171.33</v>
      </c>
      <c r="AN2277" t="s">
        <v>11050</v>
      </c>
      <c r="AO2277">
        <v>20800</v>
      </c>
      <c r="AU2277">
        <v>0.7</v>
      </c>
      <c r="AV2277" t="s">
        <v>713</v>
      </c>
      <c r="AW2277" t="s">
        <v>59</v>
      </c>
    </row>
    <row r="2278" spans="1:50">
      <c r="A2278" s="1">
        <f>HYPERLINK("https://cms.ls-nyc.org/matter/dynamic-profile/view/1864763","18-1864763")</f>
        <v>0</v>
      </c>
      <c r="B2278" t="s">
        <v>156</v>
      </c>
      <c r="C2278" t="s">
        <v>234</v>
      </c>
      <c r="D2278" t="s">
        <v>361</v>
      </c>
      <c r="E2278" t="s">
        <v>669</v>
      </c>
      <c r="F2278" t="s">
        <v>2005</v>
      </c>
      <c r="G2278" t="s">
        <v>2172</v>
      </c>
      <c r="H2278" t="s">
        <v>4470</v>
      </c>
      <c r="I2278" t="s">
        <v>4997</v>
      </c>
      <c r="J2278" t="s">
        <v>5322</v>
      </c>
      <c r="K2278">
        <v>10301</v>
      </c>
      <c r="L2278" t="s">
        <v>5355</v>
      </c>
      <c r="M2278" t="s">
        <v>5356</v>
      </c>
      <c r="N2278" t="s">
        <v>6329</v>
      </c>
      <c r="O2278" t="s">
        <v>6518</v>
      </c>
      <c r="P2278" t="s">
        <v>6530</v>
      </c>
      <c r="Q2278" t="s">
        <v>6534</v>
      </c>
      <c r="R2278" t="s">
        <v>6539</v>
      </c>
      <c r="S2278" t="s">
        <v>5357</v>
      </c>
      <c r="U2278" t="s">
        <v>6560</v>
      </c>
      <c r="W2278" t="s">
        <v>361</v>
      </c>
      <c r="X2278">
        <v>2200</v>
      </c>
      <c r="Y2278" t="s">
        <v>6607</v>
      </c>
      <c r="Z2278" t="s">
        <v>6614</v>
      </c>
      <c r="AA2278" t="s">
        <v>6651</v>
      </c>
      <c r="AB2278" t="s">
        <v>8512</v>
      </c>
      <c r="AD2278" t="s">
        <v>10822</v>
      </c>
      <c r="AE2278">
        <v>454</v>
      </c>
      <c r="AF2278" t="s">
        <v>11008</v>
      </c>
      <c r="AG2278" t="s">
        <v>11020</v>
      </c>
      <c r="AH2278">
        <v>8</v>
      </c>
      <c r="AI2278">
        <v>1</v>
      </c>
      <c r="AJ2278">
        <v>0</v>
      </c>
      <c r="AK2278">
        <v>171.33</v>
      </c>
      <c r="AN2278" t="s">
        <v>11050</v>
      </c>
      <c r="AO2278">
        <v>20800</v>
      </c>
      <c r="AU2278">
        <v>7.9</v>
      </c>
      <c r="AV2278" t="s">
        <v>669</v>
      </c>
      <c r="AW2278" t="s">
        <v>11510</v>
      </c>
    </row>
    <row r="2279" spans="1:50">
      <c r="A2279" s="1">
        <f>HYPERLINK("https://cms.ls-nyc.org/matter/dynamic-profile/view/1862260","18-1862260")</f>
        <v>0</v>
      </c>
      <c r="B2279" t="s">
        <v>156</v>
      </c>
      <c r="C2279" t="s">
        <v>234</v>
      </c>
      <c r="D2279" t="s">
        <v>408</v>
      </c>
      <c r="E2279" t="s">
        <v>720</v>
      </c>
      <c r="F2279" t="s">
        <v>2005</v>
      </c>
      <c r="G2279" t="s">
        <v>2172</v>
      </c>
      <c r="H2279" t="s">
        <v>4470</v>
      </c>
      <c r="I2279" t="s">
        <v>4997</v>
      </c>
      <c r="J2279" t="s">
        <v>5322</v>
      </c>
      <c r="K2279">
        <v>10301</v>
      </c>
      <c r="L2279" t="s">
        <v>5355</v>
      </c>
      <c r="M2279" t="s">
        <v>5356</v>
      </c>
      <c r="N2279" t="s">
        <v>6330</v>
      </c>
      <c r="O2279" t="s">
        <v>6492</v>
      </c>
      <c r="P2279" t="s">
        <v>6530</v>
      </c>
      <c r="Q2279" t="s">
        <v>6534</v>
      </c>
      <c r="R2279" t="s">
        <v>6539</v>
      </c>
      <c r="S2279" t="s">
        <v>5357</v>
      </c>
      <c r="U2279" t="s">
        <v>6560</v>
      </c>
      <c r="W2279" t="s">
        <v>408</v>
      </c>
      <c r="X2279">
        <v>2200</v>
      </c>
      <c r="Y2279" t="s">
        <v>6607</v>
      </c>
      <c r="Z2279" t="s">
        <v>6614</v>
      </c>
      <c r="AA2279" t="s">
        <v>6651</v>
      </c>
      <c r="AB2279" t="s">
        <v>8512</v>
      </c>
      <c r="AD2279" t="s">
        <v>10822</v>
      </c>
      <c r="AE2279">
        <v>454</v>
      </c>
      <c r="AF2279" t="s">
        <v>11008</v>
      </c>
      <c r="AG2279" t="s">
        <v>11020</v>
      </c>
      <c r="AH2279">
        <v>8</v>
      </c>
      <c r="AI2279">
        <v>1</v>
      </c>
      <c r="AJ2279">
        <v>0</v>
      </c>
      <c r="AK2279">
        <v>171.33</v>
      </c>
      <c r="AN2279" t="s">
        <v>11050</v>
      </c>
      <c r="AO2279">
        <v>20800</v>
      </c>
      <c r="AU2279">
        <v>27.55</v>
      </c>
      <c r="AV2279" t="s">
        <v>669</v>
      </c>
      <c r="AW2279" t="s">
        <v>156</v>
      </c>
    </row>
    <row r="2280" spans="1:50">
      <c r="A2280" s="1">
        <f>HYPERLINK("https://cms.ls-nyc.org/matter/dynamic-profile/view/1866313","18-1866313")</f>
        <v>0</v>
      </c>
      <c r="B2280" t="s">
        <v>106</v>
      </c>
      <c r="C2280" t="s">
        <v>235</v>
      </c>
      <c r="D2280" t="s">
        <v>274</v>
      </c>
      <c r="F2280" t="s">
        <v>1207</v>
      </c>
      <c r="G2280" t="s">
        <v>2480</v>
      </c>
      <c r="H2280" t="s">
        <v>4617</v>
      </c>
      <c r="I2280" t="s">
        <v>5100</v>
      </c>
      <c r="J2280" t="s">
        <v>5321</v>
      </c>
      <c r="K2280">
        <v>10475</v>
      </c>
      <c r="L2280" t="s">
        <v>5355</v>
      </c>
      <c r="M2280" t="s">
        <v>5356</v>
      </c>
      <c r="N2280" t="s">
        <v>6331</v>
      </c>
      <c r="O2280" t="s">
        <v>6492</v>
      </c>
      <c r="P2280" t="s">
        <v>6530</v>
      </c>
      <c r="R2280" t="s">
        <v>6539</v>
      </c>
      <c r="S2280" t="s">
        <v>5357</v>
      </c>
      <c r="U2280" t="s">
        <v>6557</v>
      </c>
      <c r="W2280" t="s">
        <v>391</v>
      </c>
      <c r="X2280">
        <v>736.5</v>
      </c>
      <c r="Y2280" t="s">
        <v>6606</v>
      </c>
      <c r="Z2280" t="s">
        <v>6616</v>
      </c>
      <c r="AB2280" t="s">
        <v>8513</v>
      </c>
      <c r="AD2280" t="s">
        <v>10823</v>
      </c>
      <c r="AE2280">
        <v>384</v>
      </c>
      <c r="AF2280" t="s">
        <v>11010</v>
      </c>
      <c r="AG2280" t="s">
        <v>5406</v>
      </c>
      <c r="AH2280">
        <v>33</v>
      </c>
      <c r="AI2280">
        <v>2</v>
      </c>
      <c r="AJ2280">
        <v>0</v>
      </c>
      <c r="AK2280">
        <v>171.39</v>
      </c>
      <c r="AN2280" t="s">
        <v>11050</v>
      </c>
      <c r="AO2280">
        <v>28210</v>
      </c>
      <c r="AT2280" t="s">
        <v>11324</v>
      </c>
      <c r="AU2280">
        <v>11.65</v>
      </c>
      <c r="AV2280" t="s">
        <v>270</v>
      </c>
      <c r="AW2280" t="s">
        <v>11499</v>
      </c>
    </row>
    <row r="2281" spans="1:50">
      <c r="A2281" s="1">
        <f>HYPERLINK("https://cms.ls-nyc.org/matter/dynamic-profile/view/1852416","17-1852416")</f>
        <v>0</v>
      </c>
      <c r="B2281" t="s">
        <v>52</v>
      </c>
      <c r="C2281" t="s">
        <v>234</v>
      </c>
      <c r="D2281" t="s">
        <v>294</v>
      </c>
      <c r="E2281" t="s">
        <v>718</v>
      </c>
      <c r="F2281" t="s">
        <v>914</v>
      </c>
      <c r="G2281" t="s">
        <v>3312</v>
      </c>
      <c r="H2281" t="s">
        <v>4618</v>
      </c>
      <c r="I2281" t="s">
        <v>4944</v>
      </c>
      <c r="J2281" t="s">
        <v>5334</v>
      </c>
      <c r="K2281">
        <v>11368</v>
      </c>
      <c r="L2281" t="s">
        <v>5355</v>
      </c>
      <c r="M2281" t="s">
        <v>5355</v>
      </c>
      <c r="N2281" t="s">
        <v>6332</v>
      </c>
      <c r="O2281" t="s">
        <v>6491</v>
      </c>
      <c r="P2281" t="s">
        <v>6530</v>
      </c>
      <c r="Q2281" t="s">
        <v>6534</v>
      </c>
      <c r="R2281" t="s">
        <v>6539</v>
      </c>
      <c r="S2281" t="s">
        <v>5357</v>
      </c>
      <c r="U2281" t="s">
        <v>6557</v>
      </c>
      <c r="V2281" t="s">
        <v>6566</v>
      </c>
      <c r="W2281" t="s">
        <v>294</v>
      </c>
      <c r="X2281">
        <v>1905</v>
      </c>
      <c r="Y2281" t="s">
        <v>6604</v>
      </c>
      <c r="Z2281" t="s">
        <v>6615</v>
      </c>
      <c r="AA2281" t="s">
        <v>6637</v>
      </c>
      <c r="AB2281" t="s">
        <v>8514</v>
      </c>
      <c r="AD2281" t="s">
        <v>10824</v>
      </c>
      <c r="AE2281">
        <v>180</v>
      </c>
      <c r="AF2281" t="s">
        <v>11005</v>
      </c>
      <c r="AG2281" t="s">
        <v>5406</v>
      </c>
      <c r="AH2281">
        <v>1</v>
      </c>
      <c r="AI2281">
        <v>1</v>
      </c>
      <c r="AJ2281">
        <v>2</v>
      </c>
      <c r="AK2281">
        <v>171.4</v>
      </c>
      <c r="AN2281" t="s">
        <v>11049</v>
      </c>
      <c r="AO2281">
        <v>35000</v>
      </c>
      <c r="AQ2281" t="s">
        <v>11196</v>
      </c>
      <c r="AR2281" t="s">
        <v>11211</v>
      </c>
      <c r="AS2281" t="s">
        <v>11253</v>
      </c>
      <c r="AT2281" t="s">
        <v>11417</v>
      </c>
      <c r="AU2281">
        <v>18.77</v>
      </c>
      <c r="AV2281" t="s">
        <v>708</v>
      </c>
      <c r="AW2281" t="s">
        <v>11506</v>
      </c>
    </row>
    <row r="2282" spans="1:50">
      <c r="A2282" s="1">
        <f>HYPERLINK("https://cms.ls-nyc.org/matter/dynamic-profile/view/0831440","17-0831440")</f>
        <v>0</v>
      </c>
      <c r="B2282" t="s">
        <v>66</v>
      </c>
      <c r="C2282" t="s">
        <v>234</v>
      </c>
      <c r="D2282" t="s">
        <v>642</v>
      </c>
      <c r="E2282" t="s">
        <v>394</v>
      </c>
      <c r="F2282" t="s">
        <v>2006</v>
      </c>
      <c r="G2282" t="s">
        <v>2231</v>
      </c>
      <c r="H2282" t="s">
        <v>4619</v>
      </c>
      <c r="I2282">
        <v>54</v>
      </c>
      <c r="J2282" t="s">
        <v>5323</v>
      </c>
      <c r="K2282">
        <v>10033</v>
      </c>
      <c r="L2282" t="s">
        <v>5355</v>
      </c>
      <c r="M2282" t="s">
        <v>5356</v>
      </c>
      <c r="N2282" t="s">
        <v>6333</v>
      </c>
      <c r="O2282" t="s">
        <v>6492</v>
      </c>
      <c r="P2282" t="s">
        <v>6530</v>
      </c>
      <c r="Q2282" t="s">
        <v>6535</v>
      </c>
      <c r="R2282" t="s">
        <v>6539</v>
      </c>
      <c r="S2282" t="s">
        <v>5357</v>
      </c>
      <c r="T2282" t="s">
        <v>6542</v>
      </c>
      <c r="U2282" t="s">
        <v>6557</v>
      </c>
      <c r="W2282" t="s">
        <v>315</v>
      </c>
      <c r="X2282">
        <v>1455.64</v>
      </c>
      <c r="Y2282" t="s">
        <v>6608</v>
      </c>
      <c r="Z2282" t="s">
        <v>6615</v>
      </c>
      <c r="AA2282" t="s">
        <v>6637</v>
      </c>
      <c r="AB2282" t="s">
        <v>8515</v>
      </c>
      <c r="AC2282" t="s">
        <v>9082</v>
      </c>
      <c r="AD2282" t="s">
        <v>10825</v>
      </c>
      <c r="AE2282">
        <v>0</v>
      </c>
      <c r="AF2282" t="s">
        <v>11005</v>
      </c>
      <c r="AH2282">
        <v>7</v>
      </c>
      <c r="AI2282">
        <v>2</v>
      </c>
      <c r="AJ2282">
        <v>2</v>
      </c>
      <c r="AK2282">
        <v>171.54</v>
      </c>
      <c r="AN2282" t="s">
        <v>11050</v>
      </c>
      <c r="AO2282">
        <v>42198</v>
      </c>
      <c r="AU2282">
        <v>11.7</v>
      </c>
      <c r="AV2282" t="s">
        <v>364</v>
      </c>
      <c r="AW2282" t="s">
        <v>66</v>
      </c>
    </row>
    <row r="2283" spans="1:50">
      <c r="A2283" s="1">
        <f>HYPERLINK("https://cms.ls-nyc.org/matter/dynamic-profile/view/1861191","18-1861191")</f>
        <v>0</v>
      </c>
      <c r="B2283" t="s">
        <v>58</v>
      </c>
      <c r="C2283" t="s">
        <v>235</v>
      </c>
      <c r="D2283" t="s">
        <v>444</v>
      </c>
      <c r="F2283" t="s">
        <v>2007</v>
      </c>
      <c r="G2283" t="s">
        <v>3313</v>
      </c>
      <c r="H2283" t="s">
        <v>4620</v>
      </c>
      <c r="I2283" t="s">
        <v>4853</v>
      </c>
      <c r="J2283" t="s">
        <v>5321</v>
      </c>
      <c r="K2283">
        <v>10453</v>
      </c>
      <c r="L2283" t="s">
        <v>5355</v>
      </c>
      <c r="M2283" t="s">
        <v>5355</v>
      </c>
      <c r="N2283" t="s">
        <v>6334</v>
      </c>
      <c r="O2283" t="s">
        <v>6492</v>
      </c>
      <c r="P2283" t="s">
        <v>6530</v>
      </c>
      <c r="R2283" t="s">
        <v>6539</v>
      </c>
      <c r="U2283" t="s">
        <v>6557</v>
      </c>
      <c r="W2283" t="s">
        <v>322</v>
      </c>
      <c r="X2283">
        <v>1437</v>
      </c>
      <c r="Y2283" t="s">
        <v>6606</v>
      </c>
      <c r="Z2283" t="s">
        <v>6614</v>
      </c>
      <c r="AB2283" t="s">
        <v>8516</v>
      </c>
      <c r="AD2283" t="s">
        <v>10826</v>
      </c>
      <c r="AE2283">
        <v>0</v>
      </c>
      <c r="AF2283" t="s">
        <v>11005</v>
      </c>
      <c r="AG2283" t="s">
        <v>11020</v>
      </c>
      <c r="AH2283">
        <v>25</v>
      </c>
      <c r="AI2283">
        <v>1</v>
      </c>
      <c r="AJ2283">
        <v>0</v>
      </c>
      <c r="AK2283">
        <v>171.7</v>
      </c>
      <c r="AN2283" t="s">
        <v>11049</v>
      </c>
      <c r="AO2283">
        <v>20844</v>
      </c>
      <c r="AP2283" t="s">
        <v>11078</v>
      </c>
      <c r="AR2283" t="s">
        <v>11227</v>
      </c>
      <c r="AS2283" t="s">
        <v>11253</v>
      </c>
      <c r="AT2283" t="s">
        <v>11418</v>
      </c>
      <c r="AU2283">
        <v>20.4</v>
      </c>
      <c r="AV2283" t="s">
        <v>723</v>
      </c>
      <c r="AW2283" t="s">
        <v>11513</v>
      </c>
    </row>
    <row r="2284" spans="1:50">
      <c r="A2284" s="1">
        <f>HYPERLINK("https://cms.ls-nyc.org/matter/dynamic-profile/view/1854634","17-1854634")</f>
        <v>0</v>
      </c>
      <c r="B2284" t="s">
        <v>141</v>
      </c>
      <c r="C2284" t="s">
        <v>234</v>
      </c>
      <c r="D2284" t="s">
        <v>302</v>
      </c>
      <c r="E2284" t="s">
        <v>699</v>
      </c>
      <c r="F2284" t="s">
        <v>1127</v>
      </c>
      <c r="G2284" t="s">
        <v>3314</v>
      </c>
      <c r="H2284" t="s">
        <v>4621</v>
      </c>
      <c r="I2284">
        <v>1</v>
      </c>
      <c r="J2284" t="s">
        <v>5320</v>
      </c>
      <c r="K2284">
        <v>11206</v>
      </c>
      <c r="L2284" t="s">
        <v>5355</v>
      </c>
      <c r="M2284" t="s">
        <v>5356</v>
      </c>
      <c r="N2284" t="s">
        <v>6335</v>
      </c>
      <c r="O2284" t="s">
        <v>6491</v>
      </c>
      <c r="P2284" t="s">
        <v>6530</v>
      </c>
      <c r="Q2284" t="s">
        <v>6531</v>
      </c>
      <c r="R2284" t="s">
        <v>6539</v>
      </c>
      <c r="U2284" t="s">
        <v>6557</v>
      </c>
      <c r="W2284" t="s">
        <v>294</v>
      </c>
      <c r="X2284">
        <v>0</v>
      </c>
      <c r="Y2284" t="s">
        <v>6605</v>
      </c>
      <c r="Z2284" t="s">
        <v>6611</v>
      </c>
      <c r="AA2284" t="s">
        <v>6637</v>
      </c>
      <c r="AB2284" t="s">
        <v>8517</v>
      </c>
      <c r="AD2284" t="s">
        <v>10827</v>
      </c>
      <c r="AE2284">
        <v>3</v>
      </c>
      <c r="AF2284" t="s">
        <v>11004</v>
      </c>
      <c r="AG2284" t="s">
        <v>5406</v>
      </c>
      <c r="AH2284">
        <v>9</v>
      </c>
      <c r="AI2284">
        <v>2</v>
      </c>
      <c r="AJ2284">
        <v>0</v>
      </c>
      <c r="AK2284">
        <v>172.41</v>
      </c>
      <c r="AN2284" t="s">
        <v>11050</v>
      </c>
      <c r="AO2284">
        <v>28000</v>
      </c>
      <c r="AU2284">
        <v>0.5</v>
      </c>
      <c r="AV2284" t="s">
        <v>347</v>
      </c>
      <c r="AW2284" t="s">
        <v>11487</v>
      </c>
    </row>
    <row r="2285" spans="1:50">
      <c r="A2285" s="1">
        <f>HYPERLINK("https://cms.ls-nyc.org/matter/dynamic-profile/view/1855071","18-1855071")</f>
        <v>0</v>
      </c>
      <c r="B2285" t="s">
        <v>189</v>
      </c>
      <c r="C2285" t="s">
        <v>234</v>
      </c>
      <c r="D2285" t="s">
        <v>290</v>
      </c>
      <c r="E2285" t="s">
        <v>778</v>
      </c>
      <c r="F2285" t="s">
        <v>2008</v>
      </c>
      <c r="G2285" t="s">
        <v>1605</v>
      </c>
      <c r="H2285" t="s">
        <v>4622</v>
      </c>
      <c r="I2285" t="s">
        <v>4852</v>
      </c>
      <c r="J2285" t="s">
        <v>5322</v>
      </c>
      <c r="K2285">
        <v>10304</v>
      </c>
      <c r="L2285" t="s">
        <v>5355</v>
      </c>
      <c r="M2285" t="s">
        <v>5355</v>
      </c>
      <c r="N2285" t="s">
        <v>6336</v>
      </c>
      <c r="O2285" t="s">
        <v>6492</v>
      </c>
      <c r="P2285" t="s">
        <v>6530</v>
      </c>
      <c r="Q2285" t="s">
        <v>6534</v>
      </c>
      <c r="R2285" t="s">
        <v>6539</v>
      </c>
      <c r="S2285" t="s">
        <v>5357</v>
      </c>
      <c r="U2285" t="s">
        <v>6557</v>
      </c>
      <c r="V2285" t="s">
        <v>6566</v>
      </c>
      <c r="W2285" t="s">
        <v>290</v>
      </c>
      <c r="X2285">
        <v>628</v>
      </c>
      <c r="Y2285" t="s">
        <v>6607</v>
      </c>
      <c r="Z2285" t="s">
        <v>6613</v>
      </c>
      <c r="AA2285" t="s">
        <v>6637</v>
      </c>
      <c r="AB2285" t="s">
        <v>8518</v>
      </c>
      <c r="AD2285" t="s">
        <v>10828</v>
      </c>
      <c r="AE2285">
        <v>98</v>
      </c>
      <c r="AF2285" t="s">
        <v>11008</v>
      </c>
      <c r="AG2285" t="s">
        <v>11020</v>
      </c>
      <c r="AH2285">
        <v>13</v>
      </c>
      <c r="AI2285">
        <v>2</v>
      </c>
      <c r="AJ2285">
        <v>0</v>
      </c>
      <c r="AK2285">
        <v>172.41</v>
      </c>
      <c r="AN2285" t="s">
        <v>11050</v>
      </c>
      <c r="AO2285">
        <v>28000</v>
      </c>
      <c r="AU2285">
        <v>6.55</v>
      </c>
      <c r="AV2285" t="s">
        <v>813</v>
      </c>
      <c r="AW2285" t="s">
        <v>11510</v>
      </c>
    </row>
    <row r="2286" spans="1:50">
      <c r="A2286" s="1">
        <f>HYPERLINK("https://cms.ls-nyc.org/matter/dynamic-profile/view/1843576","17-1843576")</f>
        <v>0</v>
      </c>
      <c r="B2286" t="s">
        <v>88</v>
      </c>
      <c r="C2286" t="s">
        <v>234</v>
      </c>
      <c r="D2286" t="s">
        <v>503</v>
      </c>
      <c r="E2286" t="s">
        <v>265</v>
      </c>
      <c r="F2286" t="s">
        <v>1995</v>
      </c>
      <c r="G2286" t="s">
        <v>3295</v>
      </c>
      <c r="H2286" t="s">
        <v>4598</v>
      </c>
      <c r="I2286" t="s">
        <v>4758</v>
      </c>
      <c r="J2286" t="s">
        <v>5320</v>
      </c>
      <c r="K2286">
        <v>11207</v>
      </c>
      <c r="L2286" t="s">
        <v>5355</v>
      </c>
      <c r="M2286" t="s">
        <v>5355</v>
      </c>
      <c r="N2286" t="s">
        <v>6337</v>
      </c>
      <c r="O2286" t="s">
        <v>6492</v>
      </c>
      <c r="P2286" t="s">
        <v>6530</v>
      </c>
      <c r="Q2286" t="s">
        <v>6534</v>
      </c>
      <c r="R2286" t="s">
        <v>6539</v>
      </c>
      <c r="U2286" t="s">
        <v>6557</v>
      </c>
      <c r="W2286" t="s">
        <v>563</v>
      </c>
      <c r="X2286">
        <v>1200</v>
      </c>
      <c r="Y2286" t="s">
        <v>6605</v>
      </c>
      <c r="AA2286" t="s">
        <v>6633</v>
      </c>
      <c r="AB2286" t="s">
        <v>8482</v>
      </c>
      <c r="AE2286">
        <v>6</v>
      </c>
      <c r="AF2286" t="s">
        <v>11005</v>
      </c>
      <c r="AH2286">
        <v>5</v>
      </c>
      <c r="AI2286">
        <v>1</v>
      </c>
      <c r="AJ2286">
        <v>0</v>
      </c>
      <c r="AK2286">
        <v>172.47</v>
      </c>
      <c r="AN2286" t="s">
        <v>11050</v>
      </c>
      <c r="AO2286">
        <v>20800</v>
      </c>
      <c r="AR2286" t="s">
        <v>6493</v>
      </c>
      <c r="AS2286" t="s">
        <v>11252</v>
      </c>
      <c r="AT2286" t="s">
        <v>11376</v>
      </c>
      <c r="AU2286">
        <v>12.1</v>
      </c>
      <c r="AV2286" t="s">
        <v>257</v>
      </c>
      <c r="AW2286" t="s">
        <v>11489</v>
      </c>
    </row>
    <row r="2287" spans="1:50">
      <c r="A2287" s="1">
        <f>HYPERLINK("https://cms.ls-nyc.org/matter/dynamic-profile/view/1860280","18-1860280")</f>
        <v>0</v>
      </c>
      <c r="B2287" t="s">
        <v>54</v>
      </c>
      <c r="C2287" t="s">
        <v>234</v>
      </c>
      <c r="D2287" t="s">
        <v>428</v>
      </c>
      <c r="E2287" t="s">
        <v>727</v>
      </c>
      <c r="F2287" t="s">
        <v>1207</v>
      </c>
      <c r="G2287" t="s">
        <v>2421</v>
      </c>
      <c r="H2287" t="s">
        <v>3887</v>
      </c>
      <c r="I2287" t="s">
        <v>4775</v>
      </c>
      <c r="J2287" t="s">
        <v>5320</v>
      </c>
      <c r="K2287">
        <v>11206</v>
      </c>
      <c r="L2287" t="s">
        <v>5355</v>
      </c>
      <c r="M2287" t="s">
        <v>5355</v>
      </c>
      <c r="N2287" t="s">
        <v>6338</v>
      </c>
      <c r="O2287" t="s">
        <v>6494</v>
      </c>
      <c r="P2287" t="s">
        <v>6530</v>
      </c>
      <c r="Q2287" t="s">
        <v>6534</v>
      </c>
      <c r="R2287" t="s">
        <v>6539</v>
      </c>
      <c r="S2287" t="s">
        <v>5355</v>
      </c>
      <c r="U2287" t="s">
        <v>6557</v>
      </c>
      <c r="W2287" t="s">
        <v>248</v>
      </c>
      <c r="X2287">
        <v>872.36</v>
      </c>
      <c r="Y2287" t="s">
        <v>6605</v>
      </c>
      <c r="Z2287" t="s">
        <v>6622</v>
      </c>
      <c r="AA2287" t="s">
        <v>6634</v>
      </c>
      <c r="AB2287" t="s">
        <v>7691</v>
      </c>
      <c r="AD2287" t="s">
        <v>10051</v>
      </c>
      <c r="AE2287">
        <v>8</v>
      </c>
      <c r="AF2287" t="s">
        <v>11005</v>
      </c>
      <c r="AG2287" t="s">
        <v>5406</v>
      </c>
      <c r="AH2287">
        <v>0</v>
      </c>
      <c r="AI2287">
        <v>1</v>
      </c>
      <c r="AJ2287">
        <v>0</v>
      </c>
      <c r="AK2287">
        <v>173.13</v>
      </c>
      <c r="AN2287" t="s">
        <v>11050</v>
      </c>
      <c r="AO2287">
        <v>20880</v>
      </c>
      <c r="AP2287" t="s">
        <v>11107</v>
      </c>
      <c r="AR2287" t="s">
        <v>11246</v>
      </c>
      <c r="AU2287">
        <v>5.7</v>
      </c>
      <c r="AV2287" t="s">
        <v>11462</v>
      </c>
      <c r="AW2287" t="s">
        <v>11512</v>
      </c>
      <c r="AX2287" t="s">
        <v>11564</v>
      </c>
    </row>
    <row r="2288" spans="1:50">
      <c r="A2288" s="1">
        <f>HYPERLINK("https://cms.ls-nyc.org/matter/dynamic-profile/view/1845301","17-1845301")</f>
        <v>0</v>
      </c>
      <c r="B2288" t="s">
        <v>137</v>
      </c>
      <c r="C2288" t="s">
        <v>235</v>
      </c>
      <c r="D2288" t="s">
        <v>417</v>
      </c>
      <c r="F2288" t="s">
        <v>1654</v>
      </c>
      <c r="G2288" t="s">
        <v>2701</v>
      </c>
      <c r="H2288" t="s">
        <v>3759</v>
      </c>
      <c r="I2288" t="s">
        <v>5278</v>
      </c>
      <c r="J2288" t="s">
        <v>5320</v>
      </c>
      <c r="K2288">
        <v>11213</v>
      </c>
      <c r="L2288" t="s">
        <v>5355</v>
      </c>
      <c r="M2288" t="s">
        <v>5356</v>
      </c>
      <c r="O2288" t="s">
        <v>6494</v>
      </c>
      <c r="P2288" t="s">
        <v>6530</v>
      </c>
      <c r="R2288" t="s">
        <v>6539</v>
      </c>
      <c r="S2288" t="s">
        <v>5355</v>
      </c>
      <c r="U2288" t="s">
        <v>6557</v>
      </c>
      <c r="W2288" t="s">
        <v>404</v>
      </c>
      <c r="X2288">
        <v>0</v>
      </c>
      <c r="Y2288" t="s">
        <v>6605</v>
      </c>
      <c r="Z2288" t="s">
        <v>6612</v>
      </c>
      <c r="AB2288" t="s">
        <v>8519</v>
      </c>
      <c r="AE2288">
        <v>74</v>
      </c>
      <c r="AF2288" t="s">
        <v>11005</v>
      </c>
      <c r="AH2288">
        <v>0</v>
      </c>
      <c r="AI2288">
        <v>2</v>
      </c>
      <c r="AJ2288">
        <v>2</v>
      </c>
      <c r="AK2288">
        <v>173.38</v>
      </c>
      <c r="AL2288" t="s">
        <v>511</v>
      </c>
      <c r="AN2288" t="s">
        <v>11050</v>
      </c>
      <c r="AO2288">
        <v>58252</v>
      </c>
      <c r="AU2288">
        <v>0</v>
      </c>
      <c r="AW2288" t="s">
        <v>11489</v>
      </c>
    </row>
    <row r="2289" spans="1:49">
      <c r="A2289" s="1">
        <f>HYPERLINK("https://cms.ls-nyc.org/matter/dynamic-profile/view/1849707","17-1849707")</f>
        <v>0</v>
      </c>
      <c r="B2289" t="s">
        <v>131</v>
      </c>
      <c r="C2289" t="s">
        <v>235</v>
      </c>
      <c r="D2289" t="s">
        <v>324</v>
      </c>
      <c r="F2289" t="s">
        <v>1861</v>
      </c>
      <c r="G2289" t="s">
        <v>3315</v>
      </c>
      <c r="H2289" t="s">
        <v>3769</v>
      </c>
      <c r="I2289" t="s">
        <v>4819</v>
      </c>
      <c r="J2289" t="s">
        <v>5323</v>
      </c>
      <c r="K2289">
        <v>10034</v>
      </c>
      <c r="L2289" t="s">
        <v>5355</v>
      </c>
      <c r="M2289" t="s">
        <v>5356</v>
      </c>
      <c r="O2289" t="s">
        <v>6494</v>
      </c>
      <c r="P2289" t="s">
        <v>6530</v>
      </c>
      <c r="R2289" t="s">
        <v>6539</v>
      </c>
      <c r="S2289" t="s">
        <v>5355</v>
      </c>
      <c r="U2289" t="s">
        <v>6557</v>
      </c>
      <c r="W2289" t="s">
        <v>324</v>
      </c>
      <c r="X2289">
        <v>958</v>
      </c>
      <c r="Y2289" t="s">
        <v>6608</v>
      </c>
      <c r="Z2289" t="s">
        <v>6616</v>
      </c>
      <c r="AB2289" t="s">
        <v>8520</v>
      </c>
      <c r="AD2289" t="s">
        <v>10829</v>
      </c>
      <c r="AE2289">
        <v>49</v>
      </c>
      <c r="AF2289" t="s">
        <v>11005</v>
      </c>
      <c r="AG2289" t="s">
        <v>5406</v>
      </c>
      <c r="AH2289">
        <v>14</v>
      </c>
      <c r="AI2289">
        <v>2</v>
      </c>
      <c r="AJ2289">
        <v>3</v>
      </c>
      <c r="AK2289">
        <v>173.73</v>
      </c>
      <c r="AN2289" t="s">
        <v>11049</v>
      </c>
      <c r="AO2289">
        <v>50000</v>
      </c>
      <c r="AU2289">
        <v>1.1</v>
      </c>
      <c r="AV2289" t="s">
        <v>680</v>
      </c>
      <c r="AW2289" t="s">
        <v>11495</v>
      </c>
    </row>
    <row r="2290" spans="1:49">
      <c r="A2290" s="1">
        <f>HYPERLINK("https://cms.ls-nyc.org/matter/dynamic-profile/view/1862226","18-1862226")</f>
        <v>0</v>
      </c>
      <c r="B2290" t="s">
        <v>92</v>
      </c>
      <c r="C2290" t="s">
        <v>235</v>
      </c>
      <c r="D2290" t="s">
        <v>331</v>
      </c>
      <c r="F2290" t="s">
        <v>1046</v>
      </c>
      <c r="G2290" t="s">
        <v>2210</v>
      </c>
      <c r="H2290" t="s">
        <v>4331</v>
      </c>
      <c r="I2290" t="s">
        <v>4814</v>
      </c>
      <c r="J2290" t="s">
        <v>5323</v>
      </c>
      <c r="K2290">
        <v>10034</v>
      </c>
      <c r="L2290" t="s">
        <v>5355</v>
      </c>
      <c r="M2290" t="s">
        <v>5356</v>
      </c>
      <c r="N2290" t="s">
        <v>5935</v>
      </c>
      <c r="O2290" t="s">
        <v>6494</v>
      </c>
      <c r="P2290" t="s">
        <v>6530</v>
      </c>
      <c r="R2290" t="s">
        <v>6539</v>
      </c>
      <c r="S2290" t="s">
        <v>5355</v>
      </c>
      <c r="U2290" t="s">
        <v>6557</v>
      </c>
      <c r="W2290" t="s">
        <v>331</v>
      </c>
      <c r="X2290">
        <v>1108.03</v>
      </c>
      <c r="Y2290" t="s">
        <v>6608</v>
      </c>
      <c r="Z2290" t="s">
        <v>6616</v>
      </c>
      <c r="AB2290" t="s">
        <v>8521</v>
      </c>
      <c r="AD2290" t="s">
        <v>10830</v>
      </c>
      <c r="AE2290">
        <v>60</v>
      </c>
      <c r="AF2290" t="s">
        <v>11005</v>
      </c>
      <c r="AG2290" t="s">
        <v>5406</v>
      </c>
      <c r="AH2290">
        <v>23</v>
      </c>
      <c r="AI2290">
        <v>2</v>
      </c>
      <c r="AJ2290">
        <v>0</v>
      </c>
      <c r="AK2290">
        <v>173.75</v>
      </c>
      <c r="AN2290" t="s">
        <v>11049</v>
      </c>
      <c r="AO2290">
        <v>28600</v>
      </c>
      <c r="AU2290">
        <v>0</v>
      </c>
      <c r="AW2290" t="s">
        <v>11495</v>
      </c>
    </row>
    <row r="2291" spans="1:49">
      <c r="A2291" s="1">
        <f>HYPERLINK("https://cms.ls-nyc.org/matter/dynamic-profile/view/1853536","17-1853536")</f>
        <v>0</v>
      </c>
      <c r="B2291" t="s">
        <v>63</v>
      </c>
      <c r="C2291" t="s">
        <v>235</v>
      </c>
      <c r="D2291" t="s">
        <v>422</v>
      </c>
      <c r="F2291" t="s">
        <v>1220</v>
      </c>
      <c r="G2291" t="s">
        <v>3203</v>
      </c>
      <c r="H2291" t="s">
        <v>4460</v>
      </c>
      <c r="I2291" t="s">
        <v>5237</v>
      </c>
      <c r="J2291" t="s">
        <v>5322</v>
      </c>
      <c r="K2291">
        <v>10304</v>
      </c>
      <c r="L2291" t="s">
        <v>5355</v>
      </c>
      <c r="M2291" t="s">
        <v>5356</v>
      </c>
      <c r="N2291" t="s">
        <v>6339</v>
      </c>
      <c r="O2291" t="s">
        <v>6491</v>
      </c>
      <c r="P2291" t="s">
        <v>6530</v>
      </c>
      <c r="R2291" t="s">
        <v>6540</v>
      </c>
      <c r="S2291" t="s">
        <v>5357</v>
      </c>
      <c r="U2291" t="s">
        <v>6560</v>
      </c>
      <c r="V2291" t="s">
        <v>6566</v>
      </c>
      <c r="W2291" t="s">
        <v>327</v>
      </c>
      <c r="X2291">
        <v>250</v>
      </c>
      <c r="Y2291" t="s">
        <v>6607</v>
      </c>
      <c r="Z2291" t="s">
        <v>6610</v>
      </c>
      <c r="AB2291" t="s">
        <v>8292</v>
      </c>
      <c r="AD2291" t="s">
        <v>10616</v>
      </c>
      <c r="AE2291">
        <v>156</v>
      </c>
      <c r="AF2291" t="s">
        <v>11008</v>
      </c>
      <c r="AG2291" t="s">
        <v>11020</v>
      </c>
      <c r="AH2291">
        <v>1</v>
      </c>
      <c r="AI2291">
        <v>1</v>
      </c>
      <c r="AJ2291">
        <v>3</v>
      </c>
      <c r="AK2291">
        <v>174.18</v>
      </c>
      <c r="AL2291" t="s">
        <v>11028</v>
      </c>
      <c r="AN2291" t="s">
        <v>11050</v>
      </c>
      <c r="AO2291">
        <v>42848</v>
      </c>
      <c r="AU2291">
        <v>99.40000000000001</v>
      </c>
      <c r="AV2291" t="s">
        <v>11480</v>
      </c>
      <c r="AW2291" t="s">
        <v>62</v>
      </c>
    </row>
    <row r="2292" spans="1:49">
      <c r="A2292" s="1">
        <f>HYPERLINK("https://cms.ls-nyc.org/matter/dynamic-profile/view/1850841","17-1850841")</f>
        <v>0</v>
      </c>
      <c r="B2292" t="s">
        <v>189</v>
      </c>
      <c r="C2292" t="s">
        <v>235</v>
      </c>
      <c r="D2292" t="s">
        <v>384</v>
      </c>
      <c r="F2292" t="s">
        <v>2009</v>
      </c>
      <c r="G2292" t="s">
        <v>3316</v>
      </c>
      <c r="H2292" t="s">
        <v>4623</v>
      </c>
      <c r="I2292" t="s">
        <v>4743</v>
      </c>
      <c r="J2292" t="s">
        <v>5322</v>
      </c>
      <c r="K2292">
        <v>10304</v>
      </c>
      <c r="L2292" t="s">
        <v>5355</v>
      </c>
      <c r="M2292" t="s">
        <v>5356</v>
      </c>
      <c r="N2292" t="s">
        <v>6340</v>
      </c>
      <c r="O2292" t="s">
        <v>6492</v>
      </c>
      <c r="P2292" t="s">
        <v>6530</v>
      </c>
      <c r="R2292" t="s">
        <v>6539</v>
      </c>
      <c r="S2292" t="s">
        <v>5357</v>
      </c>
      <c r="U2292" t="s">
        <v>6557</v>
      </c>
      <c r="W2292" t="s">
        <v>384</v>
      </c>
      <c r="X2292">
        <v>1100</v>
      </c>
      <c r="Y2292" t="s">
        <v>6607</v>
      </c>
      <c r="Z2292" t="s">
        <v>6622</v>
      </c>
      <c r="AB2292" t="s">
        <v>8522</v>
      </c>
      <c r="AD2292" t="s">
        <v>10831</v>
      </c>
      <c r="AE2292">
        <v>4</v>
      </c>
      <c r="AF2292" t="s">
        <v>11004</v>
      </c>
      <c r="AG2292" t="s">
        <v>5406</v>
      </c>
      <c r="AH2292">
        <v>8</v>
      </c>
      <c r="AI2292">
        <v>3</v>
      </c>
      <c r="AJ2292">
        <v>0</v>
      </c>
      <c r="AK2292">
        <v>174.34</v>
      </c>
      <c r="AN2292" t="s">
        <v>11050</v>
      </c>
      <c r="AO2292">
        <v>35600</v>
      </c>
      <c r="AU2292">
        <v>15.5</v>
      </c>
      <c r="AV2292" t="s">
        <v>583</v>
      </c>
      <c r="AW2292" t="s">
        <v>11510</v>
      </c>
    </row>
    <row r="2293" spans="1:49">
      <c r="A2293" s="1">
        <f>HYPERLINK("https://cms.ls-nyc.org/matter/dynamic-profile/view/1868969","18-1868969")</f>
        <v>0</v>
      </c>
      <c r="B2293" t="s">
        <v>56</v>
      </c>
      <c r="C2293" t="s">
        <v>235</v>
      </c>
      <c r="D2293" t="s">
        <v>345</v>
      </c>
      <c r="F2293" t="s">
        <v>1897</v>
      </c>
      <c r="G2293" t="s">
        <v>3317</v>
      </c>
      <c r="H2293" t="s">
        <v>4624</v>
      </c>
      <c r="I2293" t="s">
        <v>4825</v>
      </c>
      <c r="J2293" t="s">
        <v>5321</v>
      </c>
      <c r="K2293">
        <v>10460</v>
      </c>
      <c r="L2293" t="s">
        <v>5355</v>
      </c>
      <c r="M2293" t="s">
        <v>5356</v>
      </c>
      <c r="N2293" t="s">
        <v>6341</v>
      </c>
      <c r="O2293" t="s">
        <v>6492</v>
      </c>
      <c r="P2293" t="s">
        <v>6530</v>
      </c>
      <c r="R2293" t="s">
        <v>6539</v>
      </c>
      <c r="S2293" t="s">
        <v>5357</v>
      </c>
      <c r="U2293" t="s">
        <v>6557</v>
      </c>
      <c r="W2293" t="s">
        <v>375</v>
      </c>
      <c r="X2293">
        <v>1291</v>
      </c>
      <c r="Y2293" t="s">
        <v>6606</v>
      </c>
      <c r="Z2293" t="s">
        <v>6611</v>
      </c>
      <c r="AB2293" t="s">
        <v>8523</v>
      </c>
      <c r="AC2293" t="s">
        <v>9083</v>
      </c>
      <c r="AD2293" t="s">
        <v>10832</v>
      </c>
      <c r="AE2293">
        <v>20</v>
      </c>
      <c r="AF2293" t="s">
        <v>11008</v>
      </c>
      <c r="AG2293" t="s">
        <v>11020</v>
      </c>
      <c r="AH2293">
        <v>18</v>
      </c>
      <c r="AI2293">
        <v>2</v>
      </c>
      <c r="AJ2293">
        <v>1</v>
      </c>
      <c r="AK2293">
        <v>175.28</v>
      </c>
      <c r="AN2293" t="s">
        <v>11050</v>
      </c>
      <c r="AO2293">
        <v>36423.19</v>
      </c>
      <c r="AP2293" t="s">
        <v>11079</v>
      </c>
      <c r="AU2293">
        <v>11.7</v>
      </c>
      <c r="AV2293" t="s">
        <v>682</v>
      </c>
      <c r="AW2293" t="s">
        <v>11492</v>
      </c>
    </row>
    <row r="2294" spans="1:49">
      <c r="A2294" s="1">
        <f>HYPERLINK("https://cms.ls-nyc.org/matter/dynamic-profile/view/1864107","18-1864107")</f>
        <v>0</v>
      </c>
      <c r="B2294" t="s">
        <v>58</v>
      </c>
      <c r="C2294" t="s">
        <v>234</v>
      </c>
      <c r="D2294" t="s">
        <v>357</v>
      </c>
      <c r="E2294" t="s">
        <v>697</v>
      </c>
      <c r="F2294" t="s">
        <v>902</v>
      </c>
      <c r="G2294" t="s">
        <v>2484</v>
      </c>
      <c r="H2294" t="s">
        <v>4625</v>
      </c>
      <c r="I2294" t="s">
        <v>4816</v>
      </c>
      <c r="J2294" t="s">
        <v>5321</v>
      </c>
      <c r="K2294">
        <v>10453</v>
      </c>
      <c r="L2294" t="s">
        <v>5355</v>
      </c>
      <c r="M2294" t="s">
        <v>5356</v>
      </c>
      <c r="N2294" t="s">
        <v>6342</v>
      </c>
      <c r="O2294" t="s">
        <v>6492</v>
      </c>
      <c r="P2294" t="s">
        <v>6530</v>
      </c>
      <c r="Q2294" t="s">
        <v>6534</v>
      </c>
      <c r="R2294" t="s">
        <v>6539</v>
      </c>
      <c r="U2294" t="s">
        <v>6557</v>
      </c>
      <c r="W2294" t="s">
        <v>326</v>
      </c>
      <c r="X2294">
        <v>1121.87</v>
      </c>
      <c r="Y2294" t="s">
        <v>6606</v>
      </c>
      <c r="Z2294" t="s">
        <v>6613</v>
      </c>
      <c r="AA2294" t="s">
        <v>6637</v>
      </c>
      <c r="AB2294" t="s">
        <v>8524</v>
      </c>
      <c r="AD2294" t="s">
        <v>10833</v>
      </c>
      <c r="AE2294">
        <v>0</v>
      </c>
      <c r="AF2294" t="s">
        <v>11005</v>
      </c>
      <c r="AG2294" t="s">
        <v>11019</v>
      </c>
      <c r="AH2294">
        <v>2</v>
      </c>
      <c r="AI2294">
        <v>1</v>
      </c>
      <c r="AJ2294">
        <v>0</v>
      </c>
      <c r="AK2294">
        <v>175.35</v>
      </c>
      <c r="AL2294" t="s">
        <v>425</v>
      </c>
      <c r="AN2294" t="s">
        <v>11050</v>
      </c>
      <c r="AO2294">
        <v>21287.24</v>
      </c>
      <c r="AR2294" t="s">
        <v>11211</v>
      </c>
      <c r="AS2294" t="s">
        <v>11253</v>
      </c>
      <c r="AT2294" t="s">
        <v>11419</v>
      </c>
      <c r="AU2294">
        <v>17.6</v>
      </c>
      <c r="AV2294" t="s">
        <v>697</v>
      </c>
      <c r="AW2294" t="s">
        <v>11505</v>
      </c>
    </row>
    <row r="2295" spans="1:49">
      <c r="A2295" s="1">
        <f>HYPERLINK("https://cms.ls-nyc.org/matter/dynamic-profile/view/1868483","18-1868483")</f>
        <v>0</v>
      </c>
      <c r="B2295" t="s">
        <v>142</v>
      </c>
      <c r="C2295" t="s">
        <v>234</v>
      </c>
      <c r="D2295" t="s">
        <v>352</v>
      </c>
      <c r="E2295" t="s">
        <v>765</v>
      </c>
      <c r="F2295" t="s">
        <v>997</v>
      </c>
      <c r="G2295" t="s">
        <v>2814</v>
      </c>
      <c r="H2295" t="s">
        <v>3625</v>
      </c>
      <c r="I2295">
        <v>7</v>
      </c>
      <c r="J2295" t="s">
        <v>5320</v>
      </c>
      <c r="K2295">
        <v>11219</v>
      </c>
      <c r="L2295" t="s">
        <v>5355</v>
      </c>
      <c r="M2295" t="s">
        <v>5355</v>
      </c>
      <c r="N2295" t="s">
        <v>6343</v>
      </c>
      <c r="O2295" t="s">
        <v>6492</v>
      </c>
      <c r="P2295" t="s">
        <v>6530</v>
      </c>
      <c r="Q2295" t="s">
        <v>6531</v>
      </c>
      <c r="R2295" t="s">
        <v>6539</v>
      </c>
      <c r="S2295" t="s">
        <v>5355</v>
      </c>
      <c r="U2295" t="s">
        <v>6557</v>
      </c>
      <c r="W2295" t="s">
        <v>280</v>
      </c>
      <c r="X2295">
        <v>840.49</v>
      </c>
      <c r="Y2295" t="s">
        <v>6605</v>
      </c>
      <c r="Z2295" t="s">
        <v>6622</v>
      </c>
      <c r="AA2295" t="s">
        <v>6637</v>
      </c>
      <c r="AB2295" t="s">
        <v>7643</v>
      </c>
      <c r="AD2295" t="s">
        <v>10003</v>
      </c>
      <c r="AE2295">
        <v>14</v>
      </c>
      <c r="AF2295" t="s">
        <v>11005</v>
      </c>
      <c r="AG2295" t="s">
        <v>5406</v>
      </c>
      <c r="AH2295">
        <v>12</v>
      </c>
      <c r="AI2295">
        <v>2</v>
      </c>
      <c r="AJ2295">
        <v>0</v>
      </c>
      <c r="AK2295">
        <v>175.99</v>
      </c>
      <c r="AM2295" t="s">
        <v>11045</v>
      </c>
      <c r="AN2295" t="s">
        <v>11049</v>
      </c>
      <c r="AO2295">
        <v>28968</v>
      </c>
      <c r="AU2295">
        <v>108.6</v>
      </c>
      <c r="AV2295" t="s">
        <v>765</v>
      </c>
      <c r="AW2295" t="s">
        <v>77</v>
      </c>
    </row>
    <row r="2296" spans="1:49">
      <c r="A2296" s="1">
        <f>HYPERLINK("https://cms.ls-nyc.org/matter/dynamic-profile/view/1842119","17-1842119")</f>
        <v>0</v>
      </c>
      <c r="B2296" t="s">
        <v>92</v>
      </c>
      <c r="C2296" t="s">
        <v>234</v>
      </c>
      <c r="D2296" t="s">
        <v>393</v>
      </c>
      <c r="E2296" t="s">
        <v>760</v>
      </c>
      <c r="F2296" t="s">
        <v>1450</v>
      </c>
      <c r="G2296" t="s">
        <v>2280</v>
      </c>
      <c r="H2296" t="s">
        <v>3692</v>
      </c>
      <c r="I2296" t="s">
        <v>4749</v>
      </c>
      <c r="J2296" t="s">
        <v>5323</v>
      </c>
      <c r="K2296">
        <v>10040</v>
      </c>
      <c r="L2296" t="s">
        <v>5355</v>
      </c>
      <c r="M2296" t="s">
        <v>5355</v>
      </c>
      <c r="N2296" t="s">
        <v>5478</v>
      </c>
      <c r="O2296" t="s">
        <v>6494</v>
      </c>
      <c r="P2296" t="s">
        <v>6530</v>
      </c>
      <c r="Q2296" t="s">
        <v>6531</v>
      </c>
      <c r="R2296" t="s">
        <v>6539</v>
      </c>
      <c r="S2296" t="s">
        <v>5355</v>
      </c>
      <c r="U2296" t="s">
        <v>6557</v>
      </c>
      <c r="W2296" t="s">
        <v>404</v>
      </c>
      <c r="X2296">
        <v>944.4</v>
      </c>
      <c r="Y2296" t="s">
        <v>6608</v>
      </c>
      <c r="Z2296" t="s">
        <v>6616</v>
      </c>
      <c r="AA2296" t="s">
        <v>6631</v>
      </c>
      <c r="AB2296" t="s">
        <v>8525</v>
      </c>
      <c r="AD2296" t="s">
        <v>10834</v>
      </c>
      <c r="AE2296">
        <v>65</v>
      </c>
      <c r="AF2296" t="s">
        <v>11005</v>
      </c>
      <c r="AG2296" t="s">
        <v>5406</v>
      </c>
      <c r="AH2296">
        <v>25</v>
      </c>
      <c r="AI2296">
        <v>2</v>
      </c>
      <c r="AJ2296">
        <v>1</v>
      </c>
      <c r="AK2296">
        <v>176.42</v>
      </c>
      <c r="AN2296" t="s">
        <v>11049</v>
      </c>
      <c r="AO2296">
        <v>36024</v>
      </c>
      <c r="AU2296">
        <v>11.95</v>
      </c>
      <c r="AV2296" t="s">
        <v>760</v>
      </c>
      <c r="AW2296" t="s">
        <v>11495</v>
      </c>
    </row>
    <row r="2297" spans="1:49">
      <c r="A2297" s="1">
        <f>HYPERLINK("https://cms.ls-nyc.org/matter/dynamic-profile/view/1862977","18-1862977")</f>
        <v>0</v>
      </c>
      <c r="B2297" t="s">
        <v>131</v>
      </c>
      <c r="C2297" t="s">
        <v>235</v>
      </c>
      <c r="D2297" t="s">
        <v>369</v>
      </c>
      <c r="F2297" t="s">
        <v>1238</v>
      </c>
      <c r="G2297" t="s">
        <v>3318</v>
      </c>
      <c r="H2297" t="s">
        <v>4626</v>
      </c>
      <c r="I2297" t="s">
        <v>4772</v>
      </c>
      <c r="J2297" t="s">
        <v>5323</v>
      </c>
      <c r="K2297">
        <v>10034</v>
      </c>
      <c r="L2297" t="s">
        <v>5355</v>
      </c>
      <c r="M2297" t="s">
        <v>5356</v>
      </c>
      <c r="O2297" t="s">
        <v>6494</v>
      </c>
      <c r="P2297" t="s">
        <v>6530</v>
      </c>
      <c r="R2297" t="s">
        <v>6539</v>
      </c>
      <c r="S2297" t="s">
        <v>5355</v>
      </c>
      <c r="U2297" t="s">
        <v>6557</v>
      </c>
      <c r="W2297" t="s">
        <v>369</v>
      </c>
      <c r="X2297">
        <v>1347</v>
      </c>
      <c r="Y2297" t="s">
        <v>6608</v>
      </c>
      <c r="Z2297" t="s">
        <v>6616</v>
      </c>
      <c r="AB2297" t="s">
        <v>8526</v>
      </c>
      <c r="AD2297" t="s">
        <v>10835</v>
      </c>
      <c r="AE2297">
        <v>50</v>
      </c>
      <c r="AF2297" t="s">
        <v>11005</v>
      </c>
      <c r="AG2297" t="s">
        <v>5406</v>
      </c>
      <c r="AH2297">
        <v>4</v>
      </c>
      <c r="AI2297">
        <v>2</v>
      </c>
      <c r="AJ2297">
        <v>3</v>
      </c>
      <c r="AK2297">
        <v>176.75</v>
      </c>
      <c r="AN2297" t="s">
        <v>11049</v>
      </c>
      <c r="AO2297">
        <v>52000</v>
      </c>
      <c r="AU2297">
        <v>0.55</v>
      </c>
      <c r="AV2297" t="s">
        <v>11470</v>
      </c>
      <c r="AW2297" t="s">
        <v>11495</v>
      </c>
    </row>
    <row r="2298" spans="1:49">
      <c r="A2298" s="1">
        <f>HYPERLINK("https://cms.ls-nyc.org/matter/dynamic-profile/view/1852251","17-1852251")</f>
        <v>0</v>
      </c>
      <c r="B2298" t="s">
        <v>141</v>
      </c>
      <c r="C2298" t="s">
        <v>234</v>
      </c>
      <c r="D2298" t="s">
        <v>463</v>
      </c>
      <c r="E2298" t="s">
        <v>699</v>
      </c>
      <c r="F2298" t="s">
        <v>2010</v>
      </c>
      <c r="G2298" t="s">
        <v>3319</v>
      </c>
      <c r="H2298" t="s">
        <v>4197</v>
      </c>
      <c r="I2298">
        <v>1050</v>
      </c>
      <c r="J2298" t="s">
        <v>5320</v>
      </c>
      <c r="K2298">
        <v>11217</v>
      </c>
      <c r="L2298" t="s">
        <v>5357</v>
      </c>
      <c r="M2298" t="s">
        <v>5356</v>
      </c>
      <c r="N2298" t="s">
        <v>6344</v>
      </c>
      <c r="O2298" t="s">
        <v>6492</v>
      </c>
      <c r="P2298" t="s">
        <v>6530</v>
      </c>
      <c r="Q2298" t="s">
        <v>6531</v>
      </c>
      <c r="R2298" t="s">
        <v>6539</v>
      </c>
      <c r="S2298" t="s">
        <v>6541</v>
      </c>
      <c r="U2298" t="s">
        <v>6557</v>
      </c>
      <c r="W2298" t="s">
        <v>6595</v>
      </c>
      <c r="X2298">
        <v>682.96</v>
      </c>
      <c r="Y2298" t="s">
        <v>6605</v>
      </c>
      <c r="Z2298" t="s">
        <v>6614</v>
      </c>
      <c r="AA2298" t="s">
        <v>6637</v>
      </c>
      <c r="AB2298" t="s">
        <v>7384</v>
      </c>
      <c r="AE2298">
        <v>200</v>
      </c>
      <c r="AF2298" t="s">
        <v>8722</v>
      </c>
      <c r="AG2298" t="s">
        <v>5406</v>
      </c>
      <c r="AH2298">
        <v>18</v>
      </c>
      <c r="AI2298">
        <v>1</v>
      </c>
      <c r="AJ2298">
        <v>0</v>
      </c>
      <c r="AK2298">
        <v>178.28</v>
      </c>
      <c r="AN2298" t="s">
        <v>11050</v>
      </c>
      <c r="AO2298">
        <v>21500</v>
      </c>
      <c r="AP2298" t="s">
        <v>11174</v>
      </c>
      <c r="AU2298">
        <v>9</v>
      </c>
      <c r="AV2298" t="s">
        <v>385</v>
      </c>
      <c r="AW2298" t="s">
        <v>11512</v>
      </c>
    </row>
    <row r="2299" spans="1:49">
      <c r="A2299" s="1">
        <f>HYPERLINK("https://cms.ls-nyc.org/matter/dynamic-profile/view/0825199","17-0825199")</f>
        <v>0</v>
      </c>
      <c r="B2299" t="s">
        <v>66</v>
      </c>
      <c r="C2299" t="s">
        <v>234</v>
      </c>
      <c r="D2299" t="s">
        <v>621</v>
      </c>
      <c r="E2299" t="s">
        <v>394</v>
      </c>
      <c r="F2299" t="s">
        <v>2011</v>
      </c>
      <c r="G2299" t="s">
        <v>3320</v>
      </c>
      <c r="H2299" t="s">
        <v>4627</v>
      </c>
      <c r="I2299">
        <v>41</v>
      </c>
      <c r="J2299" t="s">
        <v>5323</v>
      </c>
      <c r="K2299">
        <v>10033</v>
      </c>
      <c r="L2299" t="s">
        <v>5355</v>
      </c>
      <c r="M2299" t="s">
        <v>5356</v>
      </c>
      <c r="N2299" t="s">
        <v>6345</v>
      </c>
      <c r="O2299" t="s">
        <v>6491</v>
      </c>
      <c r="P2299" t="s">
        <v>6530</v>
      </c>
      <c r="Q2299" t="s">
        <v>6534</v>
      </c>
      <c r="R2299" t="s">
        <v>6539</v>
      </c>
      <c r="S2299" t="s">
        <v>5357</v>
      </c>
      <c r="T2299" t="s">
        <v>6542</v>
      </c>
      <c r="U2299" t="s">
        <v>6557</v>
      </c>
      <c r="W2299" t="s">
        <v>298</v>
      </c>
      <c r="X2299">
        <v>903</v>
      </c>
      <c r="Y2299" t="s">
        <v>6608</v>
      </c>
      <c r="Z2299" t="s">
        <v>6616</v>
      </c>
      <c r="AA2299" t="s">
        <v>6637</v>
      </c>
      <c r="AB2299" t="s">
        <v>7890</v>
      </c>
      <c r="AD2299" t="s">
        <v>10836</v>
      </c>
      <c r="AE2299">
        <v>0</v>
      </c>
      <c r="AF2299" t="s">
        <v>11005</v>
      </c>
      <c r="AG2299" t="s">
        <v>5406</v>
      </c>
      <c r="AH2299">
        <v>32</v>
      </c>
      <c r="AI2299">
        <v>3</v>
      </c>
      <c r="AJ2299">
        <v>0</v>
      </c>
      <c r="AK2299">
        <v>178.49</v>
      </c>
      <c r="AN2299" t="s">
        <v>11050</v>
      </c>
      <c r="AO2299">
        <v>35984</v>
      </c>
      <c r="AU2299">
        <v>42.3</v>
      </c>
      <c r="AV2299" t="s">
        <v>364</v>
      </c>
      <c r="AW2299" t="s">
        <v>11526</v>
      </c>
    </row>
    <row r="2300" spans="1:49">
      <c r="A2300" s="1">
        <f>HYPERLINK("https://cms.ls-nyc.org/matter/dynamic-profile/view/1863906","18-1863906")</f>
        <v>0</v>
      </c>
      <c r="B2300" t="s">
        <v>92</v>
      </c>
      <c r="C2300" t="s">
        <v>235</v>
      </c>
      <c r="D2300" t="s">
        <v>425</v>
      </c>
      <c r="F2300" t="s">
        <v>2012</v>
      </c>
      <c r="G2300" t="s">
        <v>3321</v>
      </c>
      <c r="H2300" t="s">
        <v>3579</v>
      </c>
      <c r="I2300">
        <v>615</v>
      </c>
      <c r="J2300" t="s">
        <v>5323</v>
      </c>
      <c r="K2300">
        <v>10029</v>
      </c>
      <c r="L2300" t="s">
        <v>5355</v>
      </c>
      <c r="M2300" t="s">
        <v>5355</v>
      </c>
      <c r="N2300" t="s">
        <v>5632</v>
      </c>
      <c r="O2300" t="s">
        <v>6494</v>
      </c>
      <c r="P2300" t="s">
        <v>6530</v>
      </c>
      <c r="R2300" t="s">
        <v>6539</v>
      </c>
      <c r="S2300" t="s">
        <v>5355</v>
      </c>
      <c r="U2300" t="s">
        <v>6557</v>
      </c>
      <c r="V2300" t="s">
        <v>6566</v>
      </c>
      <c r="W2300" t="s">
        <v>377</v>
      </c>
      <c r="X2300">
        <v>0</v>
      </c>
      <c r="Y2300" t="s">
        <v>6608</v>
      </c>
      <c r="Z2300" t="s">
        <v>6622</v>
      </c>
      <c r="AB2300" t="s">
        <v>8527</v>
      </c>
      <c r="AD2300" t="s">
        <v>10837</v>
      </c>
      <c r="AE2300">
        <v>108</v>
      </c>
      <c r="AF2300" t="s">
        <v>11008</v>
      </c>
      <c r="AG2300" t="s">
        <v>11020</v>
      </c>
      <c r="AH2300">
        <v>4</v>
      </c>
      <c r="AI2300">
        <v>1</v>
      </c>
      <c r="AJ2300">
        <v>3</v>
      </c>
      <c r="AK2300">
        <v>179.28</v>
      </c>
      <c r="AN2300" t="s">
        <v>11050</v>
      </c>
      <c r="AO2300">
        <v>45000</v>
      </c>
      <c r="AU2300">
        <v>0.35</v>
      </c>
      <c r="AV2300" t="s">
        <v>777</v>
      </c>
      <c r="AW2300" t="s">
        <v>11497</v>
      </c>
    </row>
    <row r="2301" spans="1:49">
      <c r="A2301" s="1">
        <f>HYPERLINK("https://cms.ls-nyc.org/matter/dynamic-profile/view/1845294","17-1845294")</f>
        <v>0</v>
      </c>
      <c r="B2301" t="s">
        <v>101</v>
      </c>
      <c r="C2301" t="s">
        <v>234</v>
      </c>
      <c r="D2301" t="s">
        <v>383</v>
      </c>
      <c r="E2301" t="s">
        <v>832</v>
      </c>
      <c r="F2301" t="s">
        <v>2013</v>
      </c>
      <c r="G2301" t="s">
        <v>2440</v>
      </c>
      <c r="H2301" t="s">
        <v>4628</v>
      </c>
      <c r="I2301" t="s">
        <v>4840</v>
      </c>
      <c r="J2301" t="s">
        <v>5320</v>
      </c>
      <c r="K2301">
        <v>11226</v>
      </c>
      <c r="L2301" t="s">
        <v>5355</v>
      </c>
      <c r="M2301" t="s">
        <v>5356</v>
      </c>
      <c r="N2301" t="s">
        <v>6346</v>
      </c>
      <c r="O2301" t="s">
        <v>6492</v>
      </c>
      <c r="P2301" t="s">
        <v>6530</v>
      </c>
      <c r="Q2301" t="s">
        <v>6534</v>
      </c>
      <c r="R2301" t="s">
        <v>6539</v>
      </c>
      <c r="S2301" t="s">
        <v>5357</v>
      </c>
      <c r="U2301" t="s">
        <v>6557</v>
      </c>
      <c r="W2301" t="s">
        <v>383</v>
      </c>
      <c r="X2301">
        <v>1222.3</v>
      </c>
      <c r="Y2301" t="s">
        <v>6605</v>
      </c>
      <c r="Z2301" t="s">
        <v>6613</v>
      </c>
      <c r="AA2301" t="s">
        <v>6637</v>
      </c>
      <c r="AB2301" t="s">
        <v>8528</v>
      </c>
      <c r="AD2301" t="s">
        <v>10838</v>
      </c>
      <c r="AE2301">
        <v>28</v>
      </c>
      <c r="AF2301" t="s">
        <v>11005</v>
      </c>
      <c r="AG2301" t="s">
        <v>11024</v>
      </c>
      <c r="AH2301">
        <v>11</v>
      </c>
      <c r="AI2301">
        <v>1</v>
      </c>
      <c r="AJ2301">
        <v>0</v>
      </c>
      <c r="AK2301">
        <v>179.3</v>
      </c>
      <c r="AL2301" t="s">
        <v>411</v>
      </c>
      <c r="AM2301" t="s">
        <v>11046</v>
      </c>
      <c r="AN2301" t="s">
        <v>11050</v>
      </c>
      <c r="AO2301">
        <v>21624</v>
      </c>
      <c r="AU2301">
        <v>0.1</v>
      </c>
      <c r="AV2301" t="s">
        <v>443</v>
      </c>
      <c r="AW2301" t="s">
        <v>101</v>
      </c>
    </row>
    <row r="2302" spans="1:49">
      <c r="A2302" s="1">
        <f>HYPERLINK("https://cms.ls-nyc.org/matter/dynamic-profile/view/1841452","17-1841452")</f>
        <v>0</v>
      </c>
      <c r="B2302" t="s">
        <v>97</v>
      </c>
      <c r="C2302" t="s">
        <v>235</v>
      </c>
      <c r="D2302" t="s">
        <v>499</v>
      </c>
      <c r="F2302" t="s">
        <v>2014</v>
      </c>
      <c r="G2302" t="s">
        <v>3322</v>
      </c>
      <c r="H2302" t="s">
        <v>4629</v>
      </c>
      <c r="I2302" t="s">
        <v>4800</v>
      </c>
      <c r="J2302" t="s">
        <v>5323</v>
      </c>
      <c r="K2302">
        <v>10034</v>
      </c>
      <c r="L2302" t="s">
        <v>5355</v>
      </c>
      <c r="M2302" t="s">
        <v>5356</v>
      </c>
      <c r="N2302" t="s">
        <v>6347</v>
      </c>
      <c r="O2302" t="s">
        <v>6492</v>
      </c>
      <c r="P2302" t="s">
        <v>6530</v>
      </c>
      <c r="R2302" t="s">
        <v>6539</v>
      </c>
      <c r="S2302" t="s">
        <v>5357</v>
      </c>
      <c r="U2302" t="s">
        <v>6557</v>
      </c>
      <c r="W2302" t="s">
        <v>499</v>
      </c>
      <c r="X2302">
        <v>1384.66</v>
      </c>
      <c r="Y2302" t="s">
        <v>6608</v>
      </c>
      <c r="Z2302" t="s">
        <v>6616</v>
      </c>
      <c r="AB2302" t="s">
        <v>8529</v>
      </c>
      <c r="AD2302" t="s">
        <v>10839</v>
      </c>
      <c r="AE2302">
        <v>42</v>
      </c>
      <c r="AF2302" t="s">
        <v>11005</v>
      </c>
      <c r="AG2302" t="s">
        <v>11024</v>
      </c>
      <c r="AH2302">
        <v>25</v>
      </c>
      <c r="AI2302">
        <v>1</v>
      </c>
      <c r="AJ2302">
        <v>0</v>
      </c>
      <c r="AK2302">
        <v>179.51</v>
      </c>
      <c r="AN2302" t="s">
        <v>11049</v>
      </c>
      <c r="AO2302">
        <v>21649.2</v>
      </c>
      <c r="AU2302">
        <v>24.05</v>
      </c>
      <c r="AV2302" t="s">
        <v>6602</v>
      </c>
      <c r="AW2302" t="s">
        <v>11495</v>
      </c>
    </row>
    <row r="2303" spans="1:49">
      <c r="A2303" s="1">
        <f>HYPERLINK("https://cms.ls-nyc.org/matter/dynamic-profile/view/1846401","17-1846401")</f>
        <v>0</v>
      </c>
      <c r="B2303" t="s">
        <v>148</v>
      </c>
      <c r="C2303" t="s">
        <v>234</v>
      </c>
      <c r="D2303" t="s">
        <v>301</v>
      </c>
      <c r="E2303" t="s">
        <v>735</v>
      </c>
      <c r="F2303" t="s">
        <v>2015</v>
      </c>
      <c r="G2303" t="s">
        <v>2106</v>
      </c>
      <c r="H2303" t="s">
        <v>4564</v>
      </c>
      <c r="I2303" t="s">
        <v>5279</v>
      </c>
      <c r="J2303" t="s">
        <v>5322</v>
      </c>
      <c r="K2303">
        <v>10304</v>
      </c>
      <c r="L2303" t="s">
        <v>5355</v>
      </c>
      <c r="M2303" t="s">
        <v>5356</v>
      </c>
      <c r="N2303" t="s">
        <v>6348</v>
      </c>
      <c r="O2303" t="s">
        <v>6492</v>
      </c>
      <c r="P2303" t="s">
        <v>6530</v>
      </c>
      <c r="Q2303" t="s">
        <v>6534</v>
      </c>
      <c r="R2303" t="s">
        <v>6539</v>
      </c>
      <c r="S2303" t="s">
        <v>5357</v>
      </c>
      <c r="U2303" t="s">
        <v>6560</v>
      </c>
      <c r="W2303" t="s">
        <v>301</v>
      </c>
      <c r="X2303">
        <v>1330</v>
      </c>
      <c r="Y2303" t="s">
        <v>6607</v>
      </c>
      <c r="Z2303" t="s">
        <v>6614</v>
      </c>
      <c r="AA2303" t="s">
        <v>6637</v>
      </c>
      <c r="AB2303" t="s">
        <v>8530</v>
      </c>
      <c r="AC2303" t="s">
        <v>9084</v>
      </c>
      <c r="AD2303" t="s">
        <v>10840</v>
      </c>
      <c r="AE2303">
        <v>304</v>
      </c>
      <c r="AF2303" t="s">
        <v>11008</v>
      </c>
      <c r="AG2303" t="s">
        <v>11020</v>
      </c>
      <c r="AH2303">
        <v>2</v>
      </c>
      <c r="AI2303">
        <v>1</v>
      </c>
      <c r="AJ2303">
        <v>2</v>
      </c>
      <c r="AK2303">
        <v>179.91</v>
      </c>
      <c r="AN2303" t="s">
        <v>11050</v>
      </c>
      <c r="AO2303">
        <v>36738</v>
      </c>
      <c r="AU2303">
        <v>24.15</v>
      </c>
      <c r="AV2303" t="s">
        <v>751</v>
      </c>
      <c r="AW2303" t="s">
        <v>11510</v>
      </c>
    </row>
    <row r="2304" spans="1:49">
      <c r="A2304" s="1">
        <f>HYPERLINK("https://cms.ls-nyc.org/matter/dynamic-profile/view/1846572","17-1846572")</f>
        <v>0</v>
      </c>
      <c r="B2304" t="s">
        <v>127</v>
      </c>
      <c r="C2304" t="s">
        <v>235</v>
      </c>
      <c r="D2304" t="s">
        <v>575</v>
      </c>
      <c r="F2304" t="s">
        <v>914</v>
      </c>
      <c r="G2304" t="s">
        <v>2239</v>
      </c>
      <c r="H2304" t="s">
        <v>4630</v>
      </c>
      <c r="I2304" t="s">
        <v>4891</v>
      </c>
      <c r="J2304" t="s">
        <v>5324</v>
      </c>
      <c r="K2304">
        <v>11358</v>
      </c>
      <c r="L2304" t="s">
        <v>5355</v>
      </c>
      <c r="M2304" t="s">
        <v>5356</v>
      </c>
      <c r="N2304" t="s">
        <v>6349</v>
      </c>
      <c r="O2304" t="s">
        <v>6491</v>
      </c>
      <c r="P2304" t="s">
        <v>6530</v>
      </c>
      <c r="R2304" t="s">
        <v>6539</v>
      </c>
      <c r="S2304" t="s">
        <v>5357</v>
      </c>
      <c r="U2304" t="s">
        <v>6559</v>
      </c>
      <c r="W2304" t="s">
        <v>575</v>
      </c>
      <c r="X2304">
        <v>1237</v>
      </c>
      <c r="Y2304" t="s">
        <v>6604</v>
      </c>
      <c r="Z2304" t="s">
        <v>6614</v>
      </c>
      <c r="AA2304" t="s">
        <v>6637</v>
      </c>
      <c r="AB2304" t="s">
        <v>8531</v>
      </c>
      <c r="AC2304" t="s">
        <v>5383</v>
      </c>
      <c r="AD2304" t="s">
        <v>10841</v>
      </c>
      <c r="AE2304">
        <v>7</v>
      </c>
      <c r="AF2304" t="s">
        <v>11005</v>
      </c>
      <c r="AG2304" t="s">
        <v>5406</v>
      </c>
      <c r="AH2304">
        <v>3</v>
      </c>
      <c r="AI2304">
        <v>1</v>
      </c>
      <c r="AJ2304">
        <v>1</v>
      </c>
      <c r="AK2304">
        <v>180.25</v>
      </c>
      <c r="AN2304" t="s">
        <v>11049</v>
      </c>
      <c r="AO2304">
        <v>29944</v>
      </c>
      <c r="AU2304">
        <v>59.6</v>
      </c>
      <c r="AV2304" t="s">
        <v>416</v>
      </c>
      <c r="AW2304" t="s">
        <v>120</v>
      </c>
    </row>
    <row r="2305" spans="1:50">
      <c r="A2305" s="1">
        <f>HYPERLINK("https://cms.ls-nyc.org/matter/dynamic-profile/view/0824251","17-0824251")</f>
        <v>0</v>
      </c>
      <c r="B2305" t="s">
        <v>178</v>
      </c>
      <c r="C2305" t="s">
        <v>234</v>
      </c>
      <c r="D2305" t="s">
        <v>643</v>
      </c>
      <c r="E2305" t="s">
        <v>749</v>
      </c>
      <c r="F2305" t="s">
        <v>1354</v>
      </c>
      <c r="G2305" t="s">
        <v>3323</v>
      </c>
      <c r="H2305" t="s">
        <v>4631</v>
      </c>
      <c r="I2305" t="s">
        <v>5082</v>
      </c>
      <c r="J2305" t="s">
        <v>5320</v>
      </c>
      <c r="K2305">
        <v>11233</v>
      </c>
      <c r="L2305" t="s">
        <v>5356</v>
      </c>
      <c r="M2305" t="s">
        <v>5356</v>
      </c>
      <c r="N2305" t="s">
        <v>6350</v>
      </c>
      <c r="P2305" t="s">
        <v>6530</v>
      </c>
      <c r="Q2305" t="s">
        <v>6537</v>
      </c>
      <c r="R2305" t="s">
        <v>6539</v>
      </c>
      <c r="U2305" t="s">
        <v>6557</v>
      </c>
      <c r="W2305" t="s">
        <v>6583</v>
      </c>
      <c r="X2305">
        <v>950</v>
      </c>
      <c r="Y2305" t="s">
        <v>6605</v>
      </c>
      <c r="Z2305" t="s">
        <v>6614</v>
      </c>
      <c r="AA2305" t="s">
        <v>6637</v>
      </c>
      <c r="AB2305" t="s">
        <v>8532</v>
      </c>
      <c r="AD2305" t="s">
        <v>10842</v>
      </c>
      <c r="AE2305">
        <v>8</v>
      </c>
      <c r="AF2305" t="s">
        <v>11005</v>
      </c>
      <c r="AH2305">
        <v>6</v>
      </c>
      <c r="AI2305">
        <v>1</v>
      </c>
      <c r="AJ2305">
        <v>2</v>
      </c>
      <c r="AK2305">
        <v>180.56</v>
      </c>
      <c r="AL2305" t="s">
        <v>11029</v>
      </c>
      <c r="AN2305" t="s">
        <v>11050</v>
      </c>
      <c r="AO2305">
        <v>36400</v>
      </c>
      <c r="AU2305">
        <v>99</v>
      </c>
      <c r="AV2305" t="s">
        <v>749</v>
      </c>
      <c r="AW2305" t="s">
        <v>11489</v>
      </c>
    </row>
    <row r="2306" spans="1:50">
      <c r="A2306" s="1">
        <f>HYPERLINK("https://cms.ls-nyc.org/matter/dynamic-profile/view/1839160","17-1839160")</f>
        <v>0</v>
      </c>
      <c r="B2306" t="s">
        <v>194</v>
      </c>
      <c r="C2306" t="s">
        <v>234</v>
      </c>
      <c r="D2306" t="s">
        <v>644</v>
      </c>
      <c r="E2306" t="s">
        <v>791</v>
      </c>
      <c r="F2306" t="s">
        <v>1325</v>
      </c>
      <c r="G2306" t="s">
        <v>2440</v>
      </c>
      <c r="H2306" t="s">
        <v>4632</v>
      </c>
      <c r="I2306" t="s">
        <v>4816</v>
      </c>
      <c r="J2306" t="s">
        <v>5320</v>
      </c>
      <c r="K2306">
        <v>11207</v>
      </c>
      <c r="L2306" t="s">
        <v>5357</v>
      </c>
      <c r="M2306" t="s">
        <v>5356</v>
      </c>
      <c r="N2306" t="s">
        <v>6351</v>
      </c>
      <c r="O2306" t="s">
        <v>6492</v>
      </c>
      <c r="P2306" t="s">
        <v>6530</v>
      </c>
      <c r="Q2306" t="s">
        <v>6534</v>
      </c>
      <c r="R2306" t="s">
        <v>6539</v>
      </c>
      <c r="S2306" t="s">
        <v>5355</v>
      </c>
      <c r="U2306" t="s">
        <v>6557</v>
      </c>
      <c r="W2306" t="s">
        <v>6583</v>
      </c>
      <c r="X2306">
        <v>0</v>
      </c>
      <c r="Y2306" t="s">
        <v>6605</v>
      </c>
      <c r="Z2306" t="s">
        <v>6621</v>
      </c>
      <c r="AA2306" t="s">
        <v>6637</v>
      </c>
      <c r="AB2306" t="s">
        <v>8533</v>
      </c>
      <c r="AC2306" t="s">
        <v>9085</v>
      </c>
      <c r="AE2306">
        <v>195</v>
      </c>
      <c r="AF2306" t="s">
        <v>11008</v>
      </c>
      <c r="AG2306" t="s">
        <v>5406</v>
      </c>
      <c r="AH2306">
        <v>19</v>
      </c>
      <c r="AI2306">
        <v>1</v>
      </c>
      <c r="AJ2306">
        <v>0</v>
      </c>
      <c r="AK2306">
        <v>181.09</v>
      </c>
      <c r="AN2306" t="s">
        <v>11050</v>
      </c>
      <c r="AO2306">
        <v>21840</v>
      </c>
      <c r="AR2306" t="s">
        <v>11210</v>
      </c>
      <c r="AS2306" t="s">
        <v>11253</v>
      </c>
      <c r="AT2306" t="s">
        <v>11303</v>
      </c>
      <c r="AU2306">
        <v>14.1</v>
      </c>
      <c r="AV2306" t="s">
        <v>326</v>
      </c>
      <c r="AW2306" t="s">
        <v>11512</v>
      </c>
    </row>
    <row r="2307" spans="1:50">
      <c r="A2307" s="1">
        <f>HYPERLINK("https://cms.ls-nyc.org/matter/dynamic-profile/view/1841834","17-1841834")</f>
        <v>0</v>
      </c>
      <c r="B2307" t="s">
        <v>92</v>
      </c>
      <c r="C2307" t="s">
        <v>234</v>
      </c>
      <c r="D2307" t="s">
        <v>323</v>
      </c>
      <c r="E2307" t="s">
        <v>760</v>
      </c>
      <c r="F2307" t="s">
        <v>1437</v>
      </c>
      <c r="G2307" t="s">
        <v>3324</v>
      </c>
      <c r="H2307" t="s">
        <v>3692</v>
      </c>
      <c r="I2307" t="s">
        <v>4825</v>
      </c>
      <c r="J2307" t="s">
        <v>5323</v>
      </c>
      <c r="K2307">
        <v>10040</v>
      </c>
      <c r="L2307" t="s">
        <v>5355</v>
      </c>
      <c r="M2307" t="s">
        <v>5355</v>
      </c>
      <c r="N2307" t="s">
        <v>5478</v>
      </c>
      <c r="O2307" t="s">
        <v>6494</v>
      </c>
      <c r="P2307" t="s">
        <v>6530</v>
      </c>
      <c r="Q2307" t="s">
        <v>6531</v>
      </c>
      <c r="R2307" t="s">
        <v>6539</v>
      </c>
      <c r="S2307" t="s">
        <v>5355</v>
      </c>
      <c r="U2307" t="s">
        <v>6557</v>
      </c>
      <c r="W2307" t="s">
        <v>404</v>
      </c>
      <c r="X2307">
        <v>526.87</v>
      </c>
      <c r="Y2307" t="s">
        <v>6608</v>
      </c>
      <c r="Z2307" t="s">
        <v>6616</v>
      </c>
      <c r="AA2307" t="s">
        <v>6631</v>
      </c>
      <c r="AB2307" t="s">
        <v>8534</v>
      </c>
      <c r="AD2307" t="s">
        <v>10843</v>
      </c>
      <c r="AE2307">
        <v>31</v>
      </c>
      <c r="AF2307" t="s">
        <v>11005</v>
      </c>
      <c r="AG2307" t="s">
        <v>5406</v>
      </c>
      <c r="AH2307">
        <v>33</v>
      </c>
      <c r="AI2307">
        <v>1</v>
      </c>
      <c r="AJ2307">
        <v>0</v>
      </c>
      <c r="AK2307">
        <v>181.09</v>
      </c>
      <c r="AN2307" t="s">
        <v>11049</v>
      </c>
      <c r="AO2307">
        <v>21840</v>
      </c>
      <c r="AU2307">
        <v>4.51</v>
      </c>
      <c r="AV2307" t="s">
        <v>760</v>
      </c>
      <c r="AW2307" t="s">
        <v>11495</v>
      </c>
    </row>
    <row r="2308" spans="1:50">
      <c r="A2308" s="1">
        <f>HYPERLINK("https://cms.ls-nyc.org/matter/dynamic-profile/view/1852699","17-1852699")</f>
        <v>0</v>
      </c>
      <c r="B2308" t="s">
        <v>92</v>
      </c>
      <c r="C2308" t="s">
        <v>234</v>
      </c>
      <c r="D2308" t="s">
        <v>304</v>
      </c>
      <c r="E2308" t="s">
        <v>695</v>
      </c>
      <c r="F2308" t="s">
        <v>1570</v>
      </c>
      <c r="G2308" t="s">
        <v>2280</v>
      </c>
      <c r="H2308" t="s">
        <v>3621</v>
      </c>
      <c r="I2308" t="s">
        <v>5280</v>
      </c>
      <c r="J2308" t="s">
        <v>5323</v>
      </c>
      <c r="K2308">
        <v>10034</v>
      </c>
      <c r="L2308" t="s">
        <v>5355</v>
      </c>
      <c r="M2308" t="s">
        <v>5356</v>
      </c>
      <c r="N2308" t="s">
        <v>6352</v>
      </c>
      <c r="O2308" t="s">
        <v>6492</v>
      </c>
      <c r="P2308" t="s">
        <v>6530</v>
      </c>
      <c r="Q2308" t="s">
        <v>6534</v>
      </c>
      <c r="R2308" t="s">
        <v>6539</v>
      </c>
      <c r="S2308" t="s">
        <v>5357</v>
      </c>
      <c r="U2308" t="s">
        <v>6557</v>
      </c>
      <c r="W2308" t="s">
        <v>304</v>
      </c>
      <c r="X2308">
        <v>1569</v>
      </c>
      <c r="Y2308" t="s">
        <v>6608</v>
      </c>
      <c r="Z2308" t="s">
        <v>6614</v>
      </c>
      <c r="AA2308" t="s">
        <v>6637</v>
      </c>
      <c r="AB2308" t="s">
        <v>8535</v>
      </c>
      <c r="AD2308" t="s">
        <v>10844</v>
      </c>
      <c r="AE2308">
        <v>63</v>
      </c>
      <c r="AF2308" t="s">
        <v>11005</v>
      </c>
      <c r="AG2308" t="s">
        <v>11024</v>
      </c>
      <c r="AH2308">
        <v>33</v>
      </c>
      <c r="AI2308">
        <v>1</v>
      </c>
      <c r="AJ2308">
        <v>0</v>
      </c>
      <c r="AK2308">
        <v>181.13</v>
      </c>
      <c r="AN2308" t="s">
        <v>11050</v>
      </c>
      <c r="AO2308">
        <v>21844</v>
      </c>
      <c r="AU2308">
        <v>1.6</v>
      </c>
      <c r="AV2308" t="s">
        <v>789</v>
      </c>
      <c r="AW2308" t="s">
        <v>11495</v>
      </c>
    </row>
    <row r="2309" spans="1:50">
      <c r="A2309" s="1">
        <f>HYPERLINK("https://cms.ls-nyc.org/matter/dynamic-profile/view/1854856","17-1854856")</f>
        <v>0</v>
      </c>
      <c r="B2309" t="s">
        <v>177</v>
      </c>
      <c r="C2309" t="s">
        <v>235</v>
      </c>
      <c r="D2309" t="s">
        <v>622</v>
      </c>
      <c r="F2309" t="s">
        <v>966</v>
      </c>
      <c r="G2309" t="s">
        <v>2215</v>
      </c>
      <c r="H2309" t="s">
        <v>4520</v>
      </c>
      <c r="I2309" t="s">
        <v>5247</v>
      </c>
      <c r="J2309" t="s">
        <v>5320</v>
      </c>
      <c r="K2309">
        <v>11208</v>
      </c>
      <c r="L2309" t="s">
        <v>5355</v>
      </c>
      <c r="M2309" t="s">
        <v>5356</v>
      </c>
      <c r="N2309" t="s">
        <v>6353</v>
      </c>
      <c r="O2309" t="s">
        <v>6494</v>
      </c>
      <c r="P2309" t="s">
        <v>6530</v>
      </c>
      <c r="R2309" t="s">
        <v>6539</v>
      </c>
      <c r="U2309" t="s">
        <v>6557</v>
      </c>
      <c r="W2309" t="s">
        <v>516</v>
      </c>
      <c r="X2309">
        <v>525</v>
      </c>
      <c r="Y2309" t="s">
        <v>6605</v>
      </c>
      <c r="Z2309" t="s">
        <v>6614</v>
      </c>
      <c r="AB2309" t="s">
        <v>8368</v>
      </c>
      <c r="AD2309" t="s">
        <v>10689</v>
      </c>
      <c r="AE2309">
        <v>6</v>
      </c>
      <c r="AF2309" t="s">
        <v>11005</v>
      </c>
      <c r="AH2309">
        <v>35</v>
      </c>
      <c r="AI2309">
        <v>1</v>
      </c>
      <c r="AJ2309">
        <v>0</v>
      </c>
      <c r="AK2309">
        <v>182.42</v>
      </c>
      <c r="AN2309" t="s">
        <v>11049</v>
      </c>
      <c r="AO2309">
        <v>22000</v>
      </c>
      <c r="AU2309">
        <v>2.5</v>
      </c>
      <c r="AV2309" t="s">
        <v>622</v>
      </c>
      <c r="AW2309" t="s">
        <v>177</v>
      </c>
    </row>
    <row r="2310" spans="1:50">
      <c r="A2310" s="1">
        <f>HYPERLINK("https://cms.ls-nyc.org/matter/dynamic-profile/view/1843578","17-1843578")</f>
        <v>0</v>
      </c>
      <c r="B2310" t="s">
        <v>76</v>
      </c>
      <c r="C2310" t="s">
        <v>234</v>
      </c>
      <c r="D2310" t="s">
        <v>503</v>
      </c>
      <c r="E2310" t="s">
        <v>726</v>
      </c>
      <c r="F2310" t="s">
        <v>1004</v>
      </c>
      <c r="G2310" t="s">
        <v>2703</v>
      </c>
      <c r="H2310" t="s">
        <v>4031</v>
      </c>
      <c r="I2310" t="s">
        <v>5011</v>
      </c>
      <c r="J2310" t="s">
        <v>5323</v>
      </c>
      <c r="K2310">
        <v>10029</v>
      </c>
      <c r="L2310" t="s">
        <v>5355</v>
      </c>
      <c r="M2310" t="s">
        <v>5355</v>
      </c>
      <c r="N2310" t="s">
        <v>6354</v>
      </c>
      <c r="O2310" t="s">
        <v>6492</v>
      </c>
      <c r="P2310" t="s">
        <v>6530</v>
      </c>
      <c r="Q2310" t="s">
        <v>6533</v>
      </c>
      <c r="R2310" t="s">
        <v>6539</v>
      </c>
      <c r="S2310" t="s">
        <v>5357</v>
      </c>
      <c r="U2310" t="s">
        <v>6557</v>
      </c>
      <c r="V2310" t="s">
        <v>6566</v>
      </c>
      <c r="W2310" t="s">
        <v>503</v>
      </c>
      <c r="X2310">
        <v>1319.05</v>
      </c>
      <c r="Y2310" t="s">
        <v>6608</v>
      </c>
      <c r="Z2310" t="s">
        <v>6614</v>
      </c>
      <c r="AA2310" t="s">
        <v>6637</v>
      </c>
      <c r="AB2310" t="s">
        <v>7468</v>
      </c>
      <c r="AD2310" t="s">
        <v>9839</v>
      </c>
      <c r="AE2310">
        <v>936</v>
      </c>
      <c r="AF2310" t="s">
        <v>11010</v>
      </c>
      <c r="AG2310" t="s">
        <v>11020</v>
      </c>
      <c r="AH2310">
        <v>22</v>
      </c>
      <c r="AI2310">
        <v>1</v>
      </c>
      <c r="AJ2310">
        <v>0</v>
      </c>
      <c r="AK2310">
        <v>182.42</v>
      </c>
      <c r="AN2310" t="s">
        <v>11049</v>
      </c>
      <c r="AO2310">
        <v>22000</v>
      </c>
      <c r="AU2310">
        <v>10</v>
      </c>
      <c r="AV2310" t="s">
        <v>468</v>
      </c>
      <c r="AW2310" t="s">
        <v>11497</v>
      </c>
    </row>
    <row r="2311" spans="1:50">
      <c r="A2311" s="1">
        <f>HYPERLINK("https://cms.ls-nyc.org/matter/dynamic-profile/view/1844727","17-1844727")</f>
        <v>0</v>
      </c>
      <c r="B2311" t="s">
        <v>92</v>
      </c>
      <c r="C2311" t="s">
        <v>234</v>
      </c>
      <c r="D2311" t="s">
        <v>453</v>
      </c>
      <c r="E2311" t="s">
        <v>695</v>
      </c>
      <c r="F2311" t="s">
        <v>1167</v>
      </c>
      <c r="G2311" t="s">
        <v>2411</v>
      </c>
      <c r="H2311" t="s">
        <v>3764</v>
      </c>
      <c r="I2311" t="s">
        <v>5010</v>
      </c>
      <c r="J2311" t="s">
        <v>5323</v>
      </c>
      <c r="K2311">
        <v>10034</v>
      </c>
      <c r="L2311" t="s">
        <v>5355</v>
      </c>
      <c r="M2311" t="s">
        <v>5356</v>
      </c>
      <c r="N2311" t="s">
        <v>5564</v>
      </c>
      <c r="O2311" t="s">
        <v>6492</v>
      </c>
      <c r="P2311" t="s">
        <v>6530</v>
      </c>
      <c r="Q2311" t="s">
        <v>6534</v>
      </c>
      <c r="R2311" t="s">
        <v>6539</v>
      </c>
      <c r="S2311" t="s">
        <v>5357</v>
      </c>
      <c r="U2311" t="s">
        <v>6557</v>
      </c>
      <c r="W2311" t="s">
        <v>453</v>
      </c>
      <c r="X2311">
        <v>1068</v>
      </c>
      <c r="Y2311" t="s">
        <v>6608</v>
      </c>
      <c r="Z2311" t="s">
        <v>6621</v>
      </c>
      <c r="AA2311" t="s">
        <v>6637</v>
      </c>
      <c r="AB2311" t="s">
        <v>7467</v>
      </c>
      <c r="AD2311" t="s">
        <v>9838</v>
      </c>
      <c r="AE2311">
        <v>20</v>
      </c>
      <c r="AF2311" t="s">
        <v>11005</v>
      </c>
      <c r="AG2311" t="s">
        <v>5406</v>
      </c>
      <c r="AH2311">
        <v>6</v>
      </c>
      <c r="AI2311">
        <v>3</v>
      </c>
      <c r="AJ2311">
        <v>2</v>
      </c>
      <c r="AK2311">
        <v>182.49</v>
      </c>
      <c r="AN2311" t="s">
        <v>11049</v>
      </c>
      <c r="AO2311">
        <v>52520</v>
      </c>
      <c r="AU2311">
        <v>12.4</v>
      </c>
      <c r="AV2311" t="s">
        <v>260</v>
      </c>
      <c r="AW2311" t="s">
        <v>11520</v>
      </c>
    </row>
    <row r="2312" spans="1:50">
      <c r="A2312" s="1">
        <f>HYPERLINK("https://cms.ls-nyc.org/matter/dynamic-profile/view/1843111","17-1843111")</f>
        <v>0</v>
      </c>
      <c r="B2312" t="s">
        <v>124</v>
      </c>
      <c r="C2312" t="s">
        <v>235</v>
      </c>
      <c r="D2312" t="s">
        <v>421</v>
      </c>
      <c r="F2312" t="s">
        <v>1187</v>
      </c>
      <c r="G2312" t="s">
        <v>2135</v>
      </c>
      <c r="H2312" t="s">
        <v>4633</v>
      </c>
      <c r="I2312" t="s">
        <v>4868</v>
      </c>
      <c r="J2312" t="s">
        <v>5323</v>
      </c>
      <c r="K2312">
        <v>10033</v>
      </c>
      <c r="L2312" t="s">
        <v>5355</v>
      </c>
      <c r="M2312" t="s">
        <v>5355</v>
      </c>
      <c r="P2312" t="s">
        <v>6530</v>
      </c>
      <c r="R2312" t="s">
        <v>6539</v>
      </c>
      <c r="S2312" t="s">
        <v>5357</v>
      </c>
      <c r="U2312" t="s">
        <v>6557</v>
      </c>
      <c r="W2312" t="s">
        <v>421</v>
      </c>
      <c r="X2312">
        <v>650</v>
      </c>
      <c r="Y2312" t="s">
        <v>6608</v>
      </c>
      <c r="Z2312" t="s">
        <v>6616</v>
      </c>
      <c r="AB2312" t="s">
        <v>8536</v>
      </c>
      <c r="AD2312" t="s">
        <v>10845</v>
      </c>
      <c r="AE2312">
        <v>30</v>
      </c>
      <c r="AF2312" t="s">
        <v>11005</v>
      </c>
      <c r="AG2312" t="s">
        <v>5406</v>
      </c>
      <c r="AH2312">
        <v>1</v>
      </c>
      <c r="AI2312">
        <v>1</v>
      </c>
      <c r="AJ2312">
        <v>0</v>
      </c>
      <c r="AK2312">
        <v>182.59</v>
      </c>
      <c r="AN2312" t="s">
        <v>11049</v>
      </c>
      <c r="AO2312">
        <v>22020</v>
      </c>
      <c r="AU2312">
        <v>86.95</v>
      </c>
      <c r="AV2312" t="s">
        <v>803</v>
      </c>
      <c r="AW2312" t="s">
        <v>11495</v>
      </c>
    </row>
    <row r="2313" spans="1:50">
      <c r="A2313" s="1">
        <f>HYPERLINK("https://cms.ls-nyc.org/matter/dynamic-profile/view/1857200","18-1857200")</f>
        <v>0</v>
      </c>
      <c r="B2313" t="s">
        <v>135</v>
      </c>
      <c r="C2313" t="s">
        <v>235</v>
      </c>
      <c r="D2313" t="s">
        <v>297</v>
      </c>
      <c r="F2313" t="s">
        <v>1286</v>
      </c>
      <c r="G2313" t="s">
        <v>1325</v>
      </c>
      <c r="H2313" t="s">
        <v>3884</v>
      </c>
      <c r="I2313" t="s">
        <v>4752</v>
      </c>
      <c r="J2313" t="s">
        <v>5320</v>
      </c>
      <c r="K2313">
        <v>11206</v>
      </c>
      <c r="L2313" t="s">
        <v>5355</v>
      </c>
      <c r="M2313" t="s">
        <v>5356</v>
      </c>
      <c r="O2313" t="s">
        <v>6494</v>
      </c>
      <c r="P2313" t="s">
        <v>6530</v>
      </c>
      <c r="R2313" t="s">
        <v>6539</v>
      </c>
      <c r="S2313" t="s">
        <v>5355</v>
      </c>
      <c r="U2313" t="s">
        <v>6557</v>
      </c>
      <c r="W2313" t="s">
        <v>290</v>
      </c>
      <c r="X2313">
        <v>1155.44</v>
      </c>
      <c r="Y2313" t="s">
        <v>6605</v>
      </c>
      <c r="AB2313" t="s">
        <v>7223</v>
      </c>
      <c r="AD2313" t="s">
        <v>9611</v>
      </c>
      <c r="AE2313">
        <v>25</v>
      </c>
      <c r="AF2313" t="s">
        <v>11005</v>
      </c>
      <c r="AH2313">
        <v>8</v>
      </c>
      <c r="AI2313">
        <v>1</v>
      </c>
      <c r="AJ2313">
        <v>6</v>
      </c>
      <c r="AK2313">
        <v>182.87</v>
      </c>
      <c r="AN2313" t="s">
        <v>11050</v>
      </c>
      <c r="AO2313">
        <v>69600</v>
      </c>
      <c r="AU2313">
        <v>4</v>
      </c>
      <c r="AV2313" t="s">
        <v>6587</v>
      </c>
      <c r="AW2313" t="s">
        <v>11512</v>
      </c>
    </row>
    <row r="2314" spans="1:50">
      <c r="A2314" s="1">
        <f>HYPERLINK("https://cms.ls-nyc.org/matter/dynamic-profile/view/1860401","18-1860401")</f>
        <v>0</v>
      </c>
      <c r="B2314" t="s">
        <v>53</v>
      </c>
      <c r="C2314" t="s">
        <v>234</v>
      </c>
      <c r="D2314" t="s">
        <v>236</v>
      </c>
      <c r="E2314" t="s">
        <v>665</v>
      </c>
      <c r="F2314" t="s">
        <v>2016</v>
      </c>
      <c r="G2314" t="s">
        <v>2901</v>
      </c>
      <c r="H2314" t="s">
        <v>4634</v>
      </c>
      <c r="I2314" t="s">
        <v>5281</v>
      </c>
      <c r="J2314" t="s">
        <v>5320</v>
      </c>
      <c r="K2314">
        <v>11212</v>
      </c>
      <c r="L2314" t="s">
        <v>5355</v>
      </c>
      <c r="M2314" t="s">
        <v>5356</v>
      </c>
      <c r="N2314" t="s">
        <v>6355</v>
      </c>
      <c r="O2314" t="s">
        <v>6492</v>
      </c>
      <c r="P2314" t="s">
        <v>6530</v>
      </c>
      <c r="Q2314" t="s">
        <v>6534</v>
      </c>
      <c r="R2314" t="s">
        <v>6539</v>
      </c>
      <c r="S2314" t="s">
        <v>5357</v>
      </c>
      <c r="U2314" t="s">
        <v>6557</v>
      </c>
      <c r="W2314" t="s">
        <v>236</v>
      </c>
      <c r="X2314">
        <v>1450</v>
      </c>
      <c r="Y2314" t="s">
        <v>6605</v>
      </c>
      <c r="Z2314" t="s">
        <v>6612</v>
      </c>
      <c r="AA2314" t="s">
        <v>6637</v>
      </c>
      <c r="AB2314" t="s">
        <v>8537</v>
      </c>
      <c r="AC2314">
        <v>162921137</v>
      </c>
      <c r="AD2314" t="s">
        <v>10846</v>
      </c>
      <c r="AE2314">
        <v>50</v>
      </c>
      <c r="AF2314" t="s">
        <v>11005</v>
      </c>
      <c r="AG2314" t="s">
        <v>5406</v>
      </c>
      <c r="AH2314">
        <v>1</v>
      </c>
      <c r="AI2314">
        <v>2</v>
      </c>
      <c r="AJ2314">
        <v>2</v>
      </c>
      <c r="AK2314">
        <v>182.93</v>
      </c>
      <c r="AN2314" t="s">
        <v>11050</v>
      </c>
      <c r="AO2314">
        <v>45000</v>
      </c>
      <c r="AU2314">
        <v>47.9</v>
      </c>
      <c r="AV2314" t="s">
        <v>513</v>
      </c>
      <c r="AW2314" t="s">
        <v>11490</v>
      </c>
    </row>
    <row r="2315" spans="1:50">
      <c r="A2315" s="1">
        <f>HYPERLINK("https://cms.ls-nyc.org/matter/dynamic-profile/view/1851061","17-1851061")</f>
        <v>0</v>
      </c>
      <c r="B2315" t="s">
        <v>99</v>
      </c>
      <c r="C2315" t="s">
        <v>235</v>
      </c>
      <c r="D2315" t="s">
        <v>367</v>
      </c>
      <c r="F2315" t="s">
        <v>863</v>
      </c>
      <c r="G2315" t="s">
        <v>2535</v>
      </c>
      <c r="H2315" t="s">
        <v>3714</v>
      </c>
      <c r="I2315" t="s">
        <v>4861</v>
      </c>
      <c r="J2315" t="s">
        <v>5320</v>
      </c>
      <c r="K2315">
        <v>11236</v>
      </c>
      <c r="L2315" t="s">
        <v>5355</v>
      </c>
      <c r="M2315" t="s">
        <v>5356</v>
      </c>
      <c r="O2315" t="s">
        <v>6491</v>
      </c>
      <c r="P2315" t="s">
        <v>6530</v>
      </c>
      <c r="R2315" t="s">
        <v>6539</v>
      </c>
      <c r="S2315" t="s">
        <v>5355</v>
      </c>
      <c r="U2315" t="s">
        <v>6557</v>
      </c>
      <c r="W2315" t="s">
        <v>372</v>
      </c>
      <c r="X2315">
        <v>635.16</v>
      </c>
      <c r="Y2315" t="s">
        <v>6605</v>
      </c>
      <c r="Z2315" t="s">
        <v>6622</v>
      </c>
      <c r="AB2315" t="s">
        <v>7224</v>
      </c>
      <c r="AD2315" t="s">
        <v>9612</v>
      </c>
      <c r="AE2315">
        <v>113</v>
      </c>
      <c r="AF2315" t="s">
        <v>11005</v>
      </c>
      <c r="AG2315" t="s">
        <v>5406</v>
      </c>
      <c r="AH2315">
        <v>9</v>
      </c>
      <c r="AI2315">
        <v>1</v>
      </c>
      <c r="AJ2315">
        <v>0</v>
      </c>
      <c r="AK2315">
        <v>182.99</v>
      </c>
      <c r="AN2315" t="s">
        <v>11050</v>
      </c>
      <c r="AO2315">
        <v>22068</v>
      </c>
      <c r="AU2315">
        <v>150.3</v>
      </c>
      <c r="AV2315" t="s">
        <v>729</v>
      </c>
      <c r="AW2315" t="s">
        <v>11512</v>
      </c>
    </row>
    <row r="2316" spans="1:50">
      <c r="A2316" s="1">
        <f>HYPERLINK("https://cms.ls-nyc.org/matter/dynamic-profile/view/1852311","17-1852311")</f>
        <v>0</v>
      </c>
      <c r="B2316" t="s">
        <v>94</v>
      </c>
      <c r="C2316" t="s">
        <v>234</v>
      </c>
      <c r="D2316" t="s">
        <v>372</v>
      </c>
      <c r="E2316" t="s">
        <v>427</v>
      </c>
      <c r="F2316" t="s">
        <v>884</v>
      </c>
      <c r="G2316" t="s">
        <v>3325</v>
      </c>
      <c r="H2316" t="s">
        <v>4635</v>
      </c>
      <c r="I2316" t="s">
        <v>5098</v>
      </c>
      <c r="J2316" t="s">
        <v>5320</v>
      </c>
      <c r="K2316">
        <v>11206</v>
      </c>
      <c r="L2316" t="s">
        <v>5355</v>
      </c>
      <c r="M2316" t="s">
        <v>5355</v>
      </c>
      <c r="N2316" t="s">
        <v>6356</v>
      </c>
      <c r="O2316" t="s">
        <v>6492</v>
      </c>
      <c r="P2316" t="s">
        <v>6530</v>
      </c>
      <c r="Q2316" t="s">
        <v>6535</v>
      </c>
      <c r="R2316" t="s">
        <v>6539</v>
      </c>
      <c r="S2316" t="s">
        <v>5357</v>
      </c>
      <c r="U2316" t="s">
        <v>6557</v>
      </c>
      <c r="W2316" t="s">
        <v>353</v>
      </c>
      <c r="X2316">
        <v>863.4</v>
      </c>
      <c r="Y2316" t="s">
        <v>6605</v>
      </c>
      <c r="Z2316" t="s">
        <v>6617</v>
      </c>
      <c r="AA2316" t="s">
        <v>6637</v>
      </c>
      <c r="AB2316" t="s">
        <v>7501</v>
      </c>
      <c r="AC2316" t="s">
        <v>9086</v>
      </c>
      <c r="AD2316" t="s">
        <v>10847</v>
      </c>
      <c r="AE2316">
        <v>484</v>
      </c>
      <c r="AF2316" t="s">
        <v>11010</v>
      </c>
      <c r="AG2316" t="s">
        <v>5406</v>
      </c>
      <c r="AH2316">
        <v>19</v>
      </c>
      <c r="AI2316">
        <v>1</v>
      </c>
      <c r="AJ2316">
        <v>0</v>
      </c>
      <c r="AK2316">
        <v>183.25</v>
      </c>
      <c r="AN2316" t="s">
        <v>11050</v>
      </c>
      <c r="AO2316">
        <v>22100</v>
      </c>
      <c r="AR2316" t="s">
        <v>11210</v>
      </c>
      <c r="AS2316" t="s">
        <v>11253</v>
      </c>
      <c r="AT2316" t="s">
        <v>11293</v>
      </c>
      <c r="AU2316">
        <v>12.7</v>
      </c>
      <c r="AV2316" t="s">
        <v>427</v>
      </c>
      <c r="AW2316" t="s">
        <v>11512</v>
      </c>
    </row>
    <row r="2317" spans="1:50">
      <c r="A2317" s="1">
        <f>HYPERLINK("https://cms.ls-nyc.org/matter/dynamic-profile/view/1869592","18-1869592")</f>
        <v>0</v>
      </c>
      <c r="B2317" t="s">
        <v>102</v>
      </c>
      <c r="C2317" t="s">
        <v>234</v>
      </c>
      <c r="D2317" t="s">
        <v>364</v>
      </c>
      <c r="E2317" t="s">
        <v>802</v>
      </c>
      <c r="F2317" t="s">
        <v>1231</v>
      </c>
      <c r="G2317" t="s">
        <v>2713</v>
      </c>
      <c r="H2317" t="s">
        <v>4636</v>
      </c>
      <c r="I2317" t="s">
        <v>5282</v>
      </c>
      <c r="J2317" t="s">
        <v>5321</v>
      </c>
      <c r="K2317">
        <v>10465</v>
      </c>
      <c r="L2317" t="s">
        <v>5355</v>
      </c>
      <c r="M2317" t="s">
        <v>5356</v>
      </c>
      <c r="N2317" t="s">
        <v>6357</v>
      </c>
      <c r="O2317" t="s">
        <v>6492</v>
      </c>
      <c r="P2317" t="s">
        <v>6530</v>
      </c>
      <c r="Q2317" t="s">
        <v>6534</v>
      </c>
      <c r="R2317" t="s">
        <v>6539</v>
      </c>
      <c r="S2317" t="s">
        <v>5357</v>
      </c>
      <c r="U2317" t="s">
        <v>6557</v>
      </c>
      <c r="W2317" t="s">
        <v>516</v>
      </c>
      <c r="X2317">
        <v>1850</v>
      </c>
      <c r="Y2317" t="s">
        <v>6606</v>
      </c>
      <c r="Z2317" t="s">
        <v>6616</v>
      </c>
      <c r="AA2317" t="s">
        <v>6637</v>
      </c>
      <c r="AB2317" t="s">
        <v>7504</v>
      </c>
      <c r="AC2317" t="s">
        <v>9087</v>
      </c>
      <c r="AD2317" t="s">
        <v>10848</v>
      </c>
      <c r="AE2317">
        <v>3</v>
      </c>
      <c r="AF2317" t="s">
        <v>11004</v>
      </c>
      <c r="AG2317" t="s">
        <v>5406</v>
      </c>
      <c r="AH2317">
        <v>1</v>
      </c>
      <c r="AI2317">
        <v>2</v>
      </c>
      <c r="AJ2317">
        <v>1</v>
      </c>
      <c r="AK2317">
        <v>183.37</v>
      </c>
      <c r="AN2317" t="s">
        <v>11050</v>
      </c>
      <c r="AO2317">
        <v>38104</v>
      </c>
      <c r="AQ2317" t="s">
        <v>11192</v>
      </c>
      <c r="AR2317" t="s">
        <v>11222</v>
      </c>
      <c r="AS2317" t="s">
        <v>11253</v>
      </c>
      <c r="AT2317" t="s">
        <v>11329</v>
      </c>
      <c r="AU2317">
        <v>9.85</v>
      </c>
      <c r="AV2317" t="s">
        <v>802</v>
      </c>
      <c r="AW2317" t="s">
        <v>11514</v>
      </c>
    </row>
    <row r="2318" spans="1:50">
      <c r="A2318" s="1">
        <f>HYPERLINK("https://cms.ls-nyc.org/matter/dynamic-profile/view/0816440","16-0816440")</f>
        <v>0</v>
      </c>
      <c r="B2318" t="s">
        <v>66</v>
      </c>
      <c r="C2318" t="s">
        <v>234</v>
      </c>
      <c r="D2318" t="s">
        <v>645</v>
      </c>
      <c r="E2318" t="s">
        <v>686</v>
      </c>
      <c r="F2318" t="s">
        <v>2017</v>
      </c>
      <c r="G2318" t="s">
        <v>3326</v>
      </c>
      <c r="H2318" t="s">
        <v>4637</v>
      </c>
      <c r="I2318">
        <v>25</v>
      </c>
      <c r="J2318" t="s">
        <v>5323</v>
      </c>
      <c r="K2318">
        <v>10031</v>
      </c>
      <c r="L2318" t="s">
        <v>5355</v>
      </c>
      <c r="M2318" t="s">
        <v>5356</v>
      </c>
      <c r="P2318" t="s">
        <v>6530</v>
      </c>
      <c r="Q2318" t="s">
        <v>6534</v>
      </c>
      <c r="R2318" t="s">
        <v>6539</v>
      </c>
      <c r="S2318" t="s">
        <v>5355</v>
      </c>
      <c r="T2318" t="s">
        <v>6553</v>
      </c>
      <c r="U2318" t="s">
        <v>6557</v>
      </c>
      <c r="W2318" t="s">
        <v>298</v>
      </c>
      <c r="X2318">
        <v>0</v>
      </c>
      <c r="Y2318" t="s">
        <v>6608</v>
      </c>
      <c r="AA2318" t="s">
        <v>6637</v>
      </c>
      <c r="AB2318" t="s">
        <v>8538</v>
      </c>
      <c r="AD2318" t="s">
        <v>10849</v>
      </c>
      <c r="AE2318">
        <v>0</v>
      </c>
      <c r="AH2318">
        <v>0</v>
      </c>
      <c r="AI2318">
        <v>2</v>
      </c>
      <c r="AJ2318">
        <v>2</v>
      </c>
      <c r="AK2318">
        <v>183.37</v>
      </c>
      <c r="AN2318" t="s">
        <v>11049</v>
      </c>
      <c r="AO2318">
        <v>44560</v>
      </c>
      <c r="AU2318">
        <v>57.25</v>
      </c>
      <c r="AV2318" t="s">
        <v>336</v>
      </c>
      <c r="AW2318" t="s">
        <v>11521</v>
      </c>
    </row>
    <row r="2319" spans="1:50">
      <c r="A2319" s="1">
        <f>HYPERLINK("https://cms.ls-nyc.org/matter/dynamic-profile/view/1867368","18-1867368")</f>
        <v>0</v>
      </c>
      <c r="B2319" t="s">
        <v>68</v>
      </c>
      <c r="C2319" t="s">
        <v>235</v>
      </c>
      <c r="D2319" t="s">
        <v>320</v>
      </c>
      <c r="F2319" t="s">
        <v>1020</v>
      </c>
      <c r="G2319" t="s">
        <v>1325</v>
      </c>
      <c r="H2319" t="s">
        <v>4638</v>
      </c>
      <c r="I2319" t="s">
        <v>5283</v>
      </c>
      <c r="J2319" t="s">
        <v>5323</v>
      </c>
      <c r="K2319">
        <v>10029</v>
      </c>
      <c r="L2319" t="s">
        <v>5355</v>
      </c>
      <c r="M2319" t="s">
        <v>5356</v>
      </c>
      <c r="N2319" t="s">
        <v>6358</v>
      </c>
      <c r="O2319" t="s">
        <v>6492</v>
      </c>
      <c r="P2319" t="s">
        <v>6530</v>
      </c>
      <c r="R2319" t="s">
        <v>6539</v>
      </c>
      <c r="S2319" t="s">
        <v>5357</v>
      </c>
      <c r="U2319" t="s">
        <v>6557</v>
      </c>
      <c r="V2319" t="s">
        <v>6566</v>
      </c>
      <c r="W2319" t="s">
        <v>280</v>
      </c>
      <c r="X2319">
        <v>3258</v>
      </c>
      <c r="Y2319" t="s">
        <v>6608</v>
      </c>
      <c r="Z2319" t="s">
        <v>6618</v>
      </c>
      <c r="AB2319" t="s">
        <v>6708</v>
      </c>
      <c r="AC2319" t="s">
        <v>9088</v>
      </c>
      <c r="AD2319" t="s">
        <v>10850</v>
      </c>
      <c r="AE2319">
        <v>120</v>
      </c>
      <c r="AF2319" t="s">
        <v>11005</v>
      </c>
      <c r="AG2319" t="s">
        <v>11020</v>
      </c>
      <c r="AH2319">
        <v>38</v>
      </c>
      <c r="AI2319">
        <v>1</v>
      </c>
      <c r="AJ2319">
        <v>3</v>
      </c>
      <c r="AK2319">
        <v>184.1</v>
      </c>
      <c r="AN2319" t="s">
        <v>11050</v>
      </c>
      <c r="AO2319">
        <v>46207.92</v>
      </c>
      <c r="AU2319">
        <v>35.2</v>
      </c>
      <c r="AV2319" t="s">
        <v>803</v>
      </c>
      <c r="AW2319" t="s">
        <v>11500</v>
      </c>
      <c r="AX2319" t="s">
        <v>11564</v>
      </c>
    </row>
    <row r="2320" spans="1:50">
      <c r="A2320" s="1">
        <f>HYPERLINK("https://cms.ls-nyc.org/matter/dynamic-profile/view/1844286","17-1844286")</f>
        <v>0</v>
      </c>
      <c r="B2320" t="s">
        <v>76</v>
      </c>
      <c r="C2320" t="s">
        <v>234</v>
      </c>
      <c r="D2320" t="s">
        <v>495</v>
      </c>
      <c r="E2320" t="s">
        <v>684</v>
      </c>
      <c r="F2320" t="s">
        <v>843</v>
      </c>
      <c r="G2320" t="s">
        <v>2810</v>
      </c>
      <c r="H2320" t="s">
        <v>4639</v>
      </c>
      <c r="I2320">
        <v>7</v>
      </c>
      <c r="J2320" t="s">
        <v>5323</v>
      </c>
      <c r="K2320">
        <v>10029</v>
      </c>
      <c r="L2320" t="s">
        <v>5355</v>
      </c>
      <c r="M2320" t="s">
        <v>5355</v>
      </c>
      <c r="N2320" t="s">
        <v>6359</v>
      </c>
      <c r="O2320" t="s">
        <v>6492</v>
      </c>
      <c r="P2320" t="s">
        <v>6530</v>
      </c>
      <c r="Q2320" t="s">
        <v>6534</v>
      </c>
      <c r="R2320" t="s">
        <v>6539</v>
      </c>
      <c r="S2320" t="s">
        <v>5357</v>
      </c>
      <c r="U2320" t="s">
        <v>6557</v>
      </c>
      <c r="V2320" t="s">
        <v>6566</v>
      </c>
      <c r="W2320" t="s">
        <v>495</v>
      </c>
      <c r="X2320">
        <v>670.96</v>
      </c>
      <c r="Y2320" t="s">
        <v>6608</v>
      </c>
      <c r="Z2320" t="s">
        <v>6615</v>
      </c>
      <c r="AA2320" t="s">
        <v>6637</v>
      </c>
      <c r="AB2320" t="s">
        <v>8539</v>
      </c>
      <c r="AD2320" t="s">
        <v>10851</v>
      </c>
      <c r="AE2320">
        <v>16</v>
      </c>
      <c r="AF2320" t="s">
        <v>11005</v>
      </c>
      <c r="AG2320" t="s">
        <v>5406</v>
      </c>
      <c r="AH2320">
        <v>30</v>
      </c>
      <c r="AI2320">
        <v>2</v>
      </c>
      <c r="AJ2320">
        <v>0</v>
      </c>
      <c r="AK2320">
        <v>184.11</v>
      </c>
      <c r="AN2320" t="s">
        <v>11050</v>
      </c>
      <c r="AO2320">
        <v>29900.04</v>
      </c>
      <c r="AU2320">
        <v>12.7</v>
      </c>
      <c r="AV2320" t="s">
        <v>397</v>
      </c>
      <c r="AW2320" t="s">
        <v>11494</v>
      </c>
    </row>
    <row r="2321" spans="1:49">
      <c r="A2321" s="1">
        <f>HYPERLINK("https://cms.ls-nyc.org/matter/dynamic-profile/view/1849687","17-1849687")</f>
        <v>0</v>
      </c>
      <c r="B2321" t="s">
        <v>52</v>
      </c>
      <c r="C2321" t="s">
        <v>234</v>
      </c>
      <c r="D2321" t="s">
        <v>324</v>
      </c>
      <c r="E2321" t="s">
        <v>741</v>
      </c>
      <c r="F2321" t="s">
        <v>2018</v>
      </c>
      <c r="G2321" t="s">
        <v>3327</v>
      </c>
      <c r="H2321" t="s">
        <v>4640</v>
      </c>
      <c r="I2321" t="s">
        <v>5284</v>
      </c>
      <c r="J2321" t="s">
        <v>5324</v>
      </c>
      <c r="K2321">
        <v>11355</v>
      </c>
      <c r="L2321" t="s">
        <v>5355</v>
      </c>
      <c r="M2321" t="s">
        <v>5355</v>
      </c>
      <c r="N2321" t="s">
        <v>6360</v>
      </c>
      <c r="O2321" t="s">
        <v>6491</v>
      </c>
      <c r="P2321" t="s">
        <v>6530</v>
      </c>
      <c r="Q2321" t="s">
        <v>6534</v>
      </c>
      <c r="R2321" t="s">
        <v>6539</v>
      </c>
      <c r="S2321" t="s">
        <v>5357</v>
      </c>
      <c r="U2321" t="s">
        <v>6557</v>
      </c>
      <c r="V2321" t="s">
        <v>6566</v>
      </c>
      <c r="W2321" t="s">
        <v>376</v>
      </c>
      <c r="X2321">
        <v>1800</v>
      </c>
      <c r="Y2321" t="s">
        <v>6604</v>
      </c>
      <c r="Z2321" t="s">
        <v>6615</v>
      </c>
      <c r="AA2321" t="s">
        <v>6633</v>
      </c>
      <c r="AB2321" t="s">
        <v>8540</v>
      </c>
      <c r="AD2321" t="s">
        <v>10852</v>
      </c>
      <c r="AE2321">
        <v>2</v>
      </c>
      <c r="AF2321" t="s">
        <v>11004</v>
      </c>
      <c r="AG2321" t="s">
        <v>5406</v>
      </c>
      <c r="AH2321">
        <v>1</v>
      </c>
      <c r="AI2321">
        <v>2</v>
      </c>
      <c r="AJ2321">
        <v>2</v>
      </c>
      <c r="AK2321">
        <v>184.55</v>
      </c>
      <c r="AL2321" t="s">
        <v>341</v>
      </c>
      <c r="AN2321" t="s">
        <v>11049</v>
      </c>
      <c r="AO2321">
        <v>45400</v>
      </c>
      <c r="AQ2321" t="s">
        <v>11194</v>
      </c>
      <c r="AR2321" t="s">
        <v>11247</v>
      </c>
      <c r="AS2321" t="s">
        <v>11252</v>
      </c>
      <c r="AT2321" t="s">
        <v>11393</v>
      </c>
      <c r="AU2321">
        <v>18.02</v>
      </c>
      <c r="AV2321" t="s">
        <v>697</v>
      </c>
      <c r="AW2321" t="s">
        <v>85</v>
      </c>
    </row>
    <row r="2322" spans="1:49">
      <c r="A2322" s="1">
        <f>HYPERLINK("https://cms.ls-nyc.org/matter/dynamic-profile/view/0830902","17-0830902")</f>
        <v>0</v>
      </c>
      <c r="B2322" t="s">
        <v>226</v>
      </c>
      <c r="C2322" t="s">
        <v>234</v>
      </c>
      <c r="D2322" t="s">
        <v>570</v>
      </c>
      <c r="E2322" t="s">
        <v>699</v>
      </c>
      <c r="F2322" t="s">
        <v>2019</v>
      </c>
      <c r="G2322" t="s">
        <v>2106</v>
      </c>
      <c r="H2322" t="s">
        <v>4641</v>
      </c>
      <c r="J2322" t="s">
        <v>5320</v>
      </c>
      <c r="K2322">
        <v>11216</v>
      </c>
      <c r="L2322" t="s">
        <v>5355</v>
      </c>
      <c r="M2322" t="s">
        <v>5356</v>
      </c>
      <c r="N2322" t="s">
        <v>6361</v>
      </c>
      <c r="O2322" t="s">
        <v>6491</v>
      </c>
      <c r="P2322" t="s">
        <v>6530</v>
      </c>
      <c r="Q2322" t="s">
        <v>6533</v>
      </c>
      <c r="R2322" t="s">
        <v>6539</v>
      </c>
      <c r="S2322" t="s">
        <v>5357</v>
      </c>
      <c r="T2322" t="s">
        <v>6544</v>
      </c>
      <c r="U2322" t="s">
        <v>6557</v>
      </c>
      <c r="W2322" t="s">
        <v>262</v>
      </c>
      <c r="X2322">
        <v>0</v>
      </c>
      <c r="Y2322" t="s">
        <v>6605</v>
      </c>
      <c r="Z2322" t="s">
        <v>6614</v>
      </c>
      <c r="AA2322" t="s">
        <v>6631</v>
      </c>
      <c r="AB2322" t="s">
        <v>8541</v>
      </c>
      <c r="AD2322" t="s">
        <v>10853</v>
      </c>
      <c r="AE2322">
        <v>36</v>
      </c>
      <c r="AF2322" t="s">
        <v>11005</v>
      </c>
      <c r="AG2322" t="s">
        <v>11020</v>
      </c>
      <c r="AH2322">
        <v>0</v>
      </c>
      <c r="AI2322">
        <v>2</v>
      </c>
      <c r="AJ2322">
        <v>0</v>
      </c>
      <c r="AK2322">
        <v>184.73</v>
      </c>
      <c r="AN2322" t="s">
        <v>11050</v>
      </c>
      <c r="AO2322">
        <v>30000</v>
      </c>
      <c r="AU2322">
        <v>78.25</v>
      </c>
      <c r="AV2322" t="s">
        <v>242</v>
      </c>
      <c r="AW2322" t="s">
        <v>11560</v>
      </c>
    </row>
    <row r="2323" spans="1:49">
      <c r="A2323" s="1">
        <f>HYPERLINK("https://cms.ls-nyc.org/matter/dynamic-profile/view/1846482","17-1846482")</f>
        <v>0</v>
      </c>
      <c r="B2323" t="s">
        <v>94</v>
      </c>
      <c r="C2323" t="s">
        <v>234</v>
      </c>
      <c r="D2323" t="s">
        <v>646</v>
      </c>
      <c r="E2323" t="s">
        <v>427</v>
      </c>
      <c r="F2323" t="s">
        <v>2020</v>
      </c>
      <c r="G2323" t="s">
        <v>2796</v>
      </c>
      <c r="H2323" t="s">
        <v>4499</v>
      </c>
      <c r="I2323" t="s">
        <v>5091</v>
      </c>
      <c r="J2323" t="s">
        <v>5320</v>
      </c>
      <c r="K2323">
        <v>11212</v>
      </c>
      <c r="L2323" t="s">
        <v>5355</v>
      </c>
      <c r="M2323" t="s">
        <v>5356</v>
      </c>
      <c r="N2323" t="s">
        <v>6362</v>
      </c>
      <c r="O2323" t="s">
        <v>6492</v>
      </c>
      <c r="P2323" t="s">
        <v>6530</v>
      </c>
      <c r="Q2323" t="s">
        <v>6534</v>
      </c>
      <c r="R2323" t="s">
        <v>6539</v>
      </c>
      <c r="S2323" t="s">
        <v>5357</v>
      </c>
      <c r="U2323" t="s">
        <v>6557</v>
      </c>
      <c r="W2323" t="s">
        <v>6599</v>
      </c>
      <c r="X2323">
        <v>1285</v>
      </c>
      <c r="Y2323" t="s">
        <v>6605</v>
      </c>
      <c r="Z2323" t="s">
        <v>6613</v>
      </c>
      <c r="AA2323" t="s">
        <v>6637</v>
      </c>
      <c r="AB2323" t="s">
        <v>8542</v>
      </c>
      <c r="AD2323" t="s">
        <v>10854</v>
      </c>
      <c r="AE2323">
        <v>20</v>
      </c>
      <c r="AF2323" t="s">
        <v>11005</v>
      </c>
      <c r="AH2323">
        <v>6</v>
      </c>
      <c r="AI2323">
        <v>2</v>
      </c>
      <c r="AJ2323">
        <v>0</v>
      </c>
      <c r="AK2323">
        <v>184.73</v>
      </c>
      <c r="AN2323" t="s">
        <v>11050</v>
      </c>
      <c r="AO2323">
        <v>30000</v>
      </c>
      <c r="AR2323" t="s">
        <v>11210</v>
      </c>
      <c r="AS2323" t="s">
        <v>11253</v>
      </c>
      <c r="AT2323" t="s">
        <v>11293</v>
      </c>
      <c r="AU2323">
        <v>46.67</v>
      </c>
      <c r="AV2323" t="s">
        <v>287</v>
      </c>
      <c r="AW2323" t="s">
        <v>11490</v>
      </c>
    </row>
    <row r="2324" spans="1:49">
      <c r="A2324" s="1">
        <f>HYPERLINK("https://cms.ls-nyc.org/matter/dynamic-profile/view/1850608","17-1850608")</f>
        <v>0</v>
      </c>
      <c r="B2324" t="s">
        <v>63</v>
      </c>
      <c r="C2324" t="s">
        <v>234</v>
      </c>
      <c r="D2324" t="s">
        <v>333</v>
      </c>
      <c r="E2324" t="s">
        <v>680</v>
      </c>
      <c r="F2324" t="s">
        <v>838</v>
      </c>
      <c r="G2324" t="s">
        <v>2851</v>
      </c>
      <c r="H2324" t="s">
        <v>4057</v>
      </c>
      <c r="I2324" t="s">
        <v>5090</v>
      </c>
      <c r="J2324" t="s">
        <v>5322</v>
      </c>
      <c r="K2324">
        <v>10314</v>
      </c>
      <c r="L2324" t="s">
        <v>5355</v>
      </c>
      <c r="M2324" t="s">
        <v>5355</v>
      </c>
      <c r="N2324" t="s">
        <v>6363</v>
      </c>
      <c r="O2324" t="s">
        <v>6494</v>
      </c>
      <c r="P2324" t="s">
        <v>6530</v>
      </c>
      <c r="Q2324" t="s">
        <v>6534</v>
      </c>
      <c r="R2324" t="s">
        <v>6539</v>
      </c>
      <c r="S2324" t="s">
        <v>5357</v>
      </c>
      <c r="U2324" t="s">
        <v>6557</v>
      </c>
      <c r="V2324" t="s">
        <v>6566</v>
      </c>
      <c r="W2324" t="s">
        <v>333</v>
      </c>
      <c r="X2324">
        <v>1120</v>
      </c>
      <c r="Y2324" t="s">
        <v>6607</v>
      </c>
      <c r="Z2324" t="s">
        <v>6614</v>
      </c>
      <c r="AA2324" t="s">
        <v>6634</v>
      </c>
      <c r="AB2324" t="s">
        <v>7702</v>
      </c>
      <c r="AD2324" t="s">
        <v>10061</v>
      </c>
      <c r="AE2324">
        <v>96</v>
      </c>
      <c r="AF2324" t="s">
        <v>11005</v>
      </c>
      <c r="AG2324" t="s">
        <v>5406</v>
      </c>
      <c r="AH2324">
        <v>8</v>
      </c>
      <c r="AI2324">
        <v>2</v>
      </c>
      <c r="AJ2324">
        <v>0</v>
      </c>
      <c r="AK2324">
        <v>184.73</v>
      </c>
      <c r="AL2324" t="s">
        <v>11034</v>
      </c>
      <c r="AN2324" t="s">
        <v>11050</v>
      </c>
      <c r="AO2324">
        <v>38365</v>
      </c>
      <c r="AQ2324" t="s">
        <v>11190</v>
      </c>
      <c r="AR2324" t="s">
        <v>11203</v>
      </c>
      <c r="AS2324" t="s">
        <v>11253</v>
      </c>
      <c r="AT2324" t="s">
        <v>11323</v>
      </c>
      <c r="AU2324">
        <v>4.9</v>
      </c>
      <c r="AV2324" t="s">
        <v>680</v>
      </c>
      <c r="AW2324" t="s">
        <v>140</v>
      </c>
    </row>
    <row r="2325" spans="1:49">
      <c r="A2325" s="1">
        <f>HYPERLINK("https://cms.ls-nyc.org/matter/dynamic-profile/view/1867246","18-1867246")</f>
        <v>0</v>
      </c>
      <c r="B2325" t="s">
        <v>83</v>
      </c>
      <c r="C2325" t="s">
        <v>234</v>
      </c>
      <c r="D2325" t="s">
        <v>447</v>
      </c>
      <c r="E2325" t="s">
        <v>688</v>
      </c>
      <c r="F2325" t="s">
        <v>2021</v>
      </c>
      <c r="G2325" t="s">
        <v>2412</v>
      </c>
      <c r="H2325" t="s">
        <v>3761</v>
      </c>
      <c r="I2325" t="s">
        <v>4746</v>
      </c>
      <c r="J2325" t="s">
        <v>5323</v>
      </c>
      <c r="K2325">
        <v>10031</v>
      </c>
      <c r="L2325" t="s">
        <v>5355</v>
      </c>
      <c r="M2325" t="s">
        <v>5355</v>
      </c>
      <c r="N2325" t="s">
        <v>6364</v>
      </c>
      <c r="O2325" t="s">
        <v>6492</v>
      </c>
      <c r="P2325" t="s">
        <v>6530</v>
      </c>
      <c r="Q2325" t="s">
        <v>6534</v>
      </c>
      <c r="R2325" t="s">
        <v>6539</v>
      </c>
      <c r="S2325" t="s">
        <v>5357</v>
      </c>
      <c r="U2325" t="s">
        <v>6557</v>
      </c>
      <c r="V2325" t="s">
        <v>6566</v>
      </c>
      <c r="W2325" t="s">
        <v>447</v>
      </c>
      <c r="X2325">
        <v>2697</v>
      </c>
      <c r="Y2325" t="s">
        <v>6608</v>
      </c>
      <c r="Z2325" t="s">
        <v>6616</v>
      </c>
      <c r="AA2325" t="s">
        <v>6637</v>
      </c>
      <c r="AB2325" t="s">
        <v>8543</v>
      </c>
      <c r="AD2325" t="s">
        <v>10855</v>
      </c>
      <c r="AE2325">
        <v>44</v>
      </c>
      <c r="AF2325" t="s">
        <v>11008</v>
      </c>
      <c r="AG2325" t="s">
        <v>11020</v>
      </c>
      <c r="AH2325">
        <v>21</v>
      </c>
      <c r="AI2325">
        <v>1</v>
      </c>
      <c r="AJ2325">
        <v>2</v>
      </c>
      <c r="AK2325">
        <v>185.18</v>
      </c>
      <c r="AN2325" t="s">
        <v>11049</v>
      </c>
      <c r="AO2325">
        <v>38480</v>
      </c>
      <c r="AU2325">
        <v>3.6</v>
      </c>
      <c r="AV2325" t="s">
        <v>287</v>
      </c>
      <c r="AW2325" t="s">
        <v>11497</v>
      </c>
    </row>
    <row r="2326" spans="1:49">
      <c r="A2326" s="1">
        <f>HYPERLINK("https://cms.ls-nyc.org/matter/dynamic-profile/view/0816161","16-0816161")</f>
        <v>0</v>
      </c>
      <c r="B2326" t="s">
        <v>207</v>
      </c>
      <c r="C2326" t="s">
        <v>235</v>
      </c>
      <c r="D2326" t="s">
        <v>645</v>
      </c>
      <c r="F2326" t="s">
        <v>2022</v>
      </c>
      <c r="G2326" t="s">
        <v>2134</v>
      </c>
      <c r="H2326" t="s">
        <v>4642</v>
      </c>
      <c r="I2326" t="s">
        <v>4749</v>
      </c>
      <c r="J2326" t="s">
        <v>5320</v>
      </c>
      <c r="K2326">
        <v>11238</v>
      </c>
      <c r="L2326" t="s">
        <v>5355</v>
      </c>
      <c r="M2326" t="s">
        <v>5356</v>
      </c>
      <c r="N2326" t="s">
        <v>6365</v>
      </c>
      <c r="O2326" t="s">
        <v>6492</v>
      </c>
      <c r="P2326" t="s">
        <v>6530</v>
      </c>
      <c r="R2326" t="s">
        <v>6539</v>
      </c>
      <c r="T2326" t="s">
        <v>6552</v>
      </c>
      <c r="U2326" t="s">
        <v>6557</v>
      </c>
      <c r="W2326" t="s">
        <v>262</v>
      </c>
      <c r="X2326">
        <v>887.83</v>
      </c>
      <c r="Y2326" t="s">
        <v>6605</v>
      </c>
      <c r="Z2326" t="s">
        <v>6625</v>
      </c>
      <c r="AB2326" t="s">
        <v>8544</v>
      </c>
      <c r="AD2326" t="s">
        <v>10856</v>
      </c>
      <c r="AE2326">
        <v>24</v>
      </c>
      <c r="AF2326" t="s">
        <v>11005</v>
      </c>
      <c r="AH2326">
        <v>14</v>
      </c>
      <c r="AI2326">
        <v>1</v>
      </c>
      <c r="AJ2326">
        <v>1</v>
      </c>
      <c r="AK2326">
        <v>186.64</v>
      </c>
      <c r="AN2326" t="s">
        <v>11050</v>
      </c>
      <c r="AO2326">
        <v>29900</v>
      </c>
      <c r="AP2326" t="s">
        <v>11175</v>
      </c>
      <c r="AU2326">
        <v>148.35</v>
      </c>
      <c r="AV2326" t="s">
        <v>760</v>
      </c>
      <c r="AW2326" t="s">
        <v>207</v>
      </c>
    </row>
    <row r="2327" spans="1:49">
      <c r="A2327" s="1">
        <f>HYPERLINK("https://cms.ls-nyc.org/matter/dynamic-profile/view/1862673","18-1862673")</f>
        <v>0</v>
      </c>
      <c r="B2327" t="s">
        <v>90</v>
      </c>
      <c r="C2327" t="s">
        <v>235</v>
      </c>
      <c r="D2327" t="s">
        <v>242</v>
      </c>
      <c r="F2327" t="s">
        <v>908</v>
      </c>
      <c r="G2327" t="s">
        <v>2274</v>
      </c>
      <c r="H2327" t="s">
        <v>3589</v>
      </c>
      <c r="I2327" t="s">
        <v>4788</v>
      </c>
      <c r="J2327" t="s">
        <v>5321</v>
      </c>
      <c r="K2327">
        <v>10452</v>
      </c>
      <c r="L2327" t="s">
        <v>5355</v>
      </c>
      <c r="M2327" t="s">
        <v>5356</v>
      </c>
      <c r="N2327" t="s">
        <v>5792</v>
      </c>
      <c r="O2327" t="s">
        <v>6494</v>
      </c>
      <c r="P2327" t="s">
        <v>6530</v>
      </c>
      <c r="R2327" t="s">
        <v>6539</v>
      </c>
      <c r="S2327" t="s">
        <v>5355</v>
      </c>
      <c r="U2327" t="s">
        <v>6557</v>
      </c>
      <c r="W2327" t="s">
        <v>480</v>
      </c>
      <c r="X2327">
        <v>1119.35</v>
      </c>
      <c r="Y2327" t="s">
        <v>6606</v>
      </c>
      <c r="Z2327" t="s">
        <v>6612</v>
      </c>
      <c r="AB2327" t="s">
        <v>7471</v>
      </c>
      <c r="AD2327" t="s">
        <v>9843</v>
      </c>
      <c r="AE2327">
        <v>60</v>
      </c>
      <c r="AF2327" t="s">
        <v>11005</v>
      </c>
      <c r="AG2327" t="s">
        <v>5406</v>
      </c>
      <c r="AH2327">
        <v>4</v>
      </c>
      <c r="AI2327">
        <v>4</v>
      </c>
      <c r="AJ2327">
        <v>0</v>
      </c>
      <c r="AK2327">
        <v>187.25</v>
      </c>
      <c r="AN2327" t="s">
        <v>11049</v>
      </c>
      <c r="AO2327">
        <v>47000</v>
      </c>
      <c r="AU2327">
        <v>0</v>
      </c>
      <c r="AW2327" t="s">
        <v>11492</v>
      </c>
    </row>
    <row r="2328" spans="1:49">
      <c r="A2328" s="1">
        <f>HYPERLINK("https://cms.ls-nyc.org/matter/dynamic-profile/view/1869885","18-1869885")</f>
        <v>0</v>
      </c>
      <c r="B2328" t="s">
        <v>141</v>
      </c>
      <c r="C2328" t="s">
        <v>235</v>
      </c>
      <c r="D2328" t="s">
        <v>313</v>
      </c>
      <c r="F2328" t="s">
        <v>878</v>
      </c>
      <c r="G2328" t="s">
        <v>3328</v>
      </c>
      <c r="H2328" t="s">
        <v>4643</v>
      </c>
      <c r="I2328" t="s">
        <v>5273</v>
      </c>
      <c r="J2328" t="s">
        <v>5320</v>
      </c>
      <c r="K2328">
        <v>11223</v>
      </c>
      <c r="L2328" t="s">
        <v>5355</v>
      </c>
      <c r="M2328" t="s">
        <v>5356</v>
      </c>
      <c r="N2328" t="s">
        <v>6366</v>
      </c>
      <c r="O2328" t="s">
        <v>6491</v>
      </c>
      <c r="P2328" t="s">
        <v>6530</v>
      </c>
      <c r="R2328" t="s">
        <v>6539</v>
      </c>
      <c r="S2328" t="s">
        <v>5357</v>
      </c>
      <c r="U2328" t="s">
        <v>6557</v>
      </c>
      <c r="W2328" t="s">
        <v>313</v>
      </c>
      <c r="X2328">
        <v>1122.77</v>
      </c>
      <c r="Y2328" t="s">
        <v>6605</v>
      </c>
      <c r="Z2328" t="s">
        <v>6614</v>
      </c>
      <c r="AB2328" t="s">
        <v>8545</v>
      </c>
      <c r="AD2328" t="s">
        <v>10857</v>
      </c>
      <c r="AE2328">
        <v>63</v>
      </c>
      <c r="AF2328" t="s">
        <v>11005</v>
      </c>
      <c r="AG2328" t="s">
        <v>5406</v>
      </c>
      <c r="AH2328">
        <v>8</v>
      </c>
      <c r="AI2328">
        <v>1</v>
      </c>
      <c r="AJ2328">
        <v>0</v>
      </c>
      <c r="AK2328">
        <v>187.81</v>
      </c>
      <c r="AM2328" t="s">
        <v>11045</v>
      </c>
      <c r="AN2328" t="s">
        <v>11050</v>
      </c>
      <c r="AO2328">
        <v>22800</v>
      </c>
      <c r="AU2328">
        <v>35.25</v>
      </c>
      <c r="AV2328" t="s">
        <v>798</v>
      </c>
      <c r="AW2328" t="s">
        <v>11512</v>
      </c>
    </row>
    <row r="2329" spans="1:49">
      <c r="A2329" s="1">
        <f>HYPERLINK("https://cms.ls-nyc.org/matter/dynamic-profile/view/0831319","17-0831319")</f>
        <v>0</v>
      </c>
      <c r="B2329" t="s">
        <v>227</v>
      </c>
      <c r="C2329" t="s">
        <v>235</v>
      </c>
      <c r="D2329" t="s">
        <v>647</v>
      </c>
      <c r="F2329" t="s">
        <v>1893</v>
      </c>
      <c r="G2329" t="s">
        <v>3134</v>
      </c>
      <c r="H2329" t="s">
        <v>3781</v>
      </c>
      <c r="I2329" t="s">
        <v>4743</v>
      </c>
      <c r="J2329" t="s">
        <v>5320</v>
      </c>
      <c r="K2329">
        <v>11212</v>
      </c>
      <c r="L2329" t="s">
        <v>5355</v>
      </c>
      <c r="M2329" t="s">
        <v>5356</v>
      </c>
      <c r="N2329" t="s">
        <v>6367</v>
      </c>
      <c r="O2329" t="s">
        <v>6502</v>
      </c>
      <c r="P2329" t="s">
        <v>6530</v>
      </c>
      <c r="R2329" t="s">
        <v>6539</v>
      </c>
      <c r="S2329" t="s">
        <v>5355</v>
      </c>
      <c r="U2329" t="s">
        <v>6557</v>
      </c>
      <c r="W2329" t="s">
        <v>6583</v>
      </c>
      <c r="X2329">
        <v>1400</v>
      </c>
      <c r="Y2329" t="s">
        <v>6605</v>
      </c>
      <c r="Z2329" t="s">
        <v>6623</v>
      </c>
      <c r="AB2329" t="s">
        <v>8285</v>
      </c>
      <c r="AD2329" t="s">
        <v>10612</v>
      </c>
      <c r="AE2329">
        <v>4</v>
      </c>
      <c r="AF2329" t="s">
        <v>8722</v>
      </c>
      <c r="AG2329" t="s">
        <v>5406</v>
      </c>
      <c r="AH2329">
        <v>1</v>
      </c>
      <c r="AI2329">
        <v>1</v>
      </c>
      <c r="AJ2329">
        <v>0</v>
      </c>
      <c r="AK2329">
        <v>187.96</v>
      </c>
      <c r="AN2329" t="s">
        <v>11050</v>
      </c>
      <c r="AO2329">
        <v>22668</v>
      </c>
      <c r="AU2329">
        <v>129.15</v>
      </c>
      <c r="AV2329" t="s">
        <v>729</v>
      </c>
      <c r="AW2329" t="s">
        <v>11489</v>
      </c>
    </row>
    <row r="2330" spans="1:49">
      <c r="A2330" s="1">
        <f>HYPERLINK("https://cms.ls-nyc.org/matter/dynamic-profile/view/1864489","18-1864489")</f>
        <v>0</v>
      </c>
      <c r="B2330" t="s">
        <v>124</v>
      </c>
      <c r="C2330" t="s">
        <v>235</v>
      </c>
      <c r="D2330" t="s">
        <v>256</v>
      </c>
      <c r="F2330" t="s">
        <v>2023</v>
      </c>
      <c r="G2330" t="s">
        <v>2146</v>
      </c>
      <c r="H2330" t="s">
        <v>3534</v>
      </c>
      <c r="I2330" t="s">
        <v>4752</v>
      </c>
      <c r="J2330" t="s">
        <v>5323</v>
      </c>
      <c r="K2330">
        <v>10040</v>
      </c>
      <c r="L2330" t="s">
        <v>5355</v>
      </c>
      <c r="M2330" t="s">
        <v>5356</v>
      </c>
      <c r="O2330" t="s">
        <v>6491</v>
      </c>
      <c r="P2330" t="s">
        <v>6530</v>
      </c>
      <c r="R2330" t="s">
        <v>6539</v>
      </c>
      <c r="S2330" t="s">
        <v>5357</v>
      </c>
      <c r="U2330" t="s">
        <v>6557</v>
      </c>
      <c r="W2330" t="s">
        <v>256</v>
      </c>
      <c r="X2330">
        <v>765.78</v>
      </c>
      <c r="Y2330" t="s">
        <v>6608</v>
      </c>
      <c r="Z2330" t="s">
        <v>6616</v>
      </c>
      <c r="AB2330" t="s">
        <v>8546</v>
      </c>
      <c r="AC2330" t="s">
        <v>9089</v>
      </c>
      <c r="AD2330" t="s">
        <v>10858</v>
      </c>
      <c r="AE2330">
        <v>41</v>
      </c>
      <c r="AF2330" t="s">
        <v>11005</v>
      </c>
      <c r="AG2330" t="s">
        <v>5406</v>
      </c>
      <c r="AH2330">
        <v>35</v>
      </c>
      <c r="AI2330">
        <v>3</v>
      </c>
      <c r="AJ2330">
        <v>1</v>
      </c>
      <c r="AK2330">
        <v>188.37</v>
      </c>
      <c r="AL2330" t="s">
        <v>531</v>
      </c>
      <c r="AN2330" t="s">
        <v>11049</v>
      </c>
      <c r="AO2330">
        <v>47280</v>
      </c>
      <c r="AU2330">
        <v>157.85</v>
      </c>
      <c r="AV2330" t="s">
        <v>702</v>
      </c>
      <c r="AW2330" t="s">
        <v>11495</v>
      </c>
    </row>
    <row r="2331" spans="1:49">
      <c r="A2331" s="1">
        <f>HYPERLINK("https://cms.ls-nyc.org/matter/dynamic-profile/view/1857934","18-1857934")</f>
        <v>0</v>
      </c>
      <c r="B2331" t="s">
        <v>76</v>
      </c>
      <c r="C2331" t="s">
        <v>234</v>
      </c>
      <c r="D2331" t="s">
        <v>262</v>
      </c>
      <c r="E2331" t="s">
        <v>726</v>
      </c>
      <c r="F2331" t="s">
        <v>1486</v>
      </c>
      <c r="G2331" t="s">
        <v>2755</v>
      </c>
      <c r="H2331" t="s">
        <v>4068</v>
      </c>
      <c r="I2331" t="s">
        <v>4765</v>
      </c>
      <c r="J2331" t="s">
        <v>5323</v>
      </c>
      <c r="K2331">
        <v>10029</v>
      </c>
      <c r="L2331" t="s">
        <v>5355</v>
      </c>
      <c r="M2331" t="s">
        <v>5356</v>
      </c>
      <c r="N2331" t="s">
        <v>6368</v>
      </c>
      <c r="O2331" t="s">
        <v>6492</v>
      </c>
      <c r="P2331" t="s">
        <v>6530</v>
      </c>
      <c r="Q2331" t="s">
        <v>6534</v>
      </c>
      <c r="R2331" t="s">
        <v>6539</v>
      </c>
      <c r="S2331" t="s">
        <v>5357</v>
      </c>
      <c r="U2331" t="s">
        <v>6557</v>
      </c>
      <c r="W2331" t="s">
        <v>262</v>
      </c>
      <c r="X2331">
        <v>3118</v>
      </c>
      <c r="Y2331" t="s">
        <v>6608</v>
      </c>
      <c r="Z2331" t="s">
        <v>6493</v>
      </c>
      <c r="AA2331" t="s">
        <v>6634</v>
      </c>
      <c r="AB2331" t="s">
        <v>7557</v>
      </c>
      <c r="AD2331" t="s">
        <v>9919</v>
      </c>
      <c r="AE2331">
        <v>147</v>
      </c>
      <c r="AF2331" t="s">
        <v>11005</v>
      </c>
      <c r="AG2331" t="s">
        <v>11020</v>
      </c>
      <c r="AH2331">
        <v>7</v>
      </c>
      <c r="AI2331">
        <v>2</v>
      </c>
      <c r="AJ2331">
        <v>3</v>
      </c>
      <c r="AK2331">
        <v>188.59</v>
      </c>
      <c r="AN2331" t="s">
        <v>11050</v>
      </c>
      <c r="AO2331">
        <v>54276.56</v>
      </c>
      <c r="AU2331">
        <v>12.5</v>
      </c>
      <c r="AV2331" t="s">
        <v>256</v>
      </c>
      <c r="AW2331" t="s">
        <v>11497</v>
      </c>
    </row>
    <row r="2332" spans="1:49">
      <c r="A2332" s="1">
        <f>HYPERLINK("https://cms.ls-nyc.org/matter/dynamic-profile/view/1860263","18-1860263")</f>
        <v>0</v>
      </c>
      <c r="B2332" t="s">
        <v>142</v>
      </c>
      <c r="C2332" t="s">
        <v>234</v>
      </c>
      <c r="D2332" t="s">
        <v>428</v>
      </c>
      <c r="E2332" t="s">
        <v>727</v>
      </c>
      <c r="F2332" t="s">
        <v>1010</v>
      </c>
      <c r="G2332" t="s">
        <v>3329</v>
      </c>
      <c r="H2332" t="s">
        <v>3887</v>
      </c>
      <c r="J2332" t="s">
        <v>5320</v>
      </c>
      <c r="K2332">
        <v>11206</v>
      </c>
      <c r="L2332" t="s">
        <v>5355</v>
      </c>
      <c r="M2332" t="s">
        <v>5355</v>
      </c>
      <c r="N2332" t="s">
        <v>6338</v>
      </c>
      <c r="O2332" t="s">
        <v>6494</v>
      </c>
      <c r="P2332" t="s">
        <v>6530</v>
      </c>
      <c r="Q2332" t="s">
        <v>6531</v>
      </c>
      <c r="R2332" t="s">
        <v>6539</v>
      </c>
      <c r="S2332" t="s">
        <v>5355</v>
      </c>
      <c r="U2332" t="s">
        <v>6557</v>
      </c>
      <c r="W2332" t="s">
        <v>248</v>
      </c>
      <c r="X2332">
        <v>588</v>
      </c>
      <c r="Y2332" t="s">
        <v>6605</v>
      </c>
      <c r="Z2332" t="s">
        <v>6614</v>
      </c>
      <c r="AA2332" t="s">
        <v>6634</v>
      </c>
      <c r="AB2332" t="s">
        <v>7229</v>
      </c>
      <c r="AD2332" t="s">
        <v>9617</v>
      </c>
      <c r="AE2332">
        <v>8</v>
      </c>
      <c r="AF2332" t="s">
        <v>11005</v>
      </c>
      <c r="AH2332">
        <v>4</v>
      </c>
      <c r="AI2332">
        <v>1</v>
      </c>
      <c r="AJ2332">
        <v>1</v>
      </c>
      <c r="AK2332">
        <v>189.66</v>
      </c>
      <c r="AN2332" t="s">
        <v>11050</v>
      </c>
      <c r="AO2332">
        <v>30800</v>
      </c>
      <c r="AP2332" t="s">
        <v>11107</v>
      </c>
      <c r="AU2332">
        <v>146.2</v>
      </c>
      <c r="AV2332" t="s">
        <v>775</v>
      </c>
      <c r="AW2332" t="s">
        <v>11512</v>
      </c>
    </row>
    <row r="2333" spans="1:49">
      <c r="A2333" s="1">
        <f>HYPERLINK("https://cms.ls-nyc.org/matter/dynamic-profile/view/0771642","15-0771642")</f>
        <v>0</v>
      </c>
      <c r="B2333" t="s">
        <v>179</v>
      </c>
      <c r="C2333" t="s">
        <v>235</v>
      </c>
      <c r="D2333" t="s">
        <v>648</v>
      </c>
      <c r="F2333" t="s">
        <v>2024</v>
      </c>
      <c r="G2333" t="s">
        <v>2785</v>
      </c>
      <c r="H2333" t="s">
        <v>4644</v>
      </c>
      <c r="I2333" t="s">
        <v>5285</v>
      </c>
      <c r="J2333" t="s">
        <v>5320</v>
      </c>
      <c r="K2333">
        <v>11213</v>
      </c>
      <c r="L2333" t="s">
        <v>5357</v>
      </c>
      <c r="M2333" t="s">
        <v>5356</v>
      </c>
      <c r="O2333" t="s">
        <v>6491</v>
      </c>
      <c r="P2333" t="s">
        <v>6530</v>
      </c>
      <c r="R2333" t="s">
        <v>6539</v>
      </c>
      <c r="U2333" t="s">
        <v>6557</v>
      </c>
      <c r="W2333" t="s">
        <v>6583</v>
      </c>
      <c r="X2333">
        <v>1248</v>
      </c>
      <c r="Y2333" t="s">
        <v>6605</v>
      </c>
      <c r="AB2333" t="s">
        <v>8547</v>
      </c>
      <c r="AD2333" t="s">
        <v>10859</v>
      </c>
      <c r="AE2333">
        <v>23</v>
      </c>
      <c r="AF2333" t="s">
        <v>11005</v>
      </c>
      <c r="AH2333">
        <v>5</v>
      </c>
      <c r="AI2333">
        <v>2</v>
      </c>
      <c r="AJ2333">
        <v>2</v>
      </c>
      <c r="AK2333">
        <v>189.69</v>
      </c>
      <c r="AL2333" t="s">
        <v>11041</v>
      </c>
      <c r="AN2333" t="s">
        <v>11049</v>
      </c>
      <c r="AO2333">
        <v>46000</v>
      </c>
      <c r="AU2333">
        <v>59.9</v>
      </c>
      <c r="AV2333" t="s">
        <v>11451</v>
      </c>
      <c r="AW2333" t="s">
        <v>11556</v>
      </c>
    </row>
    <row r="2334" spans="1:49">
      <c r="A2334" s="1">
        <f>HYPERLINK("https://cms.ls-nyc.org/matter/dynamic-profile/view/1864089","18-1864089")</f>
        <v>0</v>
      </c>
      <c r="B2334" t="s">
        <v>111</v>
      </c>
      <c r="C2334" t="s">
        <v>235</v>
      </c>
      <c r="D2334" t="s">
        <v>357</v>
      </c>
      <c r="F2334" t="s">
        <v>1576</v>
      </c>
      <c r="G2334" t="s">
        <v>2779</v>
      </c>
      <c r="H2334" t="s">
        <v>4075</v>
      </c>
      <c r="J2334" t="s">
        <v>5323</v>
      </c>
      <c r="K2334">
        <v>10040</v>
      </c>
      <c r="L2334" t="s">
        <v>5355</v>
      </c>
      <c r="M2334" t="s">
        <v>5356</v>
      </c>
      <c r="N2334" t="s">
        <v>5591</v>
      </c>
      <c r="O2334" t="s">
        <v>6494</v>
      </c>
      <c r="P2334" t="s">
        <v>6530</v>
      </c>
      <c r="R2334" t="s">
        <v>6539</v>
      </c>
      <c r="S2334" t="s">
        <v>5355</v>
      </c>
      <c r="U2334" t="s">
        <v>6557</v>
      </c>
      <c r="W2334" t="s">
        <v>357</v>
      </c>
      <c r="X2334">
        <v>1147</v>
      </c>
      <c r="Y2334" t="s">
        <v>6608</v>
      </c>
      <c r="Z2334" t="s">
        <v>6614</v>
      </c>
      <c r="AB2334" t="s">
        <v>7709</v>
      </c>
      <c r="AD2334" t="s">
        <v>10068</v>
      </c>
      <c r="AE2334">
        <v>44</v>
      </c>
      <c r="AF2334" t="s">
        <v>11005</v>
      </c>
      <c r="AG2334" t="s">
        <v>5406</v>
      </c>
      <c r="AH2334">
        <v>8</v>
      </c>
      <c r="AI2334">
        <v>3</v>
      </c>
      <c r="AJ2334">
        <v>0</v>
      </c>
      <c r="AK2334">
        <v>189.76</v>
      </c>
      <c r="AL2334" t="s">
        <v>11035</v>
      </c>
      <c r="AN2334" t="s">
        <v>11049</v>
      </c>
      <c r="AO2334">
        <v>39432</v>
      </c>
      <c r="AU2334">
        <v>0.6</v>
      </c>
      <c r="AV2334" t="s">
        <v>782</v>
      </c>
      <c r="AW2334" t="s">
        <v>11495</v>
      </c>
    </row>
    <row r="2335" spans="1:49">
      <c r="A2335" s="1">
        <f>HYPERLINK("https://cms.ls-nyc.org/matter/dynamic-profile/view/1856168","18-1856168")</f>
        <v>0</v>
      </c>
      <c r="B2335" t="s">
        <v>189</v>
      </c>
      <c r="C2335" t="s">
        <v>235</v>
      </c>
      <c r="D2335" t="s">
        <v>331</v>
      </c>
      <c r="F2335" t="s">
        <v>1098</v>
      </c>
      <c r="G2335" t="s">
        <v>3330</v>
      </c>
      <c r="H2335" t="s">
        <v>4645</v>
      </c>
      <c r="I2335" t="s">
        <v>4757</v>
      </c>
      <c r="J2335" t="s">
        <v>5322</v>
      </c>
      <c r="K2335">
        <v>10301</v>
      </c>
      <c r="L2335" t="s">
        <v>5355</v>
      </c>
      <c r="M2335" t="s">
        <v>5356</v>
      </c>
      <c r="N2335" t="s">
        <v>6369</v>
      </c>
      <c r="O2335" t="s">
        <v>6494</v>
      </c>
      <c r="P2335" t="s">
        <v>6530</v>
      </c>
      <c r="R2335" t="s">
        <v>6539</v>
      </c>
      <c r="S2335" t="s">
        <v>5357</v>
      </c>
      <c r="U2335" t="s">
        <v>6557</v>
      </c>
      <c r="W2335" t="s">
        <v>331</v>
      </c>
      <c r="X2335">
        <v>1250</v>
      </c>
      <c r="Y2335" t="s">
        <v>6607</v>
      </c>
      <c r="Z2335" t="s">
        <v>6622</v>
      </c>
      <c r="AB2335" t="s">
        <v>8548</v>
      </c>
      <c r="AC2335" t="s">
        <v>5406</v>
      </c>
      <c r="AD2335" t="s">
        <v>10860</v>
      </c>
      <c r="AE2335">
        <v>100</v>
      </c>
      <c r="AF2335" t="s">
        <v>11005</v>
      </c>
      <c r="AG2335" t="s">
        <v>5406</v>
      </c>
      <c r="AH2335">
        <v>5</v>
      </c>
      <c r="AI2335">
        <v>2</v>
      </c>
      <c r="AJ2335">
        <v>0</v>
      </c>
      <c r="AK2335">
        <v>189.84</v>
      </c>
      <c r="AN2335" t="s">
        <v>11050</v>
      </c>
      <c r="AO2335">
        <v>42936</v>
      </c>
      <c r="AU2335">
        <v>16.6</v>
      </c>
      <c r="AV2335" t="s">
        <v>805</v>
      </c>
      <c r="AW2335" t="s">
        <v>148</v>
      </c>
    </row>
    <row r="2336" spans="1:49">
      <c r="A2336" s="1">
        <f>HYPERLINK("https://cms.ls-nyc.org/matter/dynamic-profile/view/1840678","17-1840678")</f>
        <v>0</v>
      </c>
      <c r="B2336" t="s">
        <v>94</v>
      </c>
      <c r="C2336" t="s">
        <v>234</v>
      </c>
      <c r="D2336" t="s">
        <v>348</v>
      </c>
      <c r="E2336" t="s">
        <v>803</v>
      </c>
      <c r="F2336" t="s">
        <v>2025</v>
      </c>
      <c r="G2336" t="s">
        <v>1965</v>
      </c>
      <c r="H2336" t="s">
        <v>4646</v>
      </c>
      <c r="I2336" t="s">
        <v>4734</v>
      </c>
      <c r="J2336" t="s">
        <v>5320</v>
      </c>
      <c r="K2336">
        <v>11233</v>
      </c>
      <c r="L2336" t="s">
        <v>5355</v>
      </c>
      <c r="M2336" t="s">
        <v>5356</v>
      </c>
      <c r="N2336" t="s">
        <v>6370</v>
      </c>
      <c r="O2336" t="s">
        <v>6491</v>
      </c>
      <c r="P2336" t="s">
        <v>6530</v>
      </c>
      <c r="Q2336" t="s">
        <v>6537</v>
      </c>
      <c r="R2336" t="s">
        <v>6539</v>
      </c>
      <c r="U2336" t="s">
        <v>6557</v>
      </c>
      <c r="W2336" t="s">
        <v>393</v>
      </c>
      <c r="X2336">
        <v>482.02</v>
      </c>
      <c r="Y2336" t="s">
        <v>6605</v>
      </c>
      <c r="Z2336" t="s">
        <v>6612</v>
      </c>
      <c r="AA2336" t="s">
        <v>6637</v>
      </c>
      <c r="AB2336" t="s">
        <v>8549</v>
      </c>
      <c r="AD2336" t="s">
        <v>10861</v>
      </c>
      <c r="AE2336">
        <v>8</v>
      </c>
      <c r="AF2336" t="s">
        <v>11005</v>
      </c>
      <c r="AG2336" t="s">
        <v>5406</v>
      </c>
      <c r="AH2336">
        <v>13</v>
      </c>
      <c r="AI2336">
        <v>2</v>
      </c>
      <c r="AJ2336">
        <v>2</v>
      </c>
      <c r="AK2336">
        <v>190.24</v>
      </c>
      <c r="AN2336" t="s">
        <v>11050</v>
      </c>
      <c r="AO2336">
        <v>46800</v>
      </c>
      <c r="AU2336">
        <v>72.90000000000001</v>
      </c>
      <c r="AV2336" t="s">
        <v>729</v>
      </c>
      <c r="AW2336" t="s">
        <v>11533</v>
      </c>
    </row>
    <row r="2337" spans="1:49">
      <c r="A2337" s="1">
        <f>HYPERLINK("https://cms.ls-nyc.org/matter/dynamic-profile/view/1861209","18-1861209")</f>
        <v>0</v>
      </c>
      <c r="B2337" t="s">
        <v>189</v>
      </c>
      <c r="C2337" t="s">
        <v>234</v>
      </c>
      <c r="D2337" t="s">
        <v>444</v>
      </c>
      <c r="E2337" t="s">
        <v>684</v>
      </c>
      <c r="F2337" t="s">
        <v>967</v>
      </c>
      <c r="G2337" t="s">
        <v>3331</v>
      </c>
      <c r="H2337" t="s">
        <v>4647</v>
      </c>
      <c r="I2337" t="s">
        <v>5116</v>
      </c>
      <c r="J2337" t="s">
        <v>5322</v>
      </c>
      <c r="K2337">
        <v>10304</v>
      </c>
      <c r="L2337" t="s">
        <v>5355</v>
      </c>
      <c r="M2337" t="s">
        <v>5355</v>
      </c>
      <c r="N2337" t="s">
        <v>6371</v>
      </c>
      <c r="O2337" t="s">
        <v>6492</v>
      </c>
      <c r="P2337" t="s">
        <v>6530</v>
      </c>
      <c r="Q2337" t="s">
        <v>6534</v>
      </c>
      <c r="R2337" t="s">
        <v>6539</v>
      </c>
      <c r="S2337" t="s">
        <v>5357</v>
      </c>
      <c r="U2337" t="s">
        <v>6557</v>
      </c>
      <c r="V2337" t="s">
        <v>6566</v>
      </c>
      <c r="W2337" t="s">
        <v>444</v>
      </c>
      <c r="X2337">
        <v>1375</v>
      </c>
      <c r="Y2337" t="s">
        <v>6607</v>
      </c>
      <c r="Z2337" t="s">
        <v>6612</v>
      </c>
      <c r="AA2337" t="s">
        <v>6637</v>
      </c>
      <c r="AB2337" t="s">
        <v>8550</v>
      </c>
      <c r="AD2337" t="s">
        <v>10862</v>
      </c>
      <c r="AE2337">
        <v>70</v>
      </c>
      <c r="AF2337" t="s">
        <v>11008</v>
      </c>
      <c r="AG2337" t="s">
        <v>11020</v>
      </c>
      <c r="AH2337">
        <v>24</v>
      </c>
      <c r="AI2337">
        <v>3</v>
      </c>
      <c r="AJ2337">
        <v>0</v>
      </c>
      <c r="AK2337">
        <v>190.45</v>
      </c>
      <c r="AN2337" t="s">
        <v>11050</v>
      </c>
      <c r="AO2337">
        <v>39576</v>
      </c>
      <c r="AQ2337" t="s">
        <v>11191</v>
      </c>
      <c r="AR2337" t="s">
        <v>11213</v>
      </c>
      <c r="AS2337" t="s">
        <v>11253</v>
      </c>
      <c r="AT2337" t="s">
        <v>11350</v>
      </c>
      <c r="AU2337">
        <v>15.95</v>
      </c>
      <c r="AV2337" t="s">
        <v>684</v>
      </c>
      <c r="AW2337" t="s">
        <v>140</v>
      </c>
    </row>
    <row r="2338" spans="1:49">
      <c r="A2338" s="1">
        <f>HYPERLINK("https://cms.ls-nyc.org/matter/dynamic-profile/view/1860444","18-1860444")</f>
        <v>0</v>
      </c>
      <c r="B2338" t="s">
        <v>55</v>
      </c>
      <c r="C2338" t="s">
        <v>234</v>
      </c>
      <c r="D2338" t="s">
        <v>319</v>
      </c>
      <c r="E2338" t="s">
        <v>685</v>
      </c>
      <c r="F2338" t="s">
        <v>2026</v>
      </c>
      <c r="G2338" t="s">
        <v>1643</v>
      </c>
      <c r="H2338" t="s">
        <v>4648</v>
      </c>
      <c r="I2338" t="s">
        <v>5137</v>
      </c>
      <c r="J2338" t="s">
        <v>5320</v>
      </c>
      <c r="K2338">
        <v>11226</v>
      </c>
      <c r="L2338" t="s">
        <v>5355</v>
      </c>
      <c r="M2338" t="s">
        <v>5356</v>
      </c>
      <c r="N2338" t="s">
        <v>6372</v>
      </c>
      <c r="O2338" t="s">
        <v>6499</v>
      </c>
      <c r="P2338" t="s">
        <v>6530</v>
      </c>
      <c r="Q2338" t="s">
        <v>6532</v>
      </c>
      <c r="R2338" t="s">
        <v>6539</v>
      </c>
      <c r="S2338" t="s">
        <v>5357</v>
      </c>
      <c r="U2338" t="s">
        <v>6557</v>
      </c>
      <c r="W2338" t="s">
        <v>6575</v>
      </c>
      <c r="X2338">
        <v>1300</v>
      </c>
      <c r="Y2338" t="s">
        <v>6605</v>
      </c>
      <c r="Z2338" t="s">
        <v>6622</v>
      </c>
      <c r="AA2338" t="s">
        <v>6634</v>
      </c>
      <c r="AB2338" t="s">
        <v>8551</v>
      </c>
      <c r="AD2338" t="s">
        <v>10863</v>
      </c>
      <c r="AE2338">
        <v>56</v>
      </c>
      <c r="AF2338" t="s">
        <v>11005</v>
      </c>
      <c r="AG2338" t="s">
        <v>5406</v>
      </c>
      <c r="AH2338">
        <v>3</v>
      </c>
      <c r="AI2338">
        <v>1</v>
      </c>
      <c r="AJ2338">
        <v>0</v>
      </c>
      <c r="AK2338">
        <v>190.71</v>
      </c>
      <c r="AN2338" t="s">
        <v>11050</v>
      </c>
      <c r="AO2338">
        <v>23000</v>
      </c>
      <c r="AU2338">
        <v>3</v>
      </c>
      <c r="AV2338" t="s">
        <v>685</v>
      </c>
      <c r="AW2338" t="s">
        <v>11490</v>
      </c>
    </row>
    <row r="2339" spans="1:49">
      <c r="A2339" s="1">
        <f>HYPERLINK("https://cms.ls-nyc.org/matter/dynamic-profile/view/1843600","17-1843600")</f>
        <v>0</v>
      </c>
      <c r="B2339" t="s">
        <v>101</v>
      </c>
      <c r="C2339" t="s">
        <v>235</v>
      </c>
      <c r="D2339" t="s">
        <v>503</v>
      </c>
      <c r="F2339" t="s">
        <v>2027</v>
      </c>
      <c r="G2339" t="s">
        <v>2146</v>
      </c>
      <c r="H2339" t="s">
        <v>4649</v>
      </c>
      <c r="I2339">
        <v>7</v>
      </c>
      <c r="J2339" t="s">
        <v>5320</v>
      </c>
      <c r="K2339">
        <v>11207</v>
      </c>
      <c r="L2339" t="s">
        <v>5355</v>
      </c>
      <c r="M2339" t="s">
        <v>5356</v>
      </c>
      <c r="O2339" t="s">
        <v>5393</v>
      </c>
      <c r="P2339" t="s">
        <v>6530</v>
      </c>
      <c r="R2339" t="s">
        <v>6539</v>
      </c>
      <c r="S2339" t="s">
        <v>5357</v>
      </c>
      <c r="U2339" t="s">
        <v>6557</v>
      </c>
      <c r="W2339" t="s">
        <v>6578</v>
      </c>
      <c r="X2339">
        <v>1100</v>
      </c>
      <c r="Y2339" t="s">
        <v>6605</v>
      </c>
      <c r="Z2339" t="s">
        <v>6614</v>
      </c>
      <c r="AB2339" t="s">
        <v>8552</v>
      </c>
      <c r="AC2339" t="s">
        <v>5392</v>
      </c>
      <c r="AD2339" t="s">
        <v>10864</v>
      </c>
      <c r="AE2339">
        <v>16</v>
      </c>
      <c r="AF2339" t="s">
        <v>11005</v>
      </c>
      <c r="AG2339" t="s">
        <v>5406</v>
      </c>
      <c r="AH2339">
        <v>23</v>
      </c>
      <c r="AI2339">
        <v>3</v>
      </c>
      <c r="AJ2339">
        <v>0</v>
      </c>
      <c r="AK2339">
        <v>191.59</v>
      </c>
      <c r="AN2339" t="s">
        <v>11049</v>
      </c>
      <c r="AO2339">
        <v>61223</v>
      </c>
      <c r="AU2339">
        <v>96.09999999999999</v>
      </c>
      <c r="AV2339" t="s">
        <v>11434</v>
      </c>
      <c r="AW2339" t="s">
        <v>11527</v>
      </c>
    </row>
    <row r="2340" spans="1:49">
      <c r="A2340" s="1">
        <f>HYPERLINK("https://cms.ls-nyc.org/matter/dynamic-profile/view/1850505","17-1850505")</f>
        <v>0</v>
      </c>
      <c r="B2340" t="s">
        <v>131</v>
      </c>
      <c r="C2340" t="s">
        <v>234</v>
      </c>
      <c r="D2340" t="s">
        <v>366</v>
      </c>
      <c r="E2340" t="s">
        <v>680</v>
      </c>
      <c r="F2340" t="s">
        <v>1441</v>
      </c>
      <c r="G2340" t="s">
        <v>2311</v>
      </c>
      <c r="H2340" t="s">
        <v>3769</v>
      </c>
      <c r="I2340" t="s">
        <v>5017</v>
      </c>
      <c r="J2340" t="s">
        <v>5323</v>
      </c>
      <c r="K2340">
        <v>10034</v>
      </c>
      <c r="L2340" t="s">
        <v>5355</v>
      </c>
      <c r="M2340" t="s">
        <v>5356</v>
      </c>
      <c r="O2340" t="s">
        <v>6494</v>
      </c>
      <c r="P2340" t="s">
        <v>6530</v>
      </c>
      <c r="Q2340" t="s">
        <v>6532</v>
      </c>
      <c r="R2340" t="s">
        <v>6539</v>
      </c>
      <c r="S2340" t="s">
        <v>5355</v>
      </c>
      <c r="U2340" t="s">
        <v>6557</v>
      </c>
      <c r="W2340" t="s">
        <v>366</v>
      </c>
      <c r="X2340">
        <v>651.42</v>
      </c>
      <c r="Y2340" t="s">
        <v>6608</v>
      </c>
      <c r="Z2340" t="s">
        <v>6616</v>
      </c>
      <c r="AA2340" t="s">
        <v>6631</v>
      </c>
      <c r="AB2340" t="s">
        <v>7478</v>
      </c>
      <c r="AD2340" t="s">
        <v>9849</v>
      </c>
      <c r="AE2340">
        <v>49</v>
      </c>
      <c r="AF2340" t="s">
        <v>11005</v>
      </c>
      <c r="AG2340" t="s">
        <v>5406</v>
      </c>
      <c r="AH2340">
        <v>23</v>
      </c>
      <c r="AI2340">
        <v>2</v>
      </c>
      <c r="AJ2340">
        <v>0</v>
      </c>
      <c r="AK2340">
        <v>192.12</v>
      </c>
      <c r="AN2340" t="s">
        <v>11050</v>
      </c>
      <c r="AO2340">
        <v>46800</v>
      </c>
      <c r="AU2340">
        <v>1</v>
      </c>
      <c r="AV2340" t="s">
        <v>256</v>
      </c>
      <c r="AW2340" t="s">
        <v>11495</v>
      </c>
    </row>
    <row r="2341" spans="1:49">
      <c r="A2341" s="1">
        <f>HYPERLINK("https://cms.ls-nyc.org/matter/dynamic-profile/view/1893067","19-1893067")</f>
        <v>0</v>
      </c>
      <c r="B2341" t="s">
        <v>92</v>
      </c>
      <c r="C2341" t="s">
        <v>235</v>
      </c>
      <c r="D2341" t="s">
        <v>649</v>
      </c>
      <c r="F2341" t="s">
        <v>2028</v>
      </c>
      <c r="G2341" t="s">
        <v>2451</v>
      </c>
      <c r="H2341" t="s">
        <v>4650</v>
      </c>
      <c r="I2341" t="s">
        <v>4768</v>
      </c>
      <c r="J2341" t="s">
        <v>5323</v>
      </c>
      <c r="K2341">
        <v>10029</v>
      </c>
      <c r="L2341" t="s">
        <v>5355</v>
      </c>
      <c r="M2341" t="s">
        <v>5355</v>
      </c>
      <c r="N2341" t="s">
        <v>6373</v>
      </c>
      <c r="O2341" t="s">
        <v>6495</v>
      </c>
      <c r="P2341" t="s">
        <v>6530</v>
      </c>
      <c r="R2341" t="s">
        <v>6539</v>
      </c>
      <c r="S2341" t="s">
        <v>5357</v>
      </c>
      <c r="U2341" t="s">
        <v>6557</v>
      </c>
      <c r="V2341" t="s">
        <v>6567</v>
      </c>
      <c r="W2341" t="s">
        <v>339</v>
      </c>
      <c r="X2341">
        <v>1255</v>
      </c>
      <c r="Y2341" t="s">
        <v>6608</v>
      </c>
      <c r="Z2341" t="s">
        <v>6626</v>
      </c>
      <c r="AB2341" t="s">
        <v>8553</v>
      </c>
      <c r="AD2341" t="s">
        <v>10865</v>
      </c>
      <c r="AE2341">
        <v>25</v>
      </c>
      <c r="AF2341" t="s">
        <v>11005</v>
      </c>
      <c r="AG2341" t="s">
        <v>11020</v>
      </c>
      <c r="AH2341">
        <v>20</v>
      </c>
      <c r="AI2341">
        <v>1</v>
      </c>
      <c r="AJ2341">
        <v>0</v>
      </c>
      <c r="AK2341">
        <v>192.15</v>
      </c>
      <c r="AN2341" t="s">
        <v>11050</v>
      </c>
      <c r="AO2341">
        <v>24000</v>
      </c>
      <c r="AQ2341" t="s">
        <v>11190</v>
      </c>
      <c r="AR2341" t="s">
        <v>11248</v>
      </c>
      <c r="AS2341" t="s">
        <v>11253</v>
      </c>
      <c r="AT2341" t="s">
        <v>11420</v>
      </c>
      <c r="AU2341">
        <v>72.7</v>
      </c>
      <c r="AV2341" t="s">
        <v>819</v>
      </c>
      <c r="AW2341" t="s">
        <v>11524</v>
      </c>
    </row>
    <row r="2342" spans="1:49">
      <c r="A2342" s="1">
        <f>HYPERLINK("https://cms.ls-nyc.org/matter/dynamic-profile/view/1846398","17-1846398")</f>
        <v>0</v>
      </c>
      <c r="B2342" t="s">
        <v>72</v>
      </c>
      <c r="C2342" t="s">
        <v>234</v>
      </c>
      <c r="D2342" t="s">
        <v>301</v>
      </c>
      <c r="E2342" t="s">
        <v>652</v>
      </c>
      <c r="F2342" t="s">
        <v>2029</v>
      </c>
      <c r="G2342" t="s">
        <v>2172</v>
      </c>
      <c r="H2342" t="s">
        <v>4651</v>
      </c>
      <c r="I2342" t="s">
        <v>5286</v>
      </c>
      <c r="J2342" t="s">
        <v>5320</v>
      </c>
      <c r="K2342">
        <v>11231</v>
      </c>
      <c r="L2342" t="s">
        <v>5355</v>
      </c>
      <c r="M2342" t="s">
        <v>5356</v>
      </c>
      <c r="N2342" t="s">
        <v>6374</v>
      </c>
      <c r="O2342" t="s">
        <v>6492</v>
      </c>
      <c r="P2342" t="s">
        <v>6530</v>
      </c>
      <c r="Q2342" t="s">
        <v>6534</v>
      </c>
      <c r="R2342" t="s">
        <v>6539</v>
      </c>
      <c r="S2342" t="s">
        <v>5355</v>
      </c>
      <c r="U2342" t="s">
        <v>6557</v>
      </c>
      <c r="W2342" t="s">
        <v>6578</v>
      </c>
      <c r="X2342">
        <v>1800</v>
      </c>
      <c r="Y2342" t="s">
        <v>6605</v>
      </c>
      <c r="Z2342" t="s">
        <v>6614</v>
      </c>
      <c r="AA2342" t="s">
        <v>6644</v>
      </c>
      <c r="AB2342" t="s">
        <v>8554</v>
      </c>
      <c r="AD2342" t="s">
        <v>10866</v>
      </c>
      <c r="AE2342">
        <v>10</v>
      </c>
      <c r="AF2342" t="s">
        <v>11005</v>
      </c>
      <c r="AG2342" t="s">
        <v>11020</v>
      </c>
      <c r="AH2342">
        <v>12</v>
      </c>
      <c r="AI2342">
        <v>5</v>
      </c>
      <c r="AJ2342">
        <v>1</v>
      </c>
      <c r="AK2342">
        <v>192.4</v>
      </c>
      <c r="AN2342" t="s">
        <v>11050</v>
      </c>
      <c r="AO2342">
        <v>63416</v>
      </c>
      <c r="AR2342" t="s">
        <v>11210</v>
      </c>
      <c r="AS2342" t="s">
        <v>11253</v>
      </c>
      <c r="AT2342" t="s">
        <v>11277</v>
      </c>
      <c r="AU2342">
        <v>53.45</v>
      </c>
      <c r="AV2342" t="s">
        <v>424</v>
      </c>
      <c r="AW2342" t="s">
        <v>11512</v>
      </c>
    </row>
    <row r="2343" spans="1:49">
      <c r="A2343" s="1">
        <f>HYPERLINK("https://cms.ls-nyc.org/matter/dynamic-profile/view/1870235","18-1870235")</f>
        <v>0</v>
      </c>
      <c r="B2343" t="s">
        <v>61</v>
      </c>
      <c r="C2343" t="s">
        <v>234</v>
      </c>
      <c r="D2343" t="s">
        <v>337</v>
      </c>
      <c r="E2343" t="s">
        <v>715</v>
      </c>
      <c r="F2343" t="s">
        <v>2030</v>
      </c>
      <c r="G2343" t="s">
        <v>3332</v>
      </c>
      <c r="H2343" t="s">
        <v>4652</v>
      </c>
      <c r="I2343" t="s">
        <v>5189</v>
      </c>
      <c r="J2343" t="s">
        <v>5321</v>
      </c>
      <c r="K2343">
        <v>10453</v>
      </c>
      <c r="L2343" t="s">
        <v>5355</v>
      </c>
      <c r="M2343" t="s">
        <v>5356</v>
      </c>
      <c r="N2343" t="s">
        <v>6375</v>
      </c>
      <c r="O2343" t="s">
        <v>6492</v>
      </c>
      <c r="P2343" t="s">
        <v>6530</v>
      </c>
      <c r="Q2343" t="s">
        <v>6534</v>
      </c>
      <c r="R2343" t="s">
        <v>6539</v>
      </c>
      <c r="S2343" t="s">
        <v>5357</v>
      </c>
      <c r="U2343" t="s">
        <v>6557</v>
      </c>
      <c r="V2343" t="s">
        <v>6567</v>
      </c>
      <c r="W2343" t="s">
        <v>337</v>
      </c>
      <c r="X2343">
        <v>0</v>
      </c>
      <c r="Y2343" t="s">
        <v>6606</v>
      </c>
      <c r="Z2343" t="s">
        <v>6613</v>
      </c>
      <c r="AA2343" t="s">
        <v>6637</v>
      </c>
      <c r="AB2343" t="s">
        <v>8555</v>
      </c>
      <c r="AC2343" t="s">
        <v>9090</v>
      </c>
      <c r="AD2343" t="s">
        <v>10867</v>
      </c>
      <c r="AE2343">
        <v>0</v>
      </c>
      <c r="AF2343" t="s">
        <v>11013</v>
      </c>
      <c r="AG2343" t="s">
        <v>5406</v>
      </c>
      <c r="AH2343">
        <v>5</v>
      </c>
      <c r="AI2343">
        <v>1</v>
      </c>
      <c r="AJ2343">
        <v>0</v>
      </c>
      <c r="AK2343">
        <v>192.75</v>
      </c>
      <c r="AN2343" t="s">
        <v>11050</v>
      </c>
      <c r="AO2343">
        <v>23400</v>
      </c>
      <c r="AP2343" t="s">
        <v>11075</v>
      </c>
      <c r="AQ2343" t="s">
        <v>11191</v>
      </c>
      <c r="AR2343" t="s">
        <v>11213</v>
      </c>
      <c r="AS2343" t="s">
        <v>11253</v>
      </c>
      <c r="AT2343" t="s">
        <v>11315</v>
      </c>
      <c r="AU2343">
        <v>17.2</v>
      </c>
      <c r="AV2343" t="s">
        <v>11470</v>
      </c>
      <c r="AW2343" t="s">
        <v>11524</v>
      </c>
    </row>
    <row r="2344" spans="1:49">
      <c r="A2344" s="1">
        <f>HYPERLINK("https://cms.ls-nyc.org/matter/dynamic-profile/view/1836242","17-1836242")</f>
        <v>0</v>
      </c>
      <c r="B2344" t="s">
        <v>90</v>
      </c>
      <c r="C2344" t="s">
        <v>234</v>
      </c>
      <c r="D2344" t="s">
        <v>512</v>
      </c>
      <c r="E2344" t="s">
        <v>398</v>
      </c>
      <c r="F2344" t="s">
        <v>1094</v>
      </c>
      <c r="G2344" t="s">
        <v>3333</v>
      </c>
      <c r="H2344" t="s">
        <v>4361</v>
      </c>
      <c r="I2344" t="s">
        <v>4789</v>
      </c>
      <c r="J2344" t="s">
        <v>5321</v>
      </c>
      <c r="K2344">
        <v>10453</v>
      </c>
      <c r="L2344" t="s">
        <v>5355</v>
      </c>
      <c r="M2344" t="s">
        <v>5356</v>
      </c>
      <c r="N2344" t="s">
        <v>5968</v>
      </c>
      <c r="O2344" t="s">
        <v>6494</v>
      </c>
      <c r="P2344" t="s">
        <v>6530</v>
      </c>
      <c r="Q2344" t="s">
        <v>6538</v>
      </c>
      <c r="R2344" t="s">
        <v>6539</v>
      </c>
      <c r="S2344" t="s">
        <v>5355</v>
      </c>
      <c r="U2344" t="s">
        <v>6557</v>
      </c>
      <c r="W2344" t="s">
        <v>371</v>
      </c>
      <c r="X2344">
        <v>0</v>
      </c>
      <c r="Y2344" t="s">
        <v>6606</v>
      </c>
      <c r="AA2344" t="s">
        <v>6634</v>
      </c>
      <c r="AB2344" t="s">
        <v>8556</v>
      </c>
      <c r="AD2344" t="s">
        <v>10868</v>
      </c>
      <c r="AE2344">
        <v>111</v>
      </c>
      <c r="AF2344" t="s">
        <v>11005</v>
      </c>
      <c r="AG2344" t="s">
        <v>11020</v>
      </c>
      <c r="AH2344">
        <v>33</v>
      </c>
      <c r="AI2344">
        <v>2</v>
      </c>
      <c r="AJ2344">
        <v>0</v>
      </c>
      <c r="AK2344">
        <v>193.45</v>
      </c>
      <c r="AN2344" t="s">
        <v>11050</v>
      </c>
      <c r="AO2344">
        <v>31416</v>
      </c>
      <c r="AU2344">
        <v>0.2</v>
      </c>
      <c r="AV2344" t="s">
        <v>398</v>
      </c>
      <c r="AW2344" t="s">
        <v>11509</v>
      </c>
    </row>
    <row r="2345" spans="1:49">
      <c r="A2345" s="1">
        <f>HYPERLINK("https://cms.ls-nyc.org/matter/dynamic-profile/view/1843874","17-1843874")</f>
        <v>0</v>
      </c>
      <c r="B2345" t="s">
        <v>142</v>
      </c>
      <c r="C2345" t="s">
        <v>235</v>
      </c>
      <c r="D2345" t="s">
        <v>582</v>
      </c>
      <c r="F2345" t="s">
        <v>2031</v>
      </c>
      <c r="G2345" t="s">
        <v>3334</v>
      </c>
      <c r="H2345" t="s">
        <v>4653</v>
      </c>
      <c r="I2345" t="s">
        <v>4781</v>
      </c>
      <c r="J2345" t="s">
        <v>5320</v>
      </c>
      <c r="K2345">
        <v>11233</v>
      </c>
      <c r="L2345" t="s">
        <v>5355</v>
      </c>
      <c r="M2345" t="s">
        <v>5356</v>
      </c>
      <c r="N2345" t="s">
        <v>6376</v>
      </c>
      <c r="O2345" t="s">
        <v>6491</v>
      </c>
      <c r="P2345" t="s">
        <v>6530</v>
      </c>
      <c r="R2345" t="s">
        <v>6539</v>
      </c>
      <c r="S2345" t="s">
        <v>5357</v>
      </c>
      <c r="U2345" t="s">
        <v>6557</v>
      </c>
      <c r="W2345" t="s">
        <v>435</v>
      </c>
      <c r="X2345">
        <v>569.42</v>
      </c>
      <c r="Y2345" t="s">
        <v>6605</v>
      </c>
      <c r="Z2345" t="s">
        <v>6612</v>
      </c>
      <c r="AB2345" t="s">
        <v>8557</v>
      </c>
      <c r="AC2345" t="s">
        <v>5392</v>
      </c>
      <c r="AD2345" t="s">
        <v>10869</v>
      </c>
      <c r="AE2345">
        <v>6</v>
      </c>
      <c r="AF2345" t="s">
        <v>11005</v>
      </c>
      <c r="AG2345" t="s">
        <v>5406</v>
      </c>
      <c r="AH2345">
        <v>3</v>
      </c>
      <c r="AI2345">
        <v>1</v>
      </c>
      <c r="AJ2345">
        <v>0</v>
      </c>
      <c r="AK2345">
        <v>194.03</v>
      </c>
      <c r="AN2345" t="s">
        <v>11050</v>
      </c>
      <c r="AO2345">
        <v>23400</v>
      </c>
      <c r="AU2345">
        <v>48.4</v>
      </c>
      <c r="AV2345" t="s">
        <v>11478</v>
      </c>
      <c r="AW2345" t="s">
        <v>11512</v>
      </c>
    </row>
    <row r="2346" spans="1:49">
      <c r="A2346" s="1">
        <f>HYPERLINK("https://cms.ls-nyc.org/matter/dynamic-profile/view/1846779","17-1846779")</f>
        <v>0</v>
      </c>
      <c r="B2346" t="s">
        <v>115</v>
      </c>
      <c r="C2346" t="s">
        <v>234</v>
      </c>
      <c r="D2346" t="s">
        <v>356</v>
      </c>
      <c r="E2346" t="s">
        <v>720</v>
      </c>
      <c r="F2346" t="s">
        <v>1093</v>
      </c>
      <c r="G2346" t="s">
        <v>3335</v>
      </c>
      <c r="H2346" t="s">
        <v>4654</v>
      </c>
      <c r="I2346" t="s">
        <v>4822</v>
      </c>
      <c r="J2346" t="s">
        <v>5320</v>
      </c>
      <c r="K2346">
        <v>11208</v>
      </c>
      <c r="L2346" t="s">
        <v>5355</v>
      </c>
      <c r="M2346" t="s">
        <v>5355</v>
      </c>
      <c r="N2346" t="s">
        <v>6377</v>
      </c>
      <c r="O2346" t="s">
        <v>6492</v>
      </c>
      <c r="P2346" t="s">
        <v>6530</v>
      </c>
      <c r="Q2346" t="s">
        <v>6534</v>
      </c>
      <c r="R2346" t="s">
        <v>6539</v>
      </c>
      <c r="U2346" t="s">
        <v>6557</v>
      </c>
      <c r="W2346" t="s">
        <v>294</v>
      </c>
      <c r="X2346">
        <v>1288</v>
      </c>
      <c r="Y2346" t="s">
        <v>6605</v>
      </c>
      <c r="Z2346" t="s">
        <v>6617</v>
      </c>
      <c r="AA2346" t="s">
        <v>6637</v>
      </c>
      <c r="AB2346" t="s">
        <v>8558</v>
      </c>
      <c r="AD2346" t="s">
        <v>10870</v>
      </c>
      <c r="AE2346">
        <v>50</v>
      </c>
      <c r="AF2346" t="s">
        <v>11015</v>
      </c>
      <c r="AG2346" t="s">
        <v>5406</v>
      </c>
      <c r="AH2346">
        <v>5</v>
      </c>
      <c r="AI2346">
        <v>1</v>
      </c>
      <c r="AJ2346">
        <v>0</v>
      </c>
      <c r="AK2346">
        <v>194.03</v>
      </c>
      <c r="AN2346" t="s">
        <v>11050</v>
      </c>
      <c r="AO2346">
        <v>23400</v>
      </c>
      <c r="AR2346" t="s">
        <v>11210</v>
      </c>
      <c r="AS2346" t="s">
        <v>11253</v>
      </c>
      <c r="AT2346" t="s">
        <v>11298</v>
      </c>
      <c r="AU2346">
        <v>4</v>
      </c>
      <c r="AV2346" t="s">
        <v>390</v>
      </c>
      <c r="AW2346" t="s">
        <v>11511</v>
      </c>
    </row>
    <row r="2347" spans="1:49">
      <c r="A2347" s="1">
        <f>HYPERLINK("https://cms.ls-nyc.org/matter/dynamic-profile/view/1844119","17-1844119")</f>
        <v>0</v>
      </c>
      <c r="B2347" t="s">
        <v>177</v>
      </c>
      <c r="C2347" t="s">
        <v>235</v>
      </c>
      <c r="D2347" t="s">
        <v>461</v>
      </c>
      <c r="F2347" t="s">
        <v>1551</v>
      </c>
      <c r="G2347" t="s">
        <v>2847</v>
      </c>
      <c r="H2347" t="s">
        <v>4655</v>
      </c>
      <c r="I2347" t="s">
        <v>5287</v>
      </c>
      <c r="J2347" t="s">
        <v>5320</v>
      </c>
      <c r="K2347">
        <v>11207</v>
      </c>
      <c r="L2347" t="s">
        <v>5355</v>
      </c>
      <c r="M2347" t="s">
        <v>5356</v>
      </c>
      <c r="N2347" t="s">
        <v>6378</v>
      </c>
      <c r="O2347" t="s">
        <v>6491</v>
      </c>
      <c r="P2347" t="s">
        <v>6530</v>
      </c>
      <c r="R2347" t="s">
        <v>6539</v>
      </c>
      <c r="S2347" t="s">
        <v>6541</v>
      </c>
      <c r="U2347" t="s">
        <v>6557</v>
      </c>
      <c r="W2347" t="s">
        <v>6599</v>
      </c>
      <c r="X2347">
        <v>768</v>
      </c>
      <c r="Y2347" t="s">
        <v>6605</v>
      </c>
      <c r="Z2347" t="s">
        <v>6613</v>
      </c>
      <c r="AB2347" t="s">
        <v>8559</v>
      </c>
      <c r="AC2347" t="s">
        <v>5406</v>
      </c>
      <c r="AD2347" t="s">
        <v>10871</v>
      </c>
      <c r="AE2347">
        <v>24</v>
      </c>
      <c r="AF2347" t="s">
        <v>11005</v>
      </c>
      <c r="AG2347" t="s">
        <v>5406</v>
      </c>
      <c r="AH2347">
        <v>37</v>
      </c>
      <c r="AI2347">
        <v>1</v>
      </c>
      <c r="AJ2347">
        <v>0</v>
      </c>
      <c r="AK2347">
        <v>194.03</v>
      </c>
      <c r="AN2347" t="s">
        <v>11050</v>
      </c>
      <c r="AO2347">
        <v>23400</v>
      </c>
      <c r="AU2347">
        <v>35.7</v>
      </c>
      <c r="AV2347" t="s">
        <v>11451</v>
      </c>
      <c r="AW2347" t="s">
        <v>11512</v>
      </c>
    </row>
    <row r="2348" spans="1:49">
      <c r="A2348" s="1">
        <f>HYPERLINK("https://cms.ls-nyc.org/matter/dynamic-profile/view/1863923","18-1863923")</f>
        <v>0</v>
      </c>
      <c r="B2348" t="s">
        <v>92</v>
      </c>
      <c r="C2348" t="s">
        <v>235</v>
      </c>
      <c r="D2348" t="s">
        <v>425</v>
      </c>
      <c r="F2348" t="s">
        <v>854</v>
      </c>
      <c r="G2348" t="s">
        <v>3336</v>
      </c>
      <c r="H2348" t="s">
        <v>3579</v>
      </c>
      <c r="I2348">
        <v>405</v>
      </c>
      <c r="J2348" t="s">
        <v>5323</v>
      </c>
      <c r="K2348">
        <v>10029</v>
      </c>
      <c r="L2348" t="s">
        <v>5355</v>
      </c>
      <c r="M2348" t="s">
        <v>5355</v>
      </c>
      <c r="N2348" t="s">
        <v>5632</v>
      </c>
      <c r="O2348" t="s">
        <v>6494</v>
      </c>
      <c r="P2348" t="s">
        <v>6530</v>
      </c>
      <c r="R2348" t="s">
        <v>6539</v>
      </c>
      <c r="S2348" t="s">
        <v>5355</v>
      </c>
      <c r="U2348" t="s">
        <v>6557</v>
      </c>
      <c r="V2348" t="s">
        <v>6566</v>
      </c>
      <c r="W2348" t="s">
        <v>425</v>
      </c>
      <c r="X2348">
        <v>0</v>
      </c>
      <c r="Y2348" t="s">
        <v>6608</v>
      </c>
      <c r="Z2348" t="s">
        <v>6622</v>
      </c>
      <c r="AB2348" t="s">
        <v>8560</v>
      </c>
      <c r="AE2348">
        <v>108</v>
      </c>
      <c r="AF2348" t="s">
        <v>11008</v>
      </c>
      <c r="AG2348" t="s">
        <v>11020</v>
      </c>
      <c r="AH2348">
        <v>17</v>
      </c>
      <c r="AI2348">
        <v>1</v>
      </c>
      <c r="AJ2348">
        <v>1</v>
      </c>
      <c r="AK2348">
        <v>194.41</v>
      </c>
      <c r="AN2348" t="s">
        <v>11050</v>
      </c>
      <c r="AO2348">
        <v>32000</v>
      </c>
      <c r="AU2348">
        <v>0.5</v>
      </c>
      <c r="AV2348" t="s">
        <v>11453</v>
      </c>
      <c r="AW2348" t="s">
        <v>11497</v>
      </c>
    </row>
    <row r="2349" spans="1:49">
      <c r="A2349" s="1">
        <f>HYPERLINK("https://cms.ls-nyc.org/matter/dynamic-profile/view/1864734","18-1864734")</f>
        <v>0</v>
      </c>
      <c r="B2349" t="s">
        <v>92</v>
      </c>
      <c r="C2349" t="s">
        <v>235</v>
      </c>
      <c r="D2349" t="s">
        <v>395</v>
      </c>
      <c r="F2349" t="s">
        <v>1615</v>
      </c>
      <c r="G2349" t="s">
        <v>3337</v>
      </c>
      <c r="H2349" t="s">
        <v>3579</v>
      </c>
      <c r="I2349">
        <v>201</v>
      </c>
      <c r="J2349" t="s">
        <v>5323</v>
      </c>
      <c r="K2349">
        <v>10029</v>
      </c>
      <c r="L2349" t="s">
        <v>5355</v>
      </c>
      <c r="M2349" t="s">
        <v>5355</v>
      </c>
      <c r="N2349" t="s">
        <v>5632</v>
      </c>
      <c r="O2349" t="s">
        <v>6494</v>
      </c>
      <c r="P2349" t="s">
        <v>6530</v>
      </c>
      <c r="R2349" t="s">
        <v>6539</v>
      </c>
      <c r="S2349" t="s">
        <v>5355</v>
      </c>
      <c r="U2349" t="s">
        <v>6557</v>
      </c>
      <c r="V2349" t="s">
        <v>6566</v>
      </c>
      <c r="W2349" t="s">
        <v>395</v>
      </c>
      <c r="X2349">
        <v>0</v>
      </c>
      <c r="Y2349" t="s">
        <v>6608</v>
      </c>
      <c r="Z2349" t="s">
        <v>6622</v>
      </c>
      <c r="AB2349" t="s">
        <v>8561</v>
      </c>
      <c r="AE2349">
        <v>108</v>
      </c>
      <c r="AF2349" t="s">
        <v>11008</v>
      </c>
      <c r="AG2349" t="s">
        <v>11020</v>
      </c>
      <c r="AH2349">
        <v>9</v>
      </c>
      <c r="AI2349">
        <v>1</v>
      </c>
      <c r="AJ2349">
        <v>1</v>
      </c>
      <c r="AK2349">
        <v>194.41</v>
      </c>
      <c r="AN2349" t="s">
        <v>11050</v>
      </c>
      <c r="AO2349">
        <v>32000</v>
      </c>
      <c r="AU2349">
        <v>0</v>
      </c>
      <c r="AW2349" t="s">
        <v>11497</v>
      </c>
    </row>
    <row r="2350" spans="1:49">
      <c r="A2350" s="1">
        <f>HYPERLINK("https://cms.ls-nyc.org/matter/dynamic-profile/view/1836843","17-1836843")</f>
        <v>0</v>
      </c>
      <c r="B2350" t="s">
        <v>100</v>
      </c>
      <c r="C2350" t="s">
        <v>234</v>
      </c>
      <c r="D2350" t="s">
        <v>597</v>
      </c>
      <c r="E2350" t="s">
        <v>703</v>
      </c>
      <c r="F2350" t="s">
        <v>1157</v>
      </c>
      <c r="G2350" t="s">
        <v>3338</v>
      </c>
      <c r="H2350" t="s">
        <v>4656</v>
      </c>
      <c r="I2350">
        <v>402</v>
      </c>
      <c r="J2350" t="s">
        <v>5320</v>
      </c>
      <c r="K2350">
        <v>11208</v>
      </c>
      <c r="L2350" t="s">
        <v>5355</v>
      </c>
      <c r="M2350" t="s">
        <v>5356</v>
      </c>
      <c r="P2350" t="s">
        <v>6530</v>
      </c>
      <c r="Q2350" t="s">
        <v>6534</v>
      </c>
      <c r="R2350" t="s">
        <v>6539</v>
      </c>
      <c r="U2350" t="s">
        <v>6557</v>
      </c>
      <c r="W2350" t="s">
        <v>236</v>
      </c>
      <c r="X2350">
        <v>854</v>
      </c>
      <c r="Y2350" t="s">
        <v>6605</v>
      </c>
      <c r="Z2350" t="s">
        <v>6625</v>
      </c>
      <c r="AA2350" t="s">
        <v>6637</v>
      </c>
      <c r="AB2350" t="s">
        <v>8562</v>
      </c>
      <c r="AD2350" t="s">
        <v>10872</v>
      </c>
      <c r="AE2350">
        <v>323</v>
      </c>
      <c r="AF2350" t="s">
        <v>11005</v>
      </c>
      <c r="AH2350">
        <v>9</v>
      </c>
      <c r="AI2350">
        <v>2</v>
      </c>
      <c r="AJ2350">
        <v>1</v>
      </c>
      <c r="AK2350">
        <v>194.81</v>
      </c>
      <c r="AN2350" t="s">
        <v>11050</v>
      </c>
      <c r="AO2350">
        <v>39780</v>
      </c>
      <c r="AU2350">
        <v>110.3</v>
      </c>
      <c r="AV2350" t="s">
        <v>703</v>
      </c>
      <c r="AW2350" t="s">
        <v>11489</v>
      </c>
    </row>
    <row r="2351" spans="1:49">
      <c r="A2351" s="1">
        <f>HYPERLINK("https://cms.ls-nyc.org/matter/dynamic-profile/view/1866536","18-1866536")</f>
        <v>0</v>
      </c>
      <c r="B2351" t="s">
        <v>129</v>
      </c>
      <c r="C2351" t="s">
        <v>234</v>
      </c>
      <c r="D2351" t="s">
        <v>414</v>
      </c>
      <c r="E2351" t="s">
        <v>749</v>
      </c>
      <c r="F2351" t="s">
        <v>1577</v>
      </c>
      <c r="G2351" t="s">
        <v>2422</v>
      </c>
      <c r="H2351" t="s">
        <v>3706</v>
      </c>
      <c r="I2351">
        <v>55</v>
      </c>
      <c r="J2351" t="s">
        <v>5321</v>
      </c>
      <c r="K2351">
        <v>10453</v>
      </c>
      <c r="L2351" t="s">
        <v>5355</v>
      </c>
      <c r="M2351" t="s">
        <v>5356</v>
      </c>
      <c r="N2351" t="s">
        <v>5671</v>
      </c>
      <c r="O2351" t="s">
        <v>6494</v>
      </c>
      <c r="P2351" t="s">
        <v>6530</v>
      </c>
      <c r="Q2351" t="s">
        <v>6538</v>
      </c>
      <c r="R2351" t="s">
        <v>6539</v>
      </c>
      <c r="S2351" t="s">
        <v>5355</v>
      </c>
      <c r="U2351" t="s">
        <v>6557</v>
      </c>
      <c r="W2351" t="s">
        <v>275</v>
      </c>
      <c r="X2351">
        <v>1136.42</v>
      </c>
      <c r="Y2351" t="s">
        <v>6606</v>
      </c>
      <c r="Z2351" t="s">
        <v>6622</v>
      </c>
      <c r="AA2351" t="s">
        <v>6634</v>
      </c>
      <c r="AB2351" t="s">
        <v>7712</v>
      </c>
      <c r="AD2351" t="s">
        <v>10070</v>
      </c>
      <c r="AE2351">
        <v>43</v>
      </c>
      <c r="AF2351" t="s">
        <v>11005</v>
      </c>
      <c r="AG2351" t="s">
        <v>11024</v>
      </c>
      <c r="AH2351">
        <v>21</v>
      </c>
      <c r="AI2351">
        <v>1</v>
      </c>
      <c r="AJ2351">
        <v>0</v>
      </c>
      <c r="AK2351">
        <v>195.58</v>
      </c>
      <c r="AN2351" t="s">
        <v>11049</v>
      </c>
      <c r="AO2351">
        <v>23744</v>
      </c>
      <c r="AU2351">
        <v>0.6</v>
      </c>
      <c r="AV2351" t="s">
        <v>749</v>
      </c>
      <c r="AW2351" t="s">
        <v>11499</v>
      </c>
    </row>
    <row r="2352" spans="1:49">
      <c r="A2352" s="1">
        <f>HYPERLINK("https://cms.ls-nyc.org/matter/dynamic-profile/view/1869166","18-1869166")</f>
        <v>0</v>
      </c>
      <c r="B2352" t="s">
        <v>71</v>
      </c>
      <c r="C2352" t="s">
        <v>235</v>
      </c>
      <c r="D2352" t="s">
        <v>375</v>
      </c>
      <c r="F2352" t="s">
        <v>1577</v>
      </c>
      <c r="G2352" t="s">
        <v>2422</v>
      </c>
      <c r="H2352" t="s">
        <v>3706</v>
      </c>
      <c r="I2352">
        <v>55</v>
      </c>
      <c r="J2352" t="s">
        <v>5321</v>
      </c>
      <c r="K2352">
        <v>10453</v>
      </c>
      <c r="L2352" t="s">
        <v>5355</v>
      </c>
      <c r="M2352" t="s">
        <v>5356</v>
      </c>
      <c r="N2352" t="s">
        <v>6379</v>
      </c>
      <c r="O2352" t="s">
        <v>6492</v>
      </c>
      <c r="P2352" t="s">
        <v>6530</v>
      </c>
      <c r="R2352" t="s">
        <v>6539</v>
      </c>
      <c r="S2352" t="s">
        <v>5357</v>
      </c>
      <c r="U2352" t="s">
        <v>6557</v>
      </c>
      <c r="W2352" t="s">
        <v>516</v>
      </c>
      <c r="X2352">
        <v>1136.42</v>
      </c>
      <c r="Y2352" t="s">
        <v>6606</v>
      </c>
      <c r="Z2352" t="s">
        <v>6625</v>
      </c>
      <c r="AB2352" t="s">
        <v>7712</v>
      </c>
      <c r="AD2352" t="s">
        <v>10070</v>
      </c>
      <c r="AE2352">
        <v>43</v>
      </c>
      <c r="AF2352" t="s">
        <v>11005</v>
      </c>
      <c r="AH2352">
        <v>21</v>
      </c>
      <c r="AI2352">
        <v>1</v>
      </c>
      <c r="AJ2352">
        <v>0</v>
      </c>
      <c r="AK2352">
        <v>195.58</v>
      </c>
      <c r="AN2352" t="s">
        <v>11049</v>
      </c>
      <c r="AO2352">
        <v>23744</v>
      </c>
      <c r="AU2352">
        <v>9</v>
      </c>
      <c r="AV2352" t="s">
        <v>755</v>
      </c>
      <c r="AW2352" t="s">
        <v>11492</v>
      </c>
    </row>
    <row r="2353" spans="1:49">
      <c r="A2353" s="1">
        <f>HYPERLINK("https://cms.ls-nyc.org/matter/dynamic-profile/view/1840093","17-1840093")</f>
        <v>0</v>
      </c>
      <c r="B2353" t="s">
        <v>92</v>
      </c>
      <c r="C2353" t="s">
        <v>234</v>
      </c>
      <c r="D2353" t="s">
        <v>359</v>
      </c>
      <c r="E2353" t="s">
        <v>676</v>
      </c>
      <c r="F2353" t="s">
        <v>2032</v>
      </c>
      <c r="G2353" t="s">
        <v>3339</v>
      </c>
      <c r="H2353" t="s">
        <v>3575</v>
      </c>
      <c r="I2353">
        <v>64</v>
      </c>
      <c r="J2353" t="s">
        <v>5323</v>
      </c>
      <c r="K2353">
        <v>10040</v>
      </c>
      <c r="L2353" t="s">
        <v>5355</v>
      </c>
      <c r="M2353" t="s">
        <v>5355</v>
      </c>
      <c r="N2353" t="s">
        <v>5439</v>
      </c>
      <c r="O2353" t="s">
        <v>6494</v>
      </c>
      <c r="P2353" t="s">
        <v>6530</v>
      </c>
      <c r="Q2353" t="s">
        <v>6534</v>
      </c>
      <c r="R2353" t="s">
        <v>6539</v>
      </c>
      <c r="S2353" t="s">
        <v>5355</v>
      </c>
      <c r="U2353" t="s">
        <v>6557</v>
      </c>
      <c r="V2353" t="s">
        <v>6566</v>
      </c>
      <c r="W2353" t="s">
        <v>460</v>
      </c>
      <c r="X2353">
        <v>1450</v>
      </c>
      <c r="Y2353" t="s">
        <v>6608</v>
      </c>
      <c r="Z2353" t="s">
        <v>6622</v>
      </c>
      <c r="AA2353" t="s">
        <v>6634</v>
      </c>
      <c r="AB2353" t="s">
        <v>8563</v>
      </c>
      <c r="AD2353" t="s">
        <v>10873</v>
      </c>
      <c r="AE2353">
        <v>45</v>
      </c>
      <c r="AF2353" t="s">
        <v>11005</v>
      </c>
      <c r="AG2353" t="s">
        <v>5406</v>
      </c>
      <c r="AH2353">
        <v>1</v>
      </c>
      <c r="AI2353">
        <v>2</v>
      </c>
      <c r="AJ2353">
        <v>1</v>
      </c>
      <c r="AK2353">
        <v>195.89</v>
      </c>
      <c r="AL2353" t="s">
        <v>301</v>
      </c>
      <c r="AN2353" t="s">
        <v>11049</v>
      </c>
      <c r="AO2353">
        <v>40000</v>
      </c>
      <c r="AQ2353" t="s">
        <v>11190</v>
      </c>
      <c r="AR2353" t="s">
        <v>11206</v>
      </c>
      <c r="AS2353" t="s">
        <v>11253</v>
      </c>
      <c r="AT2353" t="s">
        <v>11263</v>
      </c>
      <c r="AU2353">
        <v>5.15</v>
      </c>
      <c r="AV2353" t="s">
        <v>676</v>
      </c>
      <c r="AW2353" t="s">
        <v>11495</v>
      </c>
    </row>
    <row r="2354" spans="1:49">
      <c r="A2354" s="1">
        <f>HYPERLINK("https://cms.ls-nyc.org/matter/dynamic-profile/view/1857731","18-1857731")</f>
        <v>0</v>
      </c>
      <c r="B2354" t="s">
        <v>56</v>
      </c>
      <c r="C2354" t="s">
        <v>234</v>
      </c>
      <c r="D2354" t="s">
        <v>247</v>
      </c>
      <c r="E2354" t="s">
        <v>691</v>
      </c>
      <c r="F2354" t="s">
        <v>2033</v>
      </c>
      <c r="G2354" t="s">
        <v>3340</v>
      </c>
      <c r="H2354" t="s">
        <v>4657</v>
      </c>
      <c r="I2354" t="s">
        <v>4849</v>
      </c>
      <c r="J2354" t="s">
        <v>5321</v>
      </c>
      <c r="K2354">
        <v>10453</v>
      </c>
      <c r="L2354" t="s">
        <v>5355</v>
      </c>
      <c r="M2354" t="s">
        <v>5356</v>
      </c>
      <c r="N2354" t="s">
        <v>6380</v>
      </c>
      <c r="O2354" t="s">
        <v>6492</v>
      </c>
      <c r="P2354" t="s">
        <v>6530</v>
      </c>
      <c r="Q2354" t="s">
        <v>6534</v>
      </c>
      <c r="R2354" t="s">
        <v>6539</v>
      </c>
      <c r="S2354" t="s">
        <v>5357</v>
      </c>
      <c r="U2354" t="s">
        <v>6557</v>
      </c>
      <c r="W2354" t="s">
        <v>291</v>
      </c>
      <c r="X2354">
        <v>1253</v>
      </c>
      <c r="Y2354" t="s">
        <v>6606</v>
      </c>
      <c r="Z2354" t="s">
        <v>6616</v>
      </c>
      <c r="AA2354" t="s">
        <v>6637</v>
      </c>
      <c r="AB2354" t="s">
        <v>8564</v>
      </c>
      <c r="AD2354" t="s">
        <v>10874</v>
      </c>
      <c r="AE2354">
        <v>36</v>
      </c>
      <c r="AF2354" t="s">
        <v>8722</v>
      </c>
      <c r="AG2354" t="s">
        <v>5406</v>
      </c>
      <c r="AH2354">
        <v>20</v>
      </c>
      <c r="AI2354">
        <v>2</v>
      </c>
      <c r="AJ2354">
        <v>2</v>
      </c>
      <c r="AK2354">
        <v>196.59</v>
      </c>
      <c r="AN2354" t="s">
        <v>11050</v>
      </c>
      <c r="AO2354">
        <v>48360</v>
      </c>
      <c r="AT2354" t="s">
        <v>11421</v>
      </c>
      <c r="AU2354">
        <v>38.5</v>
      </c>
      <c r="AV2354" t="s">
        <v>714</v>
      </c>
      <c r="AW2354" t="s">
        <v>11520</v>
      </c>
    </row>
    <row r="2355" spans="1:49">
      <c r="A2355" s="1">
        <f>HYPERLINK("https://cms.ls-nyc.org/matter/dynamic-profile/view/1858286","18-1858286")</f>
        <v>0</v>
      </c>
      <c r="B2355" t="s">
        <v>142</v>
      </c>
      <c r="C2355" t="s">
        <v>235</v>
      </c>
      <c r="D2355" t="s">
        <v>238</v>
      </c>
      <c r="F2355" t="s">
        <v>972</v>
      </c>
      <c r="G2355" t="s">
        <v>2215</v>
      </c>
      <c r="H2355" t="s">
        <v>3480</v>
      </c>
      <c r="I2355" t="s">
        <v>5018</v>
      </c>
      <c r="J2355" t="s">
        <v>5320</v>
      </c>
      <c r="K2355">
        <v>11213</v>
      </c>
      <c r="L2355" t="s">
        <v>5355</v>
      </c>
      <c r="M2355" t="s">
        <v>5356</v>
      </c>
      <c r="O2355" t="s">
        <v>6494</v>
      </c>
      <c r="P2355" t="s">
        <v>6530</v>
      </c>
      <c r="R2355" t="s">
        <v>6539</v>
      </c>
      <c r="S2355" t="s">
        <v>5355</v>
      </c>
      <c r="U2355" t="s">
        <v>6557</v>
      </c>
      <c r="W2355" t="s">
        <v>436</v>
      </c>
      <c r="X2355">
        <v>1042</v>
      </c>
      <c r="Y2355" t="s">
        <v>6605</v>
      </c>
      <c r="Z2355" t="s">
        <v>6622</v>
      </c>
      <c r="AB2355" t="s">
        <v>6934</v>
      </c>
      <c r="AD2355" t="s">
        <v>9851</v>
      </c>
      <c r="AE2355">
        <v>107</v>
      </c>
      <c r="AF2355" t="s">
        <v>11005</v>
      </c>
      <c r="AG2355" t="s">
        <v>5406</v>
      </c>
      <c r="AH2355">
        <v>32</v>
      </c>
      <c r="AI2355">
        <v>3</v>
      </c>
      <c r="AJ2355">
        <v>1</v>
      </c>
      <c r="AK2355">
        <v>197.61</v>
      </c>
      <c r="AL2355" t="s">
        <v>266</v>
      </c>
      <c r="AN2355" t="s">
        <v>11049</v>
      </c>
      <c r="AO2355">
        <v>49600</v>
      </c>
      <c r="AU2355">
        <v>0.55</v>
      </c>
      <c r="AV2355" t="s">
        <v>11456</v>
      </c>
      <c r="AW2355" t="s">
        <v>77</v>
      </c>
    </row>
    <row r="2356" spans="1:49">
      <c r="A2356" s="1">
        <f>HYPERLINK("https://cms.ls-nyc.org/matter/dynamic-profile/view/1858664","18-1858664")</f>
        <v>0</v>
      </c>
      <c r="B2356" t="s">
        <v>142</v>
      </c>
      <c r="C2356" t="s">
        <v>234</v>
      </c>
      <c r="D2356" t="s">
        <v>248</v>
      </c>
      <c r="E2356" t="s">
        <v>703</v>
      </c>
      <c r="F2356" t="s">
        <v>2034</v>
      </c>
      <c r="G2356" t="s">
        <v>3341</v>
      </c>
      <c r="H2356" t="s">
        <v>4658</v>
      </c>
      <c r="I2356" t="s">
        <v>4749</v>
      </c>
      <c r="J2356" t="s">
        <v>5320</v>
      </c>
      <c r="K2356">
        <v>11237</v>
      </c>
      <c r="L2356" t="s">
        <v>5355</v>
      </c>
      <c r="M2356" t="s">
        <v>5356</v>
      </c>
      <c r="N2356" t="s">
        <v>6381</v>
      </c>
      <c r="O2356" t="s">
        <v>6491</v>
      </c>
      <c r="P2356" t="s">
        <v>6530</v>
      </c>
      <c r="Q2356" t="s">
        <v>6531</v>
      </c>
      <c r="R2356" t="s">
        <v>6539</v>
      </c>
      <c r="S2356" t="s">
        <v>5357</v>
      </c>
      <c r="U2356" t="s">
        <v>6557</v>
      </c>
      <c r="W2356" t="s">
        <v>248</v>
      </c>
      <c r="X2356">
        <v>696.55</v>
      </c>
      <c r="Y2356" t="s">
        <v>6605</v>
      </c>
      <c r="Z2356" t="s">
        <v>6611</v>
      </c>
      <c r="AA2356" t="s">
        <v>6637</v>
      </c>
      <c r="AB2356" t="s">
        <v>8565</v>
      </c>
      <c r="AC2356">
        <v>25940482</v>
      </c>
      <c r="AD2356" t="s">
        <v>10875</v>
      </c>
      <c r="AE2356">
        <v>16</v>
      </c>
      <c r="AH2356">
        <v>30</v>
      </c>
      <c r="AI2356">
        <v>4</v>
      </c>
      <c r="AJ2356">
        <v>3</v>
      </c>
      <c r="AK2356">
        <v>197.82</v>
      </c>
      <c r="AN2356" t="s">
        <v>11049</v>
      </c>
      <c r="AO2356">
        <v>73471.59</v>
      </c>
      <c r="AU2356">
        <v>35.98</v>
      </c>
      <c r="AV2356" t="s">
        <v>693</v>
      </c>
      <c r="AW2356" t="s">
        <v>11487</v>
      </c>
    </row>
    <row r="2357" spans="1:49">
      <c r="A2357" s="1">
        <f>HYPERLINK("https://cms.ls-nyc.org/matter/dynamic-profile/view/1847881","17-1847881")</f>
        <v>0</v>
      </c>
      <c r="B2357" t="s">
        <v>106</v>
      </c>
      <c r="C2357" t="s">
        <v>235</v>
      </c>
      <c r="D2357" t="s">
        <v>403</v>
      </c>
      <c r="F2357" t="s">
        <v>2035</v>
      </c>
      <c r="G2357" t="s">
        <v>3342</v>
      </c>
      <c r="H2357" t="s">
        <v>4659</v>
      </c>
      <c r="I2357" t="s">
        <v>4778</v>
      </c>
      <c r="J2357" t="s">
        <v>5321</v>
      </c>
      <c r="K2357">
        <v>10471</v>
      </c>
      <c r="L2357" t="s">
        <v>5355</v>
      </c>
      <c r="M2357" t="s">
        <v>5356</v>
      </c>
      <c r="N2357" t="s">
        <v>6382</v>
      </c>
      <c r="O2357" t="s">
        <v>6492</v>
      </c>
      <c r="P2357" t="s">
        <v>6530</v>
      </c>
      <c r="R2357" t="s">
        <v>6540</v>
      </c>
      <c r="S2357" t="s">
        <v>5357</v>
      </c>
      <c r="U2357" t="s">
        <v>6557</v>
      </c>
      <c r="W2357" t="s">
        <v>6599</v>
      </c>
      <c r="X2357">
        <v>1525</v>
      </c>
      <c r="Y2357" t="s">
        <v>6606</v>
      </c>
      <c r="Z2357" t="s">
        <v>6610</v>
      </c>
      <c r="AB2357" t="s">
        <v>8566</v>
      </c>
      <c r="AD2357" t="s">
        <v>10876</v>
      </c>
      <c r="AE2357">
        <v>89</v>
      </c>
      <c r="AF2357" t="s">
        <v>11005</v>
      </c>
      <c r="AG2357" t="s">
        <v>5406</v>
      </c>
      <c r="AH2357">
        <v>2</v>
      </c>
      <c r="AI2357">
        <v>3</v>
      </c>
      <c r="AJ2357">
        <v>0</v>
      </c>
      <c r="AK2357">
        <v>198.33</v>
      </c>
      <c r="AL2357" t="s">
        <v>11028</v>
      </c>
      <c r="AN2357" t="s">
        <v>11050</v>
      </c>
      <c r="AO2357">
        <v>40500</v>
      </c>
      <c r="AU2357">
        <v>323.25</v>
      </c>
      <c r="AV2357" t="s">
        <v>434</v>
      </c>
      <c r="AW2357" t="s">
        <v>57</v>
      </c>
    </row>
    <row r="2358" spans="1:49">
      <c r="A2358" s="1">
        <f>HYPERLINK("https://cms.ls-nyc.org/matter/dynamic-profile/view/1847730","17-1847730")</f>
        <v>0</v>
      </c>
      <c r="B2358" t="s">
        <v>92</v>
      </c>
      <c r="C2358" t="s">
        <v>235</v>
      </c>
      <c r="D2358" t="s">
        <v>237</v>
      </c>
      <c r="F2358" t="s">
        <v>1231</v>
      </c>
      <c r="G2358" t="s">
        <v>3343</v>
      </c>
      <c r="H2358" t="s">
        <v>4307</v>
      </c>
      <c r="I2358" t="s">
        <v>4811</v>
      </c>
      <c r="J2358" t="s">
        <v>5323</v>
      </c>
      <c r="K2358">
        <v>10034</v>
      </c>
      <c r="L2358" t="s">
        <v>5355</v>
      </c>
      <c r="M2358" t="s">
        <v>5356</v>
      </c>
      <c r="N2358" t="s">
        <v>6383</v>
      </c>
      <c r="O2358" t="s">
        <v>6492</v>
      </c>
      <c r="P2358" t="s">
        <v>6530</v>
      </c>
      <c r="R2358" t="s">
        <v>6539</v>
      </c>
      <c r="S2358" t="s">
        <v>5357</v>
      </c>
      <c r="U2358" t="s">
        <v>6557</v>
      </c>
      <c r="W2358" t="s">
        <v>533</v>
      </c>
      <c r="X2358">
        <v>1448.89</v>
      </c>
      <c r="Y2358" t="s">
        <v>6608</v>
      </c>
      <c r="Z2358" t="s">
        <v>6614</v>
      </c>
      <c r="AB2358" t="s">
        <v>8567</v>
      </c>
      <c r="AD2358" t="s">
        <v>10877</v>
      </c>
      <c r="AE2358">
        <v>32</v>
      </c>
      <c r="AF2358" t="s">
        <v>11005</v>
      </c>
      <c r="AG2358" t="s">
        <v>5406</v>
      </c>
      <c r="AH2358">
        <v>16</v>
      </c>
      <c r="AI2358">
        <v>3</v>
      </c>
      <c r="AJ2358">
        <v>0</v>
      </c>
      <c r="AK2358">
        <v>198.67</v>
      </c>
      <c r="AN2358" t="s">
        <v>11050</v>
      </c>
      <c r="AO2358">
        <v>40568</v>
      </c>
      <c r="AU2358">
        <v>60.4</v>
      </c>
      <c r="AV2358" t="s">
        <v>779</v>
      </c>
      <c r="AW2358" t="s">
        <v>11497</v>
      </c>
    </row>
    <row r="2359" spans="1:49">
      <c r="A2359" s="1">
        <f>HYPERLINK("https://cms.ls-nyc.org/matter/dynamic-profile/view/1855261","18-1855261")</f>
        <v>0</v>
      </c>
      <c r="B2359" t="s">
        <v>228</v>
      </c>
      <c r="C2359" t="s">
        <v>234</v>
      </c>
      <c r="D2359" t="s">
        <v>351</v>
      </c>
      <c r="E2359" t="s">
        <v>775</v>
      </c>
      <c r="F2359" t="s">
        <v>2036</v>
      </c>
      <c r="G2359" t="s">
        <v>3344</v>
      </c>
      <c r="H2359" t="s">
        <v>4660</v>
      </c>
      <c r="J2359" t="s">
        <v>5324</v>
      </c>
      <c r="K2359">
        <v>11355</v>
      </c>
      <c r="L2359" t="s">
        <v>5355</v>
      </c>
      <c r="M2359" t="s">
        <v>5356</v>
      </c>
      <c r="N2359" t="s">
        <v>6384</v>
      </c>
      <c r="O2359" t="s">
        <v>6492</v>
      </c>
      <c r="P2359" t="s">
        <v>6530</v>
      </c>
      <c r="Q2359" t="s">
        <v>6538</v>
      </c>
      <c r="R2359" t="s">
        <v>6539</v>
      </c>
      <c r="S2359" t="s">
        <v>5357</v>
      </c>
      <c r="U2359" t="s">
        <v>6557</v>
      </c>
      <c r="W2359" t="s">
        <v>351</v>
      </c>
      <c r="X2359">
        <v>1020</v>
      </c>
      <c r="Y2359" t="s">
        <v>6604</v>
      </c>
      <c r="Z2359" t="s">
        <v>6615</v>
      </c>
      <c r="AA2359" t="s">
        <v>6637</v>
      </c>
      <c r="AB2359" t="s">
        <v>8568</v>
      </c>
      <c r="AD2359" t="s">
        <v>10878</v>
      </c>
      <c r="AE2359">
        <v>49</v>
      </c>
      <c r="AF2359" t="s">
        <v>11005</v>
      </c>
      <c r="AG2359" t="s">
        <v>5406</v>
      </c>
      <c r="AH2359">
        <v>2</v>
      </c>
      <c r="AI2359">
        <v>1</v>
      </c>
      <c r="AJ2359">
        <v>0</v>
      </c>
      <c r="AK2359">
        <v>199</v>
      </c>
      <c r="AN2359" t="s">
        <v>11050</v>
      </c>
      <c r="AO2359">
        <v>24000</v>
      </c>
      <c r="AU2359">
        <v>16.85</v>
      </c>
      <c r="AV2359" t="s">
        <v>775</v>
      </c>
      <c r="AW2359" t="s">
        <v>96</v>
      </c>
    </row>
    <row r="2360" spans="1:49">
      <c r="A2360" s="1">
        <f>HYPERLINK("https://cms.ls-nyc.org/matter/dynamic-profile/view/1845764","17-1845764")</f>
        <v>0</v>
      </c>
      <c r="B2360" t="s">
        <v>109</v>
      </c>
      <c r="C2360" t="s">
        <v>234</v>
      </c>
      <c r="D2360" t="s">
        <v>443</v>
      </c>
      <c r="E2360" t="s">
        <v>709</v>
      </c>
      <c r="F2360" t="s">
        <v>2037</v>
      </c>
      <c r="G2360" t="s">
        <v>3345</v>
      </c>
      <c r="H2360" t="s">
        <v>4661</v>
      </c>
      <c r="I2360" t="s">
        <v>4936</v>
      </c>
      <c r="J2360" t="s">
        <v>5320</v>
      </c>
      <c r="K2360">
        <v>11214</v>
      </c>
      <c r="L2360" t="s">
        <v>5355</v>
      </c>
      <c r="M2360" t="s">
        <v>5356</v>
      </c>
      <c r="O2360" t="s">
        <v>6492</v>
      </c>
      <c r="P2360" t="s">
        <v>6530</v>
      </c>
      <c r="Q2360" t="s">
        <v>6531</v>
      </c>
      <c r="R2360" t="s">
        <v>6539</v>
      </c>
      <c r="S2360" t="s">
        <v>5355</v>
      </c>
      <c r="U2360" t="s">
        <v>6557</v>
      </c>
      <c r="W2360" t="s">
        <v>6578</v>
      </c>
      <c r="X2360">
        <v>1335</v>
      </c>
      <c r="Y2360" t="s">
        <v>6605</v>
      </c>
      <c r="AA2360" t="s">
        <v>6637</v>
      </c>
      <c r="AB2360" t="s">
        <v>7204</v>
      </c>
      <c r="AD2360" t="s">
        <v>9591</v>
      </c>
      <c r="AE2360">
        <v>15</v>
      </c>
      <c r="AF2360" t="s">
        <v>11005</v>
      </c>
      <c r="AH2360">
        <v>3</v>
      </c>
      <c r="AI2360">
        <v>1</v>
      </c>
      <c r="AJ2360">
        <v>0</v>
      </c>
      <c r="AK2360">
        <v>199</v>
      </c>
      <c r="AL2360" t="s">
        <v>465</v>
      </c>
      <c r="AN2360" t="s">
        <v>11050</v>
      </c>
      <c r="AO2360">
        <v>24000</v>
      </c>
      <c r="AU2360">
        <v>7.7</v>
      </c>
      <c r="AV2360" t="s">
        <v>709</v>
      </c>
      <c r="AW2360" t="s">
        <v>11489</v>
      </c>
    </row>
    <row r="2361" spans="1:49">
      <c r="A2361" s="1">
        <f>HYPERLINK("https://cms.ls-nyc.org/matter/dynamic-profile/view/1856573","18-1856573")</f>
        <v>0</v>
      </c>
      <c r="B2361" t="s">
        <v>135</v>
      </c>
      <c r="C2361" t="s">
        <v>235</v>
      </c>
      <c r="D2361" t="s">
        <v>458</v>
      </c>
      <c r="F2361" t="s">
        <v>1185</v>
      </c>
      <c r="G2361" t="s">
        <v>2544</v>
      </c>
      <c r="H2361" t="s">
        <v>3775</v>
      </c>
      <c r="I2361" t="s">
        <v>4749</v>
      </c>
      <c r="J2361" t="s">
        <v>5320</v>
      </c>
      <c r="K2361">
        <v>11206</v>
      </c>
      <c r="L2361" t="s">
        <v>5355</v>
      </c>
      <c r="M2361" t="s">
        <v>5356</v>
      </c>
      <c r="O2361" t="s">
        <v>6494</v>
      </c>
      <c r="P2361" t="s">
        <v>6530</v>
      </c>
      <c r="R2361" t="s">
        <v>6539</v>
      </c>
      <c r="S2361" t="s">
        <v>5355</v>
      </c>
      <c r="U2361" t="s">
        <v>6557</v>
      </c>
      <c r="W2361" t="s">
        <v>290</v>
      </c>
      <c r="X2361">
        <v>1157.82</v>
      </c>
      <c r="Y2361" t="s">
        <v>6605</v>
      </c>
      <c r="Z2361" t="s">
        <v>6612</v>
      </c>
      <c r="AB2361" t="s">
        <v>7234</v>
      </c>
      <c r="AD2361" t="s">
        <v>9620</v>
      </c>
      <c r="AE2361">
        <v>25</v>
      </c>
      <c r="AF2361" t="s">
        <v>11013</v>
      </c>
      <c r="AG2361" t="s">
        <v>5406</v>
      </c>
      <c r="AH2361">
        <v>25</v>
      </c>
      <c r="AI2361">
        <v>1</v>
      </c>
      <c r="AJ2361">
        <v>0</v>
      </c>
      <c r="AK2361">
        <v>199</v>
      </c>
      <c r="AN2361" t="s">
        <v>11050</v>
      </c>
      <c r="AO2361">
        <v>24000</v>
      </c>
      <c r="AU2361">
        <v>108.45</v>
      </c>
      <c r="AV2361" t="s">
        <v>729</v>
      </c>
      <c r="AW2361" t="s">
        <v>11512</v>
      </c>
    </row>
    <row r="2362" spans="1:49">
      <c r="A2362" s="1">
        <f>HYPERLINK("https://cms.ls-nyc.org/matter/dynamic-profile/view/1868572","18-1868572")</f>
        <v>0</v>
      </c>
      <c r="B2362" t="s">
        <v>55</v>
      </c>
      <c r="C2362" t="s">
        <v>234</v>
      </c>
      <c r="D2362" t="s">
        <v>267</v>
      </c>
      <c r="E2362" t="s">
        <v>774</v>
      </c>
      <c r="F2362" t="s">
        <v>2038</v>
      </c>
      <c r="G2362" t="s">
        <v>3346</v>
      </c>
      <c r="H2362" t="s">
        <v>4662</v>
      </c>
      <c r="I2362" t="s">
        <v>4794</v>
      </c>
      <c r="J2362" t="s">
        <v>5320</v>
      </c>
      <c r="K2362">
        <v>11219</v>
      </c>
      <c r="L2362" t="s">
        <v>5355</v>
      </c>
      <c r="M2362" t="s">
        <v>5356</v>
      </c>
      <c r="N2362" t="s">
        <v>6385</v>
      </c>
      <c r="O2362" t="s">
        <v>6492</v>
      </c>
      <c r="P2362" t="s">
        <v>6530</v>
      </c>
      <c r="Q2362" t="s">
        <v>6534</v>
      </c>
      <c r="R2362" t="s">
        <v>6539</v>
      </c>
      <c r="S2362" t="s">
        <v>5357</v>
      </c>
      <c r="U2362" t="s">
        <v>6557</v>
      </c>
      <c r="W2362" t="s">
        <v>516</v>
      </c>
      <c r="X2362">
        <v>2080</v>
      </c>
      <c r="Y2362" t="s">
        <v>6605</v>
      </c>
      <c r="Z2362" t="s">
        <v>6614</v>
      </c>
      <c r="AA2362" t="s">
        <v>6637</v>
      </c>
      <c r="AB2362" t="s">
        <v>8569</v>
      </c>
      <c r="AC2362">
        <v>37236281</v>
      </c>
      <c r="AD2362" t="s">
        <v>10879</v>
      </c>
      <c r="AE2362">
        <v>10</v>
      </c>
      <c r="AF2362" t="s">
        <v>11005</v>
      </c>
      <c r="AG2362" t="s">
        <v>5406</v>
      </c>
      <c r="AH2362">
        <v>9</v>
      </c>
      <c r="AI2362">
        <v>1</v>
      </c>
      <c r="AJ2362">
        <v>3</v>
      </c>
      <c r="AK2362">
        <v>199.2</v>
      </c>
      <c r="AN2362" t="s">
        <v>11050</v>
      </c>
      <c r="AO2362">
        <v>50000</v>
      </c>
      <c r="AU2362">
        <v>11.8</v>
      </c>
      <c r="AV2362" t="s">
        <v>774</v>
      </c>
      <c r="AW2362" t="s">
        <v>11490</v>
      </c>
    </row>
    <row r="2363" spans="1:49">
      <c r="A2363" s="1">
        <f>HYPERLINK("https://cms.ls-nyc.org/matter/dynamic-profile/view/1866994","18-1866994")</f>
        <v>0</v>
      </c>
      <c r="B2363" t="s">
        <v>58</v>
      </c>
      <c r="C2363" t="s">
        <v>234</v>
      </c>
      <c r="D2363" t="s">
        <v>244</v>
      </c>
      <c r="E2363" t="s">
        <v>738</v>
      </c>
      <c r="F2363" t="s">
        <v>1287</v>
      </c>
      <c r="G2363" t="s">
        <v>3347</v>
      </c>
      <c r="H2363" t="s">
        <v>4663</v>
      </c>
      <c r="I2363" t="s">
        <v>4791</v>
      </c>
      <c r="J2363" t="s">
        <v>5321</v>
      </c>
      <c r="K2363">
        <v>10453</v>
      </c>
      <c r="L2363" t="s">
        <v>5355</v>
      </c>
      <c r="M2363" t="s">
        <v>5356</v>
      </c>
      <c r="N2363" t="s">
        <v>6386</v>
      </c>
      <c r="O2363" t="s">
        <v>6492</v>
      </c>
      <c r="P2363" t="s">
        <v>6530</v>
      </c>
      <c r="Q2363" t="s">
        <v>6534</v>
      </c>
      <c r="R2363" t="s">
        <v>6539</v>
      </c>
      <c r="U2363" t="s">
        <v>6557</v>
      </c>
      <c r="W2363" t="s">
        <v>299</v>
      </c>
      <c r="X2363">
        <v>1055</v>
      </c>
      <c r="Y2363" t="s">
        <v>6606</v>
      </c>
      <c r="Z2363" t="s">
        <v>6611</v>
      </c>
      <c r="AA2363" t="s">
        <v>6637</v>
      </c>
      <c r="AB2363" t="s">
        <v>8570</v>
      </c>
      <c r="AD2363" t="s">
        <v>10880</v>
      </c>
      <c r="AE2363">
        <v>0</v>
      </c>
      <c r="AH2363">
        <v>12</v>
      </c>
      <c r="AI2363">
        <v>1</v>
      </c>
      <c r="AJ2363">
        <v>3</v>
      </c>
      <c r="AK2363">
        <v>199.2</v>
      </c>
      <c r="AO2363">
        <v>50000</v>
      </c>
      <c r="AP2363" t="s">
        <v>11079</v>
      </c>
      <c r="AQ2363" t="s">
        <v>11191</v>
      </c>
      <c r="AR2363" t="s">
        <v>11211</v>
      </c>
      <c r="AS2363" t="s">
        <v>11253</v>
      </c>
      <c r="AT2363" t="s">
        <v>11419</v>
      </c>
      <c r="AU2363">
        <v>10.1</v>
      </c>
      <c r="AV2363" t="s">
        <v>738</v>
      </c>
      <c r="AW2363" t="s">
        <v>11535</v>
      </c>
    </row>
    <row r="2364" spans="1:49">
      <c r="A2364" s="1">
        <f>HYPERLINK("https://cms.ls-nyc.org/matter/dynamic-profile/view/1863783","18-1863783")</f>
        <v>0</v>
      </c>
      <c r="B2364" t="s">
        <v>92</v>
      </c>
      <c r="C2364" t="s">
        <v>235</v>
      </c>
      <c r="D2364" t="s">
        <v>288</v>
      </c>
      <c r="F2364" t="s">
        <v>2039</v>
      </c>
      <c r="G2364" t="s">
        <v>3348</v>
      </c>
      <c r="H2364" t="s">
        <v>3579</v>
      </c>
      <c r="I2364">
        <v>8030</v>
      </c>
      <c r="J2364" t="s">
        <v>5323</v>
      </c>
      <c r="K2364">
        <v>10029</v>
      </c>
      <c r="L2364" t="s">
        <v>5355</v>
      </c>
      <c r="M2364" t="s">
        <v>5355</v>
      </c>
      <c r="N2364" t="s">
        <v>5632</v>
      </c>
      <c r="O2364" t="s">
        <v>6494</v>
      </c>
      <c r="P2364" t="s">
        <v>6530</v>
      </c>
      <c r="R2364" t="s">
        <v>6539</v>
      </c>
      <c r="S2364" t="s">
        <v>5355</v>
      </c>
      <c r="U2364" t="s">
        <v>6557</v>
      </c>
      <c r="V2364" t="s">
        <v>6566</v>
      </c>
      <c r="W2364" t="s">
        <v>263</v>
      </c>
      <c r="X2364">
        <v>0</v>
      </c>
      <c r="Y2364" t="s">
        <v>6608</v>
      </c>
      <c r="Z2364" t="s">
        <v>6622</v>
      </c>
      <c r="AB2364" t="s">
        <v>8571</v>
      </c>
      <c r="AD2364" t="s">
        <v>10881</v>
      </c>
      <c r="AE2364">
        <v>108</v>
      </c>
      <c r="AF2364" t="s">
        <v>11008</v>
      </c>
      <c r="AG2364" t="s">
        <v>11020</v>
      </c>
      <c r="AH2364">
        <v>6</v>
      </c>
      <c r="AI2364">
        <v>2</v>
      </c>
      <c r="AJ2364">
        <v>1</v>
      </c>
      <c r="AK2364">
        <v>200.19</v>
      </c>
      <c r="AN2364" t="s">
        <v>11050</v>
      </c>
      <c r="AO2364">
        <v>41600</v>
      </c>
      <c r="AP2364" t="s">
        <v>11097</v>
      </c>
      <c r="AU2364">
        <v>0.6</v>
      </c>
      <c r="AV2364" t="s">
        <v>777</v>
      </c>
      <c r="AW2364" t="s">
        <v>11497</v>
      </c>
    </row>
    <row r="2365" spans="1:49">
      <c r="A2365" s="1">
        <f>HYPERLINK("https://cms.ls-nyc.org/matter/dynamic-profile/view/1840475","17-1840475")</f>
        <v>0</v>
      </c>
      <c r="B2365" t="s">
        <v>65</v>
      </c>
      <c r="C2365" t="s">
        <v>235</v>
      </c>
      <c r="D2365" t="s">
        <v>441</v>
      </c>
      <c r="F2365" t="s">
        <v>2040</v>
      </c>
      <c r="G2365" t="s">
        <v>3054</v>
      </c>
      <c r="H2365" t="s">
        <v>4284</v>
      </c>
      <c r="I2365" t="s">
        <v>4750</v>
      </c>
      <c r="J2365" t="s">
        <v>5323</v>
      </c>
      <c r="K2365">
        <v>10034</v>
      </c>
      <c r="L2365" t="s">
        <v>5355</v>
      </c>
      <c r="M2365" t="s">
        <v>5356</v>
      </c>
      <c r="N2365" t="s">
        <v>5944</v>
      </c>
      <c r="O2365" t="s">
        <v>6491</v>
      </c>
      <c r="P2365" t="s">
        <v>6530</v>
      </c>
      <c r="R2365" t="s">
        <v>6539</v>
      </c>
      <c r="S2365" t="s">
        <v>5357</v>
      </c>
      <c r="U2365" t="s">
        <v>6557</v>
      </c>
      <c r="W2365" t="s">
        <v>404</v>
      </c>
      <c r="X2365">
        <v>1067</v>
      </c>
      <c r="Y2365" t="s">
        <v>6608</v>
      </c>
      <c r="Z2365" t="s">
        <v>6616</v>
      </c>
      <c r="AB2365" t="s">
        <v>8572</v>
      </c>
      <c r="AD2365" t="s">
        <v>10882</v>
      </c>
      <c r="AE2365">
        <v>49</v>
      </c>
      <c r="AF2365" t="s">
        <v>11005</v>
      </c>
      <c r="AG2365" t="s">
        <v>5406</v>
      </c>
      <c r="AH2365">
        <v>14</v>
      </c>
      <c r="AI2365">
        <v>3</v>
      </c>
      <c r="AJ2365">
        <v>0</v>
      </c>
      <c r="AK2365">
        <v>200.76</v>
      </c>
      <c r="AN2365" t="s">
        <v>11050</v>
      </c>
      <c r="AO2365">
        <v>40995</v>
      </c>
      <c r="AU2365">
        <v>193.05</v>
      </c>
      <c r="AV2365" t="s">
        <v>761</v>
      </c>
      <c r="AW2365" t="s">
        <v>11495</v>
      </c>
    </row>
    <row r="2366" spans="1:49">
      <c r="A2366" s="1">
        <f>HYPERLINK("https://cms.ls-nyc.org/matter/dynamic-profile/view/0769528","15-0769528")</f>
        <v>0</v>
      </c>
      <c r="B2366" t="s">
        <v>179</v>
      </c>
      <c r="C2366" t="s">
        <v>235</v>
      </c>
      <c r="D2366" t="s">
        <v>650</v>
      </c>
      <c r="F2366" t="s">
        <v>2041</v>
      </c>
      <c r="G2366" t="s">
        <v>2120</v>
      </c>
      <c r="H2366" t="s">
        <v>4644</v>
      </c>
      <c r="I2366" t="s">
        <v>4744</v>
      </c>
      <c r="J2366" t="s">
        <v>5320</v>
      </c>
      <c r="K2366">
        <v>11213</v>
      </c>
      <c r="L2366" t="s">
        <v>5356</v>
      </c>
      <c r="M2366" t="s">
        <v>5356</v>
      </c>
      <c r="N2366" t="s">
        <v>6387</v>
      </c>
      <c r="O2366" t="s">
        <v>6491</v>
      </c>
      <c r="P2366" t="s">
        <v>6530</v>
      </c>
      <c r="R2366" t="s">
        <v>6539</v>
      </c>
      <c r="U2366" t="s">
        <v>6557</v>
      </c>
      <c r="W2366" t="s">
        <v>6583</v>
      </c>
      <c r="X2366">
        <v>1575.48</v>
      </c>
      <c r="Y2366" t="s">
        <v>6605</v>
      </c>
      <c r="AB2366" t="s">
        <v>8573</v>
      </c>
      <c r="AD2366" t="s">
        <v>10883</v>
      </c>
      <c r="AE2366">
        <v>23</v>
      </c>
      <c r="AF2366" t="s">
        <v>11005</v>
      </c>
      <c r="AH2366">
        <v>0</v>
      </c>
      <c r="AI2366">
        <v>3</v>
      </c>
      <c r="AJ2366">
        <v>0</v>
      </c>
      <c r="AK2366">
        <v>200.91</v>
      </c>
      <c r="AL2366" t="s">
        <v>11041</v>
      </c>
      <c r="AN2366" t="s">
        <v>11050</v>
      </c>
      <c r="AO2366">
        <v>39760</v>
      </c>
      <c r="AU2366">
        <v>75</v>
      </c>
      <c r="AV2366" t="s">
        <v>11481</v>
      </c>
      <c r="AW2366" t="s">
        <v>206</v>
      </c>
    </row>
    <row r="2367" spans="1:49">
      <c r="A2367" s="1">
        <f>HYPERLINK("https://cms.ls-nyc.org/matter/dynamic-profile/view/1862511","18-1862511")</f>
        <v>0</v>
      </c>
      <c r="B2367" t="s">
        <v>90</v>
      </c>
      <c r="C2367" t="s">
        <v>235</v>
      </c>
      <c r="D2367" t="s">
        <v>408</v>
      </c>
      <c r="F2367" t="s">
        <v>1427</v>
      </c>
      <c r="G2367" t="s">
        <v>2697</v>
      </c>
      <c r="H2367" t="s">
        <v>3589</v>
      </c>
      <c r="I2367" t="s">
        <v>4861</v>
      </c>
      <c r="J2367" t="s">
        <v>5321</v>
      </c>
      <c r="K2367">
        <v>10452</v>
      </c>
      <c r="L2367" t="s">
        <v>5355</v>
      </c>
      <c r="M2367" t="s">
        <v>5356</v>
      </c>
      <c r="N2367" t="s">
        <v>5792</v>
      </c>
      <c r="O2367" t="s">
        <v>6494</v>
      </c>
      <c r="P2367" t="s">
        <v>6530</v>
      </c>
      <c r="R2367" t="s">
        <v>6539</v>
      </c>
      <c r="S2367" t="s">
        <v>5355</v>
      </c>
      <c r="U2367" t="s">
        <v>6557</v>
      </c>
      <c r="W2367" t="s">
        <v>480</v>
      </c>
      <c r="X2367">
        <v>1300</v>
      </c>
      <c r="Y2367" t="s">
        <v>6606</v>
      </c>
      <c r="Z2367" t="s">
        <v>6612</v>
      </c>
      <c r="AB2367" t="s">
        <v>7460</v>
      </c>
      <c r="AD2367" t="s">
        <v>9831</v>
      </c>
      <c r="AE2367">
        <v>60</v>
      </c>
      <c r="AF2367" t="s">
        <v>11005</v>
      </c>
      <c r="AG2367" t="s">
        <v>5406</v>
      </c>
      <c r="AH2367">
        <v>1</v>
      </c>
      <c r="AI2367">
        <v>2</v>
      </c>
      <c r="AJ2367">
        <v>1</v>
      </c>
      <c r="AK2367">
        <v>202.12</v>
      </c>
      <c r="AN2367" t="s">
        <v>11050</v>
      </c>
      <c r="AO2367">
        <v>42000</v>
      </c>
      <c r="AU2367">
        <v>0</v>
      </c>
      <c r="AW2367" t="s">
        <v>11492</v>
      </c>
    </row>
    <row r="2368" spans="1:49">
      <c r="A2368" s="1">
        <f>HYPERLINK("https://cms.ls-nyc.org/matter/dynamic-profile/view/1864458","18-1864458")</f>
        <v>0</v>
      </c>
      <c r="B2368" t="s">
        <v>92</v>
      </c>
      <c r="C2368" t="s">
        <v>235</v>
      </c>
      <c r="D2368" t="s">
        <v>256</v>
      </c>
      <c r="F2368" t="s">
        <v>854</v>
      </c>
      <c r="G2368" t="s">
        <v>2172</v>
      </c>
      <c r="H2368" t="s">
        <v>3579</v>
      </c>
      <c r="I2368">
        <v>607</v>
      </c>
      <c r="J2368" t="s">
        <v>5323</v>
      </c>
      <c r="K2368">
        <v>10029</v>
      </c>
      <c r="L2368" t="s">
        <v>5355</v>
      </c>
      <c r="M2368" t="s">
        <v>5355</v>
      </c>
      <c r="N2368" t="s">
        <v>5632</v>
      </c>
      <c r="O2368" t="s">
        <v>6494</v>
      </c>
      <c r="P2368" t="s">
        <v>6530</v>
      </c>
      <c r="R2368" t="s">
        <v>6539</v>
      </c>
      <c r="S2368" t="s">
        <v>5355</v>
      </c>
      <c r="U2368" t="s">
        <v>6557</v>
      </c>
      <c r="V2368" t="s">
        <v>6566</v>
      </c>
      <c r="W2368" t="s">
        <v>256</v>
      </c>
      <c r="X2368">
        <v>0</v>
      </c>
      <c r="Y2368" t="s">
        <v>6608</v>
      </c>
      <c r="Z2368" t="s">
        <v>6622</v>
      </c>
      <c r="AB2368" t="s">
        <v>8574</v>
      </c>
      <c r="AE2368">
        <v>108</v>
      </c>
      <c r="AF2368" t="s">
        <v>11008</v>
      </c>
      <c r="AG2368" t="s">
        <v>11020</v>
      </c>
      <c r="AH2368">
        <v>15</v>
      </c>
      <c r="AI2368">
        <v>2</v>
      </c>
      <c r="AJ2368">
        <v>1</v>
      </c>
      <c r="AK2368">
        <v>202.12</v>
      </c>
      <c r="AN2368" t="s">
        <v>11050</v>
      </c>
      <c r="AO2368">
        <v>42000</v>
      </c>
      <c r="AU2368">
        <v>1.3</v>
      </c>
      <c r="AV2368" t="s">
        <v>287</v>
      </c>
      <c r="AW2368" t="s">
        <v>11497</v>
      </c>
    </row>
    <row r="2369" spans="1:49">
      <c r="A2369" s="1">
        <f>HYPERLINK("https://cms.ls-nyc.org/matter/dynamic-profile/view/1842696","17-1842696")</f>
        <v>0</v>
      </c>
      <c r="B2369" t="s">
        <v>148</v>
      </c>
      <c r="C2369" t="s">
        <v>234</v>
      </c>
      <c r="D2369" t="s">
        <v>421</v>
      </c>
      <c r="E2369" t="s">
        <v>695</v>
      </c>
      <c r="F2369" t="s">
        <v>2042</v>
      </c>
      <c r="G2369" t="s">
        <v>3349</v>
      </c>
      <c r="H2369" t="s">
        <v>4152</v>
      </c>
      <c r="I2369" t="s">
        <v>5288</v>
      </c>
      <c r="J2369" t="s">
        <v>5322</v>
      </c>
      <c r="K2369">
        <v>10304</v>
      </c>
      <c r="L2369" t="s">
        <v>5355</v>
      </c>
      <c r="M2369" t="s">
        <v>5356</v>
      </c>
      <c r="N2369" t="s">
        <v>6388</v>
      </c>
      <c r="O2369" t="s">
        <v>6492</v>
      </c>
      <c r="P2369" t="s">
        <v>6530</v>
      </c>
      <c r="Q2369" t="s">
        <v>6534</v>
      </c>
      <c r="R2369" t="s">
        <v>6539</v>
      </c>
      <c r="S2369" t="s">
        <v>5357</v>
      </c>
      <c r="U2369" t="s">
        <v>6557</v>
      </c>
      <c r="W2369" t="s">
        <v>374</v>
      </c>
      <c r="X2369">
        <v>417</v>
      </c>
      <c r="Y2369" t="s">
        <v>6607</v>
      </c>
      <c r="Z2369" t="s">
        <v>6612</v>
      </c>
      <c r="AA2369" t="s">
        <v>6637</v>
      </c>
      <c r="AB2369" t="s">
        <v>8575</v>
      </c>
      <c r="AC2369" t="s">
        <v>9091</v>
      </c>
      <c r="AD2369" t="s">
        <v>10884</v>
      </c>
      <c r="AE2369">
        <v>304</v>
      </c>
      <c r="AF2369" t="s">
        <v>11008</v>
      </c>
      <c r="AG2369" t="s">
        <v>11020</v>
      </c>
      <c r="AH2369">
        <v>2</v>
      </c>
      <c r="AI2369">
        <v>1</v>
      </c>
      <c r="AJ2369">
        <v>1</v>
      </c>
      <c r="AK2369">
        <v>203</v>
      </c>
      <c r="AL2369" t="s">
        <v>374</v>
      </c>
      <c r="AN2369" t="s">
        <v>11050</v>
      </c>
      <c r="AO2369">
        <v>32968</v>
      </c>
      <c r="AP2369" t="s">
        <v>11176</v>
      </c>
      <c r="AU2369">
        <v>8.65</v>
      </c>
      <c r="AV2369" t="s">
        <v>457</v>
      </c>
      <c r="AW2369" t="s">
        <v>11510</v>
      </c>
    </row>
    <row r="2370" spans="1:49">
      <c r="A2370" s="1">
        <f>HYPERLINK("https://cms.ls-nyc.org/matter/dynamic-profile/view/1853438","17-1853438")</f>
        <v>0</v>
      </c>
      <c r="B2370" t="s">
        <v>76</v>
      </c>
      <c r="C2370" t="s">
        <v>234</v>
      </c>
      <c r="D2370" t="s">
        <v>562</v>
      </c>
      <c r="E2370" t="s">
        <v>726</v>
      </c>
      <c r="F2370" t="s">
        <v>2043</v>
      </c>
      <c r="G2370" t="s">
        <v>2440</v>
      </c>
      <c r="H2370" t="s">
        <v>3473</v>
      </c>
      <c r="I2370" t="s">
        <v>5289</v>
      </c>
      <c r="J2370" t="s">
        <v>5323</v>
      </c>
      <c r="K2370">
        <v>10035</v>
      </c>
      <c r="L2370" t="s">
        <v>5355</v>
      </c>
      <c r="M2370" t="s">
        <v>5355</v>
      </c>
      <c r="N2370" t="s">
        <v>6389</v>
      </c>
      <c r="O2370" t="s">
        <v>6491</v>
      </c>
      <c r="P2370" t="s">
        <v>6530</v>
      </c>
      <c r="Q2370" t="s">
        <v>6534</v>
      </c>
      <c r="R2370" t="s">
        <v>6539</v>
      </c>
      <c r="S2370" t="s">
        <v>5357</v>
      </c>
      <c r="U2370" t="s">
        <v>6557</v>
      </c>
      <c r="V2370" t="s">
        <v>6566</v>
      </c>
      <c r="W2370" t="s">
        <v>302</v>
      </c>
      <c r="X2370">
        <v>2150</v>
      </c>
      <c r="Y2370" t="s">
        <v>6608</v>
      </c>
      <c r="Z2370" t="s">
        <v>6621</v>
      </c>
      <c r="AA2370" t="s">
        <v>6637</v>
      </c>
      <c r="AB2370" t="s">
        <v>8576</v>
      </c>
      <c r="AD2370" t="s">
        <v>10885</v>
      </c>
      <c r="AE2370">
        <v>30</v>
      </c>
      <c r="AF2370" t="s">
        <v>11004</v>
      </c>
      <c r="AG2370" t="s">
        <v>5406</v>
      </c>
      <c r="AH2370">
        <v>2</v>
      </c>
      <c r="AI2370">
        <v>2</v>
      </c>
      <c r="AJ2370">
        <v>2</v>
      </c>
      <c r="AK2370">
        <v>203.25</v>
      </c>
      <c r="AL2370" t="s">
        <v>11029</v>
      </c>
      <c r="AN2370" t="s">
        <v>11050</v>
      </c>
      <c r="AO2370">
        <v>50000</v>
      </c>
      <c r="AU2370">
        <v>17.8</v>
      </c>
      <c r="AV2370" t="s">
        <v>722</v>
      </c>
      <c r="AW2370" t="s">
        <v>11515</v>
      </c>
    </row>
    <row r="2371" spans="1:49">
      <c r="A2371" s="1">
        <f>HYPERLINK("https://cms.ls-nyc.org/matter/dynamic-profile/view/1840020","17-1840020")</f>
        <v>0</v>
      </c>
      <c r="B2371" t="s">
        <v>61</v>
      </c>
      <c r="C2371" t="s">
        <v>234</v>
      </c>
      <c r="D2371" t="s">
        <v>412</v>
      </c>
      <c r="E2371" t="s">
        <v>712</v>
      </c>
      <c r="F2371" t="s">
        <v>1375</v>
      </c>
      <c r="G2371" t="s">
        <v>3350</v>
      </c>
      <c r="H2371" t="s">
        <v>4664</v>
      </c>
      <c r="I2371" t="s">
        <v>4744</v>
      </c>
      <c r="J2371" t="s">
        <v>5321</v>
      </c>
      <c r="K2371">
        <v>10453</v>
      </c>
      <c r="L2371" t="s">
        <v>5355</v>
      </c>
      <c r="M2371" t="s">
        <v>5356</v>
      </c>
      <c r="N2371" t="s">
        <v>6390</v>
      </c>
      <c r="O2371" t="s">
        <v>6492</v>
      </c>
      <c r="P2371" t="s">
        <v>6530</v>
      </c>
      <c r="Q2371" t="s">
        <v>6534</v>
      </c>
      <c r="R2371" t="s">
        <v>6539</v>
      </c>
      <c r="S2371" t="s">
        <v>5357</v>
      </c>
      <c r="U2371" t="s">
        <v>6557</v>
      </c>
      <c r="W2371" t="s">
        <v>406</v>
      </c>
      <c r="X2371">
        <v>1506.22</v>
      </c>
      <c r="Y2371" t="s">
        <v>6606</v>
      </c>
      <c r="Z2371" t="s">
        <v>6611</v>
      </c>
      <c r="AA2371" t="s">
        <v>6637</v>
      </c>
      <c r="AB2371" t="s">
        <v>8577</v>
      </c>
      <c r="AD2371" t="s">
        <v>10886</v>
      </c>
      <c r="AE2371">
        <v>60</v>
      </c>
      <c r="AF2371" t="s">
        <v>8722</v>
      </c>
      <c r="AG2371" t="s">
        <v>5406</v>
      </c>
      <c r="AH2371">
        <v>6</v>
      </c>
      <c r="AI2371">
        <v>1</v>
      </c>
      <c r="AJ2371">
        <v>2</v>
      </c>
      <c r="AK2371">
        <v>203.72</v>
      </c>
      <c r="AL2371" t="s">
        <v>261</v>
      </c>
      <c r="AM2371" t="s">
        <v>11045</v>
      </c>
      <c r="AN2371" t="s">
        <v>11050</v>
      </c>
      <c r="AO2371">
        <v>41600</v>
      </c>
      <c r="AT2371" t="s">
        <v>11324</v>
      </c>
      <c r="AU2371">
        <v>42.35</v>
      </c>
      <c r="AV2371" t="s">
        <v>345</v>
      </c>
      <c r="AW2371" t="s">
        <v>11492</v>
      </c>
    </row>
    <row r="2372" spans="1:49">
      <c r="A2372" s="1">
        <f>HYPERLINK("https://cms.ls-nyc.org/matter/dynamic-profile/view/1856438","18-1856438")</f>
        <v>0</v>
      </c>
      <c r="B2372" t="s">
        <v>139</v>
      </c>
      <c r="C2372" t="s">
        <v>234</v>
      </c>
      <c r="D2372" t="s">
        <v>458</v>
      </c>
      <c r="E2372" t="s">
        <v>665</v>
      </c>
      <c r="F2372" t="s">
        <v>1979</v>
      </c>
      <c r="G2372" t="s">
        <v>3351</v>
      </c>
      <c r="H2372" t="s">
        <v>4665</v>
      </c>
      <c r="I2372" t="s">
        <v>4765</v>
      </c>
      <c r="J2372" t="s">
        <v>5321</v>
      </c>
      <c r="K2372">
        <v>10453</v>
      </c>
      <c r="L2372" t="s">
        <v>5355</v>
      </c>
      <c r="M2372" t="s">
        <v>5356</v>
      </c>
      <c r="N2372" t="s">
        <v>6391</v>
      </c>
      <c r="O2372" t="s">
        <v>6492</v>
      </c>
      <c r="P2372" t="s">
        <v>6530</v>
      </c>
      <c r="Q2372" t="s">
        <v>6535</v>
      </c>
      <c r="R2372" t="s">
        <v>6539</v>
      </c>
      <c r="S2372" t="s">
        <v>5357</v>
      </c>
      <c r="U2372" t="s">
        <v>6557</v>
      </c>
      <c r="W2372" t="s">
        <v>433</v>
      </c>
      <c r="X2372">
        <v>1596</v>
      </c>
      <c r="Y2372" t="s">
        <v>6606</v>
      </c>
      <c r="Z2372" t="s">
        <v>6613</v>
      </c>
      <c r="AA2372" t="s">
        <v>6637</v>
      </c>
      <c r="AB2372" t="s">
        <v>8578</v>
      </c>
      <c r="AC2372" t="s">
        <v>9092</v>
      </c>
      <c r="AD2372" t="s">
        <v>10887</v>
      </c>
      <c r="AE2372">
        <v>56</v>
      </c>
      <c r="AF2372" t="s">
        <v>11005</v>
      </c>
      <c r="AG2372" t="s">
        <v>5406</v>
      </c>
      <c r="AH2372">
        <v>5</v>
      </c>
      <c r="AI2372">
        <v>3</v>
      </c>
      <c r="AJ2372">
        <v>0</v>
      </c>
      <c r="AK2372">
        <v>203.72</v>
      </c>
      <c r="AN2372" t="s">
        <v>11050</v>
      </c>
      <c r="AO2372">
        <v>41600</v>
      </c>
      <c r="AP2372" t="s">
        <v>11177</v>
      </c>
      <c r="AS2372" t="s">
        <v>11253</v>
      </c>
      <c r="AT2372" t="s">
        <v>11302</v>
      </c>
      <c r="AU2372">
        <v>7.85</v>
      </c>
      <c r="AV2372" t="s">
        <v>398</v>
      </c>
      <c r="AW2372" t="s">
        <v>11509</v>
      </c>
    </row>
    <row r="2373" spans="1:49">
      <c r="A2373" s="1">
        <f>HYPERLINK("https://cms.ls-nyc.org/matter/dynamic-profile/view/1849157","17-1849157")</f>
        <v>0</v>
      </c>
      <c r="B2373" t="s">
        <v>194</v>
      </c>
      <c r="C2373" t="s">
        <v>234</v>
      </c>
      <c r="D2373" t="s">
        <v>535</v>
      </c>
      <c r="E2373" t="s">
        <v>791</v>
      </c>
      <c r="F2373" t="s">
        <v>2030</v>
      </c>
      <c r="G2373" t="s">
        <v>2262</v>
      </c>
      <c r="H2373" t="s">
        <v>4666</v>
      </c>
      <c r="I2373" t="s">
        <v>5290</v>
      </c>
      <c r="J2373" t="s">
        <v>5320</v>
      </c>
      <c r="K2373">
        <v>11208</v>
      </c>
      <c r="L2373" t="s">
        <v>5355</v>
      </c>
      <c r="M2373" t="s">
        <v>5355</v>
      </c>
      <c r="N2373" t="s">
        <v>6392</v>
      </c>
      <c r="O2373" t="s">
        <v>6492</v>
      </c>
      <c r="P2373" t="s">
        <v>6530</v>
      </c>
      <c r="Q2373" t="s">
        <v>6534</v>
      </c>
      <c r="R2373" t="s">
        <v>6539</v>
      </c>
      <c r="U2373" t="s">
        <v>6557</v>
      </c>
      <c r="W2373" t="s">
        <v>444</v>
      </c>
      <c r="X2373">
        <v>1050</v>
      </c>
      <c r="Y2373" t="s">
        <v>6605</v>
      </c>
      <c r="AA2373" t="s">
        <v>6637</v>
      </c>
      <c r="AB2373" t="s">
        <v>8579</v>
      </c>
      <c r="AD2373" t="s">
        <v>10888</v>
      </c>
      <c r="AE2373">
        <v>62</v>
      </c>
      <c r="AF2373" t="s">
        <v>11005</v>
      </c>
      <c r="AG2373" t="s">
        <v>5406</v>
      </c>
      <c r="AH2373">
        <v>4</v>
      </c>
      <c r="AI2373">
        <v>2</v>
      </c>
      <c r="AJ2373">
        <v>2</v>
      </c>
      <c r="AK2373">
        <v>204.93</v>
      </c>
      <c r="AL2373" t="s">
        <v>11029</v>
      </c>
      <c r="AN2373" t="s">
        <v>11050</v>
      </c>
      <c r="AO2373">
        <v>50414</v>
      </c>
      <c r="AR2373" t="s">
        <v>11210</v>
      </c>
      <c r="AS2373" t="s">
        <v>11253</v>
      </c>
      <c r="AT2373" t="s">
        <v>11303</v>
      </c>
      <c r="AU2373">
        <v>4.4</v>
      </c>
      <c r="AV2373" t="s">
        <v>268</v>
      </c>
      <c r="AW2373" t="s">
        <v>11490</v>
      </c>
    </row>
    <row r="2374" spans="1:49">
      <c r="A2374" s="1">
        <f>HYPERLINK("https://cms.ls-nyc.org/matter/dynamic-profile/view/1863969","18-1863969")</f>
        <v>0</v>
      </c>
      <c r="B2374" t="s">
        <v>92</v>
      </c>
      <c r="C2374" t="s">
        <v>235</v>
      </c>
      <c r="D2374" t="s">
        <v>425</v>
      </c>
      <c r="F2374" t="s">
        <v>879</v>
      </c>
      <c r="G2374" t="s">
        <v>2145</v>
      </c>
      <c r="H2374" t="s">
        <v>3579</v>
      </c>
      <c r="I2374">
        <v>315</v>
      </c>
      <c r="J2374" t="s">
        <v>5323</v>
      </c>
      <c r="K2374">
        <v>10029</v>
      </c>
      <c r="L2374" t="s">
        <v>5355</v>
      </c>
      <c r="M2374" t="s">
        <v>5355</v>
      </c>
      <c r="N2374" t="s">
        <v>5632</v>
      </c>
      <c r="O2374" t="s">
        <v>6494</v>
      </c>
      <c r="P2374" t="s">
        <v>6530</v>
      </c>
      <c r="R2374" t="s">
        <v>6539</v>
      </c>
      <c r="S2374" t="s">
        <v>5355</v>
      </c>
      <c r="U2374" t="s">
        <v>6557</v>
      </c>
      <c r="V2374" t="s">
        <v>6566</v>
      </c>
      <c r="W2374" t="s">
        <v>425</v>
      </c>
      <c r="X2374">
        <v>0</v>
      </c>
      <c r="Y2374" t="s">
        <v>6608</v>
      </c>
      <c r="Z2374" t="s">
        <v>6622</v>
      </c>
      <c r="AB2374" t="s">
        <v>8580</v>
      </c>
      <c r="AE2374">
        <v>108</v>
      </c>
      <c r="AF2374" t="s">
        <v>11008</v>
      </c>
      <c r="AG2374" t="s">
        <v>11020</v>
      </c>
      <c r="AH2374">
        <v>9</v>
      </c>
      <c r="AI2374">
        <v>2</v>
      </c>
      <c r="AJ2374">
        <v>0</v>
      </c>
      <c r="AK2374">
        <v>205.35</v>
      </c>
      <c r="AN2374" t="s">
        <v>11050</v>
      </c>
      <c r="AO2374">
        <v>33800</v>
      </c>
      <c r="AU2374">
        <v>0.5</v>
      </c>
      <c r="AV2374" t="s">
        <v>11453</v>
      </c>
      <c r="AW2374" t="s">
        <v>11497</v>
      </c>
    </row>
    <row r="2375" spans="1:49">
      <c r="A2375" s="1">
        <f>HYPERLINK("https://cms.ls-nyc.org/matter/dynamic-profile/view/1855304","18-1855304")</f>
        <v>0</v>
      </c>
      <c r="B2375" t="s">
        <v>88</v>
      </c>
      <c r="C2375" t="s">
        <v>234</v>
      </c>
      <c r="D2375" t="s">
        <v>551</v>
      </c>
      <c r="E2375" t="s">
        <v>665</v>
      </c>
      <c r="F2375" t="s">
        <v>2044</v>
      </c>
      <c r="G2375" t="s">
        <v>3352</v>
      </c>
      <c r="H2375" t="s">
        <v>4229</v>
      </c>
      <c r="I2375" t="s">
        <v>5291</v>
      </c>
      <c r="J2375" t="s">
        <v>5320</v>
      </c>
      <c r="K2375">
        <v>11233</v>
      </c>
      <c r="L2375" t="s">
        <v>5355</v>
      </c>
      <c r="M2375" t="s">
        <v>5355</v>
      </c>
      <c r="N2375" t="s">
        <v>6393</v>
      </c>
      <c r="O2375" t="s">
        <v>6492</v>
      </c>
      <c r="P2375" t="s">
        <v>6530</v>
      </c>
      <c r="Q2375" t="s">
        <v>6533</v>
      </c>
      <c r="R2375" t="s">
        <v>6539</v>
      </c>
      <c r="S2375" t="s">
        <v>5357</v>
      </c>
      <c r="U2375" t="s">
        <v>6557</v>
      </c>
      <c r="W2375" t="s">
        <v>281</v>
      </c>
      <c r="X2375">
        <v>1028.78</v>
      </c>
      <c r="Y2375" t="s">
        <v>6605</v>
      </c>
      <c r="Z2375" t="s">
        <v>6613</v>
      </c>
      <c r="AA2375" t="s">
        <v>6637</v>
      </c>
      <c r="AB2375" t="s">
        <v>8581</v>
      </c>
      <c r="AC2375">
        <v>24453197</v>
      </c>
      <c r="AD2375" t="s">
        <v>10889</v>
      </c>
      <c r="AE2375">
        <v>0</v>
      </c>
      <c r="AF2375" t="s">
        <v>11005</v>
      </c>
      <c r="AH2375">
        <v>18</v>
      </c>
      <c r="AI2375">
        <v>1</v>
      </c>
      <c r="AJ2375">
        <v>0</v>
      </c>
      <c r="AK2375">
        <v>207.3</v>
      </c>
      <c r="AL2375" t="s">
        <v>11029</v>
      </c>
      <c r="AN2375" t="s">
        <v>6493</v>
      </c>
      <c r="AO2375">
        <v>25000</v>
      </c>
      <c r="AS2375" t="s">
        <v>11253</v>
      </c>
      <c r="AT2375" t="s">
        <v>11366</v>
      </c>
      <c r="AU2375">
        <v>20</v>
      </c>
      <c r="AV2375" t="s">
        <v>772</v>
      </c>
      <c r="AW2375" t="s">
        <v>11490</v>
      </c>
    </row>
    <row r="2376" spans="1:49">
      <c r="A2376" s="1">
        <f>HYPERLINK("https://cms.ls-nyc.org/matter/dynamic-profile/view/1856450","18-1856450")</f>
        <v>0</v>
      </c>
      <c r="B2376" t="s">
        <v>131</v>
      </c>
      <c r="C2376" t="s">
        <v>235</v>
      </c>
      <c r="D2376" t="s">
        <v>458</v>
      </c>
      <c r="F2376" t="s">
        <v>2045</v>
      </c>
      <c r="G2376" t="s">
        <v>2187</v>
      </c>
      <c r="H2376" t="s">
        <v>3769</v>
      </c>
      <c r="I2376" t="s">
        <v>4968</v>
      </c>
      <c r="J2376" t="s">
        <v>5323</v>
      </c>
      <c r="K2376">
        <v>10034</v>
      </c>
      <c r="L2376" t="s">
        <v>5355</v>
      </c>
      <c r="M2376" t="s">
        <v>5356</v>
      </c>
      <c r="O2376" t="s">
        <v>6494</v>
      </c>
      <c r="P2376" t="s">
        <v>6530</v>
      </c>
      <c r="R2376" t="s">
        <v>6539</v>
      </c>
      <c r="S2376" t="s">
        <v>5355</v>
      </c>
      <c r="U2376" t="s">
        <v>6557</v>
      </c>
      <c r="W2376" t="s">
        <v>458</v>
      </c>
      <c r="X2376">
        <v>987</v>
      </c>
      <c r="Y2376" t="s">
        <v>6608</v>
      </c>
      <c r="Z2376" t="s">
        <v>6622</v>
      </c>
      <c r="AB2376" t="s">
        <v>8582</v>
      </c>
      <c r="AD2376" t="s">
        <v>10890</v>
      </c>
      <c r="AE2376">
        <v>49</v>
      </c>
      <c r="AF2376" t="s">
        <v>11005</v>
      </c>
      <c r="AG2376" t="s">
        <v>5406</v>
      </c>
      <c r="AH2376">
        <v>35</v>
      </c>
      <c r="AI2376">
        <v>3</v>
      </c>
      <c r="AJ2376">
        <v>1</v>
      </c>
      <c r="AK2376">
        <v>207.32</v>
      </c>
      <c r="AN2376" t="s">
        <v>11050</v>
      </c>
      <c r="AO2376">
        <v>51000</v>
      </c>
      <c r="AU2376">
        <v>0.9</v>
      </c>
      <c r="AV2376" t="s">
        <v>680</v>
      </c>
      <c r="AW2376" t="s">
        <v>11495</v>
      </c>
    </row>
    <row r="2377" spans="1:49">
      <c r="A2377" s="1">
        <f>HYPERLINK("https://cms.ls-nyc.org/matter/dynamic-profile/view/1848359","17-1848359")</f>
        <v>0</v>
      </c>
      <c r="B2377" t="s">
        <v>138</v>
      </c>
      <c r="C2377" t="s">
        <v>234</v>
      </c>
      <c r="D2377" t="s">
        <v>465</v>
      </c>
      <c r="E2377" t="s">
        <v>788</v>
      </c>
      <c r="F2377" t="s">
        <v>1702</v>
      </c>
      <c r="G2377" t="s">
        <v>3353</v>
      </c>
      <c r="H2377" t="s">
        <v>4667</v>
      </c>
      <c r="I2377" t="s">
        <v>4743</v>
      </c>
      <c r="J2377" t="s">
        <v>5320</v>
      </c>
      <c r="K2377">
        <v>11237</v>
      </c>
      <c r="L2377" t="s">
        <v>5355</v>
      </c>
      <c r="M2377" t="s">
        <v>5356</v>
      </c>
      <c r="N2377" t="s">
        <v>6394</v>
      </c>
      <c r="O2377" t="s">
        <v>6492</v>
      </c>
      <c r="P2377" t="s">
        <v>6530</v>
      </c>
      <c r="Q2377" t="s">
        <v>6534</v>
      </c>
      <c r="R2377" t="s">
        <v>6539</v>
      </c>
      <c r="S2377" t="s">
        <v>5357</v>
      </c>
      <c r="U2377" t="s">
        <v>6557</v>
      </c>
      <c r="W2377" t="s">
        <v>363</v>
      </c>
      <c r="X2377">
        <v>1374</v>
      </c>
      <c r="Y2377" t="s">
        <v>6605</v>
      </c>
      <c r="Z2377" t="s">
        <v>6621</v>
      </c>
      <c r="AA2377" t="s">
        <v>6637</v>
      </c>
      <c r="AB2377" t="s">
        <v>7808</v>
      </c>
      <c r="AC2377" t="s">
        <v>5406</v>
      </c>
      <c r="AD2377" t="s">
        <v>10891</v>
      </c>
      <c r="AE2377">
        <v>6</v>
      </c>
      <c r="AF2377" t="s">
        <v>11005</v>
      </c>
      <c r="AG2377" t="s">
        <v>5406</v>
      </c>
      <c r="AH2377">
        <v>15</v>
      </c>
      <c r="AI2377">
        <v>1</v>
      </c>
      <c r="AJ2377">
        <v>0</v>
      </c>
      <c r="AK2377">
        <v>207.83</v>
      </c>
      <c r="AL2377" t="s">
        <v>11029</v>
      </c>
      <c r="AN2377" t="s">
        <v>11050</v>
      </c>
      <c r="AO2377">
        <v>25064</v>
      </c>
      <c r="AU2377">
        <v>109.4</v>
      </c>
      <c r="AV2377" t="s">
        <v>788</v>
      </c>
      <c r="AW2377" t="s">
        <v>11511</v>
      </c>
    </row>
    <row r="2378" spans="1:49">
      <c r="A2378" s="1">
        <f>HYPERLINK("https://cms.ls-nyc.org/matter/dynamic-profile/view/1839984","17-1839984")</f>
        <v>0</v>
      </c>
      <c r="B2378" t="s">
        <v>229</v>
      </c>
      <c r="C2378" t="s">
        <v>234</v>
      </c>
      <c r="D2378" t="s">
        <v>412</v>
      </c>
      <c r="E2378" t="s">
        <v>685</v>
      </c>
      <c r="F2378" t="s">
        <v>2046</v>
      </c>
      <c r="G2378" t="s">
        <v>2259</v>
      </c>
      <c r="J2378" t="s">
        <v>5320</v>
      </c>
      <c r="K2378">
        <v>11217</v>
      </c>
      <c r="L2378" t="s">
        <v>5355</v>
      </c>
      <c r="M2378" t="s">
        <v>5355</v>
      </c>
      <c r="N2378" t="s">
        <v>6395</v>
      </c>
      <c r="O2378" t="s">
        <v>6491</v>
      </c>
      <c r="P2378" t="s">
        <v>6530</v>
      </c>
      <c r="Q2378" t="s">
        <v>6534</v>
      </c>
      <c r="R2378" t="s">
        <v>6539</v>
      </c>
      <c r="S2378" t="s">
        <v>5357</v>
      </c>
      <c r="U2378" t="s">
        <v>6557</v>
      </c>
      <c r="W2378" t="s">
        <v>516</v>
      </c>
      <c r="X2378">
        <v>776</v>
      </c>
      <c r="Y2378" t="s">
        <v>6605</v>
      </c>
      <c r="Z2378" t="s">
        <v>6613</v>
      </c>
      <c r="AA2378" t="s">
        <v>6637</v>
      </c>
      <c r="AB2378" t="s">
        <v>8583</v>
      </c>
      <c r="AD2378" t="s">
        <v>10892</v>
      </c>
      <c r="AE2378">
        <v>119</v>
      </c>
      <c r="AF2378" t="s">
        <v>11005</v>
      </c>
      <c r="AG2378" t="s">
        <v>5406</v>
      </c>
      <c r="AH2378">
        <v>7</v>
      </c>
      <c r="AI2378">
        <v>1</v>
      </c>
      <c r="AJ2378">
        <v>1</v>
      </c>
      <c r="AK2378">
        <v>208.13</v>
      </c>
      <c r="AL2378" t="s">
        <v>622</v>
      </c>
      <c r="AN2378" t="s">
        <v>11050</v>
      </c>
      <c r="AO2378">
        <v>33800</v>
      </c>
      <c r="AQ2378" t="s">
        <v>11192</v>
      </c>
      <c r="AR2378" t="s">
        <v>11210</v>
      </c>
      <c r="AS2378" t="s">
        <v>11253</v>
      </c>
      <c r="AT2378" t="s">
        <v>11351</v>
      </c>
      <c r="AU2378">
        <v>54.6</v>
      </c>
      <c r="AV2378" t="s">
        <v>685</v>
      </c>
      <c r="AW2378" t="s">
        <v>11517</v>
      </c>
    </row>
    <row r="2379" spans="1:49">
      <c r="A2379" s="1">
        <f>HYPERLINK("https://cms.ls-nyc.org/matter/dynamic-profile/view/1869689","18-1869689")</f>
        <v>0</v>
      </c>
      <c r="B2379" t="s">
        <v>159</v>
      </c>
      <c r="C2379" t="s">
        <v>234</v>
      </c>
      <c r="D2379" t="s">
        <v>275</v>
      </c>
      <c r="E2379" t="s">
        <v>705</v>
      </c>
      <c r="F2379" t="s">
        <v>1085</v>
      </c>
      <c r="G2379" t="s">
        <v>2335</v>
      </c>
      <c r="H2379" t="s">
        <v>3690</v>
      </c>
      <c r="I2379" t="s">
        <v>4753</v>
      </c>
      <c r="J2379" t="s">
        <v>5321</v>
      </c>
      <c r="K2379">
        <v>10456</v>
      </c>
      <c r="L2379" t="s">
        <v>5355</v>
      </c>
      <c r="M2379" t="s">
        <v>5356</v>
      </c>
      <c r="N2379" t="s">
        <v>6396</v>
      </c>
      <c r="O2379" t="s">
        <v>6494</v>
      </c>
      <c r="P2379" t="s">
        <v>6530</v>
      </c>
      <c r="Q2379" t="s">
        <v>6534</v>
      </c>
      <c r="R2379" t="s">
        <v>6539</v>
      </c>
      <c r="S2379" t="s">
        <v>5357</v>
      </c>
      <c r="U2379" t="s">
        <v>6557</v>
      </c>
      <c r="W2379" t="s">
        <v>516</v>
      </c>
      <c r="X2379">
        <v>629.2</v>
      </c>
      <c r="Y2379" t="s">
        <v>6606</v>
      </c>
      <c r="Z2379" t="s">
        <v>6612</v>
      </c>
      <c r="AA2379" t="s">
        <v>6640</v>
      </c>
      <c r="AB2379" t="s">
        <v>6938</v>
      </c>
      <c r="AD2379" t="s">
        <v>9350</v>
      </c>
      <c r="AE2379">
        <v>68</v>
      </c>
      <c r="AF2379" t="s">
        <v>11012</v>
      </c>
      <c r="AG2379" t="s">
        <v>5406</v>
      </c>
      <c r="AH2379">
        <v>13</v>
      </c>
      <c r="AI2379">
        <v>1</v>
      </c>
      <c r="AJ2379">
        <v>0</v>
      </c>
      <c r="AK2379">
        <v>209.06</v>
      </c>
      <c r="AN2379" t="s">
        <v>11049</v>
      </c>
      <c r="AO2379">
        <v>25380</v>
      </c>
      <c r="AU2379">
        <v>9.949999999999999</v>
      </c>
      <c r="AV2379" t="s">
        <v>827</v>
      </c>
      <c r="AW2379" t="s">
        <v>11505</v>
      </c>
    </row>
    <row r="2380" spans="1:49">
      <c r="A2380" s="1">
        <f>HYPERLINK("https://cms.ls-nyc.org/matter/dynamic-profile/view/0827643","17-0827643")</f>
        <v>0</v>
      </c>
      <c r="B2380" t="s">
        <v>153</v>
      </c>
      <c r="C2380" t="s">
        <v>234</v>
      </c>
      <c r="D2380" t="s">
        <v>625</v>
      </c>
      <c r="E2380" t="s">
        <v>437</v>
      </c>
      <c r="F2380" t="s">
        <v>871</v>
      </c>
      <c r="G2380" t="s">
        <v>3281</v>
      </c>
      <c r="H2380" t="s">
        <v>4668</v>
      </c>
      <c r="I2380" t="s">
        <v>4775</v>
      </c>
      <c r="J2380" t="s">
        <v>5321</v>
      </c>
      <c r="K2380">
        <v>10453</v>
      </c>
      <c r="L2380" t="s">
        <v>5355</v>
      </c>
      <c r="M2380" t="s">
        <v>5356</v>
      </c>
      <c r="N2380" t="s">
        <v>6397</v>
      </c>
      <c r="O2380" t="s">
        <v>6491</v>
      </c>
      <c r="P2380" t="s">
        <v>6530</v>
      </c>
      <c r="Q2380" t="s">
        <v>6534</v>
      </c>
      <c r="R2380" t="s">
        <v>6539</v>
      </c>
      <c r="S2380" t="s">
        <v>5357</v>
      </c>
      <c r="U2380" t="s">
        <v>6557</v>
      </c>
      <c r="W2380" t="s">
        <v>519</v>
      </c>
      <c r="X2380">
        <v>895.3099999999999</v>
      </c>
      <c r="Y2380" t="s">
        <v>6606</v>
      </c>
      <c r="Z2380" t="s">
        <v>6612</v>
      </c>
      <c r="AA2380" t="s">
        <v>6637</v>
      </c>
      <c r="AB2380" t="s">
        <v>8584</v>
      </c>
      <c r="AD2380" t="s">
        <v>10893</v>
      </c>
      <c r="AE2380">
        <v>46</v>
      </c>
      <c r="AF2380" t="s">
        <v>11005</v>
      </c>
      <c r="AG2380" t="s">
        <v>5406</v>
      </c>
      <c r="AH2380">
        <v>20</v>
      </c>
      <c r="AI2380">
        <v>2</v>
      </c>
      <c r="AJ2380">
        <v>0</v>
      </c>
      <c r="AK2380">
        <v>209.25</v>
      </c>
      <c r="AL2380" t="s">
        <v>261</v>
      </c>
      <c r="AM2380" t="s">
        <v>11045</v>
      </c>
      <c r="AN2380" t="s">
        <v>11050</v>
      </c>
      <c r="AO2380">
        <v>33982</v>
      </c>
      <c r="AU2380">
        <v>50.01</v>
      </c>
      <c r="AV2380" t="s">
        <v>550</v>
      </c>
      <c r="AW2380" t="s">
        <v>11492</v>
      </c>
    </row>
    <row r="2381" spans="1:49">
      <c r="A2381" s="1">
        <f>HYPERLINK("https://cms.ls-nyc.org/matter/dynamic-profile/view/0820558","16-0820558")</f>
        <v>0</v>
      </c>
      <c r="B2381" t="s">
        <v>99</v>
      </c>
      <c r="C2381" t="s">
        <v>234</v>
      </c>
      <c r="D2381" t="s">
        <v>626</v>
      </c>
      <c r="E2381" t="s">
        <v>665</v>
      </c>
      <c r="F2381" t="s">
        <v>1247</v>
      </c>
      <c r="G2381" t="s">
        <v>3354</v>
      </c>
      <c r="H2381" t="s">
        <v>4547</v>
      </c>
      <c r="I2381">
        <v>1</v>
      </c>
      <c r="J2381" t="s">
        <v>5320</v>
      </c>
      <c r="K2381">
        <v>11207</v>
      </c>
      <c r="L2381" t="s">
        <v>5355</v>
      </c>
      <c r="M2381" t="s">
        <v>5356</v>
      </c>
      <c r="N2381" t="s">
        <v>6398</v>
      </c>
      <c r="O2381" t="s">
        <v>6491</v>
      </c>
      <c r="P2381" t="s">
        <v>6530</v>
      </c>
      <c r="Q2381" t="s">
        <v>6537</v>
      </c>
      <c r="R2381" t="s">
        <v>6539</v>
      </c>
      <c r="S2381" t="s">
        <v>5355</v>
      </c>
      <c r="T2381" t="s">
        <v>6539</v>
      </c>
      <c r="U2381" t="s">
        <v>6557</v>
      </c>
      <c r="W2381" t="s">
        <v>6595</v>
      </c>
      <c r="X2381">
        <v>800</v>
      </c>
      <c r="Y2381" t="s">
        <v>6605</v>
      </c>
      <c r="Z2381" t="s">
        <v>6620</v>
      </c>
      <c r="AA2381" t="s">
        <v>6637</v>
      </c>
      <c r="AB2381" t="s">
        <v>8585</v>
      </c>
      <c r="AC2381" t="s">
        <v>5392</v>
      </c>
      <c r="AD2381" t="s">
        <v>10894</v>
      </c>
      <c r="AE2381">
        <v>7</v>
      </c>
      <c r="AF2381" t="s">
        <v>11005</v>
      </c>
      <c r="AG2381" t="s">
        <v>5406</v>
      </c>
      <c r="AH2381">
        <v>1</v>
      </c>
      <c r="AI2381">
        <v>1</v>
      </c>
      <c r="AJ2381">
        <v>0</v>
      </c>
      <c r="AK2381">
        <v>209.29</v>
      </c>
      <c r="AN2381" t="s">
        <v>11050</v>
      </c>
      <c r="AO2381">
        <v>24864</v>
      </c>
      <c r="AP2381" t="s">
        <v>11178</v>
      </c>
      <c r="AU2381">
        <v>190.6</v>
      </c>
      <c r="AV2381" t="s">
        <v>318</v>
      </c>
      <c r="AW2381" t="s">
        <v>11511</v>
      </c>
    </row>
    <row r="2382" spans="1:49">
      <c r="A2382" s="1">
        <f>HYPERLINK("https://cms.ls-nyc.org/matter/dynamic-profile/view/1849030","17-1849030")</f>
        <v>0</v>
      </c>
      <c r="B2382" t="s">
        <v>81</v>
      </c>
      <c r="C2382" t="s">
        <v>234</v>
      </c>
      <c r="D2382" t="s">
        <v>547</v>
      </c>
      <c r="E2382" t="s">
        <v>677</v>
      </c>
      <c r="F2382" t="s">
        <v>2047</v>
      </c>
      <c r="G2382" t="s">
        <v>3355</v>
      </c>
      <c r="H2382" t="s">
        <v>4669</v>
      </c>
      <c r="I2382" t="s">
        <v>5179</v>
      </c>
      <c r="J2382" t="s">
        <v>5334</v>
      </c>
      <c r="K2382">
        <v>11368</v>
      </c>
      <c r="L2382" t="s">
        <v>5355</v>
      </c>
      <c r="M2382" t="s">
        <v>5355</v>
      </c>
      <c r="N2382" t="s">
        <v>6399</v>
      </c>
      <c r="O2382" t="s">
        <v>6491</v>
      </c>
      <c r="P2382" t="s">
        <v>6530</v>
      </c>
      <c r="Q2382" t="s">
        <v>6534</v>
      </c>
      <c r="R2382" t="s">
        <v>6540</v>
      </c>
      <c r="S2382" t="s">
        <v>5357</v>
      </c>
      <c r="U2382" t="s">
        <v>6557</v>
      </c>
      <c r="V2382" t="s">
        <v>6566</v>
      </c>
      <c r="W2382" t="s">
        <v>547</v>
      </c>
      <c r="X2382">
        <v>2200</v>
      </c>
      <c r="Y2382" t="s">
        <v>6604</v>
      </c>
      <c r="Z2382" t="s">
        <v>6610</v>
      </c>
      <c r="AA2382" t="s">
        <v>6633</v>
      </c>
      <c r="AB2382" t="s">
        <v>8586</v>
      </c>
      <c r="AC2382" t="s">
        <v>5392</v>
      </c>
      <c r="AD2382" t="s">
        <v>9166</v>
      </c>
      <c r="AE2382">
        <v>2</v>
      </c>
      <c r="AF2382" t="s">
        <v>11004</v>
      </c>
      <c r="AG2382" t="s">
        <v>5406</v>
      </c>
      <c r="AH2382">
        <v>2</v>
      </c>
      <c r="AI2382">
        <v>2</v>
      </c>
      <c r="AJ2382">
        <v>4</v>
      </c>
      <c r="AK2382">
        <v>209.34</v>
      </c>
      <c r="AL2382" t="s">
        <v>11028</v>
      </c>
      <c r="AN2382" t="s">
        <v>11049</v>
      </c>
      <c r="AO2382">
        <v>69000</v>
      </c>
      <c r="AU2382">
        <v>18.3</v>
      </c>
      <c r="AV2382" t="s">
        <v>677</v>
      </c>
      <c r="AW2382" t="s">
        <v>52</v>
      </c>
    </row>
    <row r="2383" spans="1:49">
      <c r="A2383" s="1">
        <f>HYPERLINK("https://cms.ls-nyc.org/matter/dynamic-profile/view/1850205","17-1850205")</f>
        <v>0</v>
      </c>
      <c r="B2383" t="s">
        <v>77</v>
      </c>
      <c r="C2383" t="s">
        <v>234</v>
      </c>
      <c r="D2383" t="s">
        <v>363</v>
      </c>
      <c r="E2383" t="s">
        <v>718</v>
      </c>
      <c r="F2383" t="s">
        <v>1292</v>
      </c>
      <c r="G2383" t="s">
        <v>2548</v>
      </c>
      <c r="H2383" t="s">
        <v>3891</v>
      </c>
      <c r="I2383">
        <v>6</v>
      </c>
      <c r="J2383" t="s">
        <v>5320</v>
      </c>
      <c r="K2383">
        <v>11219</v>
      </c>
      <c r="L2383" t="s">
        <v>5355</v>
      </c>
      <c r="M2383" t="s">
        <v>5356</v>
      </c>
      <c r="O2383" t="s">
        <v>6499</v>
      </c>
      <c r="P2383" t="s">
        <v>6530</v>
      </c>
      <c r="Q2383" t="s">
        <v>6536</v>
      </c>
      <c r="R2383" t="s">
        <v>6539</v>
      </c>
      <c r="S2383" t="s">
        <v>5355</v>
      </c>
      <c r="T2383" t="s">
        <v>6539</v>
      </c>
      <c r="U2383" t="s">
        <v>6557</v>
      </c>
      <c r="W2383" t="s">
        <v>411</v>
      </c>
      <c r="X2383">
        <v>1014.22</v>
      </c>
      <c r="Y2383" t="s">
        <v>6605</v>
      </c>
      <c r="AA2383" t="s">
        <v>6634</v>
      </c>
      <c r="AB2383" t="s">
        <v>7238</v>
      </c>
      <c r="AD2383" t="s">
        <v>9624</v>
      </c>
      <c r="AE2383">
        <v>14</v>
      </c>
      <c r="AF2383" t="s">
        <v>11005</v>
      </c>
      <c r="AH2383">
        <v>12</v>
      </c>
      <c r="AI2383">
        <v>4</v>
      </c>
      <c r="AJ2383">
        <v>1</v>
      </c>
      <c r="AK2383">
        <v>209.52</v>
      </c>
      <c r="AL2383" t="s">
        <v>333</v>
      </c>
      <c r="AN2383" t="s">
        <v>11062</v>
      </c>
      <c r="AO2383">
        <v>106300</v>
      </c>
      <c r="AU2383">
        <v>0.35</v>
      </c>
      <c r="AV2383" t="s">
        <v>718</v>
      </c>
      <c r="AW2383" t="s">
        <v>11512</v>
      </c>
    </row>
    <row r="2384" spans="1:49">
      <c r="A2384" s="1">
        <f>HYPERLINK("https://cms.ls-nyc.org/matter/dynamic-profile/view/1848400","17-1848400")</f>
        <v>0</v>
      </c>
      <c r="B2384" t="s">
        <v>72</v>
      </c>
      <c r="C2384" t="s">
        <v>234</v>
      </c>
      <c r="D2384" t="s">
        <v>465</v>
      </c>
      <c r="E2384" t="s">
        <v>652</v>
      </c>
      <c r="F2384" t="s">
        <v>2048</v>
      </c>
      <c r="G2384" t="s">
        <v>2548</v>
      </c>
      <c r="H2384" t="s">
        <v>3891</v>
      </c>
      <c r="I2384">
        <v>6</v>
      </c>
      <c r="J2384" t="s">
        <v>5320</v>
      </c>
      <c r="K2384">
        <v>11219</v>
      </c>
      <c r="L2384" t="s">
        <v>5357</v>
      </c>
      <c r="M2384" t="s">
        <v>5356</v>
      </c>
      <c r="N2384" t="s">
        <v>6400</v>
      </c>
      <c r="O2384" t="s">
        <v>6492</v>
      </c>
      <c r="P2384" t="s">
        <v>6530</v>
      </c>
      <c r="Q2384" t="s">
        <v>6534</v>
      </c>
      <c r="R2384" t="s">
        <v>6539</v>
      </c>
      <c r="S2384" t="s">
        <v>5355</v>
      </c>
      <c r="T2384" t="s">
        <v>6539</v>
      </c>
      <c r="U2384" t="s">
        <v>6557</v>
      </c>
      <c r="W2384" t="s">
        <v>411</v>
      </c>
      <c r="X2384">
        <v>1014.22</v>
      </c>
      <c r="Y2384" t="s">
        <v>6605</v>
      </c>
      <c r="Z2384" t="s">
        <v>6622</v>
      </c>
      <c r="AA2384" t="s">
        <v>6637</v>
      </c>
      <c r="AB2384" t="s">
        <v>7238</v>
      </c>
      <c r="AD2384" t="s">
        <v>9624</v>
      </c>
      <c r="AE2384">
        <v>14</v>
      </c>
      <c r="AF2384" t="s">
        <v>11005</v>
      </c>
      <c r="AG2384" t="s">
        <v>5406</v>
      </c>
      <c r="AH2384">
        <v>12</v>
      </c>
      <c r="AI2384">
        <v>4</v>
      </c>
      <c r="AJ2384">
        <v>1</v>
      </c>
      <c r="AK2384">
        <v>209.52</v>
      </c>
      <c r="AL2384" t="s">
        <v>444</v>
      </c>
      <c r="AN2384" t="s">
        <v>11062</v>
      </c>
      <c r="AO2384">
        <v>106300</v>
      </c>
      <c r="AR2384" t="s">
        <v>11210</v>
      </c>
      <c r="AS2384" t="s">
        <v>11253</v>
      </c>
      <c r="AT2384" t="s">
        <v>11277</v>
      </c>
      <c r="AU2384">
        <v>30.15</v>
      </c>
      <c r="AV2384" t="s">
        <v>317</v>
      </c>
      <c r="AW2384" t="s">
        <v>11489</v>
      </c>
    </row>
    <row r="2385" spans="1:50">
      <c r="A2385" s="1">
        <f>HYPERLINK("https://cms.ls-nyc.org/matter/dynamic-profile/view/1854327","17-1854327")</f>
        <v>0</v>
      </c>
      <c r="B2385" t="s">
        <v>90</v>
      </c>
      <c r="C2385" t="s">
        <v>235</v>
      </c>
      <c r="D2385" t="s">
        <v>422</v>
      </c>
      <c r="F2385" t="s">
        <v>1449</v>
      </c>
      <c r="G2385" t="s">
        <v>2115</v>
      </c>
      <c r="H2385" t="s">
        <v>3949</v>
      </c>
      <c r="I2385" t="s">
        <v>4823</v>
      </c>
      <c r="J2385" t="s">
        <v>5321</v>
      </c>
      <c r="K2385">
        <v>10452</v>
      </c>
      <c r="L2385" t="s">
        <v>5355</v>
      </c>
      <c r="M2385" t="s">
        <v>5356</v>
      </c>
      <c r="N2385" t="s">
        <v>5792</v>
      </c>
      <c r="O2385" t="s">
        <v>6494</v>
      </c>
      <c r="P2385" t="s">
        <v>6530</v>
      </c>
      <c r="R2385" t="s">
        <v>6539</v>
      </c>
      <c r="S2385" t="s">
        <v>5355</v>
      </c>
      <c r="U2385" t="s">
        <v>6557</v>
      </c>
      <c r="W2385" t="s">
        <v>480</v>
      </c>
      <c r="X2385">
        <v>980</v>
      </c>
      <c r="Y2385" t="s">
        <v>6606</v>
      </c>
      <c r="Z2385" t="s">
        <v>6612</v>
      </c>
      <c r="AB2385" t="s">
        <v>7492</v>
      </c>
      <c r="AD2385" t="s">
        <v>9861</v>
      </c>
      <c r="AE2385">
        <v>60</v>
      </c>
      <c r="AF2385" t="s">
        <v>11005</v>
      </c>
      <c r="AG2385" t="s">
        <v>5406</v>
      </c>
      <c r="AH2385">
        <v>29</v>
      </c>
      <c r="AI2385">
        <v>6</v>
      </c>
      <c r="AJ2385">
        <v>0</v>
      </c>
      <c r="AK2385">
        <v>211.77</v>
      </c>
      <c r="AN2385" t="s">
        <v>11049</v>
      </c>
      <c r="AO2385">
        <v>69800</v>
      </c>
      <c r="AU2385">
        <v>196.3</v>
      </c>
      <c r="AV2385" t="s">
        <v>11436</v>
      </c>
      <c r="AW2385" t="s">
        <v>11491</v>
      </c>
    </row>
    <row r="2386" spans="1:50">
      <c r="A2386" s="1">
        <f>HYPERLINK("https://cms.ls-nyc.org/matter/dynamic-profile/view/1863175","18-1863175")</f>
        <v>0</v>
      </c>
      <c r="B2386" t="s">
        <v>142</v>
      </c>
      <c r="C2386" t="s">
        <v>234</v>
      </c>
      <c r="D2386" t="s">
        <v>480</v>
      </c>
      <c r="E2386" t="s">
        <v>736</v>
      </c>
      <c r="F2386" t="s">
        <v>987</v>
      </c>
      <c r="G2386" t="s">
        <v>1007</v>
      </c>
      <c r="H2386" t="s">
        <v>3848</v>
      </c>
      <c r="I2386" t="s">
        <v>4781</v>
      </c>
      <c r="J2386" t="s">
        <v>5320</v>
      </c>
      <c r="K2386">
        <v>11206</v>
      </c>
      <c r="L2386" t="s">
        <v>5355</v>
      </c>
      <c r="M2386" t="s">
        <v>5356</v>
      </c>
      <c r="O2386" t="s">
        <v>6492</v>
      </c>
      <c r="P2386" t="s">
        <v>6530</v>
      </c>
      <c r="Q2386" t="s">
        <v>6531</v>
      </c>
      <c r="R2386" t="s">
        <v>6539</v>
      </c>
      <c r="S2386" t="s">
        <v>5357</v>
      </c>
      <c r="U2386" t="s">
        <v>6557</v>
      </c>
      <c r="W2386" t="s">
        <v>6575</v>
      </c>
      <c r="X2386">
        <v>600</v>
      </c>
      <c r="Y2386" t="s">
        <v>6605</v>
      </c>
      <c r="Z2386" t="s">
        <v>6493</v>
      </c>
      <c r="AA2386" t="s">
        <v>6637</v>
      </c>
      <c r="AB2386" t="s">
        <v>7240</v>
      </c>
      <c r="AE2386">
        <v>6</v>
      </c>
      <c r="AF2386" t="s">
        <v>11005</v>
      </c>
      <c r="AG2386" t="s">
        <v>5406</v>
      </c>
      <c r="AH2386">
        <v>21</v>
      </c>
      <c r="AI2386">
        <v>2</v>
      </c>
      <c r="AJ2386">
        <v>0</v>
      </c>
      <c r="AK2386">
        <v>212.64</v>
      </c>
      <c r="AL2386" t="s">
        <v>11029</v>
      </c>
      <c r="AN2386" t="s">
        <v>11050</v>
      </c>
      <c r="AO2386">
        <v>35000</v>
      </c>
      <c r="AT2386" t="s">
        <v>11360</v>
      </c>
      <c r="AU2386">
        <v>7.16</v>
      </c>
      <c r="AV2386" t="s">
        <v>683</v>
      </c>
      <c r="AW2386" t="s">
        <v>11513</v>
      </c>
    </row>
    <row r="2387" spans="1:50">
      <c r="A2387" s="1">
        <f>HYPERLINK("https://cms.ls-nyc.org/matter/dynamic-profile/view/0772732","15-0772732")</f>
        <v>0</v>
      </c>
      <c r="B2387" t="s">
        <v>179</v>
      </c>
      <c r="C2387" t="s">
        <v>235</v>
      </c>
      <c r="D2387" t="s">
        <v>651</v>
      </c>
      <c r="F2387" t="s">
        <v>1127</v>
      </c>
      <c r="G2387" t="s">
        <v>3356</v>
      </c>
      <c r="H2387" t="s">
        <v>4644</v>
      </c>
      <c r="I2387" t="s">
        <v>4783</v>
      </c>
      <c r="J2387" t="s">
        <v>5320</v>
      </c>
      <c r="K2387">
        <v>11213</v>
      </c>
      <c r="L2387" t="s">
        <v>5355</v>
      </c>
      <c r="M2387" t="s">
        <v>5356</v>
      </c>
      <c r="N2387" t="s">
        <v>6401</v>
      </c>
      <c r="O2387" t="s">
        <v>6491</v>
      </c>
      <c r="P2387" t="s">
        <v>6530</v>
      </c>
      <c r="R2387" t="s">
        <v>6539</v>
      </c>
      <c r="T2387" t="s">
        <v>6544</v>
      </c>
      <c r="U2387" t="s">
        <v>6557</v>
      </c>
      <c r="W2387" t="s">
        <v>6583</v>
      </c>
      <c r="X2387">
        <v>1180.32</v>
      </c>
      <c r="Y2387" t="s">
        <v>6605</v>
      </c>
      <c r="AB2387" t="s">
        <v>8587</v>
      </c>
      <c r="AD2387" t="s">
        <v>10895</v>
      </c>
      <c r="AE2387">
        <v>0</v>
      </c>
      <c r="AF2387" t="s">
        <v>11005</v>
      </c>
      <c r="AH2387">
        <v>11</v>
      </c>
      <c r="AI2387">
        <v>2</v>
      </c>
      <c r="AJ2387">
        <v>0</v>
      </c>
      <c r="AK2387">
        <v>213.43</v>
      </c>
      <c r="AL2387" t="s">
        <v>11029</v>
      </c>
      <c r="AN2387" t="s">
        <v>11050</v>
      </c>
      <c r="AO2387">
        <v>34000</v>
      </c>
      <c r="AU2387">
        <v>132</v>
      </c>
      <c r="AV2387" t="s">
        <v>776</v>
      </c>
      <c r="AW2387" t="s">
        <v>11561</v>
      </c>
    </row>
    <row r="2388" spans="1:50">
      <c r="A2388" s="1">
        <f>HYPERLINK("https://cms.ls-nyc.org/matter/dynamic-profile/view/1843786","17-1843786")</f>
        <v>0</v>
      </c>
      <c r="B2388" t="s">
        <v>220</v>
      </c>
      <c r="C2388" t="s">
        <v>234</v>
      </c>
      <c r="D2388" t="s">
        <v>374</v>
      </c>
      <c r="E2388" t="s">
        <v>665</v>
      </c>
      <c r="F2388" t="s">
        <v>1715</v>
      </c>
      <c r="G2388" t="s">
        <v>2383</v>
      </c>
      <c r="H2388" t="s">
        <v>4670</v>
      </c>
      <c r="I2388" t="s">
        <v>5292</v>
      </c>
      <c r="J2388" t="s">
        <v>5320</v>
      </c>
      <c r="K2388">
        <v>11210</v>
      </c>
      <c r="L2388" t="s">
        <v>5355</v>
      </c>
      <c r="M2388" t="s">
        <v>5356</v>
      </c>
      <c r="N2388" t="s">
        <v>6402</v>
      </c>
      <c r="O2388" t="s">
        <v>6491</v>
      </c>
      <c r="P2388" t="s">
        <v>6530</v>
      </c>
      <c r="Q2388" t="s">
        <v>6534</v>
      </c>
      <c r="R2388" t="s">
        <v>6539</v>
      </c>
      <c r="S2388" t="s">
        <v>5357</v>
      </c>
      <c r="U2388" t="s">
        <v>6557</v>
      </c>
      <c r="V2388" t="s">
        <v>6571</v>
      </c>
      <c r="W2388" t="s">
        <v>516</v>
      </c>
      <c r="X2388">
        <v>700</v>
      </c>
      <c r="Y2388" t="s">
        <v>6605</v>
      </c>
      <c r="Z2388" t="s">
        <v>6613</v>
      </c>
      <c r="AA2388" t="s">
        <v>6637</v>
      </c>
      <c r="AB2388" t="s">
        <v>8588</v>
      </c>
      <c r="AD2388" t="s">
        <v>10896</v>
      </c>
      <c r="AE2388">
        <v>15</v>
      </c>
      <c r="AF2388" t="s">
        <v>11018</v>
      </c>
      <c r="AG2388" t="s">
        <v>5406</v>
      </c>
      <c r="AH2388">
        <v>15</v>
      </c>
      <c r="AI2388">
        <v>1</v>
      </c>
      <c r="AJ2388">
        <v>0</v>
      </c>
      <c r="AK2388">
        <v>214.93</v>
      </c>
      <c r="AL2388" t="s">
        <v>622</v>
      </c>
      <c r="AN2388" t="s">
        <v>11050</v>
      </c>
      <c r="AO2388">
        <v>25920</v>
      </c>
      <c r="AU2388">
        <v>54.55</v>
      </c>
      <c r="AV2388" t="s">
        <v>568</v>
      </c>
      <c r="AW2388" t="s">
        <v>11490</v>
      </c>
    </row>
    <row r="2389" spans="1:50">
      <c r="A2389" s="1">
        <f>HYPERLINK("https://cms.ls-nyc.org/matter/dynamic-profile/view/1872693","18-1872693")</f>
        <v>0</v>
      </c>
      <c r="B2389" t="s">
        <v>55</v>
      </c>
      <c r="C2389" t="s">
        <v>235</v>
      </c>
      <c r="D2389" t="s">
        <v>652</v>
      </c>
      <c r="F2389" t="s">
        <v>2049</v>
      </c>
      <c r="G2389" t="s">
        <v>3357</v>
      </c>
      <c r="H2389" t="s">
        <v>4671</v>
      </c>
      <c r="I2389" t="s">
        <v>5171</v>
      </c>
      <c r="J2389" t="s">
        <v>5320</v>
      </c>
      <c r="K2389">
        <v>11226</v>
      </c>
      <c r="L2389" t="s">
        <v>5355</v>
      </c>
      <c r="M2389" t="s">
        <v>5355</v>
      </c>
      <c r="N2389" t="s">
        <v>6403</v>
      </c>
      <c r="O2389" t="s">
        <v>6492</v>
      </c>
      <c r="P2389" t="s">
        <v>6530</v>
      </c>
      <c r="R2389" t="s">
        <v>6539</v>
      </c>
      <c r="S2389" t="s">
        <v>5355</v>
      </c>
      <c r="U2389" t="s">
        <v>6557</v>
      </c>
      <c r="V2389" t="s">
        <v>6566</v>
      </c>
      <c r="W2389" t="s">
        <v>6584</v>
      </c>
      <c r="X2389">
        <v>881.4</v>
      </c>
      <c r="Y2389" t="s">
        <v>6605</v>
      </c>
      <c r="Z2389" t="s">
        <v>6625</v>
      </c>
      <c r="AB2389" t="s">
        <v>8589</v>
      </c>
      <c r="AD2389" t="s">
        <v>10897</v>
      </c>
      <c r="AE2389">
        <v>32</v>
      </c>
      <c r="AF2389" t="s">
        <v>11005</v>
      </c>
      <c r="AG2389" t="s">
        <v>5406</v>
      </c>
      <c r="AH2389">
        <v>21</v>
      </c>
      <c r="AI2389">
        <v>4</v>
      </c>
      <c r="AJ2389">
        <v>0</v>
      </c>
      <c r="AK2389">
        <v>215.22</v>
      </c>
      <c r="AN2389" t="s">
        <v>11068</v>
      </c>
      <c r="AO2389">
        <v>54020</v>
      </c>
      <c r="AQ2389" t="s">
        <v>11194</v>
      </c>
      <c r="AR2389" t="s">
        <v>11222</v>
      </c>
      <c r="AS2389" t="s">
        <v>11253</v>
      </c>
      <c r="AT2389" t="s">
        <v>11422</v>
      </c>
      <c r="AU2389">
        <v>41.2</v>
      </c>
      <c r="AV2389" t="s">
        <v>776</v>
      </c>
      <c r="AW2389" t="s">
        <v>11490</v>
      </c>
      <c r="AX2389" t="s">
        <v>11564</v>
      </c>
    </row>
    <row r="2390" spans="1:50">
      <c r="A2390" s="1">
        <f>HYPERLINK("https://cms.ls-nyc.org/matter/dynamic-profile/view/1848374","17-1848374")</f>
        <v>0</v>
      </c>
      <c r="B2390" t="s">
        <v>230</v>
      </c>
      <c r="C2390" t="s">
        <v>234</v>
      </c>
      <c r="D2390" t="s">
        <v>465</v>
      </c>
      <c r="E2390" t="s">
        <v>806</v>
      </c>
      <c r="F2390" t="s">
        <v>2050</v>
      </c>
      <c r="G2390" t="s">
        <v>1732</v>
      </c>
      <c r="H2390" t="s">
        <v>4672</v>
      </c>
      <c r="I2390" t="s">
        <v>4765</v>
      </c>
      <c r="J2390" t="s">
        <v>5320</v>
      </c>
      <c r="K2390">
        <v>11212</v>
      </c>
      <c r="L2390" t="s">
        <v>5355</v>
      </c>
      <c r="M2390" t="s">
        <v>5355</v>
      </c>
      <c r="N2390" t="s">
        <v>6404</v>
      </c>
      <c r="O2390" t="s">
        <v>6492</v>
      </c>
      <c r="P2390" t="s">
        <v>6530</v>
      </c>
      <c r="Q2390" t="s">
        <v>6535</v>
      </c>
      <c r="R2390" t="s">
        <v>6539</v>
      </c>
      <c r="S2390" t="s">
        <v>5357</v>
      </c>
      <c r="U2390" t="s">
        <v>6557</v>
      </c>
      <c r="W2390" t="s">
        <v>516</v>
      </c>
      <c r="X2390">
        <v>1071</v>
      </c>
      <c r="Y2390" t="s">
        <v>6605</v>
      </c>
      <c r="Z2390" t="s">
        <v>6614</v>
      </c>
      <c r="AA2390" t="s">
        <v>6637</v>
      </c>
      <c r="AB2390" t="s">
        <v>8590</v>
      </c>
      <c r="AC2390" t="s">
        <v>9093</v>
      </c>
      <c r="AD2390" t="s">
        <v>10898</v>
      </c>
      <c r="AE2390">
        <v>16</v>
      </c>
      <c r="AF2390" t="s">
        <v>11005</v>
      </c>
      <c r="AG2390" t="s">
        <v>5406</v>
      </c>
      <c r="AH2390">
        <v>8</v>
      </c>
      <c r="AI2390">
        <v>1</v>
      </c>
      <c r="AJ2390">
        <v>1</v>
      </c>
      <c r="AK2390">
        <v>215.52</v>
      </c>
      <c r="AL2390" t="s">
        <v>622</v>
      </c>
      <c r="AN2390" t="s">
        <v>11068</v>
      </c>
      <c r="AO2390">
        <v>35000</v>
      </c>
      <c r="AR2390" t="s">
        <v>11210</v>
      </c>
      <c r="AS2390" t="s">
        <v>11253</v>
      </c>
      <c r="AT2390" t="s">
        <v>11423</v>
      </c>
      <c r="AU2390">
        <v>14.25</v>
      </c>
      <c r="AV2390" t="s">
        <v>332</v>
      </c>
      <c r="AW2390" t="s">
        <v>11490</v>
      </c>
    </row>
    <row r="2391" spans="1:50">
      <c r="A2391" s="1">
        <f>HYPERLINK("https://cms.ls-nyc.org/matter/dynamic-profile/view/0831455","17-0831455")</f>
        <v>0</v>
      </c>
      <c r="B2391" t="s">
        <v>129</v>
      </c>
      <c r="C2391" t="s">
        <v>234</v>
      </c>
      <c r="D2391" t="s">
        <v>642</v>
      </c>
      <c r="E2391" t="s">
        <v>398</v>
      </c>
      <c r="F2391" t="s">
        <v>1113</v>
      </c>
      <c r="G2391" t="s">
        <v>2105</v>
      </c>
      <c r="H2391" t="s">
        <v>4361</v>
      </c>
      <c r="I2391" t="s">
        <v>4833</v>
      </c>
      <c r="J2391" t="s">
        <v>5321</v>
      </c>
      <c r="K2391">
        <v>10453</v>
      </c>
      <c r="L2391" t="s">
        <v>5355</v>
      </c>
      <c r="M2391" t="s">
        <v>5356</v>
      </c>
      <c r="N2391" t="s">
        <v>5968</v>
      </c>
      <c r="O2391" t="s">
        <v>6494</v>
      </c>
      <c r="P2391" t="s">
        <v>6530</v>
      </c>
      <c r="Q2391" t="s">
        <v>6538</v>
      </c>
      <c r="R2391" t="s">
        <v>6539</v>
      </c>
      <c r="S2391" t="s">
        <v>5355</v>
      </c>
      <c r="U2391" t="s">
        <v>6557</v>
      </c>
      <c r="W2391" t="s">
        <v>371</v>
      </c>
      <c r="X2391">
        <v>1325</v>
      </c>
      <c r="Y2391" t="s">
        <v>6606</v>
      </c>
      <c r="Z2391" t="s">
        <v>6616</v>
      </c>
      <c r="AA2391" t="s">
        <v>6634</v>
      </c>
      <c r="AB2391" t="s">
        <v>8591</v>
      </c>
      <c r="AD2391" t="s">
        <v>10899</v>
      </c>
      <c r="AE2391">
        <v>111</v>
      </c>
      <c r="AF2391" t="s">
        <v>11005</v>
      </c>
      <c r="AG2391" t="s">
        <v>5406</v>
      </c>
      <c r="AH2391">
        <v>5</v>
      </c>
      <c r="AI2391">
        <v>2</v>
      </c>
      <c r="AJ2391">
        <v>0</v>
      </c>
      <c r="AK2391">
        <v>215.52</v>
      </c>
      <c r="AN2391" t="s">
        <v>11050</v>
      </c>
      <c r="AO2391">
        <v>35000</v>
      </c>
      <c r="AU2391">
        <v>156.05</v>
      </c>
      <c r="AV2391" t="s">
        <v>398</v>
      </c>
      <c r="AW2391" t="s">
        <v>11509</v>
      </c>
    </row>
    <row r="2392" spans="1:50">
      <c r="A2392" s="1">
        <f>HYPERLINK("https://cms.ls-nyc.org/matter/dynamic-profile/view/1840673","17-1840673")</f>
        <v>0</v>
      </c>
      <c r="B2392" t="s">
        <v>189</v>
      </c>
      <c r="C2392" t="s">
        <v>234</v>
      </c>
      <c r="D2392" t="s">
        <v>305</v>
      </c>
      <c r="E2392" t="s">
        <v>833</v>
      </c>
      <c r="F2392" t="s">
        <v>2051</v>
      </c>
      <c r="G2392" t="s">
        <v>3358</v>
      </c>
      <c r="H2392" t="s">
        <v>4673</v>
      </c>
      <c r="I2392">
        <v>2</v>
      </c>
      <c r="J2392" t="s">
        <v>5322</v>
      </c>
      <c r="K2392">
        <v>10302</v>
      </c>
      <c r="L2392" t="s">
        <v>5355</v>
      </c>
      <c r="M2392" t="s">
        <v>5355</v>
      </c>
      <c r="N2392" t="s">
        <v>6405</v>
      </c>
      <c r="O2392" t="s">
        <v>6491</v>
      </c>
      <c r="P2392" t="s">
        <v>6530</v>
      </c>
      <c r="Q2392" t="s">
        <v>6534</v>
      </c>
      <c r="R2392" t="s">
        <v>6539</v>
      </c>
      <c r="S2392" t="s">
        <v>5357</v>
      </c>
      <c r="U2392" t="s">
        <v>6557</v>
      </c>
      <c r="V2392" t="s">
        <v>6566</v>
      </c>
      <c r="W2392" t="s">
        <v>305</v>
      </c>
      <c r="X2392">
        <v>940</v>
      </c>
      <c r="Y2392" t="s">
        <v>6607</v>
      </c>
      <c r="Z2392" t="s">
        <v>6613</v>
      </c>
      <c r="AA2392" t="s">
        <v>6633</v>
      </c>
      <c r="AB2392" t="s">
        <v>8592</v>
      </c>
      <c r="AD2392" t="s">
        <v>10900</v>
      </c>
      <c r="AE2392">
        <v>2</v>
      </c>
      <c r="AF2392" t="s">
        <v>11004</v>
      </c>
      <c r="AG2392" t="s">
        <v>5406</v>
      </c>
      <c r="AH2392">
        <v>8</v>
      </c>
      <c r="AI2392">
        <v>1</v>
      </c>
      <c r="AJ2392">
        <v>1</v>
      </c>
      <c r="AK2392">
        <v>215.52</v>
      </c>
      <c r="AL2392" t="s">
        <v>11042</v>
      </c>
      <c r="AN2392" t="s">
        <v>11050</v>
      </c>
      <c r="AO2392">
        <v>35000</v>
      </c>
      <c r="AQ2392" t="s">
        <v>11191</v>
      </c>
      <c r="AR2392" t="s">
        <v>11214</v>
      </c>
      <c r="AS2392" t="s">
        <v>11252</v>
      </c>
      <c r="AT2392" t="s">
        <v>11343</v>
      </c>
      <c r="AU2392">
        <v>40.1</v>
      </c>
      <c r="AV2392" t="s">
        <v>11485</v>
      </c>
      <c r="AW2392" t="s">
        <v>11510</v>
      </c>
    </row>
    <row r="2393" spans="1:50">
      <c r="A2393" s="1">
        <f>HYPERLINK("https://cms.ls-nyc.org/matter/dynamic-profile/view/1845031","17-1845031")</f>
        <v>0</v>
      </c>
      <c r="B2393" t="s">
        <v>231</v>
      </c>
      <c r="C2393" t="s">
        <v>234</v>
      </c>
      <c r="D2393" t="s">
        <v>419</v>
      </c>
      <c r="E2393" t="s">
        <v>440</v>
      </c>
      <c r="F2393" t="s">
        <v>838</v>
      </c>
      <c r="G2393" t="s">
        <v>3359</v>
      </c>
      <c r="H2393" t="s">
        <v>4674</v>
      </c>
      <c r="I2393" t="s">
        <v>4743</v>
      </c>
      <c r="J2393" t="s">
        <v>5320</v>
      </c>
      <c r="K2393">
        <v>11212</v>
      </c>
      <c r="L2393" t="s">
        <v>5355</v>
      </c>
      <c r="M2393" t="s">
        <v>5355</v>
      </c>
      <c r="N2393" t="s">
        <v>6406</v>
      </c>
      <c r="O2393" t="s">
        <v>6492</v>
      </c>
      <c r="P2393" t="s">
        <v>6530</v>
      </c>
      <c r="Q2393" t="s">
        <v>6534</v>
      </c>
      <c r="R2393" t="s">
        <v>6539</v>
      </c>
      <c r="U2393" t="s">
        <v>6557</v>
      </c>
      <c r="W2393" t="s">
        <v>463</v>
      </c>
      <c r="X2393">
        <v>800</v>
      </c>
      <c r="Y2393" t="s">
        <v>6605</v>
      </c>
      <c r="Z2393" t="s">
        <v>6609</v>
      </c>
      <c r="AA2393" t="s">
        <v>6651</v>
      </c>
      <c r="AB2393" t="s">
        <v>8593</v>
      </c>
      <c r="AD2393" t="s">
        <v>10901</v>
      </c>
      <c r="AE2393">
        <v>6</v>
      </c>
      <c r="AF2393" t="s">
        <v>11005</v>
      </c>
      <c r="AG2393" t="s">
        <v>11020</v>
      </c>
      <c r="AH2393">
        <v>34</v>
      </c>
      <c r="AI2393">
        <v>1</v>
      </c>
      <c r="AJ2393">
        <v>0</v>
      </c>
      <c r="AK2393">
        <v>215.59</v>
      </c>
      <c r="AL2393" t="s">
        <v>622</v>
      </c>
      <c r="AN2393" t="s">
        <v>11050</v>
      </c>
      <c r="AO2393">
        <v>26000</v>
      </c>
      <c r="AR2393" t="s">
        <v>11210</v>
      </c>
      <c r="AS2393" t="s">
        <v>11253</v>
      </c>
      <c r="AT2393" t="s">
        <v>11370</v>
      </c>
      <c r="AU2393">
        <v>24.75</v>
      </c>
      <c r="AV2393" t="s">
        <v>440</v>
      </c>
      <c r="AW2393" t="s">
        <v>11489</v>
      </c>
    </row>
    <row r="2394" spans="1:50">
      <c r="A2394" s="1">
        <f>HYPERLINK("https://cms.ls-nyc.org/matter/dynamic-profile/view/1840401","17-1840401")</f>
        <v>0</v>
      </c>
      <c r="B2394" t="s">
        <v>65</v>
      </c>
      <c r="C2394" t="s">
        <v>234</v>
      </c>
      <c r="D2394" t="s">
        <v>387</v>
      </c>
      <c r="E2394" t="s">
        <v>722</v>
      </c>
      <c r="F2394" t="s">
        <v>1179</v>
      </c>
      <c r="G2394" t="s">
        <v>2925</v>
      </c>
      <c r="H2394" t="s">
        <v>3702</v>
      </c>
      <c r="I2394">
        <v>62</v>
      </c>
      <c r="J2394" t="s">
        <v>5323</v>
      </c>
      <c r="K2394">
        <v>10033</v>
      </c>
      <c r="L2394" t="s">
        <v>5355</v>
      </c>
      <c r="M2394" t="s">
        <v>5356</v>
      </c>
      <c r="O2394" t="s">
        <v>6499</v>
      </c>
      <c r="P2394" t="s">
        <v>6530</v>
      </c>
      <c r="Q2394" t="s">
        <v>6536</v>
      </c>
      <c r="R2394" t="s">
        <v>6539</v>
      </c>
      <c r="S2394" t="s">
        <v>5357</v>
      </c>
      <c r="U2394" t="s">
        <v>6557</v>
      </c>
      <c r="W2394" t="s">
        <v>387</v>
      </c>
      <c r="X2394">
        <v>1235.07</v>
      </c>
      <c r="Y2394" t="s">
        <v>6608</v>
      </c>
      <c r="Z2394" t="s">
        <v>6616</v>
      </c>
      <c r="AA2394" t="s">
        <v>6634</v>
      </c>
      <c r="AB2394" t="s">
        <v>8594</v>
      </c>
      <c r="AD2394" t="s">
        <v>10902</v>
      </c>
      <c r="AE2394">
        <v>33</v>
      </c>
      <c r="AF2394" t="s">
        <v>11005</v>
      </c>
      <c r="AG2394" t="s">
        <v>5406</v>
      </c>
      <c r="AH2394">
        <v>36</v>
      </c>
      <c r="AI2394">
        <v>2</v>
      </c>
      <c r="AJ2394">
        <v>0</v>
      </c>
      <c r="AK2394">
        <v>215.95</v>
      </c>
      <c r="AL2394" t="s">
        <v>11030</v>
      </c>
      <c r="AN2394" t="s">
        <v>11049</v>
      </c>
      <c r="AO2394">
        <v>35070.6</v>
      </c>
      <c r="AU2394">
        <v>5.7</v>
      </c>
      <c r="AV2394" t="s">
        <v>345</v>
      </c>
      <c r="AW2394" t="s">
        <v>11495</v>
      </c>
    </row>
    <row r="2395" spans="1:50">
      <c r="A2395" s="1">
        <f>HYPERLINK("https://cms.ls-nyc.org/matter/dynamic-profile/view/1871147","18-1871147")</f>
        <v>0</v>
      </c>
      <c r="B2395" t="s">
        <v>58</v>
      </c>
      <c r="C2395" t="s">
        <v>235</v>
      </c>
      <c r="D2395" t="s">
        <v>287</v>
      </c>
      <c r="F2395" t="s">
        <v>2052</v>
      </c>
      <c r="G2395" t="s">
        <v>3104</v>
      </c>
      <c r="H2395" t="s">
        <v>4675</v>
      </c>
      <c r="I2395" t="s">
        <v>4898</v>
      </c>
      <c r="J2395" t="s">
        <v>5321</v>
      </c>
      <c r="K2395">
        <v>10452</v>
      </c>
      <c r="L2395" t="s">
        <v>5355</v>
      </c>
      <c r="M2395" t="s">
        <v>5356</v>
      </c>
      <c r="N2395" t="s">
        <v>6407</v>
      </c>
      <c r="O2395" t="s">
        <v>6492</v>
      </c>
      <c r="P2395" t="s">
        <v>6530</v>
      </c>
      <c r="R2395" t="s">
        <v>6539</v>
      </c>
      <c r="S2395" t="s">
        <v>5357</v>
      </c>
      <c r="U2395" t="s">
        <v>6557</v>
      </c>
      <c r="W2395" t="s">
        <v>516</v>
      </c>
      <c r="X2395">
        <v>1194.67</v>
      </c>
      <c r="Y2395" t="s">
        <v>6606</v>
      </c>
      <c r="Z2395" t="s">
        <v>6616</v>
      </c>
      <c r="AB2395" t="s">
        <v>8595</v>
      </c>
      <c r="AD2395" t="s">
        <v>10903</v>
      </c>
      <c r="AE2395">
        <v>0</v>
      </c>
      <c r="AH2395">
        <v>20</v>
      </c>
      <c r="AI2395">
        <v>1</v>
      </c>
      <c r="AJ2395">
        <v>0</v>
      </c>
      <c r="AK2395">
        <v>216.38</v>
      </c>
      <c r="AN2395" t="s">
        <v>11050</v>
      </c>
      <c r="AO2395">
        <v>26268</v>
      </c>
      <c r="AQ2395" t="s">
        <v>11192</v>
      </c>
      <c r="AR2395" t="s">
        <v>11211</v>
      </c>
      <c r="AS2395" t="s">
        <v>11253</v>
      </c>
      <c r="AT2395" t="s">
        <v>11424</v>
      </c>
      <c r="AU2395">
        <v>15.8</v>
      </c>
      <c r="AV2395" t="s">
        <v>799</v>
      </c>
      <c r="AW2395" t="s">
        <v>90</v>
      </c>
    </row>
    <row r="2396" spans="1:50">
      <c r="A2396" s="1">
        <f>HYPERLINK("https://cms.ls-nyc.org/matter/dynamic-profile/view/1863525","18-1863525")</f>
        <v>0</v>
      </c>
      <c r="B2396" t="s">
        <v>106</v>
      </c>
      <c r="C2396" t="s">
        <v>234</v>
      </c>
      <c r="D2396" t="s">
        <v>373</v>
      </c>
      <c r="E2396" t="s">
        <v>776</v>
      </c>
      <c r="F2396" t="s">
        <v>1185</v>
      </c>
      <c r="G2396" t="s">
        <v>2147</v>
      </c>
      <c r="H2396" t="s">
        <v>3544</v>
      </c>
      <c r="I2396" t="s">
        <v>4758</v>
      </c>
      <c r="J2396" t="s">
        <v>5321</v>
      </c>
      <c r="K2396">
        <v>10452</v>
      </c>
      <c r="L2396" t="s">
        <v>5355</v>
      </c>
      <c r="M2396" t="s">
        <v>5356</v>
      </c>
      <c r="N2396" t="s">
        <v>6408</v>
      </c>
      <c r="O2396" t="s">
        <v>6492</v>
      </c>
      <c r="P2396" t="s">
        <v>6530</v>
      </c>
      <c r="Q2396" t="s">
        <v>6534</v>
      </c>
      <c r="R2396" t="s">
        <v>6539</v>
      </c>
      <c r="S2396" t="s">
        <v>5357</v>
      </c>
      <c r="U2396" t="s">
        <v>6557</v>
      </c>
      <c r="V2396" t="s">
        <v>6566</v>
      </c>
      <c r="W2396" t="s">
        <v>373</v>
      </c>
      <c r="X2396">
        <v>1150</v>
      </c>
      <c r="Y2396" t="s">
        <v>6606</v>
      </c>
      <c r="Z2396" t="s">
        <v>6612</v>
      </c>
      <c r="AA2396" t="s">
        <v>6637</v>
      </c>
      <c r="AB2396" t="s">
        <v>8510</v>
      </c>
      <c r="AE2396">
        <v>149</v>
      </c>
      <c r="AF2396" t="s">
        <v>11005</v>
      </c>
      <c r="AG2396" t="s">
        <v>5406</v>
      </c>
      <c r="AH2396">
        <v>10</v>
      </c>
      <c r="AI2396">
        <v>2</v>
      </c>
      <c r="AJ2396">
        <v>1</v>
      </c>
      <c r="AK2396">
        <v>216.55</v>
      </c>
      <c r="AL2396" t="s">
        <v>288</v>
      </c>
      <c r="AN2396" t="s">
        <v>11050</v>
      </c>
      <c r="AO2396">
        <v>45000</v>
      </c>
      <c r="AQ2396" t="s">
        <v>11196</v>
      </c>
      <c r="AR2396" t="s">
        <v>11249</v>
      </c>
      <c r="AS2396" t="s">
        <v>11253</v>
      </c>
      <c r="AT2396" t="s">
        <v>11318</v>
      </c>
      <c r="AU2396">
        <v>99.34999999999999</v>
      </c>
      <c r="AV2396" t="s">
        <v>819</v>
      </c>
      <c r="AW2396" t="s">
        <v>11499</v>
      </c>
    </row>
    <row r="2397" spans="1:50">
      <c r="A2397" s="1">
        <f>HYPERLINK("https://cms.ls-nyc.org/matter/dynamic-profile/view/1865775","18-1865775")</f>
        <v>0</v>
      </c>
      <c r="B2397" t="s">
        <v>232</v>
      </c>
      <c r="C2397" t="s">
        <v>234</v>
      </c>
      <c r="D2397" t="s">
        <v>385</v>
      </c>
      <c r="E2397" t="s">
        <v>834</v>
      </c>
      <c r="F2397" t="s">
        <v>992</v>
      </c>
      <c r="G2397" t="s">
        <v>3360</v>
      </c>
      <c r="H2397" t="s">
        <v>4676</v>
      </c>
      <c r="I2397" t="s">
        <v>4743</v>
      </c>
      <c r="J2397" t="s">
        <v>5320</v>
      </c>
      <c r="K2397">
        <v>11237</v>
      </c>
      <c r="L2397" t="s">
        <v>5355</v>
      </c>
      <c r="M2397" t="s">
        <v>5356</v>
      </c>
      <c r="N2397" t="s">
        <v>6409</v>
      </c>
      <c r="O2397" t="s">
        <v>6491</v>
      </c>
      <c r="P2397" t="s">
        <v>6530</v>
      </c>
      <c r="Q2397" t="s">
        <v>6534</v>
      </c>
      <c r="R2397" t="s">
        <v>6539</v>
      </c>
      <c r="U2397" t="s">
        <v>6557</v>
      </c>
      <c r="W2397" t="s">
        <v>516</v>
      </c>
      <c r="X2397">
        <v>1159</v>
      </c>
      <c r="Y2397" t="s">
        <v>6605</v>
      </c>
      <c r="Z2397" t="s">
        <v>6611</v>
      </c>
      <c r="AA2397" t="s">
        <v>6633</v>
      </c>
      <c r="AB2397" t="s">
        <v>8596</v>
      </c>
      <c r="AD2397" t="s">
        <v>10904</v>
      </c>
      <c r="AE2397">
        <v>2</v>
      </c>
      <c r="AG2397" t="s">
        <v>11020</v>
      </c>
      <c r="AH2397">
        <v>21</v>
      </c>
      <c r="AI2397">
        <v>2</v>
      </c>
      <c r="AJ2397">
        <v>0</v>
      </c>
      <c r="AK2397">
        <v>217.35</v>
      </c>
      <c r="AL2397" t="s">
        <v>622</v>
      </c>
      <c r="AN2397" t="s">
        <v>11049</v>
      </c>
      <c r="AO2397">
        <v>35776</v>
      </c>
      <c r="AQ2397" t="s">
        <v>11193</v>
      </c>
      <c r="AR2397" t="s">
        <v>6493</v>
      </c>
      <c r="AS2397" t="s">
        <v>11252</v>
      </c>
      <c r="AT2397" t="s">
        <v>11425</v>
      </c>
      <c r="AU2397">
        <v>25.01</v>
      </c>
      <c r="AV2397" t="s">
        <v>11433</v>
      </c>
      <c r="AW2397" t="s">
        <v>11487</v>
      </c>
      <c r="AX2397" t="s">
        <v>11564</v>
      </c>
    </row>
    <row r="2398" spans="1:50">
      <c r="A2398" s="1">
        <f>HYPERLINK("https://cms.ls-nyc.org/matter/dynamic-profile/view/1856600","18-1856600")</f>
        <v>0</v>
      </c>
      <c r="B2398" t="s">
        <v>174</v>
      </c>
      <c r="C2398" t="s">
        <v>235</v>
      </c>
      <c r="D2398" t="s">
        <v>389</v>
      </c>
      <c r="F2398" t="s">
        <v>1179</v>
      </c>
      <c r="G2398" t="s">
        <v>2663</v>
      </c>
      <c r="H2398" t="s">
        <v>4677</v>
      </c>
      <c r="I2398" t="s">
        <v>4791</v>
      </c>
      <c r="J2398" t="s">
        <v>5320</v>
      </c>
      <c r="K2398">
        <v>11201</v>
      </c>
      <c r="L2398" t="s">
        <v>5355</v>
      </c>
      <c r="M2398" t="s">
        <v>5356</v>
      </c>
      <c r="N2398" t="s">
        <v>6410</v>
      </c>
      <c r="O2398" t="s">
        <v>6492</v>
      </c>
      <c r="P2398" t="s">
        <v>6530</v>
      </c>
      <c r="R2398" t="s">
        <v>6539</v>
      </c>
      <c r="T2398" t="s">
        <v>6554</v>
      </c>
      <c r="U2398" t="s">
        <v>6557</v>
      </c>
      <c r="W2398" t="s">
        <v>352</v>
      </c>
      <c r="X2398">
        <v>0</v>
      </c>
      <c r="Y2398" t="s">
        <v>6605</v>
      </c>
      <c r="Z2398" t="s">
        <v>6612</v>
      </c>
      <c r="AB2398" t="s">
        <v>8597</v>
      </c>
      <c r="AE2398">
        <v>0</v>
      </c>
      <c r="AF2398" t="s">
        <v>11005</v>
      </c>
      <c r="AH2398">
        <v>45</v>
      </c>
      <c r="AI2398">
        <v>2</v>
      </c>
      <c r="AJ2398">
        <v>0</v>
      </c>
      <c r="AK2398">
        <v>218.57</v>
      </c>
      <c r="AL2398" t="s">
        <v>622</v>
      </c>
      <c r="AN2398" t="s">
        <v>11050</v>
      </c>
      <c r="AO2398">
        <v>35496</v>
      </c>
      <c r="AU2398">
        <v>31</v>
      </c>
      <c r="AV2398" t="s">
        <v>744</v>
      </c>
      <c r="AW2398" t="s">
        <v>174</v>
      </c>
    </row>
    <row r="2399" spans="1:50">
      <c r="A2399" s="1">
        <f>HYPERLINK("https://cms.ls-nyc.org/matter/dynamic-profile/view/1862661","18-1862661")</f>
        <v>0</v>
      </c>
      <c r="B2399" t="s">
        <v>179</v>
      </c>
      <c r="C2399" t="s">
        <v>235</v>
      </c>
      <c r="D2399" t="s">
        <v>408</v>
      </c>
      <c r="F2399" t="s">
        <v>1307</v>
      </c>
      <c r="G2399" t="s">
        <v>2255</v>
      </c>
      <c r="H2399" t="s">
        <v>4083</v>
      </c>
      <c r="I2399" t="s">
        <v>5293</v>
      </c>
      <c r="J2399" t="s">
        <v>5320</v>
      </c>
      <c r="K2399">
        <v>11226</v>
      </c>
      <c r="L2399" t="s">
        <v>5355</v>
      </c>
      <c r="M2399" t="s">
        <v>5356</v>
      </c>
      <c r="N2399" t="s">
        <v>6411</v>
      </c>
      <c r="O2399" t="s">
        <v>6499</v>
      </c>
      <c r="P2399" t="s">
        <v>6530</v>
      </c>
      <c r="R2399" t="s">
        <v>6539</v>
      </c>
      <c r="S2399" t="s">
        <v>5355</v>
      </c>
      <c r="T2399" t="s">
        <v>6545</v>
      </c>
      <c r="U2399" t="s">
        <v>6557</v>
      </c>
      <c r="W2399" t="s">
        <v>516</v>
      </c>
      <c r="X2399">
        <v>0</v>
      </c>
      <c r="Y2399" t="s">
        <v>6605</v>
      </c>
      <c r="Z2399" t="s">
        <v>6612</v>
      </c>
      <c r="AB2399" t="s">
        <v>8598</v>
      </c>
      <c r="AD2399" t="s">
        <v>10905</v>
      </c>
      <c r="AE2399">
        <v>61</v>
      </c>
      <c r="AF2399" t="s">
        <v>11005</v>
      </c>
      <c r="AH2399">
        <v>20</v>
      </c>
      <c r="AI2399">
        <v>2</v>
      </c>
      <c r="AJ2399">
        <v>0</v>
      </c>
      <c r="AK2399">
        <v>218.71</v>
      </c>
      <c r="AN2399" t="s">
        <v>11050</v>
      </c>
      <c r="AO2399">
        <v>36000</v>
      </c>
      <c r="AU2399">
        <v>0</v>
      </c>
      <c r="AW2399" t="s">
        <v>11490</v>
      </c>
    </row>
    <row r="2400" spans="1:50">
      <c r="A2400" s="1">
        <f>HYPERLINK("https://cms.ls-nyc.org/matter/dynamic-profile/view/1848275","17-1848275")</f>
        <v>0</v>
      </c>
      <c r="B2400" t="s">
        <v>97</v>
      </c>
      <c r="C2400" t="s">
        <v>234</v>
      </c>
      <c r="D2400" t="s">
        <v>465</v>
      </c>
      <c r="E2400" t="s">
        <v>665</v>
      </c>
      <c r="F2400" t="s">
        <v>878</v>
      </c>
      <c r="G2400" t="s">
        <v>3361</v>
      </c>
      <c r="H2400" t="s">
        <v>4678</v>
      </c>
      <c r="I2400" t="s">
        <v>4775</v>
      </c>
      <c r="J2400" t="s">
        <v>5323</v>
      </c>
      <c r="K2400">
        <v>10034</v>
      </c>
      <c r="L2400" t="s">
        <v>5355</v>
      </c>
      <c r="M2400" t="s">
        <v>5355</v>
      </c>
      <c r="N2400" t="s">
        <v>6412</v>
      </c>
      <c r="O2400" t="s">
        <v>6492</v>
      </c>
      <c r="P2400" t="s">
        <v>6530</v>
      </c>
      <c r="Q2400" t="s">
        <v>6534</v>
      </c>
      <c r="R2400" t="s">
        <v>6539</v>
      </c>
      <c r="S2400" t="s">
        <v>5357</v>
      </c>
      <c r="U2400" t="s">
        <v>6557</v>
      </c>
      <c r="W2400" t="s">
        <v>262</v>
      </c>
      <c r="X2400">
        <v>1200</v>
      </c>
      <c r="Y2400" t="s">
        <v>6608</v>
      </c>
      <c r="Z2400" t="s">
        <v>6616</v>
      </c>
      <c r="AA2400" t="s">
        <v>6637</v>
      </c>
      <c r="AB2400" t="s">
        <v>8599</v>
      </c>
      <c r="AD2400" t="s">
        <v>10906</v>
      </c>
      <c r="AE2400">
        <v>40</v>
      </c>
      <c r="AF2400" t="s">
        <v>11005</v>
      </c>
      <c r="AG2400" t="s">
        <v>5406</v>
      </c>
      <c r="AH2400">
        <v>40</v>
      </c>
      <c r="AI2400">
        <v>1</v>
      </c>
      <c r="AJ2400">
        <v>0</v>
      </c>
      <c r="AK2400">
        <v>218.91</v>
      </c>
      <c r="AL2400" t="s">
        <v>11029</v>
      </c>
      <c r="AN2400" t="s">
        <v>11050</v>
      </c>
      <c r="AO2400">
        <v>26400</v>
      </c>
      <c r="AU2400">
        <v>21.8</v>
      </c>
      <c r="AV2400" t="s">
        <v>701</v>
      </c>
      <c r="AW2400" t="s">
        <v>11495</v>
      </c>
    </row>
    <row r="2401" spans="1:50">
      <c r="A2401" s="1">
        <f>HYPERLINK("https://cms.ls-nyc.org/matter/dynamic-profile/view/1859964","18-1859964")</f>
        <v>0</v>
      </c>
      <c r="B2401" t="s">
        <v>179</v>
      </c>
      <c r="C2401" t="s">
        <v>235</v>
      </c>
      <c r="D2401" t="s">
        <v>291</v>
      </c>
      <c r="F2401" t="s">
        <v>1307</v>
      </c>
      <c r="G2401" t="s">
        <v>2255</v>
      </c>
      <c r="H2401" t="s">
        <v>4083</v>
      </c>
      <c r="I2401" t="s">
        <v>5293</v>
      </c>
      <c r="J2401" t="s">
        <v>5320</v>
      </c>
      <c r="K2401">
        <v>11226</v>
      </c>
      <c r="L2401" t="s">
        <v>5355</v>
      </c>
      <c r="M2401" t="s">
        <v>5356</v>
      </c>
      <c r="N2401" t="s">
        <v>6064</v>
      </c>
      <c r="O2401" t="s">
        <v>6516</v>
      </c>
      <c r="P2401" t="s">
        <v>6530</v>
      </c>
      <c r="R2401" t="s">
        <v>6539</v>
      </c>
      <c r="S2401" t="s">
        <v>5355</v>
      </c>
      <c r="T2401" t="s">
        <v>6545</v>
      </c>
      <c r="U2401" t="s">
        <v>6557</v>
      </c>
      <c r="W2401" t="s">
        <v>6575</v>
      </c>
      <c r="X2401">
        <v>0</v>
      </c>
      <c r="Y2401" t="s">
        <v>6605</v>
      </c>
      <c r="Z2401" t="s">
        <v>6612</v>
      </c>
      <c r="AB2401" t="s">
        <v>8598</v>
      </c>
      <c r="AD2401" t="s">
        <v>10905</v>
      </c>
      <c r="AE2401">
        <v>61</v>
      </c>
      <c r="AF2401" t="s">
        <v>11006</v>
      </c>
      <c r="AG2401" t="s">
        <v>5406</v>
      </c>
      <c r="AH2401">
        <v>20</v>
      </c>
      <c r="AI2401">
        <v>2</v>
      </c>
      <c r="AJ2401">
        <v>0</v>
      </c>
      <c r="AK2401">
        <v>221.67</v>
      </c>
      <c r="AL2401" t="s">
        <v>11029</v>
      </c>
      <c r="AN2401" t="s">
        <v>11050</v>
      </c>
      <c r="AO2401">
        <v>36000</v>
      </c>
      <c r="AU2401">
        <v>4.3</v>
      </c>
      <c r="AV2401" t="s">
        <v>437</v>
      </c>
      <c r="AW2401" t="s">
        <v>11490</v>
      </c>
    </row>
    <row r="2402" spans="1:50">
      <c r="A2402" s="1">
        <f>HYPERLINK("https://cms.ls-nyc.org/matter/dynamic-profile/view/1864443","18-1864443")</f>
        <v>0</v>
      </c>
      <c r="B2402" t="s">
        <v>68</v>
      </c>
      <c r="C2402" t="s">
        <v>234</v>
      </c>
      <c r="D2402" t="s">
        <v>256</v>
      </c>
      <c r="E2402" t="s">
        <v>727</v>
      </c>
      <c r="F2402" t="s">
        <v>1545</v>
      </c>
      <c r="G2402" t="s">
        <v>3057</v>
      </c>
      <c r="H2402" t="s">
        <v>4679</v>
      </c>
      <c r="I2402">
        <v>606</v>
      </c>
      <c r="J2402" t="s">
        <v>5323</v>
      </c>
      <c r="K2402">
        <v>10029</v>
      </c>
      <c r="L2402" t="s">
        <v>5355</v>
      </c>
      <c r="M2402" t="s">
        <v>5355</v>
      </c>
      <c r="N2402" t="s">
        <v>5632</v>
      </c>
      <c r="O2402" t="s">
        <v>6494</v>
      </c>
      <c r="P2402" t="s">
        <v>6530</v>
      </c>
      <c r="Q2402" t="s">
        <v>6534</v>
      </c>
      <c r="R2402" t="s">
        <v>6539</v>
      </c>
      <c r="S2402" t="s">
        <v>5355</v>
      </c>
      <c r="U2402" t="s">
        <v>6557</v>
      </c>
      <c r="V2402" t="s">
        <v>6566</v>
      </c>
      <c r="W2402" t="s">
        <v>256</v>
      </c>
      <c r="X2402">
        <v>0</v>
      </c>
      <c r="Y2402" t="s">
        <v>6608</v>
      </c>
      <c r="Z2402" t="s">
        <v>6622</v>
      </c>
      <c r="AA2402" t="s">
        <v>6634</v>
      </c>
      <c r="AB2402" t="s">
        <v>8600</v>
      </c>
      <c r="AD2402" t="s">
        <v>10907</v>
      </c>
      <c r="AE2402">
        <v>108</v>
      </c>
      <c r="AF2402" t="s">
        <v>11008</v>
      </c>
      <c r="AG2402" t="s">
        <v>11020</v>
      </c>
      <c r="AH2402">
        <v>23</v>
      </c>
      <c r="AI2402">
        <v>1</v>
      </c>
      <c r="AJ2402">
        <v>0</v>
      </c>
      <c r="AK2402">
        <v>222.73</v>
      </c>
      <c r="AN2402" t="s">
        <v>11049</v>
      </c>
      <c r="AO2402">
        <v>27040</v>
      </c>
      <c r="AR2402" t="s">
        <v>11241</v>
      </c>
      <c r="AS2402" t="s">
        <v>11253</v>
      </c>
      <c r="AT2402" t="s">
        <v>11344</v>
      </c>
      <c r="AU2402">
        <v>3.5</v>
      </c>
      <c r="AV2402" t="s">
        <v>819</v>
      </c>
      <c r="AW2402" t="s">
        <v>11497</v>
      </c>
      <c r="AX2402" t="s">
        <v>11564</v>
      </c>
    </row>
    <row r="2403" spans="1:50">
      <c r="A2403" s="1">
        <f>HYPERLINK("https://cms.ls-nyc.org/matter/dynamic-profile/view/1862016","18-1862016")</f>
        <v>0</v>
      </c>
      <c r="B2403" t="s">
        <v>90</v>
      </c>
      <c r="C2403" t="s">
        <v>235</v>
      </c>
      <c r="D2403" t="s">
        <v>358</v>
      </c>
      <c r="F2403" t="s">
        <v>1409</v>
      </c>
      <c r="G2403" t="s">
        <v>2472</v>
      </c>
      <c r="H2403" t="s">
        <v>3949</v>
      </c>
      <c r="I2403" t="s">
        <v>4811</v>
      </c>
      <c r="J2403" t="s">
        <v>5321</v>
      </c>
      <c r="K2403">
        <v>10452</v>
      </c>
      <c r="L2403" t="s">
        <v>5355</v>
      </c>
      <c r="M2403" t="s">
        <v>5356</v>
      </c>
      <c r="N2403" t="s">
        <v>5792</v>
      </c>
      <c r="O2403" t="s">
        <v>6494</v>
      </c>
      <c r="P2403" t="s">
        <v>6530</v>
      </c>
      <c r="R2403" t="s">
        <v>6539</v>
      </c>
      <c r="S2403" t="s">
        <v>5355</v>
      </c>
      <c r="U2403" t="s">
        <v>6557</v>
      </c>
      <c r="W2403" t="s">
        <v>480</v>
      </c>
      <c r="X2403">
        <v>981</v>
      </c>
      <c r="Y2403" t="s">
        <v>6606</v>
      </c>
      <c r="Z2403" t="s">
        <v>6612</v>
      </c>
      <c r="AB2403" t="s">
        <v>7490</v>
      </c>
      <c r="AE2403">
        <v>60</v>
      </c>
      <c r="AF2403" t="s">
        <v>8722</v>
      </c>
      <c r="AG2403" t="s">
        <v>5406</v>
      </c>
      <c r="AH2403">
        <v>43</v>
      </c>
      <c r="AI2403">
        <v>2</v>
      </c>
      <c r="AJ2403">
        <v>0</v>
      </c>
      <c r="AK2403">
        <v>223.09</v>
      </c>
      <c r="AN2403" t="s">
        <v>11050</v>
      </c>
      <c r="AO2403">
        <v>36720</v>
      </c>
      <c r="AU2403">
        <v>0</v>
      </c>
      <c r="AW2403" t="s">
        <v>11492</v>
      </c>
    </row>
    <row r="2404" spans="1:50">
      <c r="A2404" s="1">
        <f>HYPERLINK("https://cms.ls-nyc.org/matter/dynamic-profile/view/1864117","18-1864117")</f>
        <v>0</v>
      </c>
      <c r="B2404" t="s">
        <v>111</v>
      </c>
      <c r="C2404" t="s">
        <v>235</v>
      </c>
      <c r="D2404" t="s">
        <v>357</v>
      </c>
      <c r="F2404" t="s">
        <v>1330</v>
      </c>
      <c r="G2404" t="s">
        <v>2972</v>
      </c>
      <c r="H2404" t="s">
        <v>4100</v>
      </c>
      <c r="I2404" t="s">
        <v>4743</v>
      </c>
      <c r="J2404" t="s">
        <v>5323</v>
      </c>
      <c r="K2404">
        <v>10040</v>
      </c>
      <c r="L2404" t="s">
        <v>5355</v>
      </c>
      <c r="M2404" t="s">
        <v>5356</v>
      </c>
      <c r="N2404" t="s">
        <v>5591</v>
      </c>
      <c r="O2404" t="s">
        <v>6494</v>
      </c>
      <c r="P2404" t="s">
        <v>6530</v>
      </c>
      <c r="R2404" t="s">
        <v>6539</v>
      </c>
      <c r="S2404" t="s">
        <v>5355</v>
      </c>
      <c r="U2404" t="s">
        <v>6557</v>
      </c>
      <c r="W2404" t="s">
        <v>357</v>
      </c>
      <c r="X2404">
        <v>1370.61</v>
      </c>
      <c r="Y2404" t="s">
        <v>6608</v>
      </c>
      <c r="Z2404" t="s">
        <v>6614</v>
      </c>
      <c r="AB2404" t="s">
        <v>8601</v>
      </c>
      <c r="AD2404" t="s">
        <v>10908</v>
      </c>
      <c r="AE2404">
        <v>44</v>
      </c>
      <c r="AF2404" t="s">
        <v>11005</v>
      </c>
      <c r="AG2404" t="s">
        <v>5406</v>
      </c>
      <c r="AH2404">
        <v>11</v>
      </c>
      <c r="AI2404">
        <v>2</v>
      </c>
      <c r="AJ2404">
        <v>2</v>
      </c>
      <c r="AK2404">
        <v>223.11</v>
      </c>
      <c r="AL2404" t="s">
        <v>11035</v>
      </c>
      <c r="AN2404" t="s">
        <v>11050</v>
      </c>
      <c r="AO2404">
        <v>71000</v>
      </c>
      <c r="AU2404">
        <v>6</v>
      </c>
      <c r="AV2404" t="s">
        <v>445</v>
      </c>
      <c r="AW2404" t="s">
        <v>11495</v>
      </c>
    </row>
    <row r="2405" spans="1:50">
      <c r="A2405" s="1">
        <f>HYPERLINK("https://cms.ls-nyc.org/matter/dynamic-profile/view/1848794","17-1848794")</f>
        <v>0</v>
      </c>
      <c r="B2405" t="s">
        <v>80</v>
      </c>
      <c r="C2405" t="s">
        <v>234</v>
      </c>
      <c r="D2405" t="s">
        <v>340</v>
      </c>
      <c r="E2405" t="s">
        <v>600</v>
      </c>
      <c r="F2405" t="s">
        <v>2053</v>
      </c>
      <c r="G2405" t="s">
        <v>3362</v>
      </c>
      <c r="H2405" t="s">
        <v>3664</v>
      </c>
      <c r="I2405" t="s">
        <v>4886</v>
      </c>
      <c r="J2405" t="s">
        <v>5321</v>
      </c>
      <c r="K2405">
        <v>10457</v>
      </c>
      <c r="L2405" t="s">
        <v>5355</v>
      </c>
      <c r="M2405" t="s">
        <v>5356</v>
      </c>
      <c r="N2405" t="s">
        <v>5790</v>
      </c>
      <c r="O2405" t="s">
        <v>6494</v>
      </c>
      <c r="P2405" t="s">
        <v>6530</v>
      </c>
      <c r="Q2405" t="s">
        <v>6534</v>
      </c>
      <c r="R2405" t="s">
        <v>6539</v>
      </c>
      <c r="S2405" t="s">
        <v>5355</v>
      </c>
      <c r="U2405" t="s">
        <v>6557</v>
      </c>
      <c r="W2405" t="s">
        <v>372</v>
      </c>
      <c r="X2405">
        <v>1400</v>
      </c>
      <c r="Y2405" t="s">
        <v>6606</v>
      </c>
      <c r="Z2405" t="s">
        <v>6625</v>
      </c>
      <c r="AA2405" t="s">
        <v>6634</v>
      </c>
      <c r="AB2405" t="s">
        <v>8602</v>
      </c>
      <c r="AD2405" t="s">
        <v>10909</v>
      </c>
      <c r="AE2405">
        <v>46</v>
      </c>
      <c r="AF2405" t="s">
        <v>11004</v>
      </c>
      <c r="AG2405" t="s">
        <v>5406</v>
      </c>
      <c r="AH2405">
        <v>3</v>
      </c>
      <c r="AI2405">
        <v>1</v>
      </c>
      <c r="AJ2405">
        <v>1</v>
      </c>
      <c r="AK2405">
        <v>224.14</v>
      </c>
      <c r="AN2405" t="s">
        <v>11050</v>
      </c>
      <c r="AO2405">
        <v>36400</v>
      </c>
      <c r="AU2405">
        <v>0.5</v>
      </c>
      <c r="AV2405" t="s">
        <v>600</v>
      </c>
      <c r="AW2405" t="s">
        <v>11509</v>
      </c>
    </row>
    <row r="2406" spans="1:50">
      <c r="A2406" s="1">
        <f>HYPERLINK("https://cms.ls-nyc.org/matter/dynamic-profile/view/1841459","17-1841459")</f>
        <v>0</v>
      </c>
      <c r="B2406" t="s">
        <v>92</v>
      </c>
      <c r="C2406" t="s">
        <v>234</v>
      </c>
      <c r="D2406" t="s">
        <v>499</v>
      </c>
      <c r="E2406" t="s">
        <v>686</v>
      </c>
      <c r="F2406" t="s">
        <v>1033</v>
      </c>
      <c r="G2406" t="s">
        <v>2215</v>
      </c>
      <c r="H2406" t="s">
        <v>3692</v>
      </c>
      <c r="I2406" t="s">
        <v>4837</v>
      </c>
      <c r="J2406" t="s">
        <v>5323</v>
      </c>
      <c r="K2406">
        <v>10040</v>
      </c>
      <c r="L2406" t="s">
        <v>5355</v>
      </c>
      <c r="M2406" t="s">
        <v>5355</v>
      </c>
      <c r="N2406" t="s">
        <v>5478</v>
      </c>
      <c r="O2406" t="s">
        <v>6494</v>
      </c>
      <c r="P2406" t="s">
        <v>6530</v>
      </c>
      <c r="Q2406" t="s">
        <v>6534</v>
      </c>
      <c r="R2406" t="s">
        <v>6539</v>
      </c>
      <c r="S2406" t="s">
        <v>5355</v>
      </c>
      <c r="U2406" t="s">
        <v>6557</v>
      </c>
      <c r="V2406" t="s">
        <v>6566</v>
      </c>
      <c r="W2406" t="s">
        <v>404</v>
      </c>
      <c r="X2406">
        <v>866.99</v>
      </c>
      <c r="Y2406" t="s">
        <v>6608</v>
      </c>
      <c r="Z2406" t="s">
        <v>6616</v>
      </c>
      <c r="AA2406" t="s">
        <v>6634</v>
      </c>
      <c r="AB2406" t="s">
        <v>8539</v>
      </c>
      <c r="AD2406" t="s">
        <v>10910</v>
      </c>
      <c r="AE2406">
        <v>31</v>
      </c>
      <c r="AF2406" t="s">
        <v>11005</v>
      </c>
      <c r="AG2406" t="s">
        <v>5406</v>
      </c>
      <c r="AH2406">
        <v>35</v>
      </c>
      <c r="AI2406">
        <v>2</v>
      </c>
      <c r="AJ2406">
        <v>0</v>
      </c>
      <c r="AK2406">
        <v>224.14</v>
      </c>
      <c r="AN2406" t="s">
        <v>11049</v>
      </c>
      <c r="AO2406">
        <v>36400</v>
      </c>
      <c r="AQ2406" t="s">
        <v>11190</v>
      </c>
      <c r="AR2406" t="s">
        <v>11203</v>
      </c>
      <c r="AS2406" t="s">
        <v>11253</v>
      </c>
      <c r="AT2406" t="s">
        <v>11302</v>
      </c>
      <c r="AU2406">
        <v>4.95</v>
      </c>
      <c r="AV2406" t="s">
        <v>825</v>
      </c>
      <c r="AW2406" t="s">
        <v>11495</v>
      </c>
    </row>
    <row r="2407" spans="1:50">
      <c r="A2407" s="1">
        <f>HYPERLINK("https://cms.ls-nyc.org/matter/dynamic-profile/view/1869163","18-1869163")</f>
        <v>0</v>
      </c>
      <c r="B2407" t="s">
        <v>178</v>
      </c>
      <c r="C2407" t="s">
        <v>234</v>
      </c>
      <c r="D2407" t="s">
        <v>326</v>
      </c>
      <c r="E2407" t="s">
        <v>600</v>
      </c>
      <c r="F2407" t="s">
        <v>2054</v>
      </c>
      <c r="G2407" t="s">
        <v>2125</v>
      </c>
      <c r="H2407" t="s">
        <v>4680</v>
      </c>
      <c r="I2407" t="s">
        <v>4734</v>
      </c>
      <c r="J2407" t="s">
        <v>5320</v>
      </c>
      <c r="K2407">
        <v>11226</v>
      </c>
      <c r="L2407" t="s">
        <v>5355</v>
      </c>
      <c r="M2407" t="s">
        <v>5355</v>
      </c>
      <c r="P2407" t="s">
        <v>6530</v>
      </c>
      <c r="Q2407" t="s">
        <v>6534</v>
      </c>
      <c r="R2407" t="s">
        <v>6539</v>
      </c>
      <c r="U2407" t="s">
        <v>6557</v>
      </c>
      <c r="W2407" t="s">
        <v>516</v>
      </c>
      <c r="X2407">
        <v>0</v>
      </c>
      <c r="Y2407" t="s">
        <v>6605</v>
      </c>
      <c r="AA2407" t="s">
        <v>6637</v>
      </c>
      <c r="AB2407" t="s">
        <v>8603</v>
      </c>
      <c r="AD2407" t="s">
        <v>10911</v>
      </c>
      <c r="AE2407">
        <v>0</v>
      </c>
      <c r="AH2407">
        <v>0</v>
      </c>
      <c r="AI2407">
        <v>1</v>
      </c>
      <c r="AJ2407">
        <v>0</v>
      </c>
      <c r="AK2407">
        <v>224.88</v>
      </c>
      <c r="AN2407" t="s">
        <v>11050</v>
      </c>
      <c r="AO2407">
        <v>27300</v>
      </c>
      <c r="AR2407" t="s">
        <v>11210</v>
      </c>
      <c r="AS2407" t="s">
        <v>11253</v>
      </c>
      <c r="AT2407" t="s">
        <v>11323</v>
      </c>
      <c r="AU2407">
        <v>1.75</v>
      </c>
      <c r="AV2407" t="s">
        <v>600</v>
      </c>
      <c r="AW2407" t="s">
        <v>11542</v>
      </c>
    </row>
    <row r="2408" spans="1:50">
      <c r="A2408" s="1">
        <f>HYPERLINK("https://cms.ls-nyc.org/matter/dynamic-profile/view/1844835","17-1844835")</f>
        <v>0</v>
      </c>
      <c r="B2408" t="s">
        <v>233</v>
      </c>
      <c r="C2408" t="s">
        <v>234</v>
      </c>
      <c r="D2408" t="s">
        <v>406</v>
      </c>
      <c r="E2408" t="s">
        <v>719</v>
      </c>
      <c r="F2408" t="s">
        <v>843</v>
      </c>
      <c r="G2408" t="s">
        <v>2311</v>
      </c>
      <c r="H2408" t="s">
        <v>4681</v>
      </c>
      <c r="I2408" t="s">
        <v>5294</v>
      </c>
      <c r="J2408" t="s">
        <v>5320</v>
      </c>
      <c r="K2408">
        <v>11220</v>
      </c>
      <c r="L2408" t="s">
        <v>5355</v>
      </c>
      <c r="M2408" t="s">
        <v>5356</v>
      </c>
      <c r="N2408" t="s">
        <v>6413</v>
      </c>
      <c r="O2408" t="s">
        <v>6492</v>
      </c>
      <c r="P2408" t="s">
        <v>6530</v>
      </c>
      <c r="Q2408" t="s">
        <v>6531</v>
      </c>
      <c r="R2408" t="s">
        <v>6539</v>
      </c>
      <c r="S2408" t="s">
        <v>5355</v>
      </c>
      <c r="T2408" t="s">
        <v>6554</v>
      </c>
      <c r="U2408" t="s">
        <v>6557</v>
      </c>
      <c r="W2408" t="s">
        <v>575</v>
      </c>
      <c r="X2408">
        <v>976</v>
      </c>
      <c r="Y2408" t="s">
        <v>6605</v>
      </c>
      <c r="Z2408" t="s">
        <v>6622</v>
      </c>
      <c r="AA2408" t="s">
        <v>6644</v>
      </c>
      <c r="AB2408" t="s">
        <v>8604</v>
      </c>
      <c r="AD2408" t="s">
        <v>10912</v>
      </c>
      <c r="AE2408">
        <v>0</v>
      </c>
      <c r="AF2408" t="s">
        <v>11005</v>
      </c>
      <c r="AG2408" t="s">
        <v>11024</v>
      </c>
      <c r="AH2408">
        <v>32</v>
      </c>
      <c r="AI2408">
        <v>2</v>
      </c>
      <c r="AJ2408">
        <v>0</v>
      </c>
      <c r="AK2408">
        <v>224.98</v>
      </c>
      <c r="AL2408" t="s">
        <v>622</v>
      </c>
      <c r="AO2408">
        <v>36536</v>
      </c>
      <c r="AU2408">
        <v>25.6</v>
      </c>
      <c r="AV2408" t="s">
        <v>719</v>
      </c>
      <c r="AW2408" t="s">
        <v>11554</v>
      </c>
    </row>
    <row r="2409" spans="1:50">
      <c r="A2409" s="1">
        <f>HYPERLINK("https://cms.ls-nyc.org/matter/dynamic-profile/view/1847386","17-1847386")</f>
        <v>0</v>
      </c>
      <c r="B2409" t="s">
        <v>67</v>
      </c>
      <c r="C2409" t="s">
        <v>234</v>
      </c>
      <c r="D2409" t="s">
        <v>283</v>
      </c>
      <c r="E2409" t="s">
        <v>677</v>
      </c>
      <c r="F2409" t="s">
        <v>1550</v>
      </c>
      <c r="G2409" t="s">
        <v>2830</v>
      </c>
      <c r="H2409" t="s">
        <v>4097</v>
      </c>
      <c r="I2409" t="s">
        <v>4829</v>
      </c>
      <c r="J2409" t="s">
        <v>5323</v>
      </c>
      <c r="K2409">
        <v>10035</v>
      </c>
      <c r="L2409" t="s">
        <v>5355</v>
      </c>
      <c r="M2409" t="s">
        <v>5355</v>
      </c>
      <c r="N2409" t="s">
        <v>6414</v>
      </c>
      <c r="O2409" t="s">
        <v>6492</v>
      </c>
      <c r="P2409" t="s">
        <v>6530</v>
      </c>
      <c r="Q2409" t="s">
        <v>6534</v>
      </c>
      <c r="R2409" t="s">
        <v>6539</v>
      </c>
      <c r="S2409" t="s">
        <v>5357</v>
      </c>
      <c r="U2409" t="s">
        <v>6557</v>
      </c>
      <c r="V2409" t="s">
        <v>6566</v>
      </c>
      <c r="W2409" t="s">
        <v>6577</v>
      </c>
      <c r="X2409">
        <v>2875</v>
      </c>
      <c r="Y2409" t="s">
        <v>6608</v>
      </c>
      <c r="Z2409" t="s">
        <v>6614</v>
      </c>
      <c r="AA2409" t="s">
        <v>6637</v>
      </c>
      <c r="AB2409" t="s">
        <v>7668</v>
      </c>
      <c r="AD2409" t="s">
        <v>10028</v>
      </c>
      <c r="AE2409">
        <v>134</v>
      </c>
      <c r="AF2409" t="s">
        <v>11008</v>
      </c>
      <c r="AG2409" t="s">
        <v>11020</v>
      </c>
      <c r="AH2409">
        <v>21</v>
      </c>
      <c r="AI2409">
        <v>1</v>
      </c>
      <c r="AJ2409">
        <v>0</v>
      </c>
      <c r="AK2409">
        <v>226.97</v>
      </c>
      <c r="AL2409" t="s">
        <v>373</v>
      </c>
      <c r="AN2409" t="s">
        <v>11050</v>
      </c>
      <c r="AO2409">
        <v>27372</v>
      </c>
      <c r="AU2409">
        <v>66.40000000000001</v>
      </c>
      <c r="AV2409" t="s">
        <v>270</v>
      </c>
      <c r="AW2409" t="s">
        <v>11533</v>
      </c>
    </row>
    <row r="2410" spans="1:50">
      <c r="A2410" s="1">
        <f>HYPERLINK("https://cms.ls-nyc.org/matter/dynamic-profile/view/0799515","16-0799515")</f>
        <v>0</v>
      </c>
      <c r="B2410" t="s">
        <v>178</v>
      </c>
      <c r="C2410" t="s">
        <v>235</v>
      </c>
      <c r="D2410" t="s">
        <v>653</v>
      </c>
      <c r="F2410" t="s">
        <v>1354</v>
      </c>
      <c r="G2410" t="s">
        <v>3323</v>
      </c>
      <c r="H2410" t="s">
        <v>4631</v>
      </c>
      <c r="I2410" t="s">
        <v>5082</v>
      </c>
      <c r="J2410" t="s">
        <v>5320</v>
      </c>
      <c r="K2410">
        <v>11233</v>
      </c>
      <c r="L2410" t="s">
        <v>5355</v>
      </c>
      <c r="M2410" t="s">
        <v>5356</v>
      </c>
      <c r="O2410" t="s">
        <v>6522</v>
      </c>
      <c r="P2410" t="s">
        <v>6530</v>
      </c>
      <c r="R2410" t="s">
        <v>6539</v>
      </c>
      <c r="T2410" t="s">
        <v>6544</v>
      </c>
      <c r="U2410" t="s">
        <v>6557</v>
      </c>
      <c r="W2410" t="s">
        <v>236</v>
      </c>
      <c r="X2410">
        <v>950</v>
      </c>
      <c r="Y2410" t="s">
        <v>6605</v>
      </c>
      <c r="Z2410" t="s">
        <v>6614</v>
      </c>
      <c r="AB2410" t="s">
        <v>8532</v>
      </c>
      <c r="AD2410" t="s">
        <v>10842</v>
      </c>
      <c r="AE2410">
        <v>8</v>
      </c>
      <c r="AF2410" t="s">
        <v>11005</v>
      </c>
      <c r="AH2410">
        <v>6</v>
      </c>
      <c r="AI2410">
        <v>1</v>
      </c>
      <c r="AJ2410">
        <v>1</v>
      </c>
      <c r="AK2410">
        <v>227.22</v>
      </c>
      <c r="AL2410" t="s">
        <v>11029</v>
      </c>
      <c r="AN2410" t="s">
        <v>11050</v>
      </c>
      <c r="AO2410">
        <v>36400</v>
      </c>
      <c r="AU2410">
        <v>55.1</v>
      </c>
      <c r="AV2410" t="s">
        <v>434</v>
      </c>
      <c r="AW2410" t="s">
        <v>75</v>
      </c>
    </row>
    <row r="2411" spans="1:50">
      <c r="A2411" s="1">
        <f>HYPERLINK("https://cms.ls-nyc.org/matter/dynamic-profile/view/1851882","17-1851882")</f>
        <v>0</v>
      </c>
      <c r="B2411" t="s">
        <v>56</v>
      </c>
      <c r="C2411" t="s">
        <v>235</v>
      </c>
      <c r="D2411" t="s">
        <v>300</v>
      </c>
      <c r="F2411" t="s">
        <v>1116</v>
      </c>
      <c r="G2411" t="s">
        <v>3363</v>
      </c>
      <c r="H2411" t="s">
        <v>3564</v>
      </c>
      <c r="I2411" t="s">
        <v>4778</v>
      </c>
      <c r="J2411" t="s">
        <v>5321</v>
      </c>
      <c r="K2411">
        <v>10453</v>
      </c>
      <c r="L2411" t="s">
        <v>5355</v>
      </c>
      <c r="M2411" t="s">
        <v>5356</v>
      </c>
      <c r="N2411" t="s">
        <v>5954</v>
      </c>
      <c r="O2411" t="s">
        <v>6494</v>
      </c>
      <c r="P2411" t="s">
        <v>6530</v>
      </c>
      <c r="R2411" t="s">
        <v>6539</v>
      </c>
      <c r="S2411" t="s">
        <v>5355</v>
      </c>
      <c r="U2411" t="s">
        <v>6557</v>
      </c>
      <c r="W2411" t="s">
        <v>6572</v>
      </c>
      <c r="X2411">
        <v>591</v>
      </c>
      <c r="Y2411" t="s">
        <v>6606</v>
      </c>
      <c r="Z2411" t="s">
        <v>6612</v>
      </c>
      <c r="AB2411" t="s">
        <v>8605</v>
      </c>
      <c r="AD2411" t="s">
        <v>10913</v>
      </c>
      <c r="AE2411">
        <v>43</v>
      </c>
      <c r="AF2411" t="s">
        <v>11005</v>
      </c>
      <c r="AG2411" t="s">
        <v>6493</v>
      </c>
      <c r="AH2411">
        <v>33</v>
      </c>
      <c r="AI2411">
        <v>2</v>
      </c>
      <c r="AJ2411">
        <v>0</v>
      </c>
      <c r="AK2411">
        <v>227.72</v>
      </c>
      <c r="AN2411" t="s">
        <v>11050</v>
      </c>
      <c r="AO2411">
        <v>36981.6</v>
      </c>
      <c r="AU2411">
        <v>45.75</v>
      </c>
      <c r="AV2411" t="s">
        <v>739</v>
      </c>
      <c r="AW2411" t="s">
        <v>95</v>
      </c>
    </row>
    <row r="2412" spans="1:50">
      <c r="A2412" s="1">
        <f>HYPERLINK("https://cms.ls-nyc.org/matter/dynamic-profile/view/1836796","17-1836796")</f>
        <v>0</v>
      </c>
      <c r="B2412" t="s">
        <v>178</v>
      </c>
      <c r="C2412" t="s">
        <v>235</v>
      </c>
      <c r="D2412" t="s">
        <v>597</v>
      </c>
      <c r="F2412" t="s">
        <v>1325</v>
      </c>
      <c r="G2412" t="s">
        <v>2691</v>
      </c>
      <c r="H2412" t="s">
        <v>4682</v>
      </c>
      <c r="I2412" t="s">
        <v>4941</v>
      </c>
      <c r="J2412" t="s">
        <v>5320</v>
      </c>
      <c r="K2412">
        <v>11233</v>
      </c>
      <c r="L2412" t="s">
        <v>5355</v>
      </c>
      <c r="M2412" t="s">
        <v>5356</v>
      </c>
      <c r="O2412" t="s">
        <v>6518</v>
      </c>
      <c r="P2412" t="s">
        <v>6530</v>
      </c>
      <c r="R2412" t="s">
        <v>6539</v>
      </c>
      <c r="U2412" t="s">
        <v>6557</v>
      </c>
      <c r="W2412" t="s">
        <v>6583</v>
      </c>
      <c r="X2412">
        <v>0</v>
      </c>
      <c r="Y2412" t="s">
        <v>6605</v>
      </c>
      <c r="AB2412" t="s">
        <v>8606</v>
      </c>
      <c r="AD2412" t="s">
        <v>10914</v>
      </c>
      <c r="AE2412">
        <v>8</v>
      </c>
      <c r="AH2412">
        <v>0</v>
      </c>
      <c r="AI2412">
        <v>1</v>
      </c>
      <c r="AJ2412">
        <v>0</v>
      </c>
      <c r="AK2412">
        <v>228.52</v>
      </c>
      <c r="AL2412" t="s">
        <v>11029</v>
      </c>
      <c r="AN2412" t="s">
        <v>11050</v>
      </c>
      <c r="AO2412">
        <v>27560.04</v>
      </c>
      <c r="AU2412">
        <v>70.75</v>
      </c>
      <c r="AV2412" t="s">
        <v>11461</v>
      </c>
      <c r="AW2412" t="s">
        <v>178</v>
      </c>
    </row>
    <row r="2413" spans="1:50">
      <c r="A2413" s="1">
        <f>HYPERLINK("https://cms.ls-nyc.org/matter/dynamic-profile/view/1855010","18-1855010")</f>
        <v>0</v>
      </c>
      <c r="B2413" t="s">
        <v>135</v>
      </c>
      <c r="C2413" t="s">
        <v>235</v>
      </c>
      <c r="D2413" t="s">
        <v>521</v>
      </c>
      <c r="F2413" t="s">
        <v>986</v>
      </c>
      <c r="G2413" t="s">
        <v>3302</v>
      </c>
      <c r="H2413" t="s">
        <v>3762</v>
      </c>
      <c r="I2413" t="s">
        <v>5276</v>
      </c>
      <c r="J2413" t="s">
        <v>5320</v>
      </c>
      <c r="K2413">
        <v>11206</v>
      </c>
      <c r="L2413" t="s">
        <v>5355</v>
      </c>
      <c r="M2413" t="s">
        <v>5356</v>
      </c>
      <c r="O2413" t="s">
        <v>6494</v>
      </c>
      <c r="P2413" t="s">
        <v>6530</v>
      </c>
      <c r="R2413" t="s">
        <v>6539</v>
      </c>
      <c r="U2413" t="s">
        <v>6557</v>
      </c>
      <c r="W2413" t="s">
        <v>298</v>
      </c>
      <c r="X2413">
        <v>572.7</v>
      </c>
      <c r="Y2413" t="s">
        <v>6605</v>
      </c>
      <c r="Z2413" t="s">
        <v>6612</v>
      </c>
      <c r="AB2413" t="s">
        <v>8500</v>
      </c>
      <c r="AD2413" t="s">
        <v>10810</v>
      </c>
      <c r="AE2413">
        <v>11</v>
      </c>
      <c r="AF2413" t="s">
        <v>11005</v>
      </c>
      <c r="AG2413" t="s">
        <v>5406</v>
      </c>
      <c r="AH2413">
        <v>26</v>
      </c>
      <c r="AI2413">
        <v>1</v>
      </c>
      <c r="AJ2413">
        <v>0</v>
      </c>
      <c r="AK2413">
        <v>228.86</v>
      </c>
      <c r="AN2413" t="s">
        <v>11050</v>
      </c>
      <c r="AO2413">
        <v>27600</v>
      </c>
      <c r="AU2413">
        <v>0.5</v>
      </c>
      <c r="AV2413" t="s">
        <v>395</v>
      </c>
      <c r="AW2413" t="s">
        <v>11512</v>
      </c>
    </row>
    <row r="2414" spans="1:50">
      <c r="A2414" s="1">
        <f>HYPERLINK("https://cms.ls-nyc.org/matter/dynamic-profile/view/1859546","18-1859546")</f>
        <v>0</v>
      </c>
      <c r="B2414" t="s">
        <v>138</v>
      </c>
      <c r="C2414" t="s">
        <v>234</v>
      </c>
      <c r="D2414" t="s">
        <v>316</v>
      </c>
      <c r="E2414" t="s">
        <v>673</v>
      </c>
      <c r="F2414" t="s">
        <v>1113</v>
      </c>
      <c r="G2414" t="s">
        <v>3364</v>
      </c>
      <c r="H2414" t="s">
        <v>4683</v>
      </c>
      <c r="I2414" t="s">
        <v>5295</v>
      </c>
      <c r="J2414" t="s">
        <v>5320</v>
      </c>
      <c r="K2414">
        <v>11208</v>
      </c>
      <c r="L2414" t="s">
        <v>5355</v>
      </c>
      <c r="M2414" t="s">
        <v>5355</v>
      </c>
      <c r="N2414" t="s">
        <v>6415</v>
      </c>
      <c r="O2414" t="s">
        <v>6492</v>
      </c>
      <c r="P2414" t="s">
        <v>6530</v>
      </c>
      <c r="Q2414" t="s">
        <v>6534</v>
      </c>
      <c r="R2414" t="s">
        <v>6539</v>
      </c>
      <c r="S2414" t="s">
        <v>6541</v>
      </c>
      <c r="U2414" t="s">
        <v>6557</v>
      </c>
      <c r="W2414" t="s">
        <v>6575</v>
      </c>
      <c r="X2414">
        <v>895</v>
      </c>
      <c r="Y2414" t="s">
        <v>6605</v>
      </c>
      <c r="Z2414" t="s">
        <v>6623</v>
      </c>
      <c r="AA2414" t="s">
        <v>6637</v>
      </c>
      <c r="AB2414" t="s">
        <v>7617</v>
      </c>
      <c r="AD2414" t="s">
        <v>10915</v>
      </c>
      <c r="AE2414">
        <v>0</v>
      </c>
      <c r="AF2414" t="s">
        <v>8722</v>
      </c>
      <c r="AG2414" t="s">
        <v>5406</v>
      </c>
      <c r="AH2414">
        <v>8</v>
      </c>
      <c r="AI2414">
        <v>1</v>
      </c>
      <c r="AJ2414">
        <v>0</v>
      </c>
      <c r="AK2414">
        <v>229.75</v>
      </c>
      <c r="AL2414" t="s">
        <v>11029</v>
      </c>
      <c r="AN2414" t="s">
        <v>11050</v>
      </c>
      <c r="AO2414">
        <v>27708</v>
      </c>
      <c r="AR2414" t="s">
        <v>11210</v>
      </c>
      <c r="AS2414" t="s">
        <v>11253</v>
      </c>
      <c r="AT2414" t="s">
        <v>11279</v>
      </c>
      <c r="AU2414">
        <v>27.8</v>
      </c>
      <c r="AV2414" t="s">
        <v>729</v>
      </c>
      <c r="AW2414" t="s">
        <v>11512</v>
      </c>
    </row>
    <row r="2415" spans="1:50">
      <c r="A2415" s="1">
        <f>HYPERLINK("https://cms.ls-nyc.org/matter/dynamic-profile/view/1848461","17-1848461")</f>
        <v>0</v>
      </c>
      <c r="B2415" t="s">
        <v>131</v>
      </c>
      <c r="C2415" t="s">
        <v>235</v>
      </c>
      <c r="D2415" t="s">
        <v>354</v>
      </c>
      <c r="F2415" t="s">
        <v>955</v>
      </c>
      <c r="G2415" t="s">
        <v>2645</v>
      </c>
      <c r="H2415" t="s">
        <v>3769</v>
      </c>
      <c r="I2415" t="s">
        <v>4767</v>
      </c>
      <c r="J2415" t="s">
        <v>5323</v>
      </c>
      <c r="K2415">
        <v>10034</v>
      </c>
      <c r="L2415" t="s">
        <v>5355</v>
      </c>
      <c r="M2415" t="s">
        <v>5356</v>
      </c>
      <c r="O2415" t="s">
        <v>6494</v>
      </c>
      <c r="P2415" t="s">
        <v>6530</v>
      </c>
      <c r="R2415" t="s">
        <v>6539</v>
      </c>
      <c r="S2415" t="s">
        <v>5355</v>
      </c>
      <c r="U2415" t="s">
        <v>6557</v>
      </c>
      <c r="W2415" t="s">
        <v>354</v>
      </c>
      <c r="X2415">
        <v>689.36</v>
      </c>
      <c r="Y2415" t="s">
        <v>6608</v>
      </c>
      <c r="Z2415" t="s">
        <v>6616</v>
      </c>
      <c r="AB2415" t="s">
        <v>7385</v>
      </c>
      <c r="AD2415" t="s">
        <v>9756</v>
      </c>
      <c r="AE2415">
        <v>49</v>
      </c>
      <c r="AF2415" t="s">
        <v>11005</v>
      </c>
      <c r="AG2415" t="s">
        <v>5406</v>
      </c>
      <c r="AH2415">
        <v>12</v>
      </c>
      <c r="AI2415">
        <v>2</v>
      </c>
      <c r="AJ2415">
        <v>0</v>
      </c>
      <c r="AK2415">
        <v>230.54</v>
      </c>
      <c r="AN2415" t="s">
        <v>11049</v>
      </c>
      <c r="AO2415">
        <v>37440</v>
      </c>
      <c r="AU2415">
        <v>0.35</v>
      </c>
      <c r="AV2415" t="s">
        <v>680</v>
      </c>
      <c r="AW2415" t="s">
        <v>11495</v>
      </c>
    </row>
    <row r="2416" spans="1:50">
      <c r="A2416" s="1">
        <f>HYPERLINK("https://cms.ls-nyc.org/matter/dynamic-profile/view/1860470","18-1860470")</f>
        <v>0</v>
      </c>
      <c r="B2416" t="s">
        <v>66</v>
      </c>
      <c r="C2416" t="s">
        <v>234</v>
      </c>
      <c r="D2416" t="s">
        <v>319</v>
      </c>
      <c r="E2416" t="s">
        <v>729</v>
      </c>
      <c r="F2416" t="s">
        <v>1582</v>
      </c>
      <c r="G2416" t="s">
        <v>1247</v>
      </c>
      <c r="H2416" t="s">
        <v>4684</v>
      </c>
      <c r="I2416" t="s">
        <v>4746</v>
      </c>
      <c r="J2416" t="s">
        <v>5323</v>
      </c>
      <c r="K2416">
        <v>10030</v>
      </c>
      <c r="L2416" t="s">
        <v>5355</v>
      </c>
      <c r="M2416" t="s">
        <v>5356</v>
      </c>
      <c r="N2416" t="s">
        <v>6416</v>
      </c>
      <c r="O2416" t="s">
        <v>6492</v>
      </c>
      <c r="P2416" t="s">
        <v>6530</v>
      </c>
      <c r="Q2416" t="s">
        <v>6534</v>
      </c>
      <c r="R2416" t="s">
        <v>6539</v>
      </c>
      <c r="S2416" t="s">
        <v>5357</v>
      </c>
      <c r="T2416" t="s">
        <v>6542</v>
      </c>
      <c r="U2416" t="s">
        <v>6557</v>
      </c>
      <c r="V2416" t="s">
        <v>6566</v>
      </c>
      <c r="W2416" t="s">
        <v>262</v>
      </c>
      <c r="X2416">
        <v>865.0700000000001</v>
      </c>
      <c r="Y2416" t="s">
        <v>6608</v>
      </c>
      <c r="Z2416" t="s">
        <v>6616</v>
      </c>
      <c r="AA2416" t="s">
        <v>6637</v>
      </c>
      <c r="AB2416" t="s">
        <v>8607</v>
      </c>
      <c r="AD2416" t="s">
        <v>10916</v>
      </c>
      <c r="AE2416">
        <v>10</v>
      </c>
      <c r="AF2416" t="s">
        <v>11015</v>
      </c>
      <c r="AG2416" t="s">
        <v>5406</v>
      </c>
      <c r="AH2416">
        <v>6</v>
      </c>
      <c r="AI2416">
        <v>2</v>
      </c>
      <c r="AJ2416">
        <v>1</v>
      </c>
      <c r="AK2416">
        <v>230.99</v>
      </c>
      <c r="AL2416" t="s">
        <v>11029</v>
      </c>
      <c r="AN2416" t="s">
        <v>11050</v>
      </c>
      <c r="AO2416">
        <v>48000</v>
      </c>
      <c r="AQ2416" t="s">
        <v>11191</v>
      </c>
      <c r="AS2416" t="s">
        <v>11253</v>
      </c>
      <c r="AT2416" t="s">
        <v>11426</v>
      </c>
      <c r="AU2416">
        <v>35.3</v>
      </c>
      <c r="AV2416" t="s">
        <v>765</v>
      </c>
      <c r="AW2416" t="s">
        <v>11494</v>
      </c>
    </row>
    <row r="2417" spans="1:49">
      <c r="A2417" s="1">
        <f>HYPERLINK("https://cms.ls-nyc.org/matter/dynamic-profile/view/1862232","18-1862232")</f>
        <v>0</v>
      </c>
      <c r="B2417" t="s">
        <v>92</v>
      </c>
      <c r="C2417" t="s">
        <v>235</v>
      </c>
      <c r="D2417" t="s">
        <v>331</v>
      </c>
      <c r="F2417" t="s">
        <v>2055</v>
      </c>
      <c r="G2417" t="s">
        <v>2721</v>
      </c>
      <c r="H2417" t="s">
        <v>4331</v>
      </c>
      <c r="I2417" t="s">
        <v>4854</v>
      </c>
      <c r="J2417" t="s">
        <v>5323</v>
      </c>
      <c r="K2417">
        <v>10034</v>
      </c>
      <c r="L2417" t="s">
        <v>5355</v>
      </c>
      <c r="M2417" t="s">
        <v>5356</v>
      </c>
      <c r="N2417" t="s">
        <v>5935</v>
      </c>
      <c r="O2417" t="s">
        <v>6494</v>
      </c>
      <c r="P2417" t="s">
        <v>6530</v>
      </c>
      <c r="R2417" t="s">
        <v>6539</v>
      </c>
      <c r="S2417" t="s">
        <v>5355</v>
      </c>
      <c r="U2417" t="s">
        <v>6557</v>
      </c>
      <c r="W2417" t="s">
        <v>331</v>
      </c>
      <c r="X2417">
        <v>932</v>
      </c>
      <c r="Y2417" t="s">
        <v>6608</v>
      </c>
      <c r="Z2417" t="s">
        <v>6616</v>
      </c>
      <c r="AB2417" t="s">
        <v>8608</v>
      </c>
      <c r="AD2417" t="s">
        <v>10917</v>
      </c>
      <c r="AE2417">
        <v>60</v>
      </c>
      <c r="AF2417" t="s">
        <v>11005</v>
      </c>
      <c r="AG2417" t="s">
        <v>5406</v>
      </c>
      <c r="AH2417">
        <v>22</v>
      </c>
      <c r="AI2417">
        <v>5</v>
      </c>
      <c r="AJ2417">
        <v>0</v>
      </c>
      <c r="AK2417">
        <v>231.19</v>
      </c>
      <c r="AN2417" t="s">
        <v>11049</v>
      </c>
      <c r="AO2417">
        <v>68016</v>
      </c>
      <c r="AU2417">
        <v>0</v>
      </c>
      <c r="AW2417" t="s">
        <v>11495</v>
      </c>
    </row>
    <row r="2418" spans="1:49">
      <c r="A2418" s="1">
        <f>HYPERLINK("https://cms.ls-nyc.org/matter/dynamic-profile/view/1843610","17-1843610")</f>
        <v>0</v>
      </c>
      <c r="B2418" t="s">
        <v>67</v>
      </c>
      <c r="C2418" t="s">
        <v>234</v>
      </c>
      <c r="D2418" t="s">
        <v>503</v>
      </c>
      <c r="E2418" t="s">
        <v>781</v>
      </c>
      <c r="F2418" t="s">
        <v>2056</v>
      </c>
      <c r="G2418" t="s">
        <v>3365</v>
      </c>
      <c r="H2418" t="s">
        <v>4685</v>
      </c>
      <c r="I2418" t="s">
        <v>4840</v>
      </c>
      <c r="J2418" t="s">
        <v>5323</v>
      </c>
      <c r="K2418">
        <v>10029</v>
      </c>
      <c r="L2418" t="s">
        <v>5355</v>
      </c>
      <c r="M2418" t="s">
        <v>5355</v>
      </c>
      <c r="N2418" t="s">
        <v>6417</v>
      </c>
      <c r="O2418" t="s">
        <v>6491</v>
      </c>
      <c r="P2418" t="s">
        <v>6530</v>
      </c>
      <c r="Q2418" t="s">
        <v>6534</v>
      </c>
      <c r="R2418" t="s">
        <v>6539</v>
      </c>
      <c r="S2418" t="s">
        <v>5357</v>
      </c>
      <c r="U2418" t="s">
        <v>6557</v>
      </c>
      <c r="W2418" t="s">
        <v>462</v>
      </c>
      <c r="X2418">
        <v>744</v>
      </c>
      <c r="Y2418" t="s">
        <v>6608</v>
      </c>
      <c r="Z2418" t="s">
        <v>6616</v>
      </c>
      <c r="AA2418" t="s">
        <v>6637</v>
      </c>
      <c r="AB2418" t="s">
        <v>8609</v>
      </c>
      <c r="AD2418" t="s">
        <v>10918</v>
      </c>
      <c r="AE2418">
        <v>7</v>
      </c>
      <c r="AF2418" t="s">
        <v>11005</v>
      </c>
      <c r="AG2418" t="s">
        <v>5406</v>
      </c>
      <c r="AH2418">
        <v>11</v>
      </c>
      <c r="AI2418">
        <v>2</v>
      </c>
      <c r="AJ2418">
        <v>0</v>
      </c>
      <c r="AK2418">
        <v>231.67</v>
      </c>
      <c r="AL2418" t="s">
        <v>373</v>
      </c>
      <c r="AN2418" t="s">
        <v>11050</v>
      </c>
      <c r="AO2418">
        <v>37624</v>
      </c>
      <c r="AU2418">
        <v>30.8</v>
      </c>
      <c r="AV2418" t="s">
        <v>635</v>
      </c>
      <c r="AW2418" t="s">
        <v>11497</v>
      </c>
    </row>
    <row r="2419" spans="1:49">
      <c r="A2419" s="1">
        <f>HYPERLINK("https://cms.ls-nyc.org/matter/dynamic-profile/view/0824108","17-0824108")</f>
        <v>0</v>
      </c>
      <c r="B2419" t="s">
        <v>178</v>
      </c>
      <c r="C2419" t="s">
        <v>235</v>
      </c>
      <c r="D2419" t="s">
        <v>654</v>
      </c>
      <c r="F2419" t="s">
        <v>1325</v>
      </c>
      <c r="G2419" t="s">
        <v>2691</v>
      </c>
      <c r="H2419" t="s">
        <v>4682</v>
      </c>
      <c r="I2419" t="s">
        <v>4941</v>
      </c>
      <c r="J2419" t="s">
        <v>5320</v>
      </c>
      <c r="K2419">
        <v>11233</v>
      </c>
      <c r="L2419" t="s">
        <v>5355</v>
      </c>
      <c r="M2419" t="s">
        <v>5356</v>
      </c>
      <c r="O2419" t="s">
        <v>6492</v>
      </c>
      <c r="P2419" t="s">
        <v>6530</v>
      </c>
      <c r="R2419" t="s">
        <v>6539</v>
      </c>
      <c r="T2419" t="s">
        <v>6539</v>
      </c>
      <c r="U2419" t="s">
        <v>6557</v>
      </c>
      <c r="W2419" t="s">
        <v>6583</v>
      </c>
      <c r="X2419">
        <v>0</v>
      </c>
      <c r="Y2419" t="s">
        <v>6605</v>
      </c>
      <c r="AA2419" t="s">
        <v>6631</v>
      </c>
      <c r="AB2419" t="s">
        <v>8606</v>
      </c>
      <c r="AD2419" t="s">
        <v>10914</v>
      </c>
      <c r="AE2419">
        <v>8</v>
      </c>
      <c r="AH2419">
        <v>0</v>
      </c>
      <c r="AI2419">
        <v>1</v>
      </c>
      <c r="AJ2419">
        <v>0</v>
      </c>
      <c r="AK2419">
        <v>231.99</v>
      </c>
      <c r="AL2419" t="s">
        <v>11029</v>
      </c>
      <c r="AN2419" t="s">
        <v>11050</v>
      </c>
      <c r="AO2419">
        <v>27560</v>
      </c>
      <c r="AU2419">
        <v>88.25</v>
      </c>
      <c r="AV2419" t="s">
        <v>11451</v>
      </c>
      <c r="AW2419" t="s">
        <v>11541</v>
      </c>
    </row>
    <row r="2420" spans="1:49">
      <c r="A2420" s="1">
        <f>HYPERLINK("https://cms.ls-nyc.org/matter/dynamic-profile/view/1849357","17-1849357")</f>
        <v>0</v>
      </c>
      <c r="B2420" t="s">
        <v>67</v>
      </c>
      <c r="C2420" t="s">
        <v>234</v>
      </c>
      <c r="D2420" t="s">
        <v>585</v>
      </c>
      <c r="E2420" t="s">
        <v>743</v>
      </c>
      <c r="F2420" t="s">
        <v>1040</v>
      </c>
      <c r="G2420" t="s">
        <v>3366</v>
      </c>
      <c r="H2420" t="s">
        <v>4686</v>
      </c>
      <c r="I2420" t="s">
        <v>4746</v>
      </c>
      <c r="J2420" t="s">
        <v>5323</v>
      </c>
      <c r="K2420">
        <v>10035</v>
      </c>
      <c r="L2420" t="s">
        <v>5355</v>
      </c>
      <c r="M2420" t="s">
        <v>5355</v>
      </c>
      <c r="N2420" t="s">
        <v>6418</v>
      </c>
      <c r="O2420" t="s">
        <v>6491</v>
      </c>
      <c r="P2420" t="s">
        <v>6530</v>
      </c>
      <c r="Q2420" t="s">
        <v>6534</v>
      </c>
      <c r="R2420" t="s">
        <v>6539</v>
      </c>
      <c r="S2420" t="s">
        <v>5357</v>
      </c>
      <c r="T2420" t="s">
        <v>6542</v>
      </c>
      <c r="U2420" t="s">
        <v>6557</v>
      </c>
      <c r="V2420" t="s">
        <v>6566</v>
      </c>
      <c r="W2420" t="s">
        <v>262</v>
      </c>
      <c r="X2420">
        <v>282</v>
      </c>
      <c r="Y2420" t="s">
        <v>6608</v>
      </c>
      <c r="Z2420" t="s">
        <v>6614</v>
      </c>
      <c r="AA2420" t="s">
        <v>6637</v>
      </c>
      <c r="AB2420" t="s">
        <v>8610</v>
      </c>
      <c r="AD2420" t="s">
        <v>10919</v>
      </c>
      <c r="AE2420">
        <v>16</v>
      </c>
      <c r="AF2420" t="s">
        <v>11005</v>
      </c>
      <c r="AG2420" t="s">
        <v>5406</v>
      </c>
      <c r="AH2420">
        <v>13</v>
      </c>
      <c r="AI2420">
        <v>1</v>
      </c>
      <c r="AJ2420">
        <v>0</v>
      </c>
      <c r="AK2420">
        <v>232.17</v>
      </c>
      <c r="AL2420" t="s">
        <v>11029</v>
      </c>
      <c r="AN2420" t="s">
        <v>11057</v>
      </c>
      <c r="AO2420">
        <v>28000</v>
      </c>
      <c r="AU2420">
        <v>102.6</v>
      </c>
      <c r="AV2420" t="s">
        <v>468</v>
      </c>
      <c r="AW2420" t="s">
        <v>11497</v>
      </c>
    </row>
    <row r="2421" spans="1:49">
      <c r="A2421" s="1">
        <f>HYPERLINK("https://cms.ls-nyc.org/matter/dynamic-profile/view/1847622","17-1847622")</f>
        <v>0</v>
      </c>
      <c r="B2421" t="s">
        <v>131</v>
      </c>
      <c r="C2421" t="s">
        <v>235</v>
      </c>
      <c r="D2421" t="s">
        <v>346</v>
      </c>
      <c r="F2421" t="s">
        <v>2057</v>
      </c>
      <c r="G2421" t="s">
        <v>2406</v>
      </c>
      <c r="H2421" t="s">
        <v>4269</v>
      </c>
      <c r="I2421" t="s">
        <v>4844</v>
      </c>
      <c r="J2421" t="s">
        <v>5323</v>
      </c>
      <c r="K2421">
        <v>10034</v>
      </c>
      <c r="L2421" t="s">
        <v>5355</v>
      </c>
      <c r="M2421" t="s">
        <v>5356</v>
      </c>
      <c r="O2421" t="s">
        <v>6494</v>
      </c>
      <c r="P2421" t="s">
        <v>6530</v>
      </c>
      <c r="R2421" t="s">
        <v>6539</v>
      </c>
      <c r="S2421" t="s">
        <v>5355</v>
      </c>
      <c r="U2421" t="s">
        <v>6557</v>
      </c>
      <c r="W2421" t="s">
        <v>390</v>
      </c>
      <c r="X2421">
        <v>752.46</v>
      </c>
      <c r="Y2421" t="s">
        <v>6608</v>
      </c>
      <c r="Z2421" t="s">
        <v>6616</v>
      </c>
      <c r="AB2421" t="s">
        <v>8611</v>
      </c>
      <c r="AD2421" t="s">
        <v>10920</v>
      </c>
      <c r="AE2421">
        <v>50</v>
      </c>
      <c r="AF2421" t="s">
        <v>11005</v>
      </c>
      <c r="AG2421" t="s">
        <v>5406</v>
      </c>
      <c r="AH2421">
        <v>42</v>
      </c>
      <c r="AI2421">
        <v>1</v>
      </c>
      <c r="AJ2421">
        <v>0</v>
      </c>
      <c r="AK2421">
        <v>232.17</v>
      </c>
      <c r="AL2421" t="s">
        <v>11029</v>
      </c>
      <c r="AN2421" t="s">
        <v>11049</v>
      </c>
      <c r="AO2421">
        <v>28000</v>
      </c>
      <c r="AU2421">
        <v>2.25</v>
      </c>
      <c r="AV2421" t="s">
        <v>528</v>
      </c>
      <c r="AW2421" t="s">
        <v>11495</v>
      </c>
    </row>
    <row r="2422" spans="1:49">
      <c r="A2422" s="1">
        <f>HYPERLINK("https://cms.ls-nyc.org/matter/dynamic-profile/view/1864101","18-1864101")</f>
        <v>0</v>
      </c>
      <c r="B2422" t="s">
        <v>111</v>
      </c>
      <c r="C2422" t="s">
        <v>235</v>
      </c>
      <c r="D2422" t="s">
        <v>357</v>
      </c>
      <c r="F2422" t="s">
        <v>1072</v>
      </c>
      <c r="G2422" t="s">
        <v>2871</v>
      </c>
      <c r="H2422" t="s">
        <v>4075</v>
      </c>
      <c r="I2422" t="s">
        <v>4811</v>
      </c>
      <c r="J2422" t="s">
        <v>5323</v>
      </c>
      <c r="K2422">
        <v>10040</v>
      </c>
      <c r="L2422" t="s">
        <v>5355</v>
      </c>
      <c r="M2422" t="s">
        <v>5356</v>
      </c>
      <c r="N2422" t="s">
        <v>5591</v>
      </c>
      <c r="O2422" t="s">
        <v>6494</v>
      </c>
      <c r="P2422" t="s">
        <v>6530</v>
      </c>
      <c r="R2422" t="s">
        <v>6539</v>
      </c>
      <c r="S2422" t="s">
        <v>5355</v>
      </c>
      <c r="U2422" t="s">
        <v>6557</v>
      </c>
      <c r="W2422" t="s">
        <v>6575</v>
      </c>
      <c r="X2422">
        <v>1231.45</v>
      </c>
      <c r="Y2422" t="s">
        <v>6608</v>
      </c>
      <c r="Z2422" t="s">
        <v>6614</v>
      </c>
      <c r="AB2422" t="s">
        <v>7733</v>
      </c>
      <c r="AD2422" t="s">
        <v>10086</v>
      </c>
      <c r="AE2422">
        <v>44</v>
      </c>
      <c r="AF2422" t="s">
        <v>11005</v>
      </c>
      <c r="AG2422" t="s">
        <v>5406</v>
      </c>
      <c r="AH2422">
        <v>13</v>
      </c>
      <c r="AI2422">
        <v>2</v>
      </c>
      <c r="AJ2422">
        <v>0</v>
      </c>
      <c r="AK2422">
        <v>232.83</v>
      </c>
      <c r="AL2422" t="s">
        <v>11035</v>
      </c>
      <c r="AN2422" t="s">
        <v>11049</v>
      </c>
      <c r="AO2422">
        <v>55848</v>
      </c>
      <c r="AU2422">
        <v>1</v>
      </c>
      <c r="AV2422" t="s">
        <v>768</v>
      </c>
      <c r="AW2422" t="s">
        <v>11495</v>
      </c>
    </row>
    <row r="2423" spans="1:49">
      <c r="A2423" s="1">
        <f>HYPERLINK("https://cms.ls-nyc.org/matter/dynamic-profile/view/1864035","18-1864035")</f>
        <v>0</v>
      </c>
      <c r="B2423" t="s">
        <v>92</v>
      </c>
      <c r="C2423" t="s">
        <v>235</v>
      </c>
      <c r="D2423" t="s">
        <v>357</v>
      </c>
      <c r="F2423" t="s">
        <v>2058</v>
      </c>
      <c r="G2423" t="s">
        <v>3367</v>
      </c>
      <c r="H2423" t="s">
        <v>3579</v>
      </c>
      <c r="I2423">
        <v>402</v>
      </c>
      <c r="J2423" t="s">
        <v>5323</v>
      </c>
      <c r="K2423">
        <v>10029</v>
      </c>
      <c r="L2423" t="s">
        <v>5355</v>
      </c>
      <c r="M2423" t="s">
        <v>5355</v>
      </c>
      <c r="N2423" t="s">
        <v>5632</v>
      </c>
      <c r="O2423" t="s">
        <v>6494</v>
      </c>
      <c r="P2423" t="s">
        <v>6530</v>
      </c>
      <c r="R2423" t="s">
        <v>6539</v>
      </c>
      <c r="S2423" t="s">
        <v>5355</v>
      </c>
      <c r="U2423" t="s">
        <v>6557</v>
      </c>
      <c r="V2423" t="s">
        <v>6566</v>
      </c>
      <c r="W2423" t="s">
        <v>357</v>
      </c>
      <c r="X2423">
        <v>0</v>
      </c>
      <c r="Y2423" t="s">
        <v>6608</v>
      </c>
      <c r="Z2423" t="s">
        <v>6622</v>
      </c>
      <c r="AB2423" t="s">
        <v>8612</v>
      </c>
      <c r="AE2423">
        <v>108</v>
      </c>
      <c r="AF2423" t="s">
        <v>11008</v>
      </c>
      <c r="AG2423" t="s">
        <v>11020</v>
      </c>
      <c r="AH2423">
        <v>4</v>
      </c>
      <c r="AI2423">
        <v>1</v>
      </c>
      <c r="AJ2423">
        <v>1</v>
      </c>
      <c r="AK2423">
        <v>233.29</v>
      </c>
      <c r="AN2423" t="s">
        <v>11050</v>
      </c>
      <c r="AO2423">
        <v>38400</v>
      </c>
      <c r="AU2423">
        <v>3</v>
      </c>
      <c r="AV2423" t="s">
        <v>762</v>
      </c>
      <c r="AW2423" t="s">
        <v>11497</v>
      </c>
    </row>
    <row r="2424" spans="1:49">
      <c r="A2424" s="1">
        <f>HYPERLINK("https://cms.ls-nyc.org/matter/dynamic-profile/view/1843868","17-1843868")</f>
        <v>0</v>
      </c>
      <c r="B2424" t="s">
        <v>82</v>
      </c>
      <c r="C2424" t="s">
        <v>235</v>
      </c>
      <c r="D2424" t="s">
        <v>582</v>
      </c>
      <c r="F2424" t="s">
        <v>908</v>
      </c>
      <c r="G2424" t="s">
        <v>3368</v>
      </c>
      <c r="H2424" t="s">
        <v>4687</v>
      </c>
      <c r="I2424" t="s">
        <v>5296</v>
      </c>
      <c r="J2424" t="s">
        <v>5323</v>
      </c>
      <c r="K2424">
        <v>10040</v>
      </c>
      <c r="L2424" t="s">
        <v>5355</v>
      </c>
      <c r="M2424" t="s">
        <v>5356</v>
      </c>
      <c r="N2424" t="s">
        <v>6419</v>
      </c>
      <c r="O2424" t="s">
        <v>6491</v>
      </c>
      <c r="P2424" t="s">
        <v>6530</v>
      </c>
      <c r="R2424" t="s">
        <v>6539</v>
      </c>
      <c r="S2424" t="s">
        <v>5357</v>
      </c>
      <c r="T2424" t="s">
        <v>6542</v>
      </c>
      <c r="U2424" t="s">
        <v>6557</v>
      </c>
      <c r="W2424" t="s">
        <v>262</v>
      </c>
      <c r="X2424">
        <v>1100</v>
      </c>
      <c r="Y2424" t="s">
        <v>6608</v>
      </c>
      <c r="Z2424" t="s">
        <v>6616</v>
      </c>
      <c r="AB2424" t="s">
        <v>8613</v>
      </c>
      <c r="AD2424" t="s">
        <v>10921</v>
      </c>
      <c r="AE2424">
        <v>185</v>
      </c>
      <c r="AF2424" t="s">
        <v>11005</v>
      </c>
      <c r="AG2424" t="s">
        <v>5406</v>
      </c>
      <c r="AH2424">
        <v>20</v>
      </c>
      <c r="AI2424">
        <v>2</v>
      </c>
      <c r="AJ2424">
        <v>0</v>
      </c>
      <c r="AK2424">
        <v>233.99</v>
      </c>
      <c r="AL2424" t="s">
        <v>11029</v>
      </c>
      <c r="AN2424" t="s">
        <v>11050</v>
      </c>
      <c r="AO2424">
        <v>38000</v>
      </c>
      <c r="AU2424">
        <v>57.55</v>
      </c>
      <c r="AV2424" t="s">
        <v>725</v>
      </c>
      <c r="AW2424" t="s">
        <v>11494</v>
      </c>
    </row>
    <row r="2425" spans="1:49">
      <c r="A2425" s="1">
        <f>HYPERLINK("https://cms.ls-nyc.org/matter/dynamic-profile/view/1837984","17-1837984")</f>
        <v>0</v>
      </c>
      <c r="B2425" t="s">
        <v>97</v>
      </c>
      <c r="C2425" t="s">
        <v>235</v>
      </c>
      <c r="D2425" t="s">
        <v>439</v>
      </c>
      <c r="F2425" t="s">
        <v>1588</v>
      </c>
      <c r="G2425" t="s">
        <v>2870</v>
      </c>
      <c r="H2425" t="s">
        <v>4107</v>
      </c>
      <c r="I2425" t="s">
        <v>4923</v>
      </c>
      <c r="J2425" t="s">
        <v>5323</v>
      </c>
      <c r="K2425">
        <v>10034</v>
      </c>
      <c r="L2425" t="s">
        <v>5355</v>
      </c>
      <c r="M2425" t="s">
        <v>5356</v>
      </c>
      <c r="N2425" t="s">
        <v>6420</v>
      </c>
      <c r="O2425" t="s">
        <v>6491</v>
      </c>
      <c r="P2425" t="s">
        <v>6530</v>
      </c>
      <c r="R2425" t="s">
        <v>6539</v>
      </c>
      <c r="S2425" t="s">
        <v>5357</v>
      </c>
      <c r="T2425" t="s">
        <v>6542</v>
      </c>
      <c r="U2425" t="s">
        <v>6557</v>
      </c>
      <c r="W2425" t="s">
        <v>399</v>
      </c>
      <c r="X2425">
        <v>1714</v>
      </c>
      <c r="Y2425" t="s">
        <v>6608</v>
      </c>
      <c r="Z2425" t="s">
        <v>6614</v>
      </c>
      <c r="AB2425" t="s">
        <v>7732</v>
      </c>
      <c r="AD2425" t="s">
        <v>10085</v>
      </c>
      <c r="AE2425">
        <v>110</v>
      </c>
      <c r="AF2425" t="s">
        <v>11005</v>
      </c>
      <c r="AG2425" t="s">
        <v>5406</v>
      </c>
      <c r="AH2425">
        <v>21</v>
      </c>
      <c r="AI2425">
        <v>1</v>
      </c>
      <c r="AJ2425">
        <v>1</v>
      </c>
      <c r="AK2425">
        <v>233.99</v>
      </c>
      <c r="AL2425" t="s">
        <v>373</v>
      </c>
      <c r="AN2425" t="s">
        <v>11050</v>
      </c>
      <c r="AO2425">
        <v>38000</v>
      </c>
      <c r="AU2425">
        <v>126.35</v>
      </c>
      <c r="AV2425" t="s">
        <v>11443</v>
      </c>
      <c r="AW2425" t="s">
        <v>11497</v>
      </c>
    </row>
    <row r="2426" spans="1:49">
      <c r="A2426" s="1">
        <f>HYPERLINK("https://cms.ls-nyc.org/matter/dynamic-profile/view/1854938","18-1854938")</f>
        <v>0</v>
      </c>
      <c r="B2426" t="s">
        <v>111</v>
      </c>
      <c r="C2426" t="s">
        <v>235</v>
      </c>
      <c r="D2426" t="s">
        <v>521</v>
      </c>
      <c r="F2426" t="s">
        <v>1024</v>
      </c>
      <c r="G2426" t="s">
        <v>2105</v>
      </c>
      <c r="H2426" t="s">
        <v>4688</v>
      </c>
      <c r="I2426" t="s">
        <v>4831</v>
      </c>
      <c r="J2426" t="s">
        <v>5323</v>
      </c>
      <c r="K2426">
        <v>10040</v>
      </c>
      <c r="L2426" t="s">
        <v>5355</v>
      </c>
      <c r="M2426" t="s">
        <v>5356</v>
      </c>
      <c r="N2426" t="s">
        <v>6421</v>
      </c>
      <c r="O2426" t="s">
        <v>6496</v>
      </c>
      <c r="P2426" t="s">
        <v>6530</v>
      </c>
      <c r="R2426" t="s">
        <v>6539</v>
      </c>
      <c r="S2426" t="s">
        <v>5357</v>
      </c>
      <c r="U2426" t="s">
        <v>6557</v>
      </c>
      <c r="W2426" t="s">
        <v>521</v>
      </c>
      <c r="X2426">
        <v>1159.75</v>
      </c>
      <c r="Y2426" t="s">
        <v>6608</v>
      </c>
      <c r="Z2426" t="s">
        <v>6616</v>
      </c>
      <c r="AB2426" t="s">
        <v>8614</v>
      </c>
      <c r="AD2426" t="s">
        <v>10922</v>
      </c>
      <c r="AE2426">
        <v>185</v>
      </c>
      <c r="AF2426" t="s">
        <v>11005</v>
      </c>
      <c r="AG2426" t="s">
        <v>5406</v>
      </c>
      <c r="AH2426">
        <v>13</v>
      </c>
      <c r="AI2426">
        <v>2</v>
      </c>
      <c r="AJ2426">
        <v>2</v>
      </c>
      <c r="AK2426">
        <v>234.03</v>
      </c>
      <c r="AL2426" t="s">
        <v>11029</v>
      </c>
      <c r="AN2426" t="s">
        <v>11050</v>
      </c>
      <c r="AO2426">
        <v>57572</v>
      </c>
      <c r="AU2426">
        <v>27.8</v>
      </c>
      <c r="AV2426" t="s">
        <v>11434</v>
      </c>
      <c r="AW2426" t="s">
        <v>11495</v>
      </c>
    </row>
    <row r="2427" spans="1:49">
      <c r="A2427" s="1">
        <f>HYPERLINK("https://cms.ls-nyc.org/matter/dynamic-profile/view/1867115","18-1867115")</f>
        <v>0</v>
      </c>
      <c r="B2427" t="s">
        <v>88</v>
      </c>
      <c r="C2427" t="s">
        <v>234</v>
      </c>
      <c r="D2427" t="s">
        <v>391</v>
      </c>
      <c r="E2427" t="s">
        <v>814</v>
      </c>
      <c r="F2427" t="s">
        <v>1223</v>
      </c>
      <c r="G2427" t="s">
        <v>3369</v>
      </c>
      <c r="H2427" t="s">
        <v>3735</v>
      </c>
      <c r="I2427" t="s">
        <v>5297</v>
      </c>
      <c r="J2427" t="s">
        <v>5320</v>
      </c>
      <c r="K2427">
        <v>11225</v>
      </c>
      <c r="L2427" t="s">
        <v>5355</v>
      </c>
      <c r="M2427" t="s">
        <v>5355</v>
      </c>
      <c r="N2427" t="s">
        <v>6422</v>
      </c>
      <c r="O2427" t="s">
        <v>6492</v>
      </c>
      <c r="P2427" t="s">
        <v>6530</v>
      </c>
      <c r="Q2427" t="s">
        <v>6534</v>
      </c>
      <c r="R2427" t="s">
        <v>6539</v>
      </c>
      <c r="S2427" t="s">
        <v>5355</v>
      </c>
      <c r="U2427" t="s">
        <v>6557</v>
      </c>
      <c r="W2427" t="s">
        <v>391</v>
      </c>
      <c r="X2427">
        <v>900</v>
      </c>
      <c r="Y2427" t="s">
        <v>6605</v>
      </c>
      <c r="Z2427" t="s">
        <v>6612</v>
      </c>
      <c r="AA2427" t="s">
        <v>6637</v>
      </c>
      <c r="AB2427" t="s">
        <v>8615</v>
      </c>
      <c r="AD2427" t="s">
        <v>10923</v>
      </c>
      <c r="AE2427">
        <v>89</v>
      </c>
      <c r="AF2427" t="s">
        <v>11005</v>
      </c>
      <c r="AG2427" t="s">
        <v>5406</v>
      </c>
      <c r="AH2427">
        <v>10</v>
      </c>
      <c r="AI2427">
        <v>1</v>
      </c>
      <c r="AJ2427">
        <v>2</v>
      </c>
      <c r="AK2427">
        <v>235.8</v>
      </c>
      <c r="AL2427" t="s">
        <v>355</v>
      </c>
      <c r="AN2427" t="s">
        <v>11050</v>
      </c>
      <c r="AO2427">
        <v>49000</v>
      </c>
      <c r="AR2427" t="s">
        <v>11210</v>
      </c>
      <c r="AS2427" t="s">
        <v>11253</v>
      </c>
      <c r="AT2427" t="s">
        <v>11363</v>
      </c>
      <c r="AU2427">
        <v>17.25</v>
      </c>
      <c r="AV2427" t="s">
        <v>817</v>
      </c>
      <c r="AW2427" t="s">
        <v>11490</v>
      </c>
    </row>
    <row r="2428" spans="1:49">
      <c r="A2428" s="1">
        <f>HYPERLINK("https://cms.ls-nyc.org/matter/dynamic-profile/view/1864017","18-1864017")</f>
        <v>0</v>
      </c>
      <c r="B2428" t="s">
        <v>67</v>
      </c>
      <c r="C2428" t="s">
        <v>235</v>
      </c>
      <c r="D2428" t="s">
        <v>425</v>
      </c>
      <c r="F2428" t="s">
        <v>2059</v>
      </c>
      <c r="G2428" t="s">
        <v>3370</v>
      </c>
      <c r="H2428" t="s">
        <v>3579</v>
      </c>
      <c r="I2428">
        <v>311</v>
      </c>
      <c r="J2428" t="s">
        <v>5323</v>
      </c>
      <c r="K2428">
        <v>10029</v>
      </c>
      <c r="L2428" t="s">
        <v>5355</v>
      </c>
      <c r="M2428" t="s">
        <v>5355</v>
      </c>
      <c r="N2428" t="s">
        <v>5632</v>
      </c>
      <c r="O2428" t="s">
        <v>6494</v>
      </c>
      <c r="P2428" t="s">
        <v>6530</v>
      </c>
      <c r="R2428" t="s">
        <v>6539</v>
      </c>
      <c r="S2428" t="s">
        <v>5355</v>
      </c>
      <c r="U2428" t="s">
        <v>6557</v>
      </c>
      <c r="V2428" t="s">
        <v>6566</v>
      </c>
      <c r="W2428" t="s">
        <v>425</v>
      </c>
      <c r="X2428">
        <v>0</v>
      </c>
      <c r="Y2428" t="s">
        <v>6608</v>
      </c>
      <c r="Z2428" t="s">
        <v>6622</v>
      </c>
      <c r="AB2428" t="s">
        <v>8616</v>
      </c>
      <c r="AE2428">
        <v>108</v>
      </c>
      <c r="AF2428" t="s">
        <v>11008</v>
      </c>
      <c r="AG2428" t="s">
        <v>11020</v>
      </c>
      <c r="AH2428">
        <v>8</v>
      </c>
      <c r="AI2428">
        <v>1</v>
      </c>
      <c r="AJ2428">
        <v>2</v>
      </c>
      <c r="AK2428">
        <v>236.7</v>
      </c>
      <c r="AN2428" t="s">
        <v>11050</v>
      </c>
      <c r="AO2428">
        <v>49187</v>
      </c>
      <c r="AU2428">
        <v>0.2</v>
      </c>
      <c r="AV2428" t="s">
        <v>287</v>
      </c>
      <c r="AW2428" t="s">
        <v>11497</v>
      </c>
    </row>
    <row r="2429" spans="1:49">
      <c r="A2429" s="1">
        <f>HYPERLINK("https://cms.ls-nyc.org/matter/dynamic-profile/view/0804114","16-0804114")</f>
        <v>0</v>
      </c>
      <c r="B2429" t="s">
        <v>115</v>
      </c>
      <c r="C2429" t="s">
        <v>235</v>
      </c>
      <c r="D2429" t="s">
        <v>609</v>
      </c>
      <c r="F2429" t="s">
        <v>1127</v>
      </c>
      <c r="G2429" t="s">
        <v>3371</v>
      </c>
      <c r="H2429" t="s">
        <v>4449</v>
      </c>
      <c r="I2429" t="s">
        <v>5055</v>
      </c>
      <c r="J2429" t="s">
        <v>5320</v>
      </c>
      <c r="K2429">
        <v>11225</v>
      </c>
      <c r="L2429" t="s">
        <v>5355</v>
      </c>
      <c r="M2429" t="s">
        <v>5356</v>
      </c>
      <c r="N2429" t="s">
        <v>6103</v>
      </c>
      <c r="O2429" t="s">
        <v>6502</v>
      </c>
      <c r="P2429" t="s">
        <v>6530</v>
      </c>
      <c r="R2429" t="s">
        <v>6539</v>
      </c>
      <c r="S2429" t="s">
        <v>5355</v>
      </c>
      <c r="T2429" t="s">
        <v>6539</v>
      </c>
      <c r="U2429" t="s">
        <v>6557</v>
      </c>
      <c r="W2429" t="s">
        <v>6578</v>
      </c>
      <c r="X2429">
        <v>2180</v>
      </c>
      <c r="Y2429" t="s">
        <v>6605</v>
      </c>
      <c r="Z2429" t="s">
        <v>6612</v>
      </c>
      <c r="AB2429" t="s">
        <v>8617</v>
      </c>
      <c r="AD2429" t="s">
        <v>10924</v>
      </c>
      <c r="AE2429">
        <v>8</v>
      </c>
      <c r="AF2429" t="s">
        <v>11005</v>
      </c>
      <c r="AH2429">
        <v>25</v>
      </c>
      <c r="AI2429">
        <v>3</v>
      </c>
      <c r="AJ2429">
        <v>0</v>
      </c>
      <c r="AK2429">
        <v>238.1</v>
      </c>
      <c r="AN2429" t="s">
        <v>11050</v>
      </c>
      <c r="AO2429">
        <v>48000</v>
      </c>
      <c r="AU2429">
        <v>4.1</v>
      </c>
      <c r="AV2429" t="s">
        <v>345</v>
      </c>
      <c r="AW2429" t="s">
        <v>11503</v>
      </c>
    </row>
    <row r="2430" spans="1:49">
      <c r="A2430" s="1">
        <f>HYPERLINK("https://cms.ls-nyc.org/matter/dynamic-profile/view/1856034","18-1856034")</f>
        <v>0</v>
      </c>
      <c r="B2430" t="s">
        <v>111</v>
      </c>
      <c r="C2430" t="s">
        <v>235</v>
      </c>
      <c r="D2430" t="s">
        <v>525</v>
      </c>
      <c r="F2430" t="s">
        <v>1020</v>
      </c>
      <c r="G2430" t="s">
        <v>2439</v>
      </c>
      <c r="H2430" t="s">
        <v>4075</v>
      </c>
      <c r="I2430" t="s">
        <v>4838</v>
      </c>
      <c r="J2430" t="s">
        <v>5323</v>
      </c>
      <c r="K2430">
        <v>10040</v>
      </c>
      <c r="L2430" t="s">
        <v>5355</v>
      </c>
      <c r="M2430" t="s">
        <v>5356</v>
      </c>
      <c r="N2430" t="s">
        <v>5591</v>
      </c>
      <c r="O2430" t="s">
        <v>6494</v>
      </c>
      <c r="P2430" t="s">
        <v>6530</v>
      </c>
      <c r="R2430" t="s">
        <v>6539</v>
      </c>
      <c r="S2430" t="s">
        <v>5355</v>
      </c>
      <c r="U2430" t="s">
        <v>6557</v>
      </c>
      <c r="W2430" t="s">
        <v>525</v>
      </c>
      <c r="X2430">
        <v>1413</v>
      </c>
      <c r="Y2430" t="s">
        <v>6608</v>
      </c>
      <c r="Z2430" t="s">
        <v>6622</v>
      </c>
      <c r="AB2430" t="s">
        <v>8618</v>
      </c>
      <c r="AD2430" t="s">
        <v>10925</v>
      </c>
      <c r="AE2430">
        <v>44</v>
      </c>
      <c r="AF2430" t="s">
        <v>11005</v>
      </c>
      <c r="AG2430" t="s">
        <v>5406</v>
      </c>
      <c r="AH2430">
        <v>35</v>
      </c>
      <c r="AI2430">
        <v>4</v>
      </c>
      <c r="AJ2430">
        <v>2</v>
      </c>
      <c r="AK2430">
        <v>238.23</v>
      </c>
      <c r="AL2430" t="s">
        <v>11035</v>
      </c>
      <c r="AN2430" t="s">
        <v>11050</v>
      </c>
      <c r="AO2430">
        <v>78520</v>
      </c>
      <c r="AU2430">
        <v>3.5</v>
      </c>
      <c r="AV2430" t="s">
        <v>320</v>
      </c>
      <c r="AW2430" t="s">
        <v>11495</v>
      </c>
    </row>
    <row r="2431" spans="1:49">
      <c r="A2431" s="1">
        <f>HYPERLINK("https://cms.ls-nyc.org/matter/dynamic-profile/view/1853167","17-1853167")</f>
        <v>0</v>
      </c>
      <c r="B2431" t="s">
        <v>55</v>
      </c>
      <c r="C2431" t="s">
        <v>234</v>
      </c>
      <c r="D2431" t="s">
        <v>264</v>
      </c>
      <c r="E2431" t="s">
        <v>835</v>
      </c>
      <c r="F2431" t="s">
        <v>2060</v>
      </c>
      <c r="G2431" t="s">
        <v>3372</v>
      </c>
      <c r="H2431" t="s">
        <v>4387</v>
      </c>
      <c r="I2431">
        <v>26</v>
      </c>
      <c r="J2431" t="s">
        <v>5320</v>
      </c>
      <c r="K2431">
        <v>11238</v>
      </c>
      <c r="L2431" t="s">
        <v>5355</v>
      </c>
      <c r="M2431" t="s">
        <v>5355</v>
      </c>
      <c r="N2431" t="s">
        <v>6423</v>
      </c>
      <c r="P2431" t="s">
        <v>6530</v>
      </c>
      <c r="Q2431" t="s">
        <v>6534</v>
      </c>
      <c r="R2431" t="s">
        <v>6539</v>
      </c>
      <c r="S2431" t="s">
        <v>5357</v>
      </c>
      <c r="U2431" t="s">
        <v>6557</v>
      </c>
      <c r="W2431" t="s">
        <v>516</v>
      </c>
      <c r="X2431">
        <v>1116.53</v>
      </c>
      <c r="Y2431" t="s">
        <v>6605</v>
      </c>
      <c r="Z2431" t="s">
        <v>6622</v>
      </c>
      <c r="AA2431" t="s">
        <v>6637</v>
      </c>
      <c r="AB2431" t="s">
        <v>8619</v>
      </c>
      <c r="AD2431" t="s">
        <v>10926</v>
      </c>
      <c r="AE2431">
        <v>60</v>
      </c>
      <c r="AF2431" t="s">
        <v>11005</v>
      </c>
      <c r="AG2431" t="s">
        <v>5406</v>
      </c>
      <c r="AH2431">
        <v>15</v>
      </c>
      <c r="AI2431">
        <v>2</v>
      </c>
      <c r="AJ2431">
        <v>0</v>
      </c>
      <c r="AK2431">
        <v>243.04</v>
      </c>
      <c r="AL2431" t="s">
        <v>622</v>
      </c>
      <c r="AN2431" t="s">
        <v>11050</v>
      </c>
      <c r="AO2431">
        <v>39470</v>
      </c>
      <c r="AR2431" t="s">
        <v>11210</v>
      </c>
      <c r="AS2431" t="s">
        <v>11253</v>
      </c>
      <c r="AT2431" t="s">
        <v>11365</v>
      </c>
      <c r="AU2431">
        <v>49.4</v>
      </c>
      <c r="AV2431" t="s">
        <v>394</v>
      </c>
      <c r="AW2431" t="s">
        <v>55</v>
      </c>
    </row>
    <row r="2432" spans="1:49">
      <c r="A2432" s="1">
        <f>HYPERLINK("https://cms.ls-nyc.org/matter/dynamic-profile/view/0822899","16-0822899")</f>
        <v>0</v>
      </c>
      <c r="B2432" t="s">
        <v>105</v>
      </c>
      <c r="C2432" t="s">
        <v>234</v>
      </c>
      <c r="D2432" t="s">
        <v>423</v>
      </c>
      <c r="E2432" t="s">
        <v>677</v>
      </c>
      <c r="F2432" t="s">
        <v>1072</v>
      </c>
      <c r="G2432" t="s">
        <v>3373</v>
      </c>
      <c r="H2432" t="s">
        <v>3789</v>
      </c>
      <c r="I2432">
        <v>53</v>
      </c>
      <c r="J2432" t="s">
        <v>5323</v>
      </c>
      <c r="K2432">
        <v>10031</v>
      </c>
      <c r="L2432" t="s">
        <v>5355</v>
      </c>
      <c r="M2432" t="s">
        <v>5356</v>
      </c>
      <c r="O2432" t="s">
        <v>6517</v>
      </c>
      <c r="P2432" t="s">
        <v>6530</v>
      </c>
      <c r="Q2432" t="s">
        <v>6534</v>
      </c>
      <c r="R2432" t="s">
        <v>6539</v>
      </c>
      <c r="S2432" t="s">
        <v>5355</v>
      </c>
      <c r="U2432" t="s">
        <v>6557</v>
      </c>
      <c r="W2432" t="s">
        <v>298</v>
      </c>
      <c r="X2432">
        <v>1200</v>
      </c>
      <c r="Y2432" t="s">
        <v>6608</v>
      </c>
      <c r="AA2432" t="s">
        <v>6634</v>
      </c>
      <c r="AB2432" t="s">
        <v>8620</v>
      </c>
      <c r="AD2432" t="s">
        <v>10927</v>
      </c>
      <c r="AE2432">
        <v>24</v>
      </c>
      <c r="AF2432" t="s">
        <v>11005</v>
      </c>
      <c r="AH2432">
        <v>18</v>
      </c>
      <c r="AI2432">
        <v>2</v>
      </c>
      <c r="AJ2432">
        <v>0</v>
      </c>
      <c r="AK2432">
        <v>243.45</v>
      </c>
      <c r="AN2432" t="s">
        <v>11050</v>
      </c>
      <c r="AO2432">
        <v>39000</v>
      </c>
      <c r="AU2432">
        <v>12.25</v>
      </c>
      <c r="AV2432" t="s">
        <v>677</v>
      </c>
      <c r="AW2432" t="s">
        <v>11559</v>
      </c>
    </row>
    <row r="2433" spans="1:50">
      <c r="A2433" s="1">
        <f>HYPERLINK("https://cms.ls-nyc.org/matter/dynamic-profile/view/1859310","18-1859310")</f>
        <v>0</v>
      </c>
      <c r="B2433" t="s">
        <v>156</v>
      </c>
      <c r="C2433" t="s">
        <v>234</v>
      </c>
      <c r="D2433" t="s">
        <v>360</v>
      </c>
      <c r="E2433" t="s">
        <v>747</v>
      </c>
      <c r="F2433" t="s">
        <v>1094</v>
      </c>
      <c r="G2433" t="s">
        <v>3374</v>
      </c>
      <c r="H2433" t="s">
        <v>4689</v>
      </c>
      <c r="J2433" t="s">
        <v>5322</v>
      </c>
      <c r="K2433">
        <v>10309</v>
      </c>
      <c r="L2433" t="s">
        <v>5355</v>
      </c>
      <c r="M2433" t="s">
        <v>5356</v>
      </c>
      <c r="N2433" t="s">
        <v>6424</v>
      </c>
      <c r="O2433" t="s">
        <v>6523</v>
      </c>
      <c r="P2433" t="s">
        <v>6530</v>
      </c>
      <c r="Q2433" t="s">
        <v>6538</v>
      </c>
      <c r="R2433" t="s">
        <v>6539</v>
      </c>
      <c r="S2433" t="s">
        <v>5355</v>
      </c>
      <c r="U2433" t="s">
        <v>6559</v>
      </c>
      <c r="W2433" t="s">
        <v>428</v>
      </c>
      <c r="X2433">
        <v>0</v>
      </c>
      <c r="Y2433" t="s">
        <v>6607</v>
      </c>
      <c r="Z2433" t="s">
        <v>6625</v>
      </c>
      <c r="AA2433" t="s">
        <v>6637</v>
      </c>
      <c r="AB2433" t="s">
        <v>8621</v>
      </c>
      <c r="AD2433" t="s">
        <v>10928</v>
      </c>
      <c r="AE2433">
        <v>1</v>
      </c>
      <c r="AF2433" t="s">
        <v>11004</v>
      </c>
      <c r="AG2433" t="s">
        <v>5406</v>
      </c>
      <c r="AH2433">
        <v>17</v>
      </c>
      <c r="AI2433">
        <v>2</v>
      </c>
      <c r="AJ2433">
        <v>2</v>
      </c>
      <c r="AK2433">
        <v>243.9</v>
      </c>
      <c r="AL2433" t="s">
        <v>428</v>
      </c>
      <c r="AN2433" t="s">
        <v>11050</v>
      </c>
      <c r="AO2433">
        <v>60000</v>
      </c>
      <c r="AU2433">
        <v>25.3</v>
      </c>
      <c r="AV2433" t="s">
        <v>729</v>
      </c>
      <c r="AW2433" t="s">
        <v>11510</v>
      </c>
    </row>
    <row r="2434" spans="1:50">
      <c r="A2434" s="1">
        <f>HYPERLINK("https://cms.ls-nyc.org/matter/dynamic-profile/view/1856356","18-1856356")</f>
        <v>0</v>
      </c>
      <c r="B2434" t="s">
        <v>90</v>
      </c>
      <c r="C2434" t="s">
        <v>235</v>
      </c>
      <c r="D2434" t="s">
        <v>261</v>
      </c>
      <c r="F2434" t="s">
        <v>1245</v>
      </c>
      <c r="G2434" t="s">
        <v>2718</v>
      </c>
      <c r="H2434" t="s">
        <v>3949</v>
      </c>
      <c r="I2434" t="s">
        <v>4783</v>
      </c>
      <c r="J2434" t="s">
        <v>5321</v>
      </c>
      <c r="K2434">
        <v>10452</v>
      </c>
      <c r="L2434" t="s">
        <v>5355</v>
      </c>
      <c r="M2434" t="s">
        <v>5356</v>
      </c>
      <c r="N2434" t="s">
        <v>5792</v>
      </c>
      <c r="O2434" t="s">
        <v>6494</v>
      </c>
      <c r="P2434" t="s">
        <v>6530</v>
      </c>
      <c r="R2434" t="s">
        <v>6539</v>
      </c>
      <c r="S2434" t="s">
        <v>5355</v>
      </c>
      <c r="U2434" t="s">
        <v>6557</v>
      </c>
      <c r="W2434" t="s">
        <v>480</v>
      </c>
      <c r="X2434">
        <v>1079</v>
      </c>
      <c r="Y2434" t="s">
        <v>6606</v>
      </c>
      <c r="Z2434" t="s">
        <v>6612</v>
      </c>
      <c r="AB2434" t="s">
        <v>7495</v>
      </c>
      <c r="AC2434" t="s">
        <v>8818</v>
      </c>
      <c r="AD2434" t="s">
        <v>9864</v>
      </c>
      <c r="AE2434">
        <v>60</v>
      </c>
      <c r="AF2434" t="s">
        <v>11005</v>
      </c>
      <c r="AG2434" t="s">
        <v>11020</v>
      </c>
      <c r="AH2434">
        <v>29</v>
      </c>
      <c r="AI2434">
        <v>2</v>
      </c>
      <c r="AJ2434">
        <v>0</v>
      </c>
      <c r="AK2434">
        <v>245.07</v>
      </c>
      <c r="AN2434" t="s">
        <v>11049</v>
      </c>
      <c r="AO2434">
        <v>39800</v>
      </c>
      <c r="AU2434">
        <v>0.45</v>
      </c>
      <c r="AV2434" t="s">
        <v>433</v>
      </c>
      <c r="AW2434" t="s">
        <v>11505</v>
      </c>
    </row>
    <row r="2435" spans="1:50">
      <c r="A2435" s="1">
        <f>HYPERLINK("https://cms.ls-nyc.org/matter/dynamic-profile/view/1848543","17-1848543")</f>
        <v>0</v>
      </c>
      <c r="B2435" t="s">
        <v>66</v>
      </c>
      <c r="C2435" t="s">
        <v>235</v>
      </c>
      <c r="D2435" t="s">
        <v>553</v>
      </c>
      <c r="F2435" t="s">
        <v>881</v>
      </c>
      <c r="G2435" t="s">
        <v>3375</v>
      </c>
      <c r="H2435" t="s">
        <v>4690</v>
      </c>
      <c r="I2435" t="s">
        <v>4829</v>
      </c>
      <c r="J2435" t="s">
        <v>5323</v>
      </c>
      <c r="K2435">
        <v>10040</v>
      </c>
      <c r="L2435" t="s">
        <v>5355</v>
      </c>
      <c r="M2435" t="s">
        <v>5356</v>
      </c>
      <c r="N2435" t="s">
        <v>6425</v>
      </c>
      <c r="O2435" t="s">
        <v>6492</v>
      </c>
      <c r="P2435" t="s">
        <v>6530</v>
      </c>
      <c r="R2435" t="s">
        <v>6539</v>
      </c>
      <c r="T2435" t="s">
        <v>6542</v>
      </c>
      <c r="U2435" t="s">
        <v>6557</v>
      </c>
      <c r="W2435" t="s">
        <v>262</v>
      </c>
      <c r="X2435">
        <v>1800</v>
      </c>
      <c r="Y2435" t="s">
        <v>6608</v>
      </c>
      <c r="Z2435" t="s">
        <v>6624</v>
      </c>
      <c r="AB2435" t="s">
        <v>8622</v>
      </c>
      <c r="AD2435" t="s">
        <v>10929</v>
      </c>
      <c r="AE2435">
        <v>61</v>
      </c>
      <c r="AF2435" t="s">
        <v>11005</v>
      </c>
      <c r="AG2435" t="s">
        <v>5406</v>
      </c>
      <c r="AH2435">
        <v>1</v>
      </c>
      <c r="AI2435">
        <v>1</v>
      </c>
      <c r="AJ2435">
        <v>0</v>
      </c>
      <c r="AK2435">
        <v>245.44</v>
      </c>
      <c r="AL2435" t="s">
        <v>11029</v>
      </c>
      <c r="AN2435" t="s">
        <v>11050</v>
      </c>
      <c r="AO2435">
        <v>29600</v>
      </c>
      <c r="AU2435">
        <v>33.7</v>
      </c>
      <c r="AV2435" t="s">
        <v>11438</v>
      </c>
      <c r="AW2435" t="s">
        <v>11494</v>
      </c>
    </row>
    <row r="2436" spans="1:50">
      <c r="A2436" s="1">
        <f>HYPERLINK("https://cms.ls-nyc.org/matter/dynamic-profile/view/1845650","17-1845650")</f>
        <v>0</v>
      </c>
      <c r="B2436" t="s">
        <v>71</v>
      </c>
      <c r="C2436" t="s">
        <v>235</v>
      </c>
      <c r="D2436" t="s">
        <v>466</v>
      </c>
      <c r="F2436" t="s">
        <v>2061</v>
      </c>
      <c r="G2436" t="s">
        <v>3376</v>
      </c>
      <c r="H2436" t="s">
        <v>4691</v>
      </c>
      <c r="I2436" t="s">
        <v>5298</v>
      </c>
      <c r="J2436" t="s">
        <v>5321</v>
      </c>
      <c r="K2436">
        <v>10452</v>
      </c>
      <c r="L2436" t="s">
        <v>5355</v>
      </c>
      <c r="M2436" t="s">
        <v>5356</v>
      </c>
      <c r="N2436" t="s">
        <v>6426</v>
      </c>
      <c r="O2436" t="s">
        <v>6491</v>
      </c>
      <c r="P2436" t="s">
        <v>6530</v>
      </c>
      <c r="R2436" t="s">
        <v>6539</v>
      </c>
      <c r="S2436" t="s">
        <v>5357</v>
      </c>
      <c r="U2436" t="s">
        <v>6557</v>
      </c>
      <c r="W2436" t="s">
        <v>6572</v>
      </c>
      <c r="X2436">
        <v>775</v>
      </c>
      <c r="Y2436" t="s">
        <v>6606</v>
      </c>
      <c r="Z2436" t="s">
        <v>6612</v>
      </c>
      <c r="AB2436" t="s">
        <v>8623</v>
      </c>
      <c r="AD2436" t="s">
        <v>10930</v>
      </c>
      <c r="AE2436">
        <v>49</v>
      </c>
      <c r="AF2436" t="s">
        <v>11005</v>
      </c>
      <c r="AG2436" t="s">
        <v>5406</v>
      </c>
      <c r="AH2436">
        <v>4</v>
      </c>
      <c r="AI2436">
        <v>2</v>
      </c>
      <c r="AJ2436">
        <v>0</v>
      </c>
      <c r="AK2436">
        <v>246.31</v>
      </c>
      <c r="AL2436" t="s">
        <v>11029</v>
      </c>
      <c r="AN2436" t="s">
        <v>11050</v>
      </c>
      <c r="AO2436">
        <v>40000</v>
      </c>
      <c r="AP2436" t="s">
        <v>11179</v>
      </c>
      <c r="AU2436">
        <v>53.53</v>
      </c>
      <c r="AV2436" t="s">
        <v>790</v>
      </c>
      <c r="AW2436" t="s">
        <v>11492</v>
      </c>
    </row>
    <row r="2437" spans="1:50">
      <c r="A2437" s="1">
        <f>HYPERLINK("https://cms.ls-nyc.org/matter/dynamic-profile/view/1868260","18-1868260")</f>
        <v>0</v>
      </c>
      <c r="B2437" t="s">
        <v>102</v>
      </c>
      <c r="C2437" t="s">
        <v>235</v>
      </c>
      <c r="D2437" t="s">
        <v>280</v>
      </c>
      <c r="F2437" t="s">
        <v>892</v>
      </c>
      <c r="G2437" t="s">
        <v>3377</v>
      </c>
      <c r="H2437" t="s">
        <v>4692</v>
      </c>
      <c r="I2437" t="s">
        <v>5299</v>
      </c>
      <c r="J2437" t="s">
        <v>5321</v>
      </c>
      <c r="K2437">
        <v>10452</v>
      </c>
      <c r="L2437" t="s">
        <v>5355</v>
      </c>
      <c r="M2437" t="s">
        <v>5356</v>
      </c>
      <c r="N2437" t="s">
        <v>6427</v>
      </c>
      <c r="O2437" t="s">
        <v>6492</v>
      </c>
      <c r="P2437" t="s">
        <v>6530</v>
      </c>
      <c r="R2437" t="s">
        <v>6539</v>
      </c>
      <c r="U2437" t="s">
        <v>6557</v>
      </c>
      <c r="W2437" t="s">
        <v>516</v>
      </c>
      <c r="X2437">
        <v>278</v>
      </c>
      <c r="Y2437" t="s">
        <v>6606</v>
      </c>
      <c r="Z2437" t="s">
        <v>6619</v>
      </c>
      <c r="AB2437" t="s">
        <v>8624</v>
      </c>
      <c r="AD2437" t="s">
        <v>10931</v>
      </c>
      <c r="AE2437">
        <v>0</v>
      </c>
      <c r="AF2437" t="s">
        <v>11005</v>
      </c>
      <c r="AH2437">
        <v>14</v>
      </c>
      <c r="AI2437">
        <v>1</v>
      </c>
      <c r="AJ2437">
        <v>0</v>
      </c>
      <c r="AK2437">
        <v>247.31</v>
      </c>
      <c r="AL2437" t="s">
        <v>11029</v>
      </c>
      <c r="AN2437" t="s">
        <v>11050</v>
      </c>
      <c r="AO2437">
        <v>30024</v>
      </c>
      <c r="AU2437">
        <v>53.15</v>
      </c>
      <c r="AV2437" t="s">
        <v>11463</v>
      </c>
      <c r="AW2437" t="s">
        <v>11505</v>
      </c>
    </row>
    <row r="2438" spans="1:50">
      <c r="A2438" s="1">
        <f>HYPERLINK("https://cms.ls-nyc.org/matter/dynamic-profile/view/1865480","18-1865480")</f>
        <v>0</v>
      </c>
      <c r="B2438" t="s">
        <v>124</v>
      </c>
      <c r="C2438" t="s">
        <v>235</v>
      </c>
      <c r="D2438" t="s">
        <v>502</v>
      </c>
      <c r="F2438" t="s">
        <v>893</v>
      </c>
      <c r="G2438" t="s">
        <v>2106</v>
      </c>
      <c r="H2438" t="s">
        <v>4160</v>
      </c>
      <c r="I2438">
        <v>15</v>
      </c>
      <c r="J2438" t="s">
        <v>5323</v>
      </c>
      <c r="K2438">
        <v>10034</v>
      </c>
      <c r="L2438" t="s">
        <v>5355</v>
      </c>
      <c r="M2438" t="s">
        <v>5356</v>
      </c>
      <c r="O2438" t="s">
        <v>6492</v>
      </c>
      <c r="P2438" t="s">
        <v>6530</v>
      </c>
      <c r="R2438" t="s">
        <v>6539</v>
      </c>
      <c r="S2438" t="s">
        <v>5357</v>
      </c>
      <c r="U2438" t="s">
        <v>6557</v>
      </c>
      <c r="W2438" t="s">
        <v>502</v>
      </c>
      <c r="X2438">
        <v>1570</v>
      </c>
      <c r="Y2438" t="s">
        <v>6608</v>
      </c>
      <c r="Z2438" t="s">
        <v>6616</v>
      </c>
      <c r="AB2438" t="s">
        <v>8625</v>
      </c>
      <c r="AD2438" t="s">
        <v>10932</v>
      </c>
      <c r="AE2438">
        <v>22</v>
      </c>
      <c r="AF2438" t="s">
        <v>11005</v>
      </c>
      <c r="AG2438" t="s">
        <v>5406</v>
      </c>
      <c r="AH2438">
        <v>3</v>
      </c>
      <c r="AI2438">
        <v>2</v>
      </c>
      <c r="AJ2438">
        <v>2</v>
      </c>
      <c r="AK2438">
        <v>248.61</v>
      </c>
      <c r="AL2438" t="s">
        <v>11029</v>
      </c>
      <c r="AN2438" t="s">
        <v>11050</v>
      </c>
      <c r="AO2438">
        <v>62400</v>
      </c>
      <c r="AU2438">
        <v>241.45</v>
      </c>
      <c r="AV2438" t="s">
        <v>678</v>
      </c>
      <c r="AW2438" t="s">
        <v>11495</v>
      </c>
    </row>
    <row r="2439" spans="1:50">
      <c r="A2439" s="1">
        <f>HYPERLINK("https://cms.ls-nyc.org/matter/dynamic-profile/view/1859067","18-1859067")</f>
        <v>0</v>
      </c>
      <c r="B2439" t="s">
        <v>55</v>
      </c>
      <c r="C2439" t="s">
        <v>234</v>
      </c>
      <c r="D2439" t="s">
        <v>424</v>
      </c>
      <c r="E2439" t="s">
        <v>786</v>
      </c>
      <c r="F2439" t="s">
        <v>2062</v>
      </c>
      <c r="G2439" t="s">
        <v>3378</v>
      </c>
      <c r="H2439" t="s">
        <v>3895</v>
      </c>
      <c r="I2439" t="s">
        <v>5300</v>
      </c>
      <c r="J2439" t="s">
        <v>5320</v>
      </c>
      <c r="K2439">
        <v>11203</v>
      </c>
      <c r="L2439" t="s">
        <v>5355</v>
      </c>
      <c r="M2439" t="s">
        <v>5356</v>
      </c>
      <c r="N2439" t="s">
        <v>5541</v>
      </c>
      <c r="O2439" t="s">
        <v>6494</v>
      </c>
      <c r="P2439" t="s">
        <v>6530</v>
      </c>
      <c r="Q2439" t="s">
        <v>6534</v>
      </c>
      <c r="R2439" t="s">
        <v>6539</v>
      </c>
      <c r="T2439" t="s">
        <v>6545</v>
      </c>
      <c r="U2439" t="s">
        <v>6557</v>
      </c>
      <c r="W2439" t="s">
        <v>6575</v>
      </c>
      <c r="X2439">
        <v>0</v>
      </c>
      <c r="Y2439" t="s">
        <v>6605</v>
      </c>
      <c r="Z2439" t="s">
        <v>6612</v>
      </c>
      <c r="AA2439" t="s">
        <v>6634</v>
      </c>
      <c r="AB2439" t="s">
        <v>7510</v>
      </c>
      <c r="AE2439">
        <v>50</v>
      </c>
      <c r="AF2439" t="s">
        <v>11005</v>
      </c>
      <c r="AH2439">
        <v>0</v>
      </c>
      <c r="AI2439">
        <v>1</v>
      </c>
      <c r="AJ2439">
        <v>0</v>
      </c>
      <c r="AK2439">
        <v>248.76</v>
      </c>
      <c r="AN2439" t="s">
        <v>11050</v>
      </c>
      <c r="AO2439">
        <v>30000</v>
      </c>
      <c r="AU2439">
        <v>6.42</v>
      </c>
      <c r="AV2439" t="s">
        <v>754</v>
      </c>
      <c r="AW2439" t="s">
        <v>11490</v>
      </c>
    </row>
    <row r="2440" spans="1:50">
      <c r="A2440" s="1">
        <f>HYPERLINK("https://cms.ls-nyc.org/matter/dynamic-profile/view/1837167","17-1837167")</f>
        <v>0</v>
      </c>
      <c r="B2440" t="s">
        <v>132</v>
      </c>
      <c r="C2440" t="s">
        <v>235</v>
      </c>
      <c r="D2440" t="s">
        <v>508</v>
      </c>
      <c r="F2440" t="s">
        <v>2063</v>
      </c>
      <c r="G2440" t="s">
        <v>3379</v>
      </c>
      <c r="H2440" t="s">
        <v>4693</v>
      </c>
      <c r="I2440" t="s">
        <v>4752</v>
      </c>
      <c r="J2440" t="s">
        <v>5323</v>
      </c>
      <c r="K2440">
        <v>10029</v>
      </c>
      <c r="L2440" t="s">
        <v>5355</v>
      </c>
      <c r="M2440" t="s">
        <v>5355</v>
      </c>
      <c r="N2440" t="s">
        <v>6428</v>
      </c>
      <c r="O2440" t="s">
        <v>6502</v>
      </c>
      <c r="P2440" t="s">
        <v>6530</v>
      </c>
      <c r="R2440" t="s">
        <v>6539</v>
      </c>
      <c r="S2440" t="s">
        <v>5357</v>
      </c>
      <c r="U2440" t="s">
        <v>6557</v>
      </c>
      <c r="V2440" t="s">
        <v>6566</v>
      </c>
      <c r="W2440" t="s">
        <v>419</v>
      </c>
      <c r="X2440">
        <v>1550</v>
      </c>
      <c r="Y2440" t="s">
        <v>6608</v>
      </c>
      <c r="Z2440" t="s">
        <v>6614</v>
      </c>
      <c r="AB2440" t="s">
        <v>8626</v>
      </c>
      <c r="AD2440" t="s">
        <v>10933</v>
      </c>
      <c r="AE2440">
        <v>9</v>
      </c>
      <c r="AF2440" t="s">
        <v>11005</v>
      </c>
      <c r="AG2440" t="s">
        <v>5406</v>
      </c>
      <c r="AH2440">
        <v>7</v>
      </c>
      <c r="AI2440">
        <v>1</v>
      </c>
      <c r="AJ2440">
        <v>0</v>
      </c>
      <c r="AK2440">
        <v>248.76</v>
      </c>
      <c r="AL2440" t="s">
        <v>11029</v>
      </c>
      <c r="AN2440" t="s">
        <v>11050</v>
      </c>
      <c r="AO2440">
        <v>30000</v>
      </c>
      <c r="AU2440">
        <v>54.45</v>
      </c>
      <c r="AV2440" t="s">
        <v>11436</v>
      </c>
      <c r="AW2440" t="s">
        <v>11497</v>
      </c>
      <c r="AX2440" t="s">
        <v>11564</v>
      </c>
    </row>
    <row r="2441" spans="1:50">
      <c r="A2441" s="1">
        <f>HYPERLINK("https://cms.ls-nyc.org/matter/dynamic-profile/view/0795363","16-0795363")</f>
        <v>0</v>
      </c>
      <c r="B2441" t="s">
        <v>58</v>
      </c>
      <c r="C2441" t="s">
        <v>235</v>
      </c>
      <c r="D2441" t="s">
        <v>603</v>
      </c>
      <c r="F2441" t="s">
        <v>1364</v>
      </c>
      <c r="G2441" t="s">
        <v>2872</v>
      </c>
      <c r="H2441" t="s">
        <v>4007</v>
      </c>
      <c r="I2441" t="s">
        <v>5102</v>
      </c>
      <c r="J2441" t="s">
        <v>5321</v>
      </c>
      <c r="K2441">
        <v>10452</v>
      </c>
      <c r="L2441" t="s">
        <v>5355</v>
      </c>
      <c r="M2441" t="s">
        <v>5356</v>
      </c>
      <c r="N2441" t="s">
        <v>6095</v>
      </c>
      <c r="O2441" t="s">
        <v>6502</v>
      </c>
      <c r="P2441" t="s">
        <v>6530</v>
      </c>
      <c r="R2441" t="s">
        <v>6539</v>
      </c>
      <c r="S2441" t="s">
        <v>5355</v>
      </c>
      <c r="U2441" t="s">
        <v>6557</v>
      </c>
      <c r="W2441" t="s">
        <v>516</v>
      </c>
      <c r="X2441">
        <v>818.46</v>
      </c>
      <c r="Y2441" t="s">
        <v>6606</v>
      </c>
      <c r="Z2441" t="s">
        <v>6625</v>
      </c>
      <c r="AB2441" t="s">
        <v>7734</v>
      </c>
      <c r="AD2441" t="s">
        <v>10087</v>
      </c>
      <c r="AE2441">
        <v>0</v>
      </c>
      <c r="AH2441">
        <v>24</v>
      </c>
      <c r="AI2441">
        <v>3</v>
      </c>
      <c r="AJ2441">
        <v>0</v>
      </c>
      <c r="AK2441">
        <v>248.88</v>
      </c>
      <c r="AN2441" t="s">
        <v>11050</v>
      </c>
      <c r="AO2441">
        <v>50000</v>
      </c>
      <c r="AP2441" t="s">
        <v>11180</v>
      </c>
      <c r="AU2441">
        <v>0.25</v>
      </c>
      <c r="AV2441" t="s">
        <v>11486</v>
      </c>
      <c r="AW2441" t="s">
        <v>11539</v>
      </c>
    </row>
    <row r="2442" spans="1:50">
      <c r="A2442" s="1">
        <f>HYPERLINK("https://cms.ls-nyc.org/matter/dynamic-profile/view/1845024","17-1845024")</f>
        <v>0</v>
      </c>
      <c r="B2442" t="s">
        <v>63</v>
      </c>
      <c r="C2442" t="s">
        <v>234</v>
      </c>
      <c r="D2442" t="s">
        <v>419</v>
      </c>
      <c r="E2442" t="s">
        <v>707</v>
      </c>
      <c r="F2442" t="s">
        <v>961</v>
      </c>
      <c r="G2442" t="s">
        <v>2877</v>
      </c>
      <c r="H2442" t="s">
        <v>4108</v>
      </c>
      <c r="I2442" t="s">
        <v>5107</v>
      </c>
      <c r="J2442" t="s">
        <v>5322</v>
      </c>
      <c r="K2442">
        <v>10314</v>
      </c>
      <c r="L2442" t="s">
        <v>5355</v>
      </c>
      <c r="M2442" t="s">
        <v>5355</v>
      </c>
      <c r="N2442" t="s">
        <v>6429</v>
      </c>
      <c r="O2442" t="s">
        <v>6491</v>
      </c>
      <c r="P2442" t="s">
        <v>6530</v>
      </c>
      <c r="Q2442" t="s">
        <v>6537</v>
      </c>
      <c r="R2442" t="s">
        <v>6539</v>
      </c>
      <c r="S2442" t="s">
        <v>5357</v>
      </c>
      <c r="U2442" t="s">
        <v>6557</v>
      </c>
      <c r="V2442" t="s">
        <v>6566</v>
      </c>
      <c r="W2442" t="s">
        <v>419</v>
      </c>
      <c r="X2442">
        <v>907</v>
      </c>
      <c r="Y2442" t="s">
        <v>6607</v>
      </c>
      <c r="Z2442" t="s">
        <v>6614</v>
      </c>
      <c r="AA2442" t="s">
        <v>6637</v>
      </c>
      <c r="AB2442" t="s">
        <v>7741</v>
      </c>
      <c r="AD2442" t="s">
        <v>10093</v>
      </c>
      <c r="AE2442">
        <v>96</v>
      </c>
      <c r="AF2442" t="s">
        <v>11005</v>
      </c>
      <c r="AG2442" t="s">
        <v>5406</v>
      </c>
      <c r="AH2442">
        <v>3</v>
      </c>
      <c r="AI2442">
        <v>1</v>
      </c>
      <c r="AJ2442">
        <v>0</v>
      </c>
      <c r="AK2442">
        <v>250.85</v>
      </c>
      <c r="AN2442" t="s">
        <v>11050</v>
      </c>
      <c r="AO2442">
        <v>30252</v>
      </c>
      <c r="AR2442" t="s">
        <v>11213</v>
      </c>
      <c r="AS2442" t="s">
        <v>11253</v>
      </c>
      <c r="AT2442" t="s">
        <v>11427</v>
      </c>
      <c r="AU2442">
        <v>58.4</v>
      </c>
      <c r="AV2442" t="s">
        <v>605</v>
      </c>
      <c r="AW2442" t="s">
        <v>140</v>
      </c>
    </row>
    <row r="2443" spans="1:50">
      <c r="A2443" s="1">
        <f>HYPERLINK("https://cms.ls-nyc.org/matter/dynamic-profile/view/1840838","17-1840838")</f>
        <v>0</v>
      </c>
      <c r="B2443" t="s">
        <v>100</v>
      </c>
      <c r="C2443" t="s">
        <v>234</v>
      </c>
      <c r="D2443" t="s">
        <v>588</v>
      </c>
      <c r="E2443" t="s">
        <v>703</v>
      </c>
      <c r="F2443" t="s">
        <v>1443</v>
      </c>
      <c r="G2443" t="s">
        <v>2399</v>
      </c>
      <c r="H2443" t="s">
        <v>4694</v>
      </c>
      <c r="I2443">
        <v>40</v>
      </c>
      <c r="J2443" t="s">
        <v>5320</v>
      </c>
      <c r="K2443">
        <v>11233</v>
      </c>
      <c r="L2443" t="s">
        <v>5355</v>
      </c>
      <c r="M2443" t="s">
        <v>5355</v>
      </c>
      <c r="N2443" t="s">
        <v>6430</v>
      </c>
      <c r="O2443" t="s">
        <v>6492</v>
      </c>
      <c r="P2443" t="s">
        <v>6530</v>
      </c>
      <c r="Q2443" t="s">
        <v>6535</v>
      </c>
      <c r="R2443" t="s">
        <v>6539</v>
      </c>
      <c r="U2443" t="s">
        <v>6557</v>
      </c>
      <c r="W2443" t="s">
        <v>363</v>
      </c>
      <c r="X2443">
        <v>1895</v>
      </c>
      <c r="Y2443" t="s">
        <v>6605</v>
      </c>
      <c r="AA2443" t="s">
        <v>6637</v>
      </c>
      <c r="AB2443" t="s">
        <v>6678</v>
      </c>
      <c r="AD2443" t="s">
        <v>10934</v>
      </c>
      <c r="AE2443">
        <v>88</v>
      </c>
      <c r="AG2443" t="s">
        <v>5406</v>
      </c>
      <c r="AH2443">
        <v>10</v>
      </c>
      <c r="AI2443">
        <v>4</v>
      </c>
      <c r="AJ2443">
        <v>0</v>
      </c>
      <c r="AK2443">
        <v>251.37</v>
      </c>
      <c r="AL2443" t="s">
        <v>277</v>
      </c>
      <c r="AN2443" t="s">
        <v>11050</v>
      </c>
      <c r="AO2443">
        <v>61836</v>
      </c>
      <c r="AU2443">
        <v>75.34999999999999</v>
      </c>
      <c r="AV2443" t="s">
        <v>703</v>
      </c>
      <c r="AW2443" t="s">
        <v>11515</v>
      </c>
    </row>
    <row r="2444" spans="1:50">
      <c r="A2444" s="1">
        <f>HYPERLINK("https://cms.ls-nyc.org/matter/dynamic-profile/view/1847305","17-1847305")</f>
        <v>0</v>
      </c>
      <c r="B2444" t="s">
        <v>157</v>
      </c>
      <c r="C2444" t="s">
        <v>235</v>
      </c>
      <c r="D2444" t="s">
        <v>283</v>
      </c>
      <c r="F2444" t="s">
        <v>1254</v>
      </c>
      <c r="G2444" t="s">
        <v>3380</v>
      </c>
      <c r="H2444" t="s">
        <v>4145</v>
      </c>
      <c r="I2444" t="s">
        <v>5097</v>
      </c>
      <c r="J2444" t="s">
        <v>5321</v>
      </c>
      <c r="K2444">
        <v>10467</v>
      </c>
      <c r="L2444" t="s">
        <v>5355</v>
      </c>
      <c r="M2444" t="s">
        <v>5356</v>
      </c>
      <c r="N2444" t="s">
        <v>5667</v>
      </c>
      <c r="O2444" t="s">
        <v>6517</v>
      </c>
      <c r="P2444" t="s">
        <v>6530</v>
      </c>
      <c r="R2444" t="s">
        <v>6539</v>
      </c>
      <c r="S2444" t="s">
        <v>5355</v>
      </c>
      <c r="U2444" t="s">
        <v>6557</v>
      </c>
      <c r="W2444" t="s">
        <v>294</v>
      </c>
      <c r="X2444">
        <v>957</v>
      </c>
      <c r="Y2444" t="s">
        <v>6606</v>
      </c>
      <c r="Z2444" t="s">
        <v>6616</v>
      </c>
      <c r="AB2444" t="s">
        <v>8627</v>
      </c>
      <c r="AD2444" t="s">
        <v>10935</v>
      </c>
      <c r="AE2444">
        <v>30</v>
      </c>
      <c r="AF2444" t="s">
        <v>11005</v>
      </c>
      <c r="AG2444" t="s">
        <v>5406</v>
      </c>
      <c r="AH2444">
        <v>5</v>
      </c>
      <c r="AI2444">
        <v>1</v>
      </c>
      <c r="AJ2444">
        <v>1</v>
      </c>
      <c r="AK2444">
        <v>253.08</v>
      </c>
      <c r="AL2444" t="s">
        <v>11037</v>
      </c>
      <c r="AN2444" t="s">
        <v>11050</v>
      </c>
      <c r="AO2444">
        <v>41101</v>
      </c>
      <c r="AU2444">
        <v>1</v>
      </c>
      <c r="AV2444" t="s">
        <v>11481</v>
      </c>
      <c r="AW2444" t="s">
        <v>11499</v>
      </c>
    </row>
    <row r="2445" spans="1:50">
      <c r="A2445" s="1">
        <f>HYPERLINK("https://cms.ls-nyc.org/matter/dynamic-profile/view/0821592","16-0821592")</f>
        <v>0</v>
      </c>
      <c r="B2445" t="s">
        <v>99</v>
      </c>
      <c r="C2445" t="s">
        <v>234</v>
      </c>
      <c r="D2445" t="s">
        <v>655</v>
      </c>
      <c r="E2445" t="s">
        <v>665</v>
      </c>
      <c r="F2445" t="s">
        <v>872</v>
      </c>
      <c r="G2445" t="s">
        <v>3381</v>
      </c>
      <c r="H2445" t="s">
        <v>4547</v>
      </c>
      <c r="I2445">
        <v>2</v>
      </c>
      <c r="J2445" t="s">
        <v>5320</v>
      </c>
      <c r="K2445">
        <v>11207</v>
      </c>
      <c r="L2445" t="s">
        <v>5355</v>
      </c>
      <c r="M2445" t="s">
        <v>5356</v>
      </c>
      <c r="N2445" t="s">
        <v>6232</v>
      </c>
      <c r="O2445" t="s">
        <v>6494</v>
      </c>
      <c r="P2445" t="s">
        <v>6530</v>
      </c>
      <c r="Q2445" t="s">
        <v>6538</v>
      </c>
      <c r="R2445" t="s">
        <v>6539</v>
      </c>
      <c r="S2445" t="s">
        <v>5355</v>
      </c>
      <c r="U2445" t="s">
        <v>6557</v>
      </c>
      <c r="W2445" t="s">
        <v>6595</v>
      </c>
      <c r="X2445">
        <v>700</v>
      </c>
      <c r="Y2445" t="s">
        <v>6605</v>
      </c>
      <c r="AA2445" t="s">
        <v>6640</v>
      </c>
      <c r="AB2445" t="s">
        <v>8628</v>
      </c>
      <c r="AD2445" t="s">
        <v>10936</v>
      </c>
      <c r="AE2445">
        <v>7</v>
      </c>
      <c r="AF2445" t="s">
        <v>11005</v>
      </c>
      <c r="AG2445" t="s">
        <v>5406</v>
      </c>
      <c r="AH2445">
        <v>-1</v>
      </c>
      <c r="AI2445">
        <v>1</v>
      </c>
      <c r="AJ2445">
        <v>0</v>
      </c>
      <c r="AK2445">
        <v>253.96</v>
      </c>
      <c r="AL2445" t="s">
        <v>11029</v>
      </c>
      <c r="AN2445" t="s">
        <v>11050</v>
      </c>
      <c r="AO2445">
        <v>30170.4</v>
      </c>
      <c r="AU2445">
        <v>0.1</v>
      </c>
      <c r="AV2445" t="s">
        <v>627</v>
      </c>
      <c r="AW2445" t="s">
        <v>11489</v>
      </c>
    </row>
    <row r="2446" spans="1:50">
      <c r="A2446" s="1">
        <f>HYPERLINK("https://cms.ls-nyc.org/matter/dynamic-profile/view/1869535","18-1869535")</f>
        <v>0</v>
      </c>
      <c r="B2446" t="s">
        <v>102</v>
      </c>
      <c r="C2446" t="s">
        <v>234</v>
      </c>
      <c r="D2446" t="s">
        <v>379</v>
      </c>
      <c r="E2446" t="s">
        <v>794</v>
      </c>
      <c r="F2446" t="s">
        <v>2064</v>
      </c>
      <c r="G2446" t="s">
        <v>3382</v>
      </c>
      <c r="H2446" t="s">
        <v>4695</v>
      </c>
      <c r="I2446" t="s">
        <v>4925</v>
      </c>
      <c r="J2446" t="s">
        <v>5321</v>
      </c>
      <c r="K2446">
        <v>10460</v>
      </c>
      <c r="L2446" t="s">
        <v>5355</v>
      </c>
      <c r="M2446" t="s">
        <v>5356</v>
      </c>
      <c r="N2446" t="s">
        <v>6431</v>
      </c>
      <c r="O2446" t="s">
        <v>6492</v>
      </c>
      <c r="P2446" t="s">
        <v>6530</v>
      </c>
      <c r="Q2446" t="s">
        <v>6534</v>
      </c>
      <c r="R2446" t="s">
        <v>6539</v>
      </c>
      <c r="S2446" t="s">
        <v>5357</v>
      </c>
      <c r="U2446" t="s">
        <v>6557</v>
      </c>
      <c r="W2446" t="s">
        <v>516</v>
      </c>
      <c r="X2446">
        <v>1590</v>
      </c>
      <c r="Y2446" t="s">
        <v>6606</v>
      </c>
      <c r="Z2446" t="s">
        <v>6612</v>
      </c>
      <c r="AA2446" t="s">
        <v>6637</v>
      </c>
      <c r="AB2446" t="s">
        <v>8629</v>
      </c>
      <c r="AC2446" t="s">
        <v>9094</v>
      </c>
      <c r="AD2446" t="s">
        <v>10937</v>
      </c>
      <c r="AE2446">
        <v>0</v>
      </c>
      <c r="AF2446" t="s">
        <v>11005</v>
      </c>
      <c r="AG2446" t="s">
        <v>11020</v>
      </c>
      <c r="AH2446">
        <v>1</v>
      </c>
      <c r="AI2446">
        <v>2</v>
      </c>
      <c r="AJ2446">
        <v>0</v>
      </c>
      <c r="AK2446">
        <v>254.31</v>
      </c>
      <c r="AN2446" t="s">
        <v>11050</v>
      </c>
      <c r="AO2446">
        <v>41860</v>
      </c>
      <c r="AQ2446" t="s">
        <v>11191</v>
      </c>
      <c r="AR2446" t="s">
        <v>11210</v>
      </c>
      <c r="AS2446" t="s">
        <v>11253</v>
      </c>
      <c r="AT2446" t="s">
        <v>11365</v>
      </c>
      <c r="AU2446">
        <v>13.6</v>
      </c>
      <c r="AV2446" t="s">
        <v>794</v>
      </c>
      <c r="AW2446" t="s">
        <v>144</v>
      </c>
    </row>
    <row r="2447" spans="1:50">
      <c r="A2447" s="1">
        <f>HYPERLINK("https://cms.ls-nyc.org/matter/dynamic-profile/view/1864370","18-1864370")</f>
        <v>0</v>
      </c>
      <c r="B2447" t="s">
        <v>55</v>
      </c>
      <c r="C2447" t="s">
        <v>234</v>
      </c>
      <c r="D2447" t="s">
        <v>256</v>
      </c>
      <c r="E2447" t="s">
        <v>724</v>
      </c>
      <c r="F2447" t="s">
        <v>2065</v>
      </c>
      <c r="G2447" t="s">
        <v>3383</v>
      </c>
      <c r="H2447" t="s">
        <v>4431</v>
      </c>
      <c r="I2447" t="s">
        <v>5155</v>
      </c>
      <c r="J2447" t="s">
        <v>5320</v>
      </c>
      <c r="K2447">
        <v>11210</v>
      </c>
      <c r="L2447" t="s">
        <v>5355</v>
      </c>
      <c r="M2447" t="s">
        <v>5355</v>
      </c>
      <c r="N2447" t="s">
        <v>6432</v>
      </c>
      <c r="O2447" t="s">
        <v>6491</v>
      </c>
      <c r="P2447" t="s">
        <v>6530</v>
      </c>
      <c r="Q2447" t="s">
        <v>6534</v>
      </c>
      <c r="R2447" t="s">
        <v>6539</v>
      </c>
      <c r="U2447" t="s">
        <v>6557</v>
      </c>
      <c r="W2447" t="s">
        <v>516</v>
      </c>
      <c r="X2447">
        <v>1545.38</v>
      </c>
      <c r="Y2447" t="s">
        <v>6605</v>
      </c>
      <c r="Z2447" t="s">
        <v>6612</v>
      </c>
      <c r="AA2447" t="s">
        <v>6637</v>
      </c>
      <c r="AB2447" t="s">
        <v>8623</v>
      </c>
      <c r="AC2447" t="s">
        <v>9095</v>
      </c>
      <c r="AD2447" t="s">
        <v>10938</v>
      </c>
      <c r="AE2447">
        <v>85</v>
      </c>
      <c r="AF2447" t="s">
        <v>11005</v>
      </c>
      <c r="AG2447" t="s">
        <v>5406</v>
      </c>
      <c r="AH2447">
        <v>2</v>
      </c>
      <c r="AI2447">
        <v>2</v>
      </c>
      <c r="AJ2447">
        <v>1</v>
      </c>
      <c r="AK2447">
        <v>255.05</v>
      </c>
      <c r="AL2447" t="s">
        <v>622</v>
      </c>
      <c r="AN2447" t="s">
        <v>11050</v>
      </c>
      <c r="AO2447">
        <v>53000</v>
      </c>
      <c r="AQ2447" t="s">
        <v>11192</v>
      </c>
      <c r="AR2447" t="s">
        <v>11210</v>
      </c>
      <c r="AS2447" t="s">
        <v>11253</v>
      </c>
      <c r="AT2447" t="s">
        <v>11353</v>
      </c>
      <c r="AU2447">
        <v>94.40000000000001</v>
      </c>
      <c r="AV2447" t="s">
        <v>724</v>
      </c>
      <c r="AW2447" t="s">
        <v>11490</v>
      </c>
    </row>
    <row r="2448" spans="1:50">
      <c r="A2448" s="1">
        <f>HYPERLINK("https://cms.ls-nyc.org/matter/dynamic-profile/view/1864960","18-1864960")</f>
        <v>0</v>
      </c>
      <c r="B2448" t="s">
        <v>195</v>
      </c>
      <c r="C2448" t="s">
        <v>235</v>
      </c>
      <c r="D2448" t="s">
        <v>250</v>
      </c>
      <c r="F2448" t="s">
        <v>997</v>
      </c>
      <c r="G2448" t="s">
        <v>3384</v>
      </c>
      <c r="H2448" t="s">
        <v>4696</v>
      </c>
      <c r="I2448" t="s">
        <v>4811</v>
      </c>
      <c r="J2448" t="s">
        <v>5323</v>
      </c>
      <c r="K2448">
        <v>10024</v>
      </c>
      <c r="L2448" t="s">
        <v>5355</v>
      </c>
      <c r="M2448" t="s">
        <v>5355</v>
      </c>
      <c r="N2448" t="s">
        <v>6433</v>
      </c>
      <c r="O2448" t="s">
        <v>6494</v>
      </c>
      <c r="P2448" t="s">
        <v>6530</v>
      </c>
      <c r="R2448" t="s">
        <v>6539</v>
      </c>
      <c r="S2448" t="s">
        <v>5357</v>
      </c>
      <c r="U2448" t="s">
        <v>6557</v>
      </c>
      <c r="W2448" t="s">
        <v>250</v>
      </c>
      <c r="X2448">
        <v>760.97</v>
      </c>
      <c r="Y2448" t="s">
        <v>6608</v>
      </c>
      <c r="Z2448" t="s">
        <v>6623</v>
      </c>
      <c r="AB2448" t="s">
        <v>8630</v>
      </c>
      <c r="AD2448" t="s">
        <v>10939</v>
      </c>
      <c r="AE2448">
        <v>20</v>
      </c>
      <c r="AF2448" t="s">
        <v>11005</v>
      </c>
      <c r="AG2448" t="s">
        <v>5406</v>
      </c>
      <c r="AH2448">
        <v>42</v>
      </c>
      <c r="AI2448">
        <v>2</v>
      </c>
      <c r="AJ2448">
        <v>0</v>
      </c>
      <c r="AK2448">
        <v>255.16</v>
      </c>
      <c r="AL2448" t="s">
        <v>11029</v>
      </c>
      <c r="AN2448" t="s">
        <v>11050</v>
      </c>
      <c r="AO2448">
        <v>42000</v>
      </c>
      <c r="AU2448">
        <v>63.15</v>
      </c>
      <c r="AV2448" t="s">
        <v>829</v>
      </c>
      <c r="AW2448" t="s">
        <v>11497</v>
      </c>
    </row>
    <row r="2449" spans="1:49">
      <c r="A2449" s="1">
        <f>HYPERLINK("https://cms.ls-nyc.org/matter/dynamic-profile/view/1870293","18-1870293")</f>
        <v>0</v>
      </c>
      <c r="B2449" t="s">
        <v>124</v>
      </c>
      <c r="C2449" t="s">
        <v>234</v>
      </c>
      <c r="D2449" t="s">
        <v>322</v>
      </c>
      <c r="E2449" t="s">
        <v>686</v>
      </c>
      <c r="F2449" t="s">
        <v>1452</v>
      </c>
      <c r="G2449" t="s">
        <v>2595</v>
      </c>
      <c r="H2449" t="s">
        <v>4045</v>
      </c>
      <c r="I2449" t="s">
        <v>4771</v>
      </c>
      <c r="J2449" t="s">
        <v>5323</v>
      </c>
      <c r="K2449">
        <v>10034</v>
      </c>
      <c r="L2449" t="s">
        <v>5355</v>
      </c>
      <c r="M2449" t="s">
        <v>5355</v>
      </c>
      <c r="N2449" t="s">
        <v>6434</v>
      </c>
      <c r="O2449" t="s">
        <v>6492</v>
      </c>
      <c r="P2449" t="s">
        <v>6530</v>
      </c>
      <c r="Q2449" t="s">
        <v>6534</v>
      </c>
      <c r="R2449" t="s">
        <v>6539</v>
      </c>
      <c r="S2449" t="s">
        <v>5357</v>
      </c>
      <c r="U2449" t="s">
        <v>6557</v>
      </c>
      <c r="W2449" t="s">
        <v>322</v>
      </c>
      <c r="X2449">
        <v>209.48</v>
      </c>
      <c r="Y2449" t="s">
        <v>6608</v>
      </c>
      <c r="Z2449" t="s">
        <v>6614</v>
      </c>
      <c r="AA2449" t="s">
        <v>6637</v>
      </c>
      <c r="AB2449" t="s">
        <v>7498</v>
      </c>
      <c r="AD2449" t="s">
        <v>10940</v>
      </c>
      <c r="AE2449">
        <v>48</v>
      </c>
      <c r="AF2449" t="s">
        <v>11006</v>
      </c>
      <c r="AG2449" t="s">
        <v>5406</v>
      </c>
      <c r="AH2449">
        <v>49</v>
      </c>
      <c r="AI2449">
        <v>2</v>
      </c>
      <c r="AJ2449">
        <v>1</v>
      </c>
      <c r="AK2449">
        <v>256.02</v>
      </c>
      <c r="AN2449" t="s">
        <v>11049</v>
      </c>
      <c r="AO2449">
        <v>53200</v>
      </c>
      <c r="AU2449">
        <v>18</v>
      </c>
      <c r="AV2449" t="s">
        <v>707</v>
      </c>
      <c r="AW2449" t="s">
        <v>11495</v>
      </c>
    </row>
    <row r="2450" spans="1:49">
      <c r="A2450" s="1">
        <f>HYPERLINK("https://cms.ls-nyc.org/matter/dynamic-profile/view/1861144","18-1861144")</f>
        <v>0</v>
      </c>
      <c r="B2450" t="s">
        <v>71</v>
      </c>
      <c r="C2450" t="s">
        <v>235</v>
      </c>
      <c r="D2450" t="s">
        <v>259</v>
      </c>
      <c r="F2450" t="s">
        <v>1325</v>
      </c>
      <c r="G2450" t="s">
        <v>3385</v>
      </c>
      <c r="H2450" t="s">
        <v>4697</v>
      </c>
      <c r="I2450" t="s">
        <v>4744</v>
      </c>
      <c r="J2450" t="s">
        <v>5321</v>
      </c>
      <c r="K2450">
        <v>10453</v>
      </c>
      <c r="L2450" t="s">
        <v>5355</v>
      </c>
      <c r="M2450" t="s">
        <v>5356</v>
      </c>
      <c r="N2450" t="s">
        <v>6435</v>
      </c>
      <c r="O2450" t="s">
        <v>6492</v>
      </c>
      <c r="P2450" t="s">
        <v>6530</v>
      </c>
      <c r="R2450" t="s">
        <v>6539</v>
      </c>
      <c r="U2450" t="s">
        <v>6557</v>
      </c>
      <c r="W2450" t="s">
        <v>246</v>
      </c>
      <c r="X2450">
        <v>892</v>
      </c>
      <c r="Y2450" t="s">
        <v>6606</v>
      </c>
      <c r="AB2450" t="s">
        <v>8631</v>
      </c>
      <c r="AD2450" t="s">
        <v>10941</v>
      </c>
      <c r="AE2450">
        <v>27</v>
      </c>
      <c r="AF2450" t="s">
        <v>11005</v>
      </c>
      <c r="AH2450">
        <v>44</v>
      </c>
      <c r="AI2450">
        <v>2</v>
      </c>
      <c r="AJ2450">
        <v>0</v>
      </c>
      <c r="AK2450">
        <v>256.18</v>
      </c>
      <c r="AL2450" t="s">
        <v>11029</v>
      </c>
      <c r="AN2450" t="s">
        <v>11049</v>
      </c>
      <c r="AO2450">
        <v>42168</v>
      </c>
      <c r="AP2450" t="s">
        <v>11129</v>
      </c>
      <c r="AU2450">
        <v>10.75</v>
      </c>
      <c r="AV2450" t="s">
        <v>317</v>
      </c>
      <c r="AW2450" t="s">
        <v>11535</v>
      </c>
    </row>
    <row r="2451" spans="1:49">
      <c r="A2451" s="1">
        <f>HYPERLINK("https://cms.ls-nyc.org/matter/dynamic-profile/view/0770683","15-0770683")</f>
        <v>0</v>
      </c>
      <c r="B2451" t="s">
        <v>179</v>
      </c>
      <c r="C2451" t="s">
        <v>235</v>
      </c>
      <c r="D2451" t="s">
        <v>656</v>
      </c>
      <c r="F2451" t="s">
        <v>2066</v>
      </c>
      <c r="G2451" t="s">
        <v>2125</v>
      </c>
      <c r="H2451" t="s">
        <v>4698</v>
      </c>
      <c r="I2451" t="s">
        <v>4830</v>
      </c>
      <c r="J2451" t="s">
        <v>5320</v>
      </c>
      <c r="K2451">
        <v>11213</v>
      </c>
      <c r="L2451" t="s">
        <v>5356</v>
      </c>
      <c r="M2451" t="s">
        <v>5356</v>
      </c>
      <c r="N2451" t="s">
        <v>6436</v>
      </c>
      <c r="O2451" t="s">
        <v>6491</v>
      </c>
      <c r="P2451" t="s">
        <v>6530</v>
      </c>
      <c r="R2451" t="s">
        <v>6539</v>
      </c>
      <c r="U2451" t="s">
        <v>6557</v>
      </c>
      <c r="W2451" t="s">
        <v>6583</v>
      </c>
      <c r="X2451">
        <v>962</v>
      </c>
      <c r="Y2451" t="s">
        <v>6605</v>
      </c>
      <c r="AB2451" t="s">
        <v>8632</v>
      </c>
      <c r="AD2451" t="s">
        <v>10942</v>
      </c>
      <c r="AE2451">
        <v>38</v>
      </c>
      <c r="AF2451" t="s">
        <v>11005</v>
      </c>
      <c r="AH2451">
        <v>28</v>
      </c>
      <c r="AI2451">
        <v>2</v>
      </c>
      <c r="AJ2451">
        <v>0</v>
      </c>
      <c r="AK2451">
        <v>257.55</v>
      </c>
      <c r="AL2451" t="s">
        <v>11041</v>
      </c>
      <c r="AN2451" t="s">
        <v>11050</v>
      </c>
      <c r="AO2451">
        <v>41028</v>
      </c>
      <c r="AU2451">
        <v>55.8</v>
      </c>
      <c r="AV2451" t="s">
        <v>343</v>
      </c>
      <c r="AW2451" t="s">
        <v>11556</v>
      </c>
    </row>
    <row r="2452" spans="1:49">
      <c r="A2452" s="1">
        <f>HYPERLINK("https://cms.ls-nyc.org/matter/dynamic-profile/view/0770683","15-0770683")</f>
        <v>0</v>
      </c>
      <c r="B2452" t="s">
        <v>179</v>
      </c>
      <c r="C2452" t="s">
        <v>235</v>
      </c>
      <c r="D2452" t="s">
        <v>656</v>
      </c>
      <c r="F2452" t="s">
        <v>2066</v>
      </c>
      <c r="G2452" t="s">
        <v>2125</v>
      </c>
      <c r="H2452" t="s">
        <v>4698</v>
      </c>
      <c r="I2452" t="s">
        <v>4830</v>
      </c>
      <c r="J2452" t="s">
        <v>5320</v>
      </c>
      <c r="K2452">
        <v>11213</v>
      </c>
      <c r="L2452" t="s">
        <v>5356</v>
      </c>
      <c r="M2452" t="s">
        <v>5356</v>
      </c>
      <c r="N2452" t="s">
        <v>6436</v>
      </c>
      <c r="O2452" t="s">
        <v>6491</v>
      </c>
      <c r="P2452" t="s">
        <v>6530</v>
      </c>
      <c r="R2452" t="s">
        <v>6539</v>
      </c>
      <c r="U2452" t="s">
        <v>6557</v>
      </c>
      <c r="W2452" t="s">
        <v>6583</v>
      </c>
      <c r="X2452">
        <v>962</v>
      </c>
      <c r="Y2452" t="s">
        <v>6605</v>
      </c>
      <c r="AB2452" t="s">
        <v>8632</v>
      </c>
      <c r="AD2452" t="s">
        <v>10942</v>
      </c>
      <c r="AE2452">
        <v>38</v>
      </c>
      <c r="AF2452" t="s">
        <v>11005</v>
      </c>
      <c r="AH2452">
        <v>28</v>
      </c>
      <c r="AI2452">
        <v>2</v>
      </c>
      <c r="AJ2452">
        <v>0</v>
      </c>
      <c r="AK2452">
        <v>257.55</v>
      </c>
      <c r="AL2452" t="s">
        <v>11041</v>
      </c>
      <c r="AN2452" t="s">
        <v>11050</v>
      </c>
      <c r="AO2452">
        <v>41028</v>
      </c>
      <c r="AU2452">
        <v>55.8</v>
      </c>
      <c r="AV2452" t="s">
        <v>343</v>
      </c>
      <c r="AW2452" t="s">
        <v>11562</v>
      </c>
    </row>
    <row r="2453" spans="1:49">
      <c r="A2453" s="1">
        <f>HYPERLINK("https://cms.ls-nyc.org/matter/dynamic-profile/view/0831265","17-0831265")</f>
        <v>0</v>
      </c>
      <c r="B2453" t="s">
        <v>78</v>
      </c>
      <c r="C2453" t="s">
        <v>235</v>
      </c>
      <c r="D2453" t="s">
        <v>647</v>
      </c>
      <c r="F2453" t="s">
        <v>1006</v>
      </c>
      <c r="G2453" t="s">
        <v>1605</v>
      </c>
      <c r="H2453" t="s">
        <v>4699</v>
      </c>
      <c r="I2453" t="s">
        <v>4772</v>
      </c>
      <c r="J2453" t="s">
        <v>5323</v>
      </c>
      <c r="K2453">
        <v>10027</v>
      </c>
      <c r="L2453" t="s">
        <v>5355</v>
      </c>
      <c r="M2453" t="s">
        <v>5356</v>
      </c>
      <c r="O2453" t="s">
        <v>6491</v>
      </c>
      <c r="P2453" t="s">
        <v>6530</v>
      </c>
      <c r="R2453" t="s">
        <v>6539</v>
      </c>
      <c r="T2453" t="s">
        <v>6542</v>
      </c>
      <c r="U2453" t="s">
        <v>6557</v>
      </c>
      <c r="W2453" t="s">
        <v>298</v>
      </c>
      <c r="X2453">
        <v>0</v>
      </c>
      <c r="Y2453" t="s">
        <v>6608</v>
      </c>
      <c r="AB2453" t="s">
        <v>8633</v>
      </c>
      <c r="AD2453" t="s">
        <v>10943</v>
      </c>
      <c r="AE2453">
        <v>0</v>
      </c>
      <c r="AH2453">
        <v>0</v>
      </c>
      <c r="AI2453">
        <v>1</v>
      </c>
      <c r="AJ2453">
        <v>0</v>
      </c>
      <c r="AK2453">
        <v>258.71</v>
      </c>
      <c r="AL2453" t="s">
        <v>11029</v>
      </c>
      <c r="AN2453" t="s">
        <v>11050</v>
      </c>
      <c r="AO2453">
        <v>31200</v>
      </c>
      <c r="AU2453">
        <v>17</v>
      </c>
      <c r="AV2453" t="s">
        <v>346</v>
      </c>
      <c r="AW2453" t="s">
        <v>11546</v>
      </c>
    </row>
    <row r="2454" spans="1:49">
      <c r="A2454" s="1">
        <f>HYPERLINK("https://cms.ls-nyc.org/matter/dynamic-profile/view/1855025","18-1855025")</f>
        <v>0</v>
      </c>
      <c r="B2454" t="s">
        <v>111</v>
      </c>
      <c r="C2454" t="s">
        <v>235</v>
      </c>
      <c r="D2454" t="s">
        <v>269</v>
      </c>
      <c r="F2454" t="s">
        <v>1211</v>
      </c>
      <c r="G2454" t="s">
        <v>3386</v>
      </c>
      <c r="H2454" t="s">
        <v>4700</v>
      </c>
      <c r="I2454" t="s">
        <v>4752</v>
      </c>
      <c r="J2454" t="s">
        <v>5323</v>
      </c>
      <c r="K2454">
        <v>10034</v>
      </c>
      <c r="L2454" t="s">
        <v>5355</v>
      </c>
      <c r="M2454" t="s">
        <v>5356</v>
      </c>
      <c r="N2454" t="s">
        <v>6437</v>
      </c>
      <c r="O2454" t="s">
        <v>6491</v>
      </c>
      <c r="P2454" t="s">
        <v>6530</v>
      </c>
      <c r="R2454" t="s">
        <v>6539</v>
      </c>
      <c r="S2454" t="s">
        <v>5357</v>
      </c>
      <c r="U2454" t="s">
        <v>6557</v>
      </c>
      <c r="W2454" t="s">
        <v>269</v>
      </c>
      <c r="X2454">
        <v>2300</v>
      </c>
      <c r="Y2454" t="s">
        <v>6608</v>
      </c>
      <c r="Z2454" t="s">
        <v>6614</v>
      </c>
      <c r="AB2454" t="s">
        <v>8634</v>
      </c>
      <c r="AD2454" t="s">
        <v>10944</v>
      </c>
      <c r="AE2454">
        <v>20</v>
      </c>
      <c r="AF2454" t="s">
        <v>11005</v>
      </c>
      <c r="AG2454" t="s">
        <v>5406</v>
      </c>
      <c r="AH2454">
        <v>10</v>
      </c>
      <c r="AI2454">
        <v>3</v>
      </c>
      <c r="AJ2454">
        <v>0</v>
      </c>
      <c r="AK2454">
        <v>259.55</v>
      </c>
      <c r="AL2454" t="s">
        <v>373</v>
      </c>
      <c r="AN2454" t="s">
        <v>11050</v>
      </c>
      <c r="AO2454">
        <v>53000</v>
      </c>
      <c r="AU2454">
        <v>28.6</v>
      </c>
      <c r="AV2454" t="s">
        <v>394</v>
      </c>
      <c r="AW2454" t="s">
        <v>11495</v>
      </c>
    </row>
    <row r="2455" spans="1:49">
      <c r="A2455" s="1">
        <f>HYPERLINK("https://cms.ls-nyc.org/matter/dynamic-profile/view/1845634","17-1845634")</f>
        <v>0</v>
      </c>
      <c r="B2455" t="s">
        <v>137</v>
      </c>
      <c r="C2455" t="s">
        <v>235</v>
      </c>
      <c r="D2455" t="s">
        <v>462</v>
      </c>
      <c r="F2455" t="s">
        <v>1069</v>
      </c>
      <c r="G2455" t="s">
        <v>2543</v>
      </c>
      <c r="H2455" t="s">
        <v>3759</v>
      </c>
      <c r="J2455" t="s">
        <v>5320</v>
      </c>
      <c r="K2455">
        <v>11213</v>
      </c>
      <c r="L2455" t="s">
        <v>5355</v>
      </c>
      <c r="M2455" t="s">
        <v>5356</v>
      </c>
      <c r="O2455" t="s">
        <v>6494</v>
      </c>
      <c r="P2455" t="s">
        <v>6530</v>
      </c>
      <c r="R2455" t="s">
        <v>6539</v>
      </c>
      <c r="S2455" t="s">
        <v>5355</v>
      </c>
      <c r="U2455" t="s">
        <v>6557</v>
      </c>
      <c r="W2455" t="s">
        <v>404</v>
      </c>
      <c r="X2455">
        <v>0</v>
      </c>
      <c r="Y2455" t="s">
        <v>6605</v>
      </c>
      <c r="Z2455" t="s">
        <v>6612</v>
      </c>
      <c r="AB2455" t="s">
        <v>7233</v>
      </c>
      <c r="AE2455">
        <v>74</v>
      </c>
      <c r="AF2455" t="s">
        <v>11005</v>
      </c>
      <c r="AH2455">
        <v>0</v>
      </c>
      <c r="AI2455">
        <v>1</v>
      </c>
      <c r="AJ2455">
        <v>0</v>
      </c>
      <c r="AK2455">
        <v>261.89</v>
      </c>
      <c r="AL2455" t="s">
        <v>511</v>
      </c>
      <c r="AN2455" t="s">
        <v>11050</v>
      </c>
      <c r="AO2455">
        <v>41352</v>
      </c>
      <c r="AU2455">
        <v>0</v>
      </c>
      <c r="AW2455" t="s">
        <v>11489</v>
      </c>
    </row>
    <row r="2456" spans="1:49">
      <c r="A2456" s="1">
        <f>HYPERLINK("https://cms.ls-nyc.org/matter/dynamic-profile/view/1868228","18-1868228")</f>
        <v>0</v>
      </c>
      <c r="B2456" t="s">
        <v>104</v>
      </c>
      <c r="C2456" t="s">
        <v>235</v>
      </c>
      <c r="D2456" t="s">
        <v>280</v>
      </c>
      <c r="F2456" t="s">
        <v>1594</v>
      </c>
      <c r="G2456" t="s">
        <v>2733</v>
      </c>
      <c r="H2456" t="s">
        <v>4095</v>
      </c>
      <c r="I2456" t="s">
        <v>4939</v>
      </c>
      <c r="J2456" t="s">
        <v>5321</v>
      </c>
      <c r="K2456">
        <v>10456</v>
      </c>
      <c r="L2456" t="s">
        <v>5355</v>
      </c>
      <c r="M2456" t="s">
        <v>5356</v>
      </c>
      <c r="N2456" t="s">
        <v>6035</v>
      </c>
      <c r="O2456" t="s">
        <v>6494</v>
      </c>
      <c r="P2456" t="s">
        <v>6530</v>
      </c>
      <c r="R2456" t="s">
        <v>6539</v>
      </c>
      <c r="S2456" t="s">
        <v>5355</v>
      </c>
      <c r="U2456" t="s">
        <v>6557</v>
      </c>
      <c r="W2456" t="s">
        <v>516</v>
      </c>
      <c r="X2456">
        <v>889.6</v>
      </c>
      <c r="Y2456" t="s">
        <v>6606</v>
      </c>
      <c r="Z2456" t="s">
        <v>6612</v>
      </c>
      <c r="AB2456" t="s">
        <v>7749</v>
      </c>
      <c r="AD2456" t="s">
        <v>10100</v>
      </c>
      <c r="AE2456">
        <v>131</v>
      </c>
      <c r="AF2456" t="s">
        <v>11005</v>
      </c>
      <c r="AG2456" t="s">
        <v>5406</v>
      </c>
      <c r="AH2456">
        <v>26</v>
      </c>
      <c r="AI2456">
        <v>1</v>
      </c>
      <c r="AJ2456">
        <v>0</v>
      </c>
      <c r="AK2456">
        <v>263.59</v>
      </c>
      <c r="AN2456" t="s">
        <v>11050</v>
      </c>
      <c r="AO2456">
        <v>32000</v>
      </c>
      <c r="AP2456" t="s">
        <v>11148</v>
      </c>
      <c r="AU2456">
        <v>231.4</v>
      </c>
      <c r="AV2456" t="s">
        <v>11451</v>
      </c>
      <c r="AW2456" t="s">
        <v>11505</v>
      </c>
    </row>
    <row r="2457" spans="1:49">
      <c r="A2457" s="1">
        <f>HYPERLINK("https://cms.ls-nyc.org/matter/dynamic-profile/view/1860943","18-1860943")</f>
        <v>0</v>
      </c>
      <c r="B2457" t="s">
        <v>179</v>
      </c>
      <c r="C2457" t="s">
        <v>235</v>
      </c>
      <c r="D2457" t="s">
        <v>296</v>
      </c>
      <c r="F2457" t="s">
        <v>1446</v>
      </c>
      <c r="G2457" t="s">
        <v>3387</v>
      </c>
      <c r="H2457" t="s">
        <v>4083</v>
      </c>
      <c r="I2457" t="s">
        <v>5066</v>
      </c>
      <c r="J2457" t="s">
        <v>5320</v>
      </c>
      <c r="K2457">
        <v>11226</v>
      </c>
      <c r="L2457" t="s">
        <v>5355</v>
      </c>
      <c r="M2457" t="s">
        <v>5356</v>
      </c>
      <c r="N2457" t="s">
        <v>6064</v>
      </c>
      <c r="O2457" t="s">
        <v>6516</v>
      </c>
      <c r="P2457" t="s">
        <v>6530</v>
      </c>
      <c r="R2457" t="s">
        <v>6539</v>
      </c>
      <c r="S2457" t="s">
        <v>5355</v>
      </c>
      <c r="T2457" t="s">
        <v>6545</v>
      </c>
      <c r="U2457" t="s">
        <v>6557</v>
      </c>
      <c r="W2457" t="s">
        <v>6575</v>
      </c>
      <c r="X2457">
        <v>1539.49</v>
      </c>
      <c r="Y2457" t="s">
        <v>6605</v>
      </c>
      <c r="Z2457" t="s">
        <v>6612</v>
      </c>
      <c r="AB2457" t="s">
        <v>7927</v>
      </c>
      <c r="AD2457" t="s">
        <v>10945</v>
      </c>
      <c r="AE2457">
        <v>61</v>
      </c>
      <c r="AF2457" t="s">
        <v>11005</v>
      </c>
      <c r="AG2457" t="s">
        <v>5406</v>
      </c>
      <c r="AH2457">
        <v>19</v>
      </c>
      <c r="AI2457">
        <v>2</v>
      </c>
      <c r="AJ2457">
        <v>1</v>
      </c>
      <c r="AK2457">
        <v>264.68</v>
      </c>
      <c r="AL2457" t="s">
        <v>11029</v>
      </c>
      <c r="AN2457" t="s">
        <v>11050</v>
      </c>
      <c r="AO2457">
        <v>55000</v>
      </c>
      <c r="AU2457">
        <v>20.3</v>
      </c>
      <c r="AV2457" t="s">
        <v>741</v>
      </c>
      <c r="AW2457" t="s">
        <v>11490</v>
      </c>
    </row>
    <row r="2458" spans="1:49">
      <c r="A2458" s="1">
        <f>HYPERLINK("https://cms.ls-nyc.org/matter/dynamic-profile/view/1862655","18-1862655")</f>
        <v>0</v>
      </c>
      <c r="B2458" t="s">
        <v>179</v>
      </c>
      <c r="C2458" t="s">
        <v>235</v>
      </c>
      <c r="D2458" t="s">
        <v>408</v>
      </c>
      <c r="F2458" t="s">
        <v>1446</v>
      </c>
      <c r="G2458" t="s">
        <v>3387</v>
      </c>
      <c r="H2458" t="s">
        <v>4083</v>
      </c>
      <c r="I2458" t="s">
        <v>5066</v>
      </c>
      <c r="J2458" t="s">
        <v>5320</v>
      </c>
      <c r="K2458">
        <v>11226</v>
      </c>
      <c r="L2458" t="s">
        <v>5355</v>
      </c>
      <c r="M2458" t="s">
        <v>5356</v>
      </c>
      <c r="N2458" t="s">
        <v>6438</v>
      </c>
      <c r="O2458" t="s">
        <v>6499</v>
      </c>
      <c r="P2458" t="s">
        <v>6530</v>
      </c>
      <c r="R2458" t="s">
        <v>6539</v>
      </c>
      <c r="S2458" t="s">
        <v>5355</v>
      </c>
      <c r="T2458" t="s">
        <v>6545</v>
      </c>
      <c r="U2458" t="s">
        <v>6557</v>
      </c>
      <c r="W2458" t="s">
        <v>408</v>
      </c>
      <c r="X2458">
        <v>1539.49</v>
      </c>
      <c r="Y2458" t="s">
        <v>6605</v>
      </c>
      <c r="Z2458" t="s">
        <v>6612</v>
      </c>
      <c r="AB2458" t="s">
        <v>7927</v>
      </c>
      <c r="AD2458" t="s">
        <v>10945</v>
      </c>
      <c r="AE2458">
        <v>61</v>
      </c>
      <c r="AF2458" t="s">
        <v>11005</v>
      </c>
      <c r="AG2458" t="s">
        <v>5406</v>
      </c>
      <c r="AH2458">
        <v>19</v>
      </c>
      <c r="AI2458">
        <v>2</v>
      </c>
      <c r="AJ2458">
        <v>1</v>
      </c>
      <c r="AK2458">
        <v>264.68</v>
      </c>
      <c r="AN2458" t="s">
        <v>11050</v>
      </c>
      <c r="AO2458">
        <v>55000</v>
      </c>
      <c r="AU2458">
        <v>0.25</v>
      </c>
      <c r="AV2458" t="s">
        <v>707</v>
      </c>
      <c r="AW2458" t="s">
        <v>11490</v>
      </c>
    </row>
    <row r="2459" spans="1:49">
      <c r="A2459" s="1">
        <f>HYPERLINK("https://cms.ls-nyc.org/matter/dynamic-profile/view/1846958","17-1846958")</f>
        <v>0</v>
      </c>
      <c r="B2459" t="s">
        <v>106</v>
      </c>
      <c r="C2459" t="s">
        <v>235</v>
      </c>
      <c r="D2459" t="s">
        <v>646</v>
      </c>
      <c r="F2459" t="s">
        <v>2044</v>
      </c>
      <c r="G2459" t="s">
        <v>3388</v>
      </c>
      <c r="H2459" t="s">
        <v>4701</v>
      </c>
      <c r="I2459" t="s">
        <v>5172</v>
      </c>
      <c r="J2459" t="s">
        <v>5321</v>
      </c>
      <c r="K2459">
        <v>10469</v>
      </c>
      <c r="L2459" t="s">
        <v>5355</v>
      </c>
      <c r="M2459" t="s">
        <v>5356</v>
      </c>
      <c r="N2459" t="s">
        <v>6439</v>
      </c>
      <c r="O2459" t="s">
        <v>6491</v>
      </c>
      <c r="P2459" t="s">
        <v>6530</v>
      </c>
      <c r="R2459" t="s">
        <v>6540</v>
      </c>
      <c r="S2459" t="s">
        <v>5357</v>
      </c>
      <c r="U2459" t="s">
        <v>6557</v>
      </c>
      <c r="V2459" t="s">
        <v>6566</v>
      </c>
      <c r="W2459" t="s">
        <v>6599</v>
      </c>
      <c r="X2459">
        <v>0.01</v>
      </c>
      <c r="Y2459" t="s">
        <v>6606</v>
      </c>
      <c r="Z2459" t="s">
        <v>6610</v>
      </c>
      <c r="AB2459" t="s">
        <v>8635</v>
      </c>
      <c r="AD2459" t="s">
        <v>10946</v>
      </c>
      <c r="AE2459">
        <v>4</v>
      </c>
      <c r="AF2459" t="s">
        <v>11004</v>
      </c>
      <c r="AG2459" t="s">
        <v>5406</v>
      </c>
      <c r="AH2459">
        <v>2</v>
      </c>
      <c r="AI2459">
        <v>1</v>
      </c>
      <c r="AJ2459">
        <v>0</v>
      </c>
      <c r="AK2459">
        <v>265.34</v>
      </c>
      <c r="AL2459" t="s">
        <v>11028</v>
      </c>
      <c r="AN2459" t="s">
        <v>11050</v>
      </c>
      <c r="AO2459">
        <v>32000</v>
      </c>
      <c r="AU2459">
        <v>187.05</v>
      </c>
      <c r="AV2459" t="s">
        <v>744</v>
      </c>
      <c r="AW2459" t="s">
        <v>57</v>
      </c>
    </row>
    <row r="2460" spans="1:49">
      <c r="A2460" s="1">
        <f>HYPERLINK("https://cms.ls-nyc.org/matter/dynamic-profile/view/1859976","18-1859976")</f>
        <v>0</v>
      </c>
      <c r="B2460" t="s">
        <v>153</v>
      </c>
      <c r="C2460" t="s">
        <v>234</v>
      </c>
      <c r="D2460" t="s">
        <v>291</v>
      </c>
      <c r="E2460" t="s">
        <v>440</v>
      </c>
      <c r="F2460" t="s">
        <v>1595</v>
      </c>
      <c r="G2460" t="s">
        <v>2881</v>
      </c>
      <c r="H2460" t="s">
        <v>4052</v>
      </c>
      <c r="I2460" t="s">
        <v>4911</v>
      </c>
      <c r="J2460" t="s">
        <v>5321</v>
      </c>
      <c r="K2460">
        <v>10451</v>
      </c>
      <c r="L2460" t="s">
        <v>5355</v>
      </c>
      <c r="M2460" t="s">
        <v>5356</v>
      </c>
      <c r="N2460" t="s">
        <v>6440</v>
      </c>
      <c r="O2460" t="s">
        <v>6502</v>
      </c>
      <c r="P2460" t="s">
        <v>6530</v>
      </c>
      <c r="Q2460" t="s">
        <v>6534</v>
      </c>
      <c r="R2460" t="s">
        <v>6539</v>
      </c>
      <c r="S2460" t="s">
        <v>5355</v>
      </c>
      <c r="U2460" t="s">
        <v>6557</v>
      </c>
      <c r="W2460" t="s">
        <v>291</v>
      </c>
      <c r="X2460">
        <v>539.75</v>
      </c>
      <c r="Y2460" t="s">
        <v>6606</v>
      </c>
      <c r="Z2460" t="s">
        <v>6612</v>
      </c>
      <c r="AA2460" t="s">
        <v>6634</v>
      </c>
      <c r="AB2460" t="s">
        <v>7750</v>
      </c>
      <c r="AD2460" t="s">
        <v>10101</v>
      </c>
      <c r="AE2460">
        <v>81</v>
      </c>
      <c r="AF2460" t="s">
        <v>11005</v>
      </c>
      <c r="AG2460" t="s">
        <v>5406</v>
      </c>
      <c r="AH2460">
        <v>38</v>
      </c>
      <c r="AI2460">
        <v>1</v>
      </c>
      <c r="AJ2460">
        <v>0</v>
      </c>
      <c r="AK2460">
        <v>265.34</v>
      </c>
      <c r="AL2460" t="s">
        <v>602</v>
      </c>
      <c r="AN2460" t="s">
        <v>11050</v>
      </c>
      <c r="AO2460">
        <v>32000</v>
      </c>
      <c r="AU2460">
        <v>1.7</v>
      </c>
      <c r="AV2460" t="s">
        <v>440</v>
      </c>
      <c r="AW2460" t="s">
        <v>59</v>
      </c>
    </row>
    <row r="2461" spans="1:49">
      <c r="A2461" s="1">
        <f>HYPERLINK("https://cms.ls-nyc.org/matter/dynamic-profile/view/1867589","18-1867589")</f>
        <v>0</v>
      </c>
      <c r="B2461" t="s">
        <v>71</v>
      </c>
      <c r="C2461" t="s">
        <v>235</v>
      </c>
      <c r="D2461" t="s">
        <v>317</v>
      </c>
      <c r="F2461" t="s">
        <v>2067</v>
      </c>
      <c r="G2461" t="s">
        <v>3389</v>
      </c>
      <c r="H2461" t="s">
        <v>4702</v>
      </c>
      <c r="I2461" t="s">
        <v>4788</v>
      </c>
      <c r="J2461" t="s">
        <v>5321</v>
      </c>
      <c r="K2461">
        <v>10453</v>
      </c>
      <c r="L2461" t="s">
        <v>5355</v>
      </c>
      <c r="M2461" t="s">
        <v>5355</v>
      </c>
      <c r="N2461" t="s">
        <v>6441</v>
      </c>
      <c r="O2461" t="s">
        <v>6491</v>
      </c>
      <c r="P2461" t="s">
        <v>6530</v>
      </c>
      <c r="R2461" t="s">
        <v>6539</v>
      </c>
      <c r="S2461" t="s">
        <v>5357</v>
      </c>
      <c r="U2461" t="s">
        <v>6557</v>
      </c>
      <c r="W2461" t="s">
        <v>299</v>
      </c>
      <c r="X2461">
        <v>1649.53</v>
      </c>
      <c r="Y2461" t="s">
        <v>6606</v>
      </c>
      <c r="Z2461" t="s">
        <v>6614</v>
      </c>
      <c r="AB2461" t="s">
        <v>8636</v>
      </c>
      <c r="AD2461" t="s">
        <v>10947</v>
      </c>
      <c r="AE2461">
        <v>66</v>
      </c>
      <c r="AF2461" t="s">
        <v>11005</v>
      </c>
      <c r="AG2461" t="s">
        <v>5406</v>
      </c>
      <c r="AH2461">
        <v>20</v>
      </c>
      <c r="AI2461">
        <v>2</v>
      </c>
      <c r="AJ2461">
        <v>0</v>
      </c>
      <c r="AK2461">
        <v>265.95</v>
      </c>
      <c r="AL2461" t="s">
        <v>11029</v>
      </c>
      <c r="AN2461" t="s">
        <v>11050</v>
      </c>
      <c r="AO2461">
        <v>43776</v>
      </c>
      <c r="AP2461" t="s">
        <v>11181</v>
      </c>
      <c r="AU2461">
        <v>14.25</v>
      </c>
      <c r="AV2461" t="s">
        <v>808</v>
      </c>
      <c r="AW2461" t="s">
        <v>11499</v>
      </c>
    </row>
    <row r="2462" spans="1:49">
      <c r="A2462" s="1">
        <f>HYPERLINK("https://cms.ls-nyc.org/matter/dynamic-profile/view/1846295","17-1846295")</f>
        <v>0</v>
      </c>
      <c r="B2462" t="s">
        <v>76</v>
      </c>
      <c r="C2462" t="s">
        <v>234</v>
      </c>
      <c r="D2462" t="s">
        <v>301</v>
      </c>
      <c r="E2462" t="s">
        <v>733</v>
      </c>
      <c r="F2462" t="s">
        <v>2068</v>
      </c>
      <c r="G2462" t="s">
        <v>3390</v>
      </c>
      <c r="H2462" t="s">
        <v>3842</v>
      </c>
      <c r="I2462" t="s">
        <v>4791</v>
      </c>
      <c r="J2462" t="s">
        <v>5323</v>
      </c>
      <c r="K2462">
        <v>10035</v>
      </c>
      <c r="L2462" t="s">
        <v>5355</v>
      </c>
      <c r="M2462" t="s">
        <v>5355</v>
      </c>
      <c r="N2462" t="s">
        <v>5528</v>
      </c>
      <c r="O2462" t="s">
        <v>6494</v>
      </c>
      <c r="P2462" t="s">
        <v>6530</v>
      </c>
      <c r="Q2462" t="s">
        <v>6531</v>
      </c>
      <c r="R2462" t="s">
        <v>6539</v>
      </c>
      <c r="S2462" t="s">
        <v>5355</v>
      </c>
      <c r="U2462" t="s">
        <v>6557</v>
      </c>
      <c r="V2462" t="s">
        <v>6566</v>
      </c>
      <c r="W2462" t="s">
        <v>301</v>
      </c>
      <c r="X2462">
        <v>1415.9</v>
      </c>
      <c r="Y2462" t="s">
        <v>6608</v>
      </c>
      <c r="Z2462" t="s">
        <v>6622</v>
      </c>
      <c r="AA2462" t="s">
        <v>6631</v>
      </c>
      <c r="AB2462" t="s">
        <v>8637</v>
      </c>
      <c r="AE2462">
        <v>35</v>
      </c>
      <c r="AF2462" t="s">
        <v>11005</v>
      </c>
      <c r="AG2462" t="s">
        <v>5406</v>
      </c>
      <c r="AH2462">
        <v>6</v>
      </c>
      <c r="AI2462">
        <v>3</v>
      </c>
      <c r="AJ2462">
        <v>0</v>
      </c>
      <c r="AK2462">
        <v>266.09</v>
      </c>
      <c r="AN2462" t="s">
        <v>11049</v>
      </c>
      <c r="AO2462">
        <v>54336</v>
      </c>
      <c r="AP2462" t="s">
        <v>11182</v>
      </c>
      <c r="AU2462">
        <v>1.2</v>
      </c>
      <c r="AV2462" t="s">
        <v>248</v>
      </c>
      <c r="AW2462" t="s">
        <v>11497</v>
      </c>
    </row>
    <row r="2463" spans="1:49">
      <c r="A2463" s="1">
        <f>HYPERLINK("https://cms.ls-nyc.org/matter/dynamic-profile/view/0809813","16-0809813")</f>
        <v>0</v>
      </c>
      <c r="B2463" t="s">
        <v>211</v>
      </c>
      <c r="C2463" t="s">
        <v>235</v>
      </c>
      <c r="D2463" t="s">
        <v>657</v>
      </c>
      <c r="F2463" t="s">
        <v>2069</v>
      </c>
      <c r="G2463" t="s">
        <v>3391</v>
      </c>
      <c r="H2463" t="s">
        <v>4703</v>
      </c>
      <c r="I2463" t="s">
        <v>5301</v>
      </c>
      <c r="J2463" t="s">
        <v>5320</v>
      </c>
      <c r="K2463">
        <v>11217</v>
      </c>
      <c r="L2463" t="s">
        <v>5355</v>
      </c>
      <c r="M2463" t="s">
        <v>5356</v>
      </c>
      <c r="N2463" t="s">
        <v>6442</v>
      </c>
      <c r="O2463" t="s">
        <v>6491</v>
      </c>
      <c r="P2463" t="s">
        <v>6530</v>
      </c>
      <c r="R2463" t="s">
        <v>6539</v>
      </c>
      <c r="S2463" t="s">
        <v>5355</v>
      </c>
      <c r="T2463" t="s">
        <v>6544</v>
      </c>
      <c r="U2463" t="s">
        <v>6557</v>
      </c>
      <c r="W2463" t="s">
        <v>6583</v>
      </c>
      <c r="X2463">
        <v>300</v>
      </c>
      <c r="Y2463" t="s">
        <v>6605</v>
      </c>
      <c r="Z2463" t="s">
        <v>6625</v>
      </c>
      <c r="AB2463" t="s">
        <v>8043</v>
      </c>
      <c r="AD2463" t="s">
        <v>10948</v>
      </c>
      <c r="AE2463">
        <v>6</v>
      </c>
      <c r="AF2463" t="s">
        <v>11005</v>
      </c>
      <c r="AG2463" t="s">
        <v>5406</v>
      </c>
      <c r="AH2463">
        <v>4</v>
      </c>
      <c r="AI2463">
        <v>1</v>
      </c>
      <c r="AJ2463">
        <v>0</v>
      </c>
      <c r="AK2463">
        <v>269.36</v>
      </c>
      <c r="AL2463" t="s">
        <v>11029</v>
      </c>
      <c r="AN2463" t="s">
        <v>11050</v>
      </c>
      <c r="AO2463">
        <v>32000</v>
      </c>
      <c r="AU2463">
        <v>75.2</v>
      </c>
      <c r="AV2463" t="s">
        <v>408</v>
      </c>
      <c r="AW2463" t="s">
        <v>11490</v>
      </c>
    </row>
    <row r="2464" spans="1:49">
      <c r="A2464" s="1">
        <f>HYPERLINK("https://cms.ls-nyc.org/matter/dynamic-profile/view/1864498","18-1864498")</f>
        <v>0</v>
      </c>
      <c r="B2464" t="s">
        <v>92</v>
      </c>
      <c r="C2464" t="s">
        <v>235</v>
      </c>
      <c r="D2464" t="s">
        <v>256</v>
      </c>
      <c r="F2464" t="s">
        <v>2070</v>
      </c>
      <c r="G2464" t="s">
        <v>3392</v>
      </c>
      <c r="H2464" t="s">
        <v>3579</v>
      </c>
      <c r="I2464">
        <v>702</v>
      </c>
      <c r="J2464" t="s">
        <v>5323</v>
      </c>
      <c r="K2464">
        <v>10029</v>
      </c>
      <c r="L2464" t="s">
        <v>5355</v>
      </c>
      <c r="M2464" t="s">
        <v>5355</v>
      </c>
      <c r="N2464" t="s">
        <v>5632</v>
      </c>
      <c r="O2464" t="s">
        <v>6494</v>
      </c>
      <c r="P2464" t="s">
        <v>6530</v>
      </c>
      <c r="R2464" t="s">
        <v>6539</v>
      </c>
      <c r="S2464" t="s">
        <v>5355</v>
      </c>
      <c r="U2464" t="s">
        <v>6557</v>
      </c>
      <c r="V2464" t="s">
        <v>6566</v>
      </c>
      <c r="W2464" t="s">
        <v>256</v>
      </c>
      <c r="X2464">
        <v>0</v>
      </c>
      <c r="Y2464" t="s">
        <v>6608</v>
      </c>
      <c r="Z2464" t="s">
        <v>6622</v>
      </c>
      <c r="AB2464" t="s">
        <v>8638</v>
      </c>
      <c r="AD2464" t="s">
        <v>10949</v>
      </c>
      <c r="AE2464">
        <v>108</v>
      </c>
      <c r="AF2464" t="s">
        <v>11008</v>
      </c>
      <c r="AG2464" t="s">
        <v>11020</v>
      </c>
      <c r="AH2464">
        <v>9</v>
      </c>
      <c r="AI2464">
        <v>1</v>
      </c>
      <c r="AJ2464">
        <v>0</v>
      </c>
      <c r="AK2464">
        <v>271.83</v>
      </c>
      <c r="AN2464" t="s">
        <v>11050</v>
      </c>
      <c r="AO2464">
        <v>33000</v>
      </c>
      <c r="AU2464">
        <v>0.25</v>
      </c>
      <c r="AV2464" t="s">
        <v>11453</v>
      </c>
      <c r="AW2464" t="s">
        <v>11497</v>
      </c>
    </row>
    <row r="2465" spans="1:50">
      <c r="A2465" s="1">
        <f>HYPERLINK("https://cms.ls-nyc.org/matter/dynamic-profile/view/1862878","18-1862878")</f>
        <v>0</v>
      </c>
      <c r="B2465" t="s">
        <v>112</v>
      </c>
      <c r="C2465" t="s">
        <v>235</v>
      </c>
      <c r="D2465" t="s">
        <v>293</v>
      </c>
      <c r="F2465" t="s">
        <v>2071</v>
      </c>
      <c r="G2465" t="s">
        <v>2144</v>
      </c>
      <c r="H2465" t="s">
        <v>4704</v>
      </c>
      <c r="I2465" t="s">
        <v>5302</v>
      </c>
      <c r="J2465" t="s">
        <v>5317</v>
      </c>
      <c r="K2465">
        <v>11436</v>
      </c>
      <c r="L2465" t="s">
        <v>5355</v>
      </c>
      <c r="M2465" t="s">
        <v>5356</v>
      </c>
      <c r="N2465" t="s">
        <v>6443</v>
      </c>
      <c r="O2465" t="s">
        <v>6491</v>
      </c>
      <c r="P2465" t="s">
        <v>6530</v>
      </c>
      <c r="R2465" t="s">
        <v>6539</v>
      </c>
      <c r="S2465" t="s">
        <v>5357</v>
      </c>
      <c r="T2465" t="s">
        <v>6547</v>
      </c>
      <c r="U2465" t="s">
        <v>6557</v>
      </c>
      <c r="W2465" t="s">
        <v>293</v>
      </c>
      <c r="X2465">
        <v>1200</v>
      </c>
      <c r="Y2465" t="s">
        <v>6604</v>
      </c>
      <c r="Z2465" t="s">
        <v>6611</v>
      </c>
      <c r="AB2465" t="s">
        <v>8639</v>
      </c>
      <c r="AC2465" t="s">
        <v>5392</v>
      </c>
      <c r="AD2465" t="s">
        <v>10950</v>
      </c>
      <c r="AE2465">
        <v>2</v>
      </c>
      <c r="AF2465" t="s">
        <v>11004</v>
      </c>
      <c r="AG2465" t="s">
        <v>5406</v>
      </c>
      <c r="AH2465">
        <v>13</v>
      </c>
      <c r="AI2465">
        <v>3</v>
      </c>
      <c r="AJ2465">
        <v>1</v>
      </c>
      <c r="AK2465">
        <v>272.51</v>
      </c>
      <c r="AL2465" t="s">
        <v>11029</v>
      </c>
      <c r="AN2465" t="s">
        <v>11050</v>
      </c>
      <c r="AO2465">
        <v>68400</v>
      </c>
      <c r="AP2465" t="s">
        <v>11183</v>
      </c>
      <c r="AU2465">
        <v>1.8</v>
      </c>
      <c r="AV2465" t="s">
        <v>480</v>
      </c>
      <c r="AW2465" t="s">
        <v>11506</v>
      </c>
    </row>
    <row r="2466" spans="1:50">
      <c r="A2466" s="1">
        <f>HYPERLINK("https://cms.ls-nyc.org/matter/dynamic-profile/view/1862219","18-1862219")</f>
        <v>0</v>
      </c>
      <c r="B2466" t="s">
        <v>90</v>
      </c>
      <c r="C2466" t="s">
        <v>234</v>
      </c>
      <c r="D2466" t="s">
        <v>331</v>
      </c>
      <c r="E2466" t="s">
        <v>713</v>
      </c>
      <c r="F2466" t="s">
        <v>1599</v>
      </c>
      <c r="G2466" t="s">
        <v>2885</v>
      </c>
      <c r="H2466" t="s">
        <v>3549</v>
      </c>
      <c r="I2466" t="s">
        <v>4841</v>
      </c>
      <c r="J2466" t="s">
        <v>5321</v>
      </c>
      <c r="K2466">
        <v>10452</v>
      </c>
      <c r="L2466" t="s">
        <v>5355</v>
      </c>
      <c r="M2466" t="s">
        <v>5355</v>
      </c>
      <c r="N2466" t="s">
        <v>5740</v>
      </c>
      <c r="O2466" t="s">
        <v>6494</v>
      </c>
      <c r="P2466" t="s">
        <v>6530</v>
      </c>
      <c r="Q2466" t="s">
        <v>6534</v>
      </c>
      <c r="R2466" t="s">
        <v>6539</v>
      </c>
      <c r="S2466" t="s">
        <v>5355</v>
      </c>
      <c r="U2466" t="s">
        <v>6557</v>
      </c>
      <c r="W2466" t="s">
        <v>480</v>
      </c>
      <c r="X2466">
        <v>837</v>
      </c>
      <c r="Y2466" t="s">
        <v>6606</v>
      </c>
      <c r="Z2466" t="s">
        <v>6612</v>
      </c>
      <c r="AA2466" t="s">
        <v>6634</v>
      </c>
      <c r="AB2466" t="s">
        <v>7078</v>
      </c>
      <c r="AD2466" t="s">
        <v>10107</v>
      </c>
      <c r="AE2466">
        <v>52</v>
      </c>
      <c r="AF2466" t="s">
        <v>11005</v>
      </c>
      <c r="AG2466" t="s">
        <v>5406</v>
      </c>
      <c r="AH2466">
        <v>17</v>
      </c>
      <c r="AI2466">
        <v>1</v>
      </c>
      <c r="AJ2466">
        <v>1</v>
      </c>
      <c r="AK2466">
        <v>273.39</v>
      </c>
      <c r="AN2466" t="s">
        <v>11063</v>
      </c>
      <c r="AO2466">
        <v>45000</v>
      </c>
      <c r="AU2466">
        <v>2.8</v>
      </c>
      <c r="AV2466" t="s">
        <v>713</v>
      </c>
      <c r="AW2466" t="s">
        <v>59</v>
      </c>
    </row>
    <row r="2467" spans="1:50">
      <c r="A2467" s="1">
        <f>HYPERLINK("https://cms.ls-nyc.org/matter/dynamic-profile/view/1849775","17-1849775")</f>
        <v>0</v>
      </c>
      <c r="B2467" t="s">
        <v>63</v>
      </c>
      <c r="C2467" t="s">
        <v>234</v>
      </c>
      <c r="D2467" t="s">
        <v>376</v>
      </c>
      <c r="E2467" t="s">
        <v>666</v>
      </c>
      <c r="F2467" t="s">
        <v>2072</v>
      </c>
      <c r="G2467" t="s">
        <v>3393</v>
      </c>
      <c r="H2467" t="s">
        <v>3528</v>
      </c>
      <c r="J2467" t="s">
        <v>5322</v>
      </c>
      <c r="K2467">
        <v>10304</v>
      </c>
      <c r="L2467" t="s">
        <v>5355</v>
      </c>
      <c r="M2467" t="s">
        <v>5355</v>
      </c>
      <c r="N2467" t="s">
        <v>6444</v>
      </c>
      <c r="O2467" t="s">
        <v>6491</v>
      </c>
      <c r="P2467" t="s">
        <v>6530</v>
      </c>
      <c r="Q2467" t="s">
        <v>6534</v>
      </c>
      <c r="R2467" t="s">
        <v>6539</v>
      </c>
      <c r="S2467" t="s">
        <v>5357</v>
      </c>
      <c r="U2467" t="s">
        <v>6557</v>
      </c>
      <c r="V2467" t="s">
        <v>6566</v>
      </c>
      <c r="W2467" t="s">
        <v>366</v>
      </c>
      <c r="X2467">
        <v>1000</v>
      </c>
      <c r="Y2467" t="s">
        <v>6607</v>
      </c>
      <c r="Z2467" t="s">
        <v>6622</v>
      </c>
      <c r="AA2467" t="s">
        <v>6633</v>
      </c>
      <c r="AB2467" t="s">
        <v>8640</v>
      </c>
      <c r="AC2467" t="s">
        <v>5406</v>
      </c>
      <c r="AD2467" t="s">
        <v>10951</v>
      </c>
      <c r="AE2467">
        <v>6</v>
      </c>
      <c r="AF2467" t="s">
        <v>8722</v>
      </c>
      <c r="AG2467" t="s">
        <v>5406</v>
      </c>
      <c r="AH2467">
        <v>13</v>
      </c>
      <c r="AI2467">
        <v>3</v>
      </c>
      <c r="AJ2467">
        <v>0</v>
      </c>
      <c r="AK2467">
        <v>274.24</v>
      </c>
      <c r="AL2467" t="s">
        <v>366</v>
      </c>
      <c r="AN2467" t="s">
        <v>11050</v>
      </c>
      <c r="AO2467">
        <v>56000</v>
      </c>
      <c r="AP2467" t="s">
        <v>11184</v>
      </c>
      <c r="AQ2467" t="s">
        <v>11192</v>
      </c>
      <c r="AR2467" t="s">
        <v>11250</v>
      </c>
      <c r="AS2467" t="s">
        <v>11252</v>
      </c>
      <c r="AT2467" t="s">
        <v>11428</v>
      </c>
      <c r="AU2467">
        <v>43</v>
      </c>
      <c r="AV2467" t="s">
        <v>666</v>
      </c>
      <c r="AW2467" t="s">
        <v>62</v>
      </c>
    </row>
    <row r="2468" spans="1:50">
      <c r="A2468" s="1">
        <f>HYPERLINK("https://cms.ls-nyc.org/matter/dynamic-profile/view/1851102","17-1851102")</f>
        <v>0</v>
      </c>
      <c r="B2468" t="s">
        <v>84</v>
      </c>
      <c r="C2468" t="s">
        <v>235</v>
      </c>
      <c r="D2468" t="s">
        <v>367</v>
      </c>
      <c r="F2468" t="s">
        <v>946</v>
      </c>
      <c r="G2468" t="s">
        <v>1168</v>
      </c>
      <c r="H2468" t="s">
        <v>3714</v>
      </c>
      <c r="I2468" t="s">
        <v>4872</v>
      </c>
      <c r="J2468" t="s">
        <v>5320</v>
      </c>
      <c r="K2468">
        <v>11236</v>
      </c>
      <c r="L2468" t="s">
        <v>5355</v>
      </c>
      <c r="M2468" t="s">
        <v>5356</v>
      </c>
      <c r="N2468" t="s">
        <v>6445</v>
      </c>
      <c r="O2468" t="s">
        <v>6491</v>
      </c>
      <c r="P2468" t="s">
        <v>6530</v>
      </c>
      <c r="R2468" t="s">
        <v>6539</v>
      </c>
      <c r="S2468" t="s">
        <v>5355</v>
      </c>
      <c r="U2468" t="s">
        <v>6557</v>
      </c>
      <c r="W2468" t="s">
        <v>6577</v>
      </c>
      <c r="X2468">
        <v>869</v>
      </c>
      <c r="Y2468" t="s">
        <v>6605</v>
      </c>
      <c r="Z2468" t="s">
        <v>6622</v>
      </c>
      <c r="AB2468" t="s">
        <v>6962</v>
      </c>
      <c r="AD2468" t="s">
        <v>9372</v>
      </c>
      <c r="AE2468">
        <v>113</v>
      </c>
      <c r="AF2468" t="s">
        <v>11005</v>
      </c>
      <c r="AG2468" t="s">
        <v>5406</v>
      </c>
      <c r="AH2468">
        <v>15</v>
      </c>
      <c r="AI2468">
        <v>1</v>
      </c>
      <c r="AJ2468">
        <v>0</v>
      </c>
      <c r="AK2468">
        <v>281.92</v>
      </c>
      <c r="AL2468" t="s">
        <v>11029</v>
      </c>
      <c r="AN2468" t="s">
        <v>11050</v>
      </c>
      <c r="AO2468">
        <v>34000</v>
      </c>
      <c r="AU2468">
        <v>82.90000000000001</v>
      </c>
      <c r="AV2468" t="s">
        <v>11453</v>
      </c>
      <c r="AW2468" t="s">
        <v>11512</v>
      </c>
    </row>
    <row r="2469" spans="1:50">
      <c r="A2469" s="1">
        <f>HYPERLINK("https://cms.ls-nyc.org/matter/dynamic-profile/view/1862099","18-1862099")</f>
        <v>0</v>
      </c>
      <c r="B2469" t="s">
        <v>189</v>
      </c>
      <c r="C2469" t="s">
        <v>235</v>
      </c>
      <c r="D2469" t="s">
        <v>336</v>
      </c>
      <c r="F2469" t="s">
        <v>987</v>
      </c>
      <c r="G2469" t="s">
        <v>3394</v>
      </c>
      <c r="H2469" t="s">
        <v>4705</v>
      </c>
      <c r="I2469" t="s">
        <v>4924</v>
      </c>
      <c r="J2469" t="s">
        <v>5322</v>
      </c>
      <c r="K2469">
        <v>10304</v>
      </c>
      <c r="L2469" t="s">
        <v>5355</v>
      </c>
      <c r="M2469" t="s">
        <v>5355</v>
      </c>
      <c r="N2469" t="s">
        <v>6446</v>
      </c>
      <c r="O2469" t="s">
        <v>6492</v>
      </c>
      <c r="P2469" t="s">
        <v>6530</v>
      </c>
      <c r="R2469" t="s">
        <v>6539</v>
      </c>
      <c r="S2469" t="s">
        <v>5357</v>
      </c>
      <c r="U2469" t="s">
        <v>6557</v>
      </c>
      <c r="V2469" t="s">
        <v>6570</v>
      </c>
      <c r="W2469" t="s">
        <v>336</v>
      </c>
      <c r="X2469">
        <v>1200</v>
      </c>
      <c r="Y2469" t="s">
        <v>6607</v>
      </c>
      <c r="Z2469" t="s">
        <v>6609</v>
      </c>
      <c r="AB2469" t="s">
        <v>8641</v>
      </c>
      <c r="AD2469" t="s">
        <v>10952</v>
      </c>
      <c r="AE2469">
        <v>3</v>
      </c>
      <c r="AF2469" t="s">
        <v>11005</v>
      </c>
      <c r="AG2469" t="s">
        <v>11020</v>
      </c>
      <c r="AH2469">
        <v>3</v>
      </c>
      <c r="AI2469">
        <v>1</v>
      </c>
      <c r="AJ2469">
        <v>0</v>
      </c>
      <c r="AK2469">
        <v>282.27</v>
      </c>
      <c r="AN2469" t="s">
        <v>11050</v>
      </c>
      <c r="AO2469">
        <v>34268</v>
      </c>
      <c r="AS2469" t="s">
        <v>11253</v>
      </c>
      <c r="AT2469" t="s">
        <v>11429</v>
      </c>
      <c r="AU2469">
        <v>15.3</v>
      </c>
      <c r="AV2469" t="s">
        <v>244</v>
      </c>
      <c r="AW2469" t="s">
        <v>11536</v>
      </c>
      <c r="AX2469" t="s">
        <v>11564</v>
      </c>
    </row>
    <row r="2470" spans="1:50">
      <c r="A2470" s="1">
        <f>HYPERLINK("https://cms.ls-nyc.org/matter/dynamic-profile/view/1837886","17-1837886")</f>
        <v>0</v>
      </c>
      <c r="B2470" t="s">
        <v>109</v>
      </c>
      <c r="C2470" t="s">
        <v>234</v>
      </c>
      <c r="D2470" t="s">
        <v>658</v>
      </c>
      <c r="E2470" t="s">
        <v>665</v>
      </c>
      <c r="F2470" t="s">
        <v>2073</v>
      </c>
      <c r="G2470" t="s">
        <v>3395</v>
      </c>
      <c r="H2470" t="s">
        <v>3541</v>
      </c>
      <c r="I2470" t="s">
        <v>4854</v>
      </c>
      <c r="J2470" t="s">
        <v>5320</v>
      </c>
      <c r="K2470">
        <v>11239</v>
      </c>
      <c r="L2470" t="s">
        <v>5355</v>
      </c>
      <c r="M2470" t="s">
        <v>5356</v>
      </c>
      <c r="N2470" t="s">
        <v>6447</v>
      </c>
      <c r="O2470" t="s">
        <v>6492</v>
      </c>
      <c r="P2470" t="s">
        <v>6530</v>
      </c>
      <c r="Q2470" t="s">
        <v>6534</v>
      </c>
      <c r="R2470" t="s">
        <v>6539</v>
      </c>
      <c r="S2470" t="s">
        <v>5357</v>
      </c>
      <c r="U2470" t="s">
        <v>6557</v>
      </c>
      <c r="W2470" t="s">
        <v>6583</v>
      </c>
      <c r="X2470">
        <v>1500</v>
      </c>
      <c r="Y2470" t="s">
        <v>6605</v>
      </c>
      <c r="AA2470" t="s">
        <v>6637</v>
      </c>
      <c r="AB2470" t="s">
        <v>8642</v>
      </c>
      <c r="AC2470" t="s">
        <v>9096</v>
      </c>
      <c r="AD2470" t="s">
        <v>10953</v>
      </c>
      <c r="AE2470">
        <v>136</v>
      </c>
      <c r="AF2470" t="s">
        <v>11010</v>
      </c>
      <c r="AG2470" t="s">
        <v>5406</v>
      </c>
      <c r="AH2470">
        <v>7</v>
      </c>
      <c r="AI2470">
        <v>1</v>
      </c>
      <c r="AJ2470">
        <v>1</v>
      </c>
      <c r="AK2470">
        <v>283.25</v>
      </c>
      <c r="AL2470" t="s">
        <v>11029</v>
      </c>
      <c r="AN2470" t="s">
        <v>11050</v>
      </c>
      <c r="AO2470">
        <v>46000</v>
      </c>
      <c r="AU2470">
        <v>24.3</v>
      </c>
      <c r="AV2470" t="s">
        <v>342</v>
      </c>
      <c r="AW2470" t="s">
        <v>11487</v>
      </c>
    </row>
    <row r="2471" spans="1:50">
      <c r="A2471" s="1">
        <f>HYPERLINK("https://cms.ls-nyc.org/matter/dynamic-profile/view/1858255","18-1858255")</f>
        <v>0</v>
      </c>
      <c r="B2471" t="s">
        <v>92</v>
      </c>
      <c r="C2471" t="s">
        <v>234</v>
      </c>
      <c r="D2471" t="s">
        <v>238</v>
      </c>
      <c r="E2471" t="s">
        <v>680</v>
      </c>
      <c r="F2471" t="s">
        <v>922</v>
      </c>
      <c r="G2471" t="s">
        <v>2657</v>
      </c>
      <c r="H2471" t="s">
        <v>4706</v>
      </c>
      <c r="I2471">
        <v>27</v>
      </c>
      <c r="J2471" t="s">
        <v>5323</v>
      </c>
      <c r="K2471">
        <v>10034</v>
      </c>
      <c r="L2471" t="s">
        <v>5355</v>
      </c>
      <c r="M2471" t="s">
        <v>5356</v>
      </c>
      <c r="N2471" t="s">
        <v>6448</v>
      </c>
      <c r="O2471" t="s">
        <v>6491</v>
      </c>
      <c r="P2471" t="s">
        <v>6530</v>
      </c>
      <c r="Q2471" t="s">
        <v>6534</v>
      </c>
      <c r="R2471" t="s">
        <v>6539</v>
      </c>
      <c r="S2471" t="s">
        <v>5357</v>
      </c>
      <c r="U2471" t="s">
        <v>6557</v>
      </c>
      <c r="W2471" t="s">
        <v>238</v>
      </c>
      <c r="X2471">
        <v>959.05</v>
      </c>
      <c r="Y2471" t="s">
        <v>6608</v>
      </c>
      <c r="Z2471" t="s">
        <v>6616</v>
      </c>
      <c r="AA2471" t="s">
        <v>6637</v>
      </c>
      <c r="AB2471" t="s">
        <v>8643</v>
      </c>
      <c r="AD2471" t="s">
        <v>10954</v>
      </c>
      <c r="AE2471">
        <v>44</v>
      </c>
      <c r="AF2471" t="s">
        <v>11005</v>
      </c>
      <c r="AG2471" t="s">
        <v>5406</v>
      </c>
      <c r="AH2471">
        <v>22</v>
      </c>
      <c r="AI2471">
        <v>3</v>
      </c>
      <c r="AJ2471">
        <v>0</v>
      </c>
      <c r="AK2471">
        <v>283.6</v>
      </c>
      <c r="AL2471" t="s">
        <v>11029</v>
      </c>
      <c r="AN2471" t="s">
        <v>11050</v>
      </c>
      <c r="AO2471">
        <v>57912</v>
      </c>
      <c r="AU2471">
        <v>3.75</v>
      </c>
      <c r="AV2471" t="s">
        <v>394</v>
      </c>
      <c r="AW2471" t="s">
        <v>11495</v>
      </c>
    </row>
    <row r="2472" spans="1:50">
      <c r="A2472" s="1">
        <f>HYPERLINK("https://cms.ls-nyc.org/matter/dynamic-profile/view/1859566","18-1859566")</f>
        <v>0</v>
      </c>
      <c r="B2472" t="s">
        <v>55</v>
      </c>
      <c r="C2472" t="s">
        <v>234</v>
      </c>
      <c r="D2472" t="s">
        <v>316</v>
      </c>
      <c r="E2472" t="s">
        <v>786</v>
      </c>
      <c r="F2472" t="s">
        <v>2074</v>
      </c>
      <c r="G2472" t="s">
        <v>2691</v>
      </c>
      <c r="H2472" t="s">
        <v>3895</v>
      </c>
      <c r="I2472" t="s">
        <v>5267</v>
      </c>
      <c r="J2472" t="s">
        <v>5320</v>
      </c>
      <c r="K2472">
        <v>11203</v>
      </c>
      <c r="L2472" t="s">
        <v>5355</v>
      </c>
      <c r="M2472" t="s">
        <v>5356</v>
      </c>
      <c r="N2472" t="s">
        <v>5666</v>
      </c>
      <c r="O2472" t="s">
        <v>6494</v>
      </c>
      <c r="P2472" t="s">
        <v>6530</v>
      </c>
      <c r="Q2472" t="s">
        <v>6534</v>
      </c>
      <c r="R2472" t="s">
        <v>6539</v>
      </c>
      <c r="S2472" t="s">
        <v>5355</v>
      </c>
      <c r="T2472" t="s">
        <v>6545</v>
      </c>
      <c r="U2472" t="s">
        <v>6557</v>
      </c>
      <c r="W2472" t="s">
        <v>316</v>
      </c>
      <c r="X2472">
        <v>975</v>
      </c>
      <c r="Y2472" t="s">
        <v>6605</v>
      </c>
      <c r="Z2472" t="s">
        <v>6612</v>
      </c>
      <c r="AA2472" t="s">
        <v>6634</v>
      </c>
      <c r="AB2472" t="s">
        <v>7039</v>
      </c>
      <c r="AD2472" t="s">
        <v>10955</v>
      </c>
      <c r="AE2472">
        <v>50</v>
      </c>
      <c r="AF2472" t="s">
        <v>11005</v>
      </c>
      <c r="AG2472" t="s">
        <v>5406</v>
      </c>
      <c r="AH2472">
        <v>30</v>
      </c>
      <c r="AI2472">
        <v>3</v>
      </c>
      <c r="AJ2472">
        <v>0</v>
      </c>
      <c r="AK2472">
        <v>283.93</v>
      </c>
      <c r="AL2472" t="s">
        <v>11029</v>
      </c>
      <c r="AN2472" t="s">
        <v>11050</v>
      </c>
      <c r="AO2472">
        <v>59000</v>
      </c>
      <c r="AU2472">
        <v>7.6</v>
      </c>
      <c r="AV2472" t="s">
        <v>394</v>
      </c>
      <c r="AW2472" t="s">
        <v>11490</v>
      </c>
    </row>
    <row r="2473" spans="1:50">
      <c r="A2473" s="1">
        <f>HYPERLINK("https://cms.ls-nyc.org/matter/dynamic-profile/view/1859972","18-1859972")</f>
        <v>0</v>
      </c>
      <c r="B2473" t="s">
        <v>179</v>
      </c>
      <c r="C2473" t="s">
        <v>235</v>
      </c>
      <c r="D2473" t="s">
        <v>291</v>
      </c>
      <c r="F2473" t="s">
        <v>2075</v>
      </c>
      <c r="G2473" t="s">
        <v>3396</v>
      </c>
      <c r="H2473" t="s">
        <v>4083</v>
      </c>
      <c r="I2473" t="s">
        <v>5064</v>
      </c>
      <c r="J2473" t="s">
        <v>5320</v>
      </c>
      <c r="K2473">
        <v>11226</v>
      </c>
      <c r="L2473" t="s">
        <v>5355</v>
      </c>
      <c r="M2473" t="s">
        <v>5356</v>
      </c>
      <c r="N2473" t="s">
        <v>6064</v>
      </c>
      <c r="O2473" t="s">
        <v>6516</v>
      </c>
      <c r="P2473" t="s">
        <v>6530</v>
      </c>
      <c r="R2473" t="s">
        <v>6539</v>
      </c>
      <c r="S2473" t="s">
        <v>5355</v>
      </c>
      <c r="T2473" t="s">
        <v>6545</v>
      </c>
      <c r="U2473" t="s">
        <v>6557</v>
      </c>
      <c r="W2473" t="s">
        <v>6575</v>
      </c>
      <c r="X2473">
        <v>0</v>
      </c>
      <c r="Y2473" t="s">
        <v>6605</v>
      </c>
      <c r="Z2473" t="s">
        <v>6612</v>
      </c>
      <c r="AB2473" t="s">
        <v>8644</v>
      </c>
      <c r="AD2473" t="s">
        <v>10956</v>
      </c>
      <c r="AE2473">
        <v>61</v>
      </c>
      <c r="AF2473" t="s">
        <v>11006</v>
      </c>
      <c r="AG2473" t="s">
        <v>5406</v>
      </c>
      <c r="AH2473">
        <v>18</v>
      </c>
      <c r="AI2473">
        <v>2</v>
      </c>
      <c r="AJ2473">
        <v>2</v>
      </c>
      <c r="AK2473">
        <v>284.55</v>
      </c>
      <c r="AL2473" t="s">
        <v>11029</v>
      </c>
      <c r="AN2473" t="s">
        <v>11050</v>
      </c>
      <c r="AO2473">
        <v>70000</v>
      </c>
      <c r="AU2473">
        <v>0.8</v>
      </c>
      <c r="AV2473" t="s">
        <v>260</v>
      </c>
      <c r="AW2473" t="s">
        <v>11490</v>
      </c>
    </row>
    <row r="2474" spans="1:50">
      <c r="A2474" s="1">
        <f>HYPERLINK("https://cms.ls-nyc.org/matter/dynamic-profile/view/1856398","18-1856398")</f>
        <v>0</v>
      </c>
      <c r="B2474" t="s">
        <v>102</v>
      </c>
      <c r="C2474" t="s">
        <v>234</v>
      </c>
      <c r="D2474" t="s">
        <v>261</v>
      </c>
      <c r="E2474" t="s">
        <v>744</v>
      </c>
      <c r="F2474" t="s">
        <v>901</v>
      </c>
      <c r="G2474" t="s">
        <v>2105</v>
      </c>
      <c r="H2474" t="s">
        <v>3526</v>
      </c>
      <c r="I2474">
        <v>624</v>
      </c>
      <c r="J2474" t="s">
        <v>5321</v>
      </c>
      <c r="K2474">
        <v>10453</v>
      </c>
      <c r="L2474" t="s">
        <v>5355</v>
      </c>
      <c r="M2474" t="s">
        <v>5356</v>
      </c>
      <c r="N2474" t="s">
        <v>5883</v>
      </c>
      <c r="O2474" t="s">
        <v>6494</v>
      </c>
      <c r="P2474" t="s">
        <v>6530</v>
      </c>
      <c r="Q2474" t="s">
        <v>6534</v>
      </c>
      <c r="R2474" t="s">
        <v>6539</v>
      </c>
      <c r="S2474" t="s">
        <v>5355</v>
      </c>
      <c r="U2474" t="s">
        <v>6557</v>
      </c>
      <c r="W2474" t="s">
        <v>247</v>
      </c>
      <c r="X2474">
        <v>1300</v>
      </c>
      <c r="Y2474" t="s">
        <v>6606</v>
      </c>
      <c r="Z2474" t="s">
        <v>6622</v>
      </c>
      <c r="AA2474" t="s">
        <v>6634</v>
      </c>
      <c r="AB2474" t="s">
        <v>6963</v>
      </c>
      <c r="AD2474" t="s">
        <v>9373</v>
      </c>
      <c r="AE2474">
        <v>146</v>
      </c>
      <c r="AF2474" t="s">
        <v>11005</v>
      </c>
      <c r="AG2474" t="s">
        <v>5406</v>
      </c>
      <c r="AH2474">
        <v>5</v>
      </c>
      <c r="AI2474">
        <v>3</v>
      </c>
      <c r="AJ2474">
        <v>1</v>
      </c>
      <c r="AK2474">
        <v>284.55</v>
      </c>
      <c r="AN2474" t="s">
        <v>11049</v>
      </c>
      <c r="AO2474">
        <v>70000</v>
      </c>
      <c r="AU2474">
        <v>0.8</v>
      </c>
      <c r="AV2474" t="s">
        <v>745</v>
      </c>
      <c r="AW2474" t="s">
        <v>11492</v>
      </c>
    </row>
    <row r="2475" spans="1:50">
      <c r="A2475" s="1">
        <f>HYPERLINK("https://cms.ls-nyc.org/matter/dynamic-profile/view/1851302","17-1851302")</f>
        <v>0</v>
      </c>
      <c r="B2475" t="s">
        <v>106</v>
      </c>
      <c r="C2475" t="s">
        <v>235</v>
      </c>
      <c r="D2475" t="s">
        <v>384</v>
      </c>
      <c r="F2475" t="s">
        <v>1530</v>
      </c>
      <c r="G2475" t="s">
        <v>2811</v>
      </c>
      <c r="H2475" t="s">
        <v>4089</v>
      </c>
      <c r="I2475" t="s">
        <v>5012</v>
      </c>
      <c r="J2475" t="s">
        <v>5321</v>
      </c>
      <c r="K2475">
        <v>10452</v>
      </c>
      <c r="L2475" t="s">
        <v>5355</v>
      </c>
      <c r="M2475" t="s">
        <v>5356</v>
      </c>
      <c r="N2475" t="s">
        <v>6449</v>
      </c>
      <c r="O2475" t="s">
        <v>6491</v>
      </c>
      <c r="P2475" t="s">
        <v>6530</v>
      </c>
      <c r="R2475" t="s">
        <v>6539</v>
      </c>
      <c r="S2475" t="s">
        <v>5357</v>
      </c>
      <c r="U2475" t="s">
        <v>6557</v>
      </c>
      <c r="W2475" t="s">
        <v>372</v>
      </c>
      <c r="X2475">
        <v>853.4400000000001</v>
      </c>
      <c r="Y2475" t="s">
        <v>6606</v>
      </c>
      <c r="Z2475" t="s">
        <v>6614</v>
      </c>
      <c r="AB2475" t="s">
        <v>7637</v>
      </c>
      <c r="AD2475" t="s">
        <v>9997</v>
      </c>
      <c r="AE2475">
        <v>71</v>
      </c>
      <c r="AF2475" t="s">
        <v>11005</v>
      </c>
      <c r="AG2475" t="s">
        <v>5406</v>
      </c>
      <c r="AH2475">
        <v>14</v>
      </c>
      <c r="AI2475">
        <v>1</v>
      </c>
      <c r="AJ2475">
        <v>0</v>
      </c>
      <c r="AK2475">
        <v>284.58</v>
      </c>
      <c r="AN2475" t="s">
        <v>11050</v>
      </c>
      <c r="AO2475">
        <v>34320</v>
      </c>
      <c r="AU2475">
        <v>177.1</v>
      </c>
      <c r="AV2475" t="s">
        <v>11463</v>
      </c>
      <c r="AW2475" t="s">
        <v>106</v>
      </c>
    </row>
    <row r="2476" spans="1:50">
      <c r="A2476" s="1">
        <f>HYPERLINK("https://cms.ls-nyc.org/matter/dynamic-profile/view/1837327","17-1837327")</f>
        <v>0</v>
      </c>
      <c r="B2476" t="s">
        <v>232</v>
      </c>
      <c r="C2476" t="s">
        <v>235</v>
      </c>
      <c r="D2476" t="s">
        <v>368</v>
      </c>
      <c r="F2476" t="s">
        <v>2076</v>
      </c>
      <c r="G2476" t="s">
        <v>3397</v>
      </c>
      <c r="H2476" t="s">
        <v>4707</v>
      </c>
      <c r="I2476" t="s">
        <v>5273</v>
      </c>
      <c r="J2476" t="s">
        <v>5320</v>
      </c>
      <c r="K2476">
        <v>11238</v>
      </c>
      <c r="L2476" t="s">
        <v>5355</v>
      </c>
      <c r="M2476" t="s">
        <v>5356</v>
      </c>
      <c r="N2476" t="s">
        <v>6450</v>
      </c>
      <c r="O2476" t="s">
        <v>6491</v>
      </c>
      <c r="P2476" t="s">
        <v>6530</v>
      </c>
      <c r="R2476" t="s">
        <v>6539</v>
      </c>
      <c r="S2476" t="s">
        <v>5357</v>
      </c>
      <c r="U2476" t="s">
        <v>6557</v>
      </c>
      <c r="W2476" t="s">
        <v>276</v>
      </c>
      <c r="X2476">
        <v>704</v>
      </c>
      <c r="Y2476" t="s">
        <v>6605</v>
      </c>
      <c r="Z2476" t="s">
        <v>6614</v>
      </c>
      <c r="AB2476" t="s">
        <v>8645</v>
      </c>
      <c r="AD2476" t="s">
        <v>10957</v>
      </c>
      <c r="AE2476">
        <v>8</v>
      </c>
      <c r="AF2476" t="s">
        <v>11005</v>
      </c>
      <c r="AG2476" t="s">
        <v>5406</v>
      </c>
      <c r="AH2476">
        <v>35</v>
      </c>
      <c r="AI2476">
        <v>3</v>
      </c>
      <c r="AJ2476">
        <v>0</v>
      </c>
      <c r="AK2476">
        <v>285.01</v>
      </c>
      <c r="AL2476" t="s">
        <v>11029</v>
      </c>
      <c r="AN2476" t="s">
        <v>11050</v>
      </c>
      <c r="AO2476">
        <v>58200</v>
      </c>
      <c r="AU2476">
        <v>166.1</v>
      </c>
      <c r="AV2476" t="s">
        <v>11438</v>
      </c>
      <c r="AW2476" t="s">
        <v>11560</v>
      </c>
    </row>
    <row r="2477" spans="1:50">
      <c r="A2477" s="1">
        <f>HYPERLINK("https://cms.ls-nyc.org/matter/dynamic-profile/view/1856343","18-1856343")</f>
        <v>0</v>
      </c>
      <c r="B2477" t="s">
        <v>102</v>
      </c>
      <c r="C2477" t="s">
        <v>234</v>
      </c>
      <c r="D2477" t="s">
        <v>261</v>
      </c>
      <c r="E2477" t="s">
        <v>744</v>
      </c>
      <c r="F2477" t="s">
        <v>1105</v>
      </c>
      <c r="G2477" t="s">
        <v>2355</v>
      </c>
      <c r="H2477" t="s">
        <v>3526</v>
      </c>
      <c r="I2477">
        <v>623</v>
      </c>
      <c r="J2477" t="s">
        <v>5321</v>
      </c>
      <c r="K2477">
        <v>10453</v>
      </c>
      <c r="L2477" t="s">
        <v>5355</v>
      </c>
      <c r="M2477" t="s">
        <v>5356</v>
      </c>
      <c r="N2477" t="s">
        <v>5883</v>
      </c>
      <c r="O2477" t="s">
        <v>6494</v>
      </c>
      <c r="P2477" t="s">
        <v>6530</v>
      </c>
      <c r="Q2477" t="s">
        <v>6534</v>
      </c>
      <c r="R2477" t="s">
        <v>6539</v>
      </c>
      <c r="S2477" t="s">
        <v>5355</v>
      </c>
      <c r="U2477" t="s">
        <v>6557</v>
      </c>
      <c r="W2477" t="s">
        <v>247</v>
      </c>
      <c r="X2477">
        <v>1229.5</v>
      </c>
      <c r="Y2477" t="s">
        <v>6606</v>
      </c>
      <c r="Z2477" t="s">
        <v>6622</v>
      </c>
      <c r="AA2477" t="s">
        <v>6634</v>
      </c>
      <c r="AB2477" t="s">
        <v>6964</v>
      </c>
      <c r="AD2477" t="s">
        <v>9374</v>
      </c>
      <c r="AE2477">
        <v>146</v>
      </c>
      <c r="AF2477" t="s">
        <v>11005</v>
      </c>
      <c r="AG2477" t="s">
        <v>5406</v>
      </c>
      <c r="AH2477">
        <v>20</v>
      </c>
      <c r="AI2477">
        <v>3</v>
      </c>
      <c r="AJ2477">
        <v>0</v>
      </c>
      <c r="AK2477">
        <v>285.01</v>
      </c>
      <c r="AN2477" t="s">
        <v>11049</v>
      </c>
      <c r="AO2477">
        <v>103800</v>
      </c>
      <c r="AU2477">
        <v>0.5</v>
      </c>
      <c r="AV2477" t="s">
        <v>745</v>
      </c>
      <c r="AW2477" t="s">
        <v>11492</v>
      </c>
    </row>
    <row r="2478" spans="1:50">
      <c r="A2478" s="1">
        <f>HYPERLINK("https://cms.ls-nyc.org/matter/dynamic-profile/view/1848339","17-1848339")</f>
        <v>0</v>
      </c>
      <c r="B2478" t="s">
        <v>111</v>
      </c>
      <c r="C2478" t="s">
        <v>234</v>
      </c>
      <c r="D2478" t="s">
        <v>465</v>
      </c>
      <c r="E2478" t="s">
        <v>708</v>
      </c>
      <c r="F2478" t="s">
        <v>1171</v>
      </c>
      <c r="G2478" t="s">
        <v>2662</v>
      </c>
      <c r="H2478" t="s">
        <v>3873</v>
      </c>
      <c r="I2478">
        <v>33</v>
      </c>
      <c r="J2478" t="s">
        <v>5323</v>
      </c>
      <c r="K2478">
        <v>10034</v>
      </c>
      <c r="L2478" t="s">
        <v>5355</v>
      </c>
      <c r="M2478" t="s">
        <v>5355</v>
      </c>
      <c r="N2478" t="s">
        <v>6451</v>
      </c>
      <c r="O2478" t="s">
        <v>6491</v>
      </c>
      <c r="P2478" t="s">
        <v>6530</v>
      </c>
      <c r="Q2478" t="s">
        <v>6534</v>
      </c>
      <c r="R2478" t="s">
        <v>6539</v>
      </c>
      <c r="S2478" t="s">
        <v>5357</v>
      </c>
      <c r="U2478" t="s">
        <v>6557</v>
      </c>
      <c r="W2478" t="s">
        <v>426</v>
      </c>
      <c r="X2478">
        <v>1250</v>
      </c>
      <c r="Y2478" t="s">
        <v>6608</v>
      </c>
      <c r="Z2478" t="s">
        <v>6616</v>
      </c>
      <c r="AA2478" t="s">
        <v>6632</v>
      </c>
      <c r="AB2478" t="s">
        <v>8646</v>
      </c>
      <c r="AD2478" t="s">
        <v>10958</v>
      </c>
      <c r="AE2478">
        <v>25</v>
      </c>
      <c r="AF2478" t="s">
        <v>11005</v>
      </c>
      <c r="AG2478" t="s">
        <v>5406</v>
      </c>
      <c r="AH2478">
        <v>3</v>
      </c>
      <c r="AI2478">
        <v>2</v>
      </c>
      <c r="AJ2478">
        <v>0</v>
      </c>
      <c r="AK2478">
        <v>285.15</v>
      </c>
      <c r="AL2478" t="s">
        <v>11029</v>
      </c>
      <c r="AN2478" t="s">
        <v>11050</v>
      </c>
      <c r="AO2478">
        <v>46308</v>
      </c>
      <c r="AU2478">
        <v>89.8</v>
      </c>
      <c r="AV2478" t="s">
        <v>673</v>
      </c>
      <c r="AW2478" t="s">
        <v>11495</v>
      </c>
    </row>
    <row r="2479" spans="1:50">
      <c r="A2479" s="1">
        <f>HYPERLINK("https://cms.ls-nyc.org/matter/dynamic-profile/view/1854278","17-1854278")</f>
        <v>0</v>
      </c>
      <c r="B2479" t="s">
        <v>90</v>
      </c>
      <c r="C2479" t="s">
        <v>235</v>
      </c>
      <c r="D2479" t="s">
        <v>422</v>
      </c>
      <c r="F2479" t="s">
        <v>1456</v>
      </c>
      <c r="G2479" t="s">
        <v>2412</v>
      </c>
      <c r="H2479" t="s">
        <v>3949</v>
      </c>
      <c r="I2479" t="s">
        <v>4791</v>
      </c>
      <c r="J2479" t="s">
        <v>5321</v>
      </c>
      <c r="K2479">
        <v>10452</v>
      </c>
      <c r="L2479" t="s">
        <v>5355</v>
      </c>
      <c r="M2479" t="s">
        <v>5356</v>
      </c>
      <c r="N2479" t="s">
        <v>6174</v>
      </c>
      <c r="O2479" t="s">
        <v>6494</v>
      </c>
      <c r="P2479" t="s">
        <v>6530</v>
      </c>
      <c r="R2479" t="s">
        <v>6539</v>
      </c>
      <c r="S2479" t="s">
        <v>5355</v>
      </c>
      <c r="U2479" t="s">
        <v>6557</v>
      </c>
      <c r="W2479" t="s">
        <v>480</v>
      </c>
      <c r="X2479">
        <v>1112.67</v>
      </c>
      <c r="Y2479" t="s">
        <v>6606</v>
      </c>
      <c r="Z2479" t="s">
        <v>6612</v>
      </c>
      <c r="AB2479" t="s">
        <v>7504</v>
      </c>
      <c r="AD2479" t="s">
        <v>9872</v>
      </c>
      <c r="AE2479">
        <v>60</v>
      </c>
      <c r="AF2479" t="s">
        <v>11005</v>
      </c>
      <c r="AG2479" t="s">
        <v>5406</v>
      </c>
      <c r="AH2479">
        <v>16</v>
      </c>
      <c r="AI2479">
        <v>3</v>
      </c>
      <c r="AJ2479">
        <v>2</v>
      </c>
      <c r="AK2479">
        <v>287.82</v>
      </c>
      <c r="AN2479" t="s">
        <v>11050</v>
      </c>
      <c r="AO2479">
        <v>82836</v>
      </c>
      <c r="AU2479">
        <v>0.2</v>
      </c>
      <c r="AV2479" t="s">
        <v>329</v>
      </c>
      <c r="AW2479" t="s">
        <v>11491</v>
      </c>
    </row>
    <row r="2480" spans="1:50">
      <c r="A2480" s="1">
        <f>HYPERLINK("https://cms.ls-nyc.org/matter/dynamic-profile/view/1856374","18-1856374")</f>
        <v>0</v>
      </c>
      <c r="B2480" t="s">
        <v>90</v>
      </c>
      <c r="C2480" t="s">
        <v>235</v>
      </c>
      <c r="D2480" t="s">
        <v>261</v>
      </c>
      <c r="F2480" t="s">
        <v>1454</v>
      </c>
      <c r="G2480" t="s">
        <v>2473</v>
      </c>
      <c r="H2480" t="s">
        <v>3949</v>
      </c>
      <c r="I2480" t="s">
        <v>4765</v>
      </c>
      <c r="J2480" t="s">
        <v>5321</v>
      </c>
      <c r="K2480">
        <v>10452</v>
      </c>
      <c r="L2480" t="s">
        <v>5355</v>
      </c>
      <c r="M2480" t="s">
        <v>5356</v>
      </c>
      <c r="N2480" t="s">
        <v>5792</v>
      </c>
      <c r="O2480" t="s">
        <v>6494</v>
      </c>
      <c r="P2480" t="s">
        <v>6530</v>
      </c>
      <c r="R2480" t="s">
        <v>6539</v>
      </c>
      <c r="S2480" t="s">
        <v>5355</v>
      </c>
      <c r="U2480" t="s">
        <v>6557</v>
      </c>
      <c r="W2480" t="s">
        <v>480</v>
      </c>
      <c r="X2480">
        <v>1182</v>
      </c>
      <c r="Y2480" t="s">
        <v>6606</v>
      </c>
      <c r="Z2480" t="s">
        <v>6612</v>
      </c>
      <c r="AB2480" t="s">
        <v>7500</v>
      </c>
      <c r="AD2480" t="s">
        <v>9868</v>
      </c>
      <c r="AE2480">
        <v>60</v>
      </c>
      <c r="AF2480" t="s">
        <v>11005</v>
      </c>
      <c r="AG2480" t="s">
        <v>5406</v>
      </c>
      <c r="AH2480">
        <v>1</v>
      </c>
      <c r="AI2480">
        <v>2</v>
      </c>
      <c r="AJ2480">
        <v>0</v>
      </c>
      <c r="AK2480">
        <v>288.18</v>
      </c>
      <c r="AL2480" t="s">
        <v>11029</v>
      </c>
      <c r="AN2480" t="s">
        <v>11049</v>
      </c>
      <c r="AO2480">
        <v>46800</v>
      </c>
      <c r="AU2480">
        <v>0.45</v>
      </c>
      <c r="AV2480" t="s">
        <v>433</v>
      </c>
      <c r="AW2480" t="s">
        <v>11505</v>
      </c>
    </row>
    <row r="2481" spans="1:49">
      <c r="A2481" s="1">
        <f>HYPERLINK("https://cms.ls-nyc.org/matter/dynamic-profile/view/1854507","17-1854507")</f>
        <v>0</v>
      </c>
      <c r="B2481" t="s">
        <v>121</v>
      </c>
      <c r="C2481" t="s">
        <v>234</v>
      </c>
      <c r="D2481" t="s">
        <v>308</v>
      </c>
      <c r="E2481" t="s">
        <v>517</v>
      </c>
      <c r="F2481" t="s">
        <v>2077</v>
      </c>
      <c r="G2481" t="s">
        <v>3398</v>
      </c>
      <c r="H2481" t="s">
        <v>4553</v>
      </c>
      <c r="I2481" t="s">
        <v>5303</v>
      </c>
      <c r="J2481" t="s">
        <v>5321</v>
      </c>
      <c r="K2481">
        <v>10452</v>
      </c>
      <c r="L2481" t="s">
        <v>5355</v>
      </c>
      <c r="M2481" t="s">
        <v>5356</v>
      </c>
      <c r="N2481" t="s">
        <v>6452</v>
      </c>
      <c r="O2481" t="s">
        <v>6492</v>
      </c>
      <c r="P2481" t="s">
        <v>6530</v>
      </c>
      <c r="Q2481" t="s">
        <v>6534</v>
      </c>
      <c r="R2481" t="s">
        <v>6539</v>
      </c>
      <c r="S2481" t="s">
        <v>5357</v>
      </c>
      <c r="U2481" t="s">
        <v>6557</v>
      </c>
      <c r="W2481" t="s">
        <v>351</v>
      </c>
      <c r="X2481">
        <v>1031</v>
      </c>
      <c r="Y2481" t="s">
        <v>6606</v>
      </c>
      <c r="Z2481" t="s">
        <v>6613</v>
      </c>
      <c r="AA2481" t="s">
        <v>6644</v>
      </c>
      <c r="AB2481" t="s">
        <v>8647</v>
      </c>
      <c r="AD2481" t="s">
        <v>10959</v>
      </c>
      <c r="AE2481">
        <v>49</v>
      </c>
      <c r="AF2481" t="s">
        <v>11005</v>
      </c>
      <c r="AG2481" t="s">
        <v>5406</v>
      </c>
      <c r="AH2481">
        <v>5</v>
      </c>
      <c r="AI2481">
        <v>1</v>
      </c>
      <c r="AJ2481">
        <v>1</v>
      </c>
      <c r="AK2481">
        <v>288.18</v>
      </c>
      <c r="AL2481" t="s">
        <v>11029</v>
      </c>
      <c r="AN2481" t="s">
        <v>11050</v>
      </c>
      <c r="AO2481">
        <v>46800</v>
      </c>
      <c r="AQ2481" t="s">
        <v>11197</v>
      </c>
      <c r="AR2481" t="s">
        <v>11213</v>
      </c>
      <c r="AS2481" t="s">
        <v>11253</v>
      </c>
      <c r="AT2481" t="s">
        <v>11413</v>
      </c>
      <c r="AU2481">
        <v>42.6</v>
      </c>
      <c r="AV2481" t="s">
        <v>517</v>
      </c>
      <c r="AW2481" t="s">
        <v>11520</v>
      </c>
    </row>
    <row r="2482" spans="1:49">
      <c r="A2482" s="1">
        <f>HYPERLINK("https://cms.ls-nyc.org/matter/dynamic-profile/view/1860891","18-1860891")</f>
        <v>0</v>
      </c>
      <c r="B2482" t="s">
        <v>90</v>
      </c>
      <c r="C2482" t="s">
        <v>235</v>
      </c>
      <c r="D2482" t="s">
        <v>296</v>
      </c>
      <c r="F2482" t="s">
        <v>2078</v>
      </c>
      <c r="G2482" t="s">
        <v>2188</v>
      </c>
      <c r="H2482" t="s">
        <v>4147</v>
      </c>
      <c r="I2482" t="s">
        <v>5034</v>
      </c>
      <c r="J2482" t="s">
        <v>5321</v>
      </c>
      <c r="K2482">
        <v>10453</v>
      </c>
      <c r="L2482" t="s">
        <v>5355</v>
      </c>
      <c r="M2482" t="s">
        <v>5356</v>
      </c>
      <c r="N2482" t="s">
        <v>5670</v>
      </c>
      <c r="O2482" t="s">
        <v>6494</v>
      </c>
      <c r="P2482" t="s">
        <v>6530</v>
      </c>
      <c r="R2482" t="s">
        <v>6539</v>
      </c>
      <c r="S2482" t="s">
        <v>5355</v>
      </c>
      <c r="U2482" t="s">
        <v>6557</v>
      </c>
      <c r="W2482" t="s">
        <v>480</v>
      </c>
      <c r="X2482">
        <v>1340</v>
      </c>
      <c r="Y2482" t="s">
        <v>6606</v>
      </c>
      <c r="Z2482" t="s">
        <v>6616</v>
      </c>
      <c r="AB2482" t="s">
        <v>8648</v>
      </c>
      <c r="AD2482" t="s">
        <v>10960</v>
      </c>
      <c r="AE2482">
        <v>46</v>
      </c>
      <c r="AF2482" t="s">
        <v>11005</v>
      </c>
      <c r="AG2482" t="s">
        <v>5406</v>
      </c>
      <c r="AH2482">
        <v>5</v>
      </c>
      <c r="AI2482">
        <v>2</v>
      </c>
      <c r="AJ2482">
        <v>3</v>
      </c>
      <c r="AK2482">
        <v>288.46</v>
      </c>
      <c r="AN2482" t="s">
        <v>11050</v>
      </c>
      <c r="AO2482">
        <v>106964</v>
      </c>
      <c r="AU2482">
        <v>1.3</v>
      </c>
      <c r="AV2482" t="s">
        <v>11480</v>
      </c>
      <c r="AW2482" t="s">
        <v>59</v>
      </c>
    </row>
    <row r="2483" spans="1:49">
      <c r="A2483" s="1">
        <f>HYPERLINK("https://cms.ls-nyc.org/matter/dynamic-profile/view/1840198","17-1840198")</f>
        <v>0</v>
      </c>
      <c r="B2483" t="s">
        <v>92</v>
      </c>
      <c r="C2483" t="s">
        <v>234</v>
      </c>
      <c r="D2483" t="s">
        <v>405</v>
      </c>
      <c r="E2483" t="s">
        <v>674</v>
      </c>
      <c r="F2483" t="s">
        <v>2079</v>
      </c>
      <c r="G2483" t="s">
        <v>3399</v>
      </c>
      <c r="H2483" t="s">
        <v>3575</v>
      </c>
      <c r="I2483">
        <v>23</v>
      </c>
      <c r="J2483" t="s">
        <v>5323</v>
      </c>
      <c r="K2483">
        <v>10040</v>
      </c>
      <c r="L2483" t="s">
        <v>5355</v>
      </c>
      <c r="M2483" t="s">
        <v>5355</v>
      </c>
      <c r="N2483" t="s">
        <v>5439</v>
      </c>
      <c r="O2483" t="s">
        <v>6494</v>
      </c>
      <c r="P2483" t="s">
        <v>6530</v>
      </c>
      <c r="Q2483" t="s">
        <v>6534</v>
      </c>
      <c r="R2483" t="s">
        <v>6539</v>
      </c>
      <c r="S2483" t="s">
        <v>5355</v>
      </c>
      <c r="U2483" t="s">
        <v>6557</v>
      </c>
      <c r="W2483" t="s">
        <v>460</v>
      </c>
      <c r="X2483">
        <v>1813.36</v>
      </c>
      <c r="Y2483" t="s">
        <v>6608</v>
      </c>
      <c r="Z2483" t="s">
        <v>6622</v>
      </c>
      <c r="AA2483" t="s">
        <v>6634</v>
      </c>
      <c r="AB2483" t="s">
        <v>8649</v>
      </c>
      <c r="AD2483" t="s">
        <v>10961</v>
      </c>
      <c r="AE2483">
        <v>45</v>
      </c>
      <c r="AF2483" t="s">
        <v>11005</v>
      </c>
      <c r="AG2483" t="s">
        <v>5406</v>
      </c>
      <c r="AH2483">
        <v>8</v>
      </c>
      <c r="AI2483">
        <v>1</v>
      </c>
      <c r="AJ2483">
        <v>2</v>
      </c>
      <c r="AK2483">
        <v>293.83</v>
      </c>
      <c r="AL2483" t="s">
        <v>301</v>
      </c>
      <c r="AN2483" t="s">
        <v>11050</v>
      </c>
      <c r="AO2483">
        <v>60000</v>
      </c>
      <c r="AU2483">
        <v>1.4</v>
      </c>
      <c r="AV2483" t="s">
        <v>674</v>
      </c>
      <c r="AW2483" t="s">
        <v>11495</v>
      </c>
    </row>
    <row r="2484" spans="1:49">
      <c r="A2484" s="1">
        <f>HYPERLINK("https://cms.ls-nyc.org/matter/dynamic-profile/view/1841621","17-1841621")</f>
        <v>0</v>
      </c>
      <c r="B2484" t="s">
        <v>80</v>
      </c>
      <c r="C2484" t="s">
        <v>234</v>
      </c>
      <c r="D2484" t="s">
        <v>497</v>
      </c>
      <c r="E2484" t="s">
        <v>652</v>
      </c>
      <c r="F2484" t="s">
        <v>1002</v>
      </c>
      <c r="G2484" t="s">
        <v>3400</v>
      </c>
      <c r="H2484" t="s">
        <v>4708</v>
      </c>
      <c r="J2484" t="s">
        <v>5321</v>
      </c>
      <c r="K2484">
        <v>10453</v>
      </c>
      <c r="L2484" t="s">
        <v>5355</v>
      </c>
      <c r="M2484" t="s">
        <v>5356</v>
      </c>
      <c r="N2484" t="s">
        <v>6453</v>
      </c>
      <c r="O2484" t="s">
        <v>6494</v>
      </c>
      <c r="P2484" t="s">
        <v>6530</v>
      </c>
      <c r="Q2484" t="s">
        <v>6534</v>
      </c>
      <c r="R2484" t="s">
        <v>6539</v>
      </c>
      <c r="S2484" t="s">
        <v>5357</v>
      </c>
      <c r="U2484" t="s">
        <v>6557</v>
      </c>
      <c r="W2484" t="s">
        <v>406</v>
      </c>
      <c r="X2484">
        <v>800</v>
      </c>
      <c r="Y2484" t="s">
        <v>6606</v>
      </c>
      <c r="Z2484" t="s">
        <v>6614</v>
      </c>
      <c r="AA2484" t="s">
        <v>6634</v>
      </c>
      <c r="AB2484" t="s">
        <v>8650</v>
      </c>
      <c r="AC2484" t="s">
        <v>5406</v>
      </c>
      <c r="AD2484" t="s">
        <v>10962</v>
      </c>
      <c r="AE2484">
        <v>18</v>
      </c>
      <c r="AF2484" t="s">
        <v>11005</v>
      </c>
      <c r="AG2484" t="s">
        <v>5406</v>
      </c>
      <c r="AH2484">
        <v>3</v>
      </c>
      <c r="AI2484">
        <v>1</v>
      </c>
      <c r="AJ2484">
        <v>1</v>
      </c>
      <c r="AK2484">
        <v>295.57</v>
      </c>
      <c r="AL2484" t="s">
        <v>11029</v>
      </c>
      <c r="AN2484" t="s">
        <v>11050</v>
      </c>
      <c r="AO2484">
        <v>48000</v>
      </c>
      <c r="AU2484">
        <v>25.95</v>
      </c>
      <c r="AV2484" t="s">
        <v>652</v>
      </c>
      <c r="AW2484" t="s">
        <v>11537</v>
      </c>
    </row>
    <row r="2485" spans="1:49">
      <c r="A2485" s="1">
        <f>HYPERLINK("https://cms.ls-nyc.org/matter/dynamic-profile/view/1891010","19-1891010")</f>
        <v>0</v>
      </c>
      <c r="B2485" t="s">
        <v>131</v>
      </c>
      <c r="C2485" t="s">
        <v>235</v>
      </c>
      <c r="D2485" t="s">
        <v>659</v>
      </c>
      <c r="F2485" t="s">
        <v>972</v>
      </c>
      <c r="G2485" t="s">
        <v>2406</v>
      </c>
      <c r="H2485" t="s">
        <v>4709</v>
      </c>
      <c r="I2485" t="s">
        <v>4838</v>
      </c>
      <c r="J2485" t="s">
        <v>5323</v>
      </c>
      <c r="K2485">
        <v>10034</v>
      </c>
      <c r="L2485" t="s">
        <v>5355</v>
      </c>
      <c r="M2485" t="s">
        <v>5355</v>
      </c>
      <c r="O2485" t="s">
        <v>6502</v>
      </c>
      <c r="P2485" t="s">
        <v>6530</v>
      </c>
      <c r="R2485" t="s">
        <v>6539</v>
      </c>
      <c r="S2485" t="s">
        <v>5357</v>
      </c>
      <c r="U2485" t="s">
        <v>6557</v>
      </c>
      <c r="V2485" t="s">
        <v>6566</v>
      </c>
      <c r="W2485" t="s">
        <v>314</v>
      </c>
      <c r="X2485">
        <v>1321</v>
      </c>
      <c r="Y2485" t="s">
        <v>6608</v>
      </c>
      <c r="Z2485" t="s">
        <v>6616</v>
      </c>
      <c r="AB2485" t="s">
        <v>8651</v>
      </c>
      <c r="AD2485" t="s">
        <v>10963</v>
      </c>
      <c r="AE2485">
        <v>50</v>
      </c>
      <c r="AF2485" t="s">
        <v>11005</v>
      </c>
      <c r="AH2485">
        <v>40</v>
      </c>
      <c r="AI2485">
        <v>2</v>
      </c>
      <c r="AJ2485">
        <v>0</v>
      </c>
      <c r="AK2485">
        <v>295.68</v>
      </c>
      <c r="AN2485" t="s">
        <v>11049</v>
      </c>
      <c r="AO2485">
        <v>50000</v>
      </c>
      <c r="AU2485">
        <v>18.17</v>
      </c>
      <c r="AV2485" t="s">
        <v>11438</v>
      </c>
      <c r="AW2485" t="s">
        <v>131</v>
      </c>
    </row>
    <row r="2486" spans="1:49">
      <c r="A2486" s="1">
        <f>HYPERLINK("https://cms.ls-nyc.org/matter/dynamic-profile/view/1856478","18-1856478")</f>
        <v>0</v>
      </c>
      <c r="B2486" t="s">
        <v>76</v>
      </c>
      <c r="C2486" t="s">
        <v>234</v>
      </c>
      <c r="D2486" t="s">
        <v>369</v>
      </c>
      <c r="E2486" t="s">
        <v>684</v>
      </c>
      <c r="F2486" t="s">
        <v>2080</v>
      </c>
      <c r="G2486" t="s">
        <v>3401</v>
      </c>
      <c r="H2486" t="s">
        <v>4710</v>
      </c>
      <c r="I2486" t="s">
        <v>4837</v>
      </c>
      <c r="J2486" t="s">
        <v>5323</v>
      </c>
      <c r="K2486">
        <v>10065</v>
      </c>
      <c r="L2486" t="s">
        <v>5355</v>
      </c>
      <c r="M2486" t="s">
        <v>5355</v>
      </c>
      <c r="N2486" t="s">
        <v>6454</v>
      </c>
      <c r="O2486" t="s">
        <v>6492</v>
      </c>
      <c r="P2486" t="s">
        <v>6530</v>
      </c>
      <c r="Q2486" t="s">
        <v>6534</v>
      </c>
      <c r="R2486" t="s">
        <v>6539</v>
      </c>
      <c r="S2486" t="s">
        <v>5357</v>
      </c>
      <c r="U2486" t="s">
        <v>6557</v>
      </c>
      <c r="V2486" t="s">
        <v>6567</v>
      </c>
      <c r="W2486" t="s">
        <v>458</v>
      </c>
      <c r="X2486">
        <v>2275</v>
      </c>
      <c r="Y2486" t="s">
        <v>6608</v>
      </c>
      <c r="Z2486" t="s">
        <v>6609</v>
      </c>
      <c r="AA2486" t="s">
        <v>6637</v>
      </c>
      <c r="AB2486" t="s">
        <v>8652</v>
      </c>
      <c r="AE2486">
        <v>20</v>
      </c>
      <c r="AF2486" t="s">
        <v>11005</v>
      </c>
      <c r="AG2486" t="s">
        <v>5406</v>
      </c>
      <c r="AH2486">
        <v>1</v>
      </c>
      <c r="AI2486">
        <v>1</v>
      </c>
      <c r="AJ2486">
        <v>0</v>
      </c>
      <c r="AK2486">
        <v>296.54</v>
      </c>
      <c r="AL2486" t="s">
        <v>11029</v>
      </c>
      <c r="AN2486" t="s">
        <v>11056</v>
      </c>
      <c r="AO2486">
        <v>36000</v>
      </c>
      <c r="AP2486" t="s">
        <v>11185</v>
      </c>
      <c r="AU2486">
        <v>10.7</v>
      </c>
      <c r="AV2486" t="s">
        <v>791</v>
      </c>
      <c r="AW2486" t="s">
        <v>83</v>
      </c>
    </row>
    <row r="2487" spans="1:49">
      <c r="A2487" s="1">
        <f>HYPERLINK("https://cms.ls-nyc.org/matter/dynamic-profile/view/0780701","15-0780701")</f>
        <v>0</v>
      </c>
      <c r="B2487" t="s">
        <v>55</v>
      </c>
      <c r="C2487" t="s">
        <v>234</v>
      </c>
      <c r="D2487" t="s">
        <v>660</v>
      </c>
      <c r="E2487" t="s">
        <v>836</v>
      </c>
      <c r="F2487" t="s">
        <v>1380</v>
      </c>
      <c r="G2487" t="s">
        <v>2278</v>
      </c>
      <c r="H2487" t="s">
        <v>4583</v>
      </c>
      <c r="I2487" t="s">
        <v>4746</v>
      </c>
      <c r="J2487" t="s">
        <v>5320</v>
      </c>
      <c r="K2487">
        <v>11216</v>
      </c>
      <c r="L2487" t="s">
        <v>5355</v>
      </c>
      <c r="M2487" t="s">
        <v>5356</v>
      </c>
      <c r="N2487" t="s">
        <v>6283</v>
      </c>
      <c r="O2487" t="s">
        <v>6521</v>
      </c>
      <c r="P2487" t="s">
        <v>6530</v>
      </c>
      <c r="Q2487" t="s">
        <v>6534</v>
      </c>
      <c r="R2487" t="s">
        <v>6539</v>
      </c>
      <c r="T2487" t="s">
        <v>6552</v>
      </c>
      <c r="U2487" t="s">
        <v>6557</v>
      </c>
      <c r="W2487" t="s">
        <v>6583</v>
      </c>
      <c r="X2487">
        <v>0</v>
      </c>
      <c r="Y2487" t="s">
        <v>6605</v>
      </c>
      <c r="AA2487" t="s">
        <v>6637</v>
      </c>
      <c r="AB2487" t="s">
        <v>8653</v>
      </c>
      <c r="AD2487" t="s">
        <v>10964</v>
      </c>
      <c r="AE2487">
        <v>16</v>
      </c>
      <c r="AF2487" t="s">
        <v>11005</v>
      </c>
      <c r="AH2487">
        <v>0</v>
      </c>
      <c r="AI2487">
        <v>1</v>
      </c>
      <c r="AJ2487">
        <v>0</v>
      </c>
      <c r="AK2487">
        <v>297.37</v>
      </c>
      <c r="AL2487" t="s">
        <v>11029</v>
      </c>
      <c r="AO2487">
        <v>35000</v>
      </c>
      <c r="AU2487">
        <v>4.45</v>
      </c>
      <c r="AV2487" t="s">
        <v>408</v>
      </c>
      <c r="AW2487" t="s">
        <v>11563</v>
      </c>
    </row>
    <row r="2488" spans="1:49">
      <c r="A2488" s="1">
        <f>HYPERLINK("https://cms.ls-nyc.org/matter/dynamic-profile/view/1885669","18-1885669")</f>
        <v>0</v>
      </c>
      <c r="B2488" t="s">
        <v>100</v>
      </c>
      <c r="C2488" t="s">
        <v>234</v>
      </c>
      <c r="D2488" t="s">
        <v>386</v>
      </c>
      <c r="E2488" t="s">
        <v>703</v>
      </c>
      <c r="F2488" t="s">
        <v>1443</v>
      </c>
      <c r="G2488" t="s">
        <v>2399</v>
      </c>
      <c r="H2488" t="s">
        <v>4694</v>
      </c>
      <c r="I2488" t="s">
        <v>5304</v>
      </c>
      <c r="J2488" t="s">
        <v>5320</v>
      </c>
      <c r="K2488">
        <v>11233</v>
      </c>
      <c r="L2488" t="s">
        <v>5355</v>
      </c>
      <c r="M2488" t="s">
        <v>5355</v>
      </c>
      <c r="P2488" t="s">
        <v>6530</v>
      </c>
      <c r="Q2488" t="s">
        <v>6535</v>
      </c>
      <c r="R2488" t="s">
        <v>6539</v>
      </c>
      <c r="U2488" t="s">
        <v>6558</v>
      </c>
      <c r="W2488" t="s">
        <v>588</v>
      </c>
      <c r="X2488">
        <v>0</v>
      </c>
      <c r="Y2488" t="s">
        <v>6605</v>
      </c>
      <c r="AA2488" t="s">
        <v>6635</v>
      </c>
      <c r="AB2488" t="s">
        <v>8654</v>
      </c>
      <c r="AE2488">
        <v>0</v>
      </c>
      <c r="AH2488">
        <v>0</v>
      </c>
      <c r="AI2488">
        <v>3</v>
      </c>
      <c r="AJ2488">
        <v>0</v>
      </c>
      <c r="AK2488">
        <v>297.57</v>
      </c>
      <c r="AN2488" t="s">
        <v>11050</v>
      </c>
      <c r="AO2488">
        <v>61836</v>
      </c>
      <c r="AU2488">
        <v>0.01</v>
      </c>
      <c r="AV2488" t="s">
        <v>386</v>
      </c>
      <c r="AW2488" t="s">
        <v>100</v>
      </c>
    </row>
    <row r="2489" spans="1:49">
      <c r="A2489" s="1">
        <f>HYPERLINK("https://cms.ls-nyc.org/matter/dynamic-profile/view/0832237","17-0832237")</f>
        <v>0</v>
      </c>
      <c r="B2489" t="s">
        <v>108</v>
      </c>
      <c r="C2489" t="s">
        <v>235</v>
      </c>
      <c r="D2489" t="s">
        <v>661</v>
      </c>
      <c r="F2489" t="s">
        <v>914</v>
      </c>
      <c r="G2489" t="s">
        <v>3402</v>
      </c>
      <c r="H2489" t="s">
        <v>4711</v>
      </c>
      <c r="I2489">
        <v>1</v>
      </c>
      <c r="J2489" t="s">
        <v>5323</v>
      </c>
      <c r="K2489">
        <v>10032</v>
      </c>
      <c r="L2489" t="s">
        <v>5355</v>
      </c>
      <c r="M2489" t="s">
        <v>5356</v>
      </c>
      <c r="O2489" t="s">
        <v>6491</v>
      </c>
      <c r="P2489" t="s">
        <v>6530</v>
      </c>
      <c r="R2489" t="s">
        <v>6539</v>
      </c>
      <c r="T2489" t="s">
        <v>6542</v>
      </c>
      <c r="U2489" t="s">
        <v>6557</v>
      </c>
      <c r="W2489" t="s">
        <v>298</v>
      </c>
      <c r="X2489">
        <v>0</v>
      </c>
      <c r="Y2489" t="s">
        <v>6608</v>
      </c>
      <c r="Z2489" t="s">
        <v>6616</v>
      </c>
      <c r="AB2489" t="s">
        <v>8655</v>
      </c>
      <c r="AD2489" t="s">
        <v>10965</v>
      </c>
      <c r="AE2489">
        <v>0</v>
      </c>
      <c r="AH2489">
        <v>5</v>
      </c>
      <c r="AI2489">
        <v>3</v>
      </c>
      <c r="AJ2489">
        <v>0</v>
      </c>
      <c r="AK2489">
        <v>300.49</v>
      </c>
      <c r="AL2489" t="s">
        <v>11029</v>
      </c>
      <c r="AN2489" t="s">
        <v>11050</v>
      </c>
      <c r="AO2489">
        <v>61360</v>
      </c>
      <c r="AU2489">
        <v>11.1</v>
      </c>
      <c r="AV2489" t="s">
        <v>730</v>
      </c>
      <c r="AW2489" t="s">
        <v>11546</v>
      </c>
    </row>
    <row r="2490" spans="1:49">
      <c r="A2490" s="1">
        <f>HYPERLINK("https://cms.ls-nyc.org/matter/dynamic-profile/view/1853221","17-1853221")</f>
        <v>0</v>
      </c>
      <c r="B2490" t="s">
        <v>203</v>
      </c>
      <c r="C2490" t="s">
        <v>234</v>
      </c>
      <c r="D2490" t="s">
        <v>289</v>
      </c>
      <c r="E2490" t="s">
        <v>704</v>
      </c>
      <c r="F2490" t="s">
        <v>2081</v>
      </c>
      <c r="G2490" t="s">
        <v>3403</v>
      </c>
      <c r="H2490" t="s">
        <v>4712</v>
      </c>
      <c r="I2490" t="s">
        <v>4776</v>
      </c>
      <c r="J2490" t="s">
        <v>5321</v>
      </c>
      <c r="K2490">
        <v>10453</v>
      </c>
      <c r="L2490" t="s">
        <v>5355</v>
      </c>
      <c r="M2490" t="s">
        <v>5356</v>
      </c>
      <c r="N2490" t="s">
        <v>6455</v>
      </c>
      <c r="O2490" t="s">
        <v>6492</v>
      </c>
      <c r="P2490" t="s">
        <v>6530</v>
      </c>
      <c r="Q2490" t="s">
        <v>6534</v>
      </c>
      <c r="R2490" t="s">
        <v>6539</v>
      </c>
      <c r="S2490" t="s">
        <v>5357</v>
      </c>
      <c r="U2490" t="s">
        <v>6557</v>
      </c>
      <c r="W2490" t="s">
        <v>332</v>
      </c>
      <c r="X2490">
        <v>1100</v>
      </c>
      <c r="Y2490" t="s">
        <v>6606</v>
      </c>
      <c r="Z2490" t="s">
        <v>6614</v>
      </c>
      <c r="AA2490" t="s">
        <v>6637</v>
      </c>
      <c r="AB2490" t="s">
        <v>8656</v>
      </c>
      <c r="AD2490" t="s">
        <v>10966</v>
      </c>
      <c r="AE2490">
        <v>47</v>
      </c>
      <c r="AF2490" t="s">
        <v>8722</v>
      </c>
      <c r="AG2490" t="s">
        <v>5406</v>
      </c>
      <c r="AH2490">
        <v>5</v>
      </c>
      <c r="AI2490">
        <v>1</v>
      </c>
      <c r="AJ2490">
        <v>1</v>
      </c>
      <c r="AK2490">
        <v>301.72</v>
      </c>
      <c r="AL2490" t="s">
        <v>11029</v>
      </c>
      <c r="AN2490" t="s">
        <v>11050</v>
      </c>
      <c r="AO2490">
        <v>49000</v>
      </c>
      <c r="AT2490" t="s">
        <v>11324</v>
      </c>
      <c r="AU2490">
        <v>17</v>
      </c>
      <c r="AV2490" t="s">
        <v>248</v>
      </c>
      <c r="AW2490" t="s">
        <v>11507</v>
      </c>
    </row>
    <row r="2491" spans="1:49">
      <c r="A2491" s="1">
        <f>HYPERLINK("https://cms.ls-nyc.org/matter/dynamic-profile/view/1842901","17-1842901")</f>
        <v>0</v>
      </c>
      <c r="B2491" t="s">
        <v>183</v>
      </c>
      <c r="C2491" t="s">
        <v>235</v>
      </c>
      <c r="D2491" t="s">
        <v>472</v>
      </c>
      <c r="F2491" t="s">
        <v>2082</v>
      </c>
      <c r="G2491" t="s">
        <v>2418</v>
      </c>
      <c r="H2491" t="s">
        <v>4713</v>
      </c>
      <c r="I2491" t="s">
        <v>5305</v>
      </c>
      <c r="J2491" t="s">
        <v>5320</v>
      </c>
      <c r="K2491">
        <v>11218</v>
      </c>
      <c r="L2491" t="s">
        <v>5355</v>
      </c>
      <c r="M2491" t="s">
        <v>5355</v>
      </c>
      <c r="N2491" t="s">
        <v>6456</v>
      </c>
      <c r="O2491" t="s">
        <v>6491</v>
      </c>
      <c r="P2491" t="s">
        <v>6530</v>
      </c>
      <c r="R2491" t="s">
        <v>6539</v>
      </c>
      <c r="U2491" t="s">
        <v>6557</v>
      </c>
      <c r="W2491" t="s">
        <v>472</v>
      </c>
      <c r="X2491">
        <v>1064.93</v>
      </c>
      <c r="Y2491" t="s">
        <v>6605</v>
      </c>
      <c r="AB2491" t="s">
        <v>8657</v>
      </c>
      <c r="AD2491" t="s">
        <v>10967</v>
      </c>
      <c r="AE2491">
        <v>46</v>
      </c>
      <c r="AF2491" t="s">
        <v>11005</v>
      </c>
      <c r="AH2491">
        <v>14</v>
      </c>
      <c r="AI2491">
        <v>1</v>
      </c>
      <c r="AJ2491">
        <v>0</v>
      </c>
      <c r="AK2491">
        <v>301.82</v>
      </c>
      <c r="AL2491" t="s">
        <v>11029</v>
      </c>
      <c r="AM2491" t="s">
        <v>11047</v>
      </c>
      <c r="AN2491" t="s">
        <v>11050</v>
      </c>
      <c r="AO2491">
        <v>36400</v>
      </c>
      <c r="AU2491">
        <v>45.85</v>
      </c>
      <c r="AV2491" t="s">
        <v>502</v>
      </c>
      <c r="AW2491" t="s">
        <v>11489</v>
      </c>
    </row>
    <row r="2492" spans="1:49">
      <c r="A2492" s="1">
        <f>HYPERLINK("https://cms.ls-nyc.org/matter/dynamic-profile/view/1849799","17-1849799")</f>
        <v>0</v>
      </c>
      <c r="B2492" t="s">
        <v>131</v>
      </c>
      <c r="C2492" t="s">
        <v>235</v>
      </c>
      <c r="D2492" t="s">
        <v>314</v>
      </c>
      <c r="F2492" t="s">
        <v>972</v>
      </c>
      <c r="G2492" t="s">
        <v>2406</v>
      </c>
      <c r="H2492" t="s">
        <v>4709</v>
      </c>
      <c r="I2492" t="s">
        <v>4838</v>
      </c>
      <c r="J2492" t="s">
        <v>5323</v>
      </c>
      <c r="K2492">
        <v>10034</v>
      </c>
      <c r="L2492" t="s">
        <v>5355</v>
      </c>
      <c r="M2492" t="s">
        <v>5356</v>
      </c>
      <c r="O2492" t="s">
        <v>6494</v>
      </c>
      <c r="P2492" t="s">
        <v>6530</v>
      </c>
      <c r="R2492" t="s">
        <v>6539</v>
      </c>
      <c r="S2492" t="s">
        <v>5355</v>
      </c>
      <c r="U2492" t="s">
        <v>6557</v>
      </c>
      <c r="W2492" t="s">
        <v>314</v>
      </c>
      <c r="X2492">
        <v>1300</v>
      </c>
      <c r="Y2492" t="s">
        <v>6608</v>
      </c>
      <c r="Z2492" t="s">
        <v>6616</v>
      </c>
      <c r="AB2492" t="s">
        <v>8651</v>
      </c>
      <c r="AD2492" t="s">
        <v>10963</v>
      </c>
      <c r="AE2492">
        <v>50</v>
      </c>
      <c r="AF2492" t="s">
        <v>11005</v>
      </c>
      <c r="AG2492" t="s">
        <v>5406</v>
      </c>
      <c r="AH2492">
        <v>40</v>
      </c>
      <c r="AI2492">
        <v>2</v>
      </c>
      <c r="AJ2492">
        <v>0</v>
      </c>
      <c r="AK2492">
        <v>307.88</v>
      </c>
      <c r="AN2492" t="s">
        <v>11049</v>
      </c>
      <c r="AO2492">
        <v>50000</v>
      </c>
      <c r="AU2492">
        <v>12.5</v>
      </c>
      <c r="AV2492" t="s">
        <v>812</v>
      </c>
      <c r="AW2492" t="s">
        <v>11495</v>
      </c>
    </row>
    <row r="2493" spans="1:49">
      <c r="A2493" s="1">
        <f>HYPERLINK("https://cms.ls-nyc.org/matter/dynamic-profile/view/1836760","17-1836760")</f>
        <v>0</v>
      </c>
      <c r="B2493" t="s">
        <v>131</v>
      </c>
      <c r="C2493" t="s">
        <v>235</v>
      </c>
      <c r="D2493" t="s">
        <v>597</v>
      </c>
      <c r="F2493" t="s">
        <v>1046</v>
      </c>
      <c r="G2493" t="s">
        <v>2105</v>
      </c>
      <c r="H2493" t="s">
        <v>4210</v>
      </c>
      <c r="I2493" t="s">
        <v>4853</v>
      </c>
      <c r="J2493" t="s">
        <v>5323</v>
      </c>
      <c r="K2493">
        <v>10040</v>
      </c>
      <c r="L2493" t="s">
        <v>5355</v>
      </c>
      <c r="M2493" t="s">
        <v>5356</v>
      </c>
      <c r="N2493">
        <v>34134667</v>
      </c>
      <c r="O2493" t="s">
        <v>6494</v>
      </c>
      <c r="P2493" t="s">
        <v>6530</v>
      </c>
      <c r="R2493" t="s">
        <v>6539</v>
      </c>
      <c r="S2493" t="s">
        <v>5355</v>
      </c>
      <c r="U2493" t="s">
        <v>6557</v>
      </c>
      <c r="W2493" t="s">
        <v>404</v>
      </c>
      <c r="X2493">
        <v>1333.78</v>
      </c>
      <c r="Y2493" t="s">
        <v>6608</v>
      </c>
      <c r="Z2493" t="s">
        <v>6622</v>
      </c>
      <c r="AB2493" t="s">
        <v>7123</v>
      </c>
      <c r="AD2493" t="s">
        <v>10968</v>
      </c>
      <c r="AE2493">
        <v>83</v>
      </c>
      <c r="AF2493" t="s">
        <v>11005</v>
      </c>
      <c r="AG2493" t="s">
        <v>5406</v>
      </c>
      <c r="AH2493">
        <v>40</v>
      </c>
      <c r="AI2493">
        <v>2</v>
      </c>
      <c r="AJ2493">
        <v>0</v>
      </c>
      <c r="AK2493">
        <v>311.58</v>
      </c>
      <c r="AL2493" t="s">
        <v>11040</v>
      </c>
      <c r="AN2493" t="s">
        <v>11049</v>
      </c>
      <c r="AO2493">
        <v>50600</v>
      </c>
      <c r="AU2493">
        <v>0</v>
      </c>
      <c r="AW2493" t="s">
        <v>11497</v>
      </c>
    </row>
    <row r="2494" spans="1:49">
      <c r="A2494" s="1">
        <f>HYPERLINK("https://cms.ls-nyc.org/matter/dynamic-profile/view/1865455","18-1865455")</f>
        <v>0</v>
      </c>
      <c r="B2494" t="s">
        <v>64</v>
      </c>
      <c r="C2494" t="s">
        <v>235</v>
      </c>
      <c r="D2494" t="s">
        <v>502</v>
      </c>
      <c r="F2494" t="s">
        <v>2083</v>
      </c>
      <c r="G2494" t="s">
        <v>3404</v>
      </c>
      <c r="H2494" t="s">
        <v>3715</v>
      </c>
      <c r="I2494" t="s">
        <v>4814</v>
      </c>
      <c r="J2494" t="s">
        <v>5323</v>
      </c>
      <c r="K2494">
        <v>10027</v>
      </c>
      <c r="L2494" t="s">
        <v>5355</v>
      </c>
      <c r="M2494" t="s">
        <v>5356</v>
      </c>
      <c r="N2494" t="s">
        <v>6457</v>
      </c>
      <c r="O2494" t="s">
        <v>6517</v>
      </c>
      <c r="P2494" t="s">
        <v>6530</v>
      </c>
      <c r="R2494" t="s">
        <v>6539</v>
      </c>
      <c r="S2494" t="s">
        <v>5355</v>
      </c>
      <c r="T2494" t="s">
        <v>6542</v>
      </c>
      <c r="U2494" t="s">
        <v>6557</v>
      </c>
      <c r="W2494" t="s">
        <v>502</v>
      </c>
      <c r="X2494">
        <v>0</v>
      </c>
      <c r="Y2494" t="s">
        <v>6608</v>
      </c>
      <c r="Z2494" t="s">
        <v>6614</v>
      </c>
      <c r="AB2494" t="s">
        <v>8658</v>
      </c>
      <c r="AD2494" t="s">
        <v>10969</v>
      </c>
      <c r="AE2494">
        <v>17</v>
      </c>
      <c r="AF2494" t="s">
        <v>11005</v>
      </c>
      <c r="AG2494" t="s">
        <v>5406</v>
      </c>
      <c r="AH2494">
        <v>25</v>
      </c>
      <c r="AI2494">
        <v>2</v>
      </c>
      <c r="AJ2494">
        <v>1</v>
      </c>
      <c r="AK2494">
        <v>312.8</v>
      </c>
      <c r="AL2494" t="s">
        <v>11029</v>
      </c>
      <c r="AN2494" t="s">
        <v>11050</v>
      </c>
      <c r="AO2494">
        <v>80600</v>
      </c>
      <c r="AU2494">
        <v>10.1</v>
      </c>
      <c r="AV2494" t="s">
        <v>11438</v>
      </c>
      <c r="AW2494" t="s">
        <v>11494</v>
      </c>
    </row>
    <row r="2495" spans="1:49">
      <c r="A2495" s="1">
        <f>HYPERLINK("https://cms.ls-nyc.org/matter/dynamic-profile/view/1861146","18-1861146")</f>
        <v>0</v>
      </c>
      <c r="B2495" t="s">
        <v>179</v>
      </c>
      <c r="C2495" t="s">
        <v>235</v>
      </c>
      <c r="D2495" t="s">
        <v>259</v>
      </c>
      <c r="F2495" t="s">
        <v>892</v>
      </c>
      <c r="G2495" t="s">
        <v>3405</v>
      </c>
      <c r="H2495" t="s">
        <v>4083</v>
      </c>
      <c r="I2495" t="s">
        <v>5306</v>
      </c>
      <c r="J2495" t="s">
        <v>5320</v>
      </c>
      <c r="K2495">
        <v>11226</v>
      </c>
      <c r="L2495" t="s">
        <v>5355</v>
      </c>
      <c r="M2495" t="s">
        <v>5356</v>
      </c>
      <c r="N2495" t="s">
        <v>6064</v>
      </c>
      <c r="O2495" t="s">
        <v>6516</v>
      </c>
      <c r="P2495" t="s">
        <v>6530</v>
      </c>
      <c r="R2495" t="s">
        <v>6539</v>
      </c>
      <c r="S2495" t="s">
        <v>5355</v>
      </c>
      <c r="T2495" t="s">
        <v>6545</v>
      </c>
      <c r="U2495" t="s">
        <v>6557</v>
      </c>
      <c r="W2495" t="s">
        <v>6575</v>
      </c>
      <c r="X2495">
        <v>0</v>
      </c>
      <c r="Y2495" t="s">
        <v>6605</v>
      </c>
      <c r="Z2495" t="s">
        <v>6612</v>
      </c>
      <c r="AB2495" t="s">
        <v>7037</v>
      </c>
      <c r="AD2495" t="s">
        <v>10970</v>
      </c>
      <c r="AE2495">
        <v>61</v>
      </c>
      <c r="AF2495" t="s">
        <v>11005</v>
      </c>
      <c r="AG2495" t="s">
        <v>5406</v>
      </c>
      <c r="AH2495">
        <v>22</v>
      </c>
      <c r="AI2495">
        <v>2</v>
      </c>
      <c r="AJ2495">
        <v>1</v>
      </c>
      <c r="AK2495">
        <v>317.61</v>
      </c>
      <c r="AL2495" t="s">
        <v>11029</v>
      </c>
      <c r="AN2495" t="s">
        <v>11050</v>
      </c>
      <c r="AO2495">
        <v>66000</v>
      </c>
      <c r="AU2495">
        <v>0</v>
      </c>
      <c r="AW2495" t="s">
        <v>11490</v>
      </c>
    </row>
    <row r="2496" spans="1:49">
      <c r="A2496" s="1">
        <f>HYPERLINK("https://cms.ls-nyc.org/matter/dynamic-profile/view/1862652","18-1862652")</f>
        <v>0</v>
      </c>
      <c r="B2496" t="s">
        <v>179</v>
      </c>
      <c r="C2496" t="s">
        <v>235</v>
      </c>
      <c r="D2496" t="s">
        <v>408</v>
      </c>
      <c r="F2496" t="s">
        <v>892</v>
      </c>
      <c r="G2496" t="s">
        <v>3405</v>
      </c>
      <c r="H2496" t="s">
        <v>4083</v>
      </c>
      <c r="I2496" t="s">
        <v>5306</v>
      </c>
      <c r="J2496" t="s">
        <v>5320</v>
      </c>
      <c r="K2496">
        <v>11226</v>
      </c>
      <c r="L2496" t="s">
        <v>5355</v>
      </c>
      <c r="M2496" t="s">
        <v>5356</v>
      </c>
      <c r="N2496" t="s">
        <v>6458</v>
      </c>
      <c r="O2496" t="s">
        <v>6499</v>
      </c>
      <c r="P2496" t="s">
        <v>6530</v>
      </c>
      <c r="R2496" t="s">
        <v>6539</v>
      </c>
      <c r="S2496" t="s">
        <v>5355</v>
      </c>
      <c r="T2496" t="s">
        <v>6545</v>
      </c>
      <c r="U2496" t="s">
        <v>6557</v>
      </c>
      <c r="W2496" t="s">
        <v>516</v>
      </c>
      <c r="X2496">
        <v>0</v>
      </c>
      <c r="Y2496" t="s">
        <v>6605</v>
      </c>
      <c r="Z2496" t="s">
        <v>6612</v>
      </c>
      <c r="AB2496" t="s">
        <v>7037</v>
      </c>
      <c r="AD2496" t="s">
        <v>10970</v>
      </c>
      <c r="AE2496">
        <v>61</v>
      </c>
      <c r="AF2496" t="s">
        <v>11005</v>
      </c>
      <c r="AH2496">
        <v>22</v>
      </c>
      <c r="AI2496">
        <v>2</v>
      </c>
      <c r="AJ2496">
        <v>1</v>
      </c>
      <c r="AK2496">
        <v>317.61</v>
      </c>
      <c r="AN2496" t="s">
        <v>11050</v>
      </c>
      <c r="AO2496">
        <v>99000</v>
      </c>
      <c r="AU2496">
        <v>0.5</v>
      </c>
      <c r="AV2496" t="s">
        <v>288</v>
      </c>
      <c r="AW2496" t="s">
        <v>11490</v>
      </c>
    </row>
    <row r="2497" spans="1:49">
      <c r="A2497" s="1">
        <f>HYPERLINK("https://cms.ls-nyc.org/matter/dynamic-profile/view/1862998","18-1862998")</f>
        <v>0</v>
      </c>
      <c r="B2497" t="s">
        <v>90</v>
      </c>
      <c r="C2497" t="s">
        <v>234</v>
      </c>
      <c r="D2497" t="s">
        <v>369</v>
      </c>
      <c r="E2497" t="s">
        <v>713</v>
      </c>
      <c r="F2497" t="s">
        <v>1171</v>
      </c>
      <c r="G2497" t="s">
        <v>2890</v>
      </c>
      <c r="H2497" t="s">
        <v>3549</v>
      </c>
      <c r="I2497" t="s">
        <v>4838</v>
      </c>
      <c r="J2497" t="s">
        <v>5321</v>
      </c>
      <c r="K2497">
        <v>10452</v>
      </c>
      <c r="L2497" t="s">
        <v>5355</v>
      </c>
      <c r="M2497" t="s">
        <v>5355</v>
      </c>
      <c r="N2497" t="s">
        <v>5740</v>
      </c>
      <c r="O2497" t="s">
        <v>6494</v>
      </c>
      <c r="P2497" t="s">
        <v>6530</v>
      </c>
      <c r="Q2497" t="s">
        <v>6534</v>
      </c>
      <c r="R2497" t="s">
        <v>6539</v>
      </c>
      <c r="S2497" t="s">
        <v>5355</v>
      </c>
      <c r="U2497" t="s">
        <v>6557</v>
      </c>
      <c r="W2497" t="s">
        <v>480</v>
      </c>
      <c r="X2497">
        <v>1575</v>
      </c>
      <c r="Y2497" t="s">
        <v>6606</v>
      </c>
      <c r="Z2497" t="s">
        <v>6612</v>
      </c>
      <c r="AA2497" t="s">
        <v>6634</v>
      </c>
      <c r="AB2497" t="s">
        <v>7760</v>
      </c>
      <c r="AD2497" t="s">
        <v>10111</v>
      </c>
      <c r="AE2497">
        <v>52</v>
      </c>
      <c r="AF2497" t="s">
        <v>11005</v>
      </c>
      <c r="AG2497" t="s">
        <v>5406</v>
      </c>
      <c r="AH2497">
        <v>2</v>
      </c>
      <c r="AI2497">
        <v>3</v>
      </c>
      <c r="AJ2497">
        <v>0</v>
      </c>
      <c r="AK2497">
        <v>317.61</v>
      </c>
      <c r="AN2497" t="s">
        <v>11050</v>
      </c>
      <c r="AO2497">
        <v>66000</v>
      </c>
      <c r="AU2497">
        <v>1.9</v>
      </c>
      <c r="AV2497" t="s">
        <v>713</v>
      </c>
      <c r="AW2497" t="s">
        <v>59</v>
      </c>
    </row>
    <row r="2498" spans="1:49">
      <c r="A2498" s="1">
        <f>HYPERLINK("https://cms.ls-nyc.org/matter/dynamic-profile/view/0831470","17-0831470")</f>
        <v>0</v>
      </c>
      <c r="B2498" t="s">
        <v>129</v>
      </c>
      <c r="C2498" t="s">
        <v>234</v>
      </c>
      <c r="D2498" t="s">
        <v>642</v>
      </c>
      <c r="E2498" t="s">
        <v>398</v>
      </c>
      <c r="F2498" t="s">
        <v>988</v>
      </c>
      <c r="G2498" t="s">
        <v>3406</v>
      </c>
      <c r="H2498" t="s">
        <v>4361</v>
      </c>
      <c r="I2498" t="s">
        <v>4783</v>
      </c>
      <c r="J2498" t="s">
        <v>5321</v>
      </c>
      <c r="K2498">
        <v>10453</v>
      </c>
      <c r="L2498" t="s">
        <v>5355</v>
      </c>
      <c r="M2498" t="s">
        <v>5356</v>
      </c>
      <c r="N2498" t="s">
        <v>5968</v>
      </c>
      <c r="O2498" t="s">
        <v>6494</v>
      </c>
      <c r="P2498" t="s">
        <v>6530</v>
      </c>
      <c r="Q2498" t="s">
        <v>6538</v>
      </c>
      <c r="R2498" t="s">
        <v>6539</v>
      </c>
      <c r="S2498" t="s">
        <v>5355</v>
      </c>
      <c r="U2498" t="s">
        <v>6557</v>
      </c>
      <c r="W2498" t="s">
        <v>406</v>
      </c>
      <c r="X2498">
        <v>1000</v>
      </c>
      <c r="Y2498" t="s">
        <v>6606</v>
      </c>
      <c r="Z2498" t="s">
        <v>6616</v>
      </c>
      <c r="AA2498" t="s">
        <v>6634</v>
      </c>
      <c r="AB2498" t="s">
        <v>8323</v>
      </c>
      <c r="AD2498" t="s">
        <v>10971</v>
      </c>
      <c r="AE2498">
        <v>111</v>
      </c>
      <c r="AF2498" t="s">
        <v>11005</v>
      </c>
      <c r="AG2498" t="s">
        <v>5406</v>
      </c>
      <c r="AH2498">
        <v>40</v>
      </c>
      <c r="AI2498">
        <v>2</v>
      </c>
      <c r="AJ2498">
        <v>0</v>
      </c>
      <c r="AK2498">
        <v>326.35</v>
      </c>
      <c r="AN2498" t="s">
        <v>11050</v>
      </c>
      <c r="AO2498">
        <v>53000</v>
      </c>
      <c r="AU2498">
        <v>0.2</v>
      </c>
      <c r="AV2498" t="s">
        <v>398</v>
      </c>
      <c r="AW2498" t="s">
        <v>11509</v>
      </c>
    </row>
    <row r="2499" spans="1:49">
      <c r="A2499" s="1">
        <f>HYPERLINK("https://cms.ls-nyc.org/matter/dynamic-profile/view/1861203","18-1861203")</f>
        <v>0</v>
      </c>
      <c r="B2499" t="s">
        <v>179</v>
      </c>
      <c r="C2499" t="s">
        <v>235</v>
      </c>
      <c r="D2499" t="s">
        <v>259</v>
      </c>
      <c r="F2499" t="s">
        <v>2084</v>
      </c>
      <c r="G2499" t="s">
        <v>2106</v>
      </c>
      <c r="H2499" t="s">
        <v>4083</v>
      </c>
      <c r="I2499" t="s">
        <v>5290</v>
      </c>
      <c r="J2499" t="s">
        <v>5320</v>
      </c>
      <c r="K2499">
        <v>11226</v>
      </c>
      <c r="L2499" t="s">
        <v>5355</v>
      </c>
      <c r="M2499" t="s">
        <v>5356</v>
      </c>
      <c r="N2499" t="s">
        <v>6064</v>
      </c>
      <c r="O2499" t="s">
        <v>6516</v>
      </c>
      <c r="P2499" t="s">
        <v>6530</v>
      </c>
      <c r="R2499" t="s">
        <v>6539</v>
      </c>
      <c r="S2499" t="s">
        <v>5355</v>
      </c>
      <c r="T2499" t="s">
        <v>6545</v>
      </c>
      <c r="U2499" t="s">
        <v>6557</v>
      </c>
      <c r="W2499" t="s">
        <v>6575</v>
      </c>
      <c r="X2499">
        <v>0</v>
      </c>
      <c r="Y2499" t="s">
        <v>6605</v>
      </c>
      <c r="Z2499" t="s">
        <v>6612</v>
      </c>
      <c r="AB2499" t="s">
        <v>8620</v>
      </c>
      <c r="AD2499" t="s">
        <v>10972</v>
      </c>
      <c r="AE2499">
        <v>61</v>
      </c>
      <c r="AF2499" t="s">
        <v>11005</v>
      </c>
      <c r="AH2499">
        <v>41</v>
      </c>
      <c r="AI2499">
        <v>3</v>
      </c>
      <c r="AJ2499">
        <v>0</v>
      </c>
      <c r="AK2499">
        <v>327.24</v>
      </c>
      <c r="AL2499" t="s">
        <v>11029</v>
      </c>
      <c r="AN2499" t="s">
        <v>11050</v>
      </c>
      <c r="AO2499">
        <v>68000</v>
      </c>
      <c r="AU2499">
        <v>0</v>
      </c>
      <c r="AW2499" t="s">
        <v>11490</v>
      </c>
    </row>
    <row r="2500" spans="1:49">
      <c r="A2500" s="1">
        <f>HYPERLINK("https://cms.ls-nyc.org/matter/dynamic-profile/view/1862641","18-1862641")</f>
        <v>0</v>
      </c>
      <c r="B2500" t="s">
        <v>179</v>
      </c>
      <c r="C2500" t="s">
        <v>235</v>
      </c>
      <c r="D2500" t="s">
        <v>408</v>
      </c>
      <c r="F2500" t="s">
        <v>2084</v>
      </c>
      <c r="G2500" t="s">
        <v>2106</v>
      </c>
      <c r="H2500" t="s">
        <v>4083</v>
      </c>
      <c r="I2500" t="s">
        <v>5290</v>
      </c>
      <c r="J2500" t="s">
        <v>5320</v>
      </c>
      <c r="K2500">
        <v>11226</v>
      </c>
      <c r="L2500" t="s">
        <v>5355</v>
      </c>
      <c r="M2500" t="s">
        <v>5356</v>
      </c>
      <c r="N2500" t="s">
        <v>6459</v>
      </c>
      <c r="O2500" t="s">
        <v>6499</v>
      </c>
      <c r="P2500" t="s">
        <v>6530</v>
      </c>
      <c r="R2500" t="s">
        <v>6539</v>
      </c>
      <c r="S2500" t="s">
        <v>5355</v>
      </c>
      <c r="T2500" t="s">
        <v>6545</v>
      </c>
      <c r="U2500" t="s">
        <v>6557</v>
      </c>
      <c r="W2500" t="s">
        <v>408</v>
      </c>
      <c r="X2500">
        <v>0</v>
      </c>
      <c r="Y2500" t="s">
        <v>6605</v>
      </c>
      <c r="Z2500" t="s">
        <v>6612</v>
      </c>
      <c r="AB2500" t="s">
        <v>8620</v>
      </c>
      <c r="AD2500" t="s">
        <v>10972</v>
      </c>
      <c r="AE2500">
        <v>61</v>
      </c>
      <c r="AF2500" t="s">
        <v>11005</v>
      </c>
      <c r="AH2500">
        <v>41</v>
      </c>
      <c r="AI2500">
        <v>3</v>
      </c>
      <c r="AJ2500">
        <v>0</v>
      </c>
      <c r="AK2500">
        <v>327.24</v>
      </c>
      <c r="AL2500" t="s">
        <v>11029</v>
      </c>
      <c r="AN2500" t="s">
        <v>11050</v>
      </c>
      <c r="AO2500">
        <v>77000</v>
      </c>
      <c r="AU2500">
        <v>0.5</v>
      </c>
      <c r="AV2500" t="s">
        <v>288</v>
      </c>
      <c r="AW2500" t="s">
        <v>11490</v>
      </c>
    </row>
    <row r="2501" spans="1:49">
      <c r="A2501" s="1">
        <f>HYPERLINK("https://cms.ls-nyc.org/matter/dynamic-profile/view/1850555","17-1850555")</f>
        <v>0</v>
      </c>
      <c r="B2501" t="s">
        <v>97</v>
      </c>
      <c r="C2501" t="s">
        <v>235</v>
      </c>
      <c r="D2501" t="s">
        <v>333</v>
      </c>
      <c r="F2501" t="s">
        <v>1450</v>
      </c>
      <c r="G2501" t="s">
        <v>3407</v>
      </c>
      <c r="H2501" t="s">
        <v>4015</v>
      </c>
      <c r="I2501">
        <v>55</v>
      </c>
      <c r="J2501" t="s">
        <v>5323</v>
      </c>
      <c r="K2501">
        <v>10034</v>
      </c>
      <c r="L2501" t="s">
        <v>5355</v>
      </c>
      <c r="M2501" t="s">
        <v>5356</v>
      </c>
      <c r="O2501" t="s">
        <v>6491</v>
      </c>
      <c r="P2501" t="s">
        <v>6530</v>
      </c>
      <c r="R2501" t="s">
        <v>6539</v>
      </c>
      <c r="S2501" t="s">
        <v>5357</v>
      </c>
      <c r="T2501" t="s">
        <v>6542</v>
      </c>
      <c r="U2501" t="s">
        <v>6557</v>
      </c>
      <c r="W2501" t="s">
        <v>262</v>
      </c>
      <c r="X2501">
        <v>743.1</v>
      </c>
      <c r="Y2501" t="s">
        <v>6608</v>
      </c>
      <c r="Z2501" t="s">
        <v>6614</v>
      </c>
      <c r="AB2501" t="s">
        <v>8659</v>
      </c>
      <c r="AD2501" t="s">
        <v>10973</v>
      </c>
      <c r="AE2501">
        <v>30</v>
      </c>
      <c r="AF2501" t="s">
        <v>11006</v>
      </c>
      <c r="AG2501" t="s">
        <v>5406</v>
      </c>
      <c r="AH2501">
        <v>34</v>
      </c>
      <c r="AI2501">
        <v>1</v>
      </c>
      <c r="AJ2501">
        <v>0</v>
      </c>
      <c r="AK2501">
        <v>327.36</v>
      </c>
      <c r="AL2501" t="s">
        <v>11029</v>
      </c>
      <c r="AN2501" t="s">
        <v>11049</v>
      </c>
      <c r="AO2501">
        <v>39480</v>
      </c>
      <c r="AU2501">
        <v>23.4</v>
      </c>
      <c r="AV2501" t="s">
        <v>268</v>
      </c>
      <c r="AW2501" t="s">
        <v>11495</v>
      </c>
    </row>
    <row r="2502" spans="1:49">
      <c r="A2502" s="1">
        <f>HYPERLINK("https://cms.ls-nyc.org/matter/dynamic-profile/view/1863578","18-1863578")</f>
        <v>0</v>
      </c>
      <c r="B2502" t="s">
        <v>76</v>
      </c>
      <c r="C2502" t="s">
        <v>234</v>
      </c>
      <c r="D2502" t="s">
        <v>373</v>
      </c>
      <c r="E2502" t="s">
        <v>761</v>
      </c>
      <c r="F2502" t="s">
        <v>2085</v>
      </c>
      <c r="G2502" t="s">
        <v>3408</v>
      </c>
      <c r="H2502" t="s">
        <v>3713</v>
      </c>
      <c r="I2502">
        <v>8</v>
      </c>
      <c r="J2502" t="s">
        <v>5323</v>
      </c>
      <c r="K2502">
        <v>10029</v>
      </c>
      <c r="L2502" t="s">
        <v>5355</v>
      </c>
      <c r="M2502" t="s">
        <v>5356</v>
      </c>
      <c r="N2502" t="s">
        <v>6460</v>
      </c>
      <c r="O2502" t="s">
        <v>6491</v>
      </c>
      <c r="P2502" t="s">
        <v>6530</v>
      </c>
      <c r="Q2502" t="s">
        <v>6534</v>
      </c>
      <c r="R2502" t="s">
        <v>6539</v>
      </c>
      <c r="S2502" t="s">
        <v>5357</v>
      </c>
      <c r="U2502" t="s">
        <v>6557</v>
      </c>
      <c r="W2502" t="s">
        <v>373</v>
      </c>
      <c r="X2502">
        <v>866.6900000000001</v>
      </c>
      <c r="Y2502" t="s">
        <v>6608</v>
      </c>
      <c r="Z2502" t="s">
        <v>6625</v>
      </c>
      <c r="AA2502" t="s">
        <v>6637</v>
      </c>
      <c r="AB2502" t="s">
        <v>8660</v>
      </c>
      <c r="AD2502" t="s">
        <v>10974</v>
      </c>
      <c r="AE2502">
        <v>8</v>
      </c>
      <c r="AF2502" t="s">
        <v>11005</v>
      </c>
      <c r="AG2502" t="s">
        <v>5406</v>
      </c>
      <c r="AH2502">
        <v>20</v>
      </c>
      <c r="AI2502">
        <v>2</v>
      </c>
      <c r="AJ2502">
        <v>3</v>
      </c>
      <c r="AK2502">
        <v>327.67</v>
      </c>
      <c r="AL2502" t="s">
        <v>11029</v>
      </c>
      <c r="AN2502" t="s">
        <v>11060</v>
      </c>
      <c r="AO2502">
        <v>96400</v>
      </c>
      <c r="AR2502" t="s">
        <v>11213</v>
      </c>
      <c r="AS2502" t="s">
        <v>11255</v>
      </c>
      <c r="AT2502" t="s">
        <v>11422</v>
      </c>
      <c r="AU2502">
        <v>0.6</v>
      </c>
      <c r="AV2502" t="s">
        <v>770</v>
      </c>
      <c r="AW2502" t="s">
        <v>11497</v>
      </c>
    </row>
    <row r="2503" spans="1:49">
      <c r="A2503" s="1">
        <f>HYPERLINK("https://cms.ls-nyc.org/matter/dynamic-profile/view/1866332","18-1866332")</f>
        <v>0</v>
      </c>
      <c r="B2503" t="s">
        <v>148</v>
      </c>
      <c r="C2503" t="s">
        <v>234</v>
      </c>
      <c r="D2503" t="s">
        <v>391</v>
      </c>
      <c r="E2503" t="s">
        <v>735</v>
      </c>
      <c r="F2503" t="s">
        <v>2086</v>
      </c>
      <c r="G2503" t="s">
        <v>2133</v>
      </c>
      <c r="H2503" t="s">
        <v>4470</v>
      </c>
      <c r="I2503" t="s">
        <v>5307</v>
      </c>
      <c r="J2503" t="s">
        <v>5322</v>
      </c>
      <c r="K2503">
        <v>10301</v>
      </c>
      <c r="L2503" t="s">
        <v>5355</v>
      </c>
      <c r="M2503" t="s">
        <v>5356</v>
      </c>
      <c r="N2503" t="s">
        <v>6461</v>
      </c>
      <c r="O2503" t="s">
        <v>6492</v>
      </c>
      <c r="P2503" t="s">
        <v>6530</v>
      </c>
      <c r="Q2503" t="s">
        <v>6534</v>
      </c>
      <c r="R2503" t="s">
        <v>6539</v>
      </c>
      <c r="S2503" t="s">
        <v>5357</v>
      </c>
      <c r="U2503" t="s">
        <v>6560</v>
      </c>
      <c r="W2503" t="s">
        <v>391</v>
      </c>
      <c r="X2503">
        <v>2400</v>
      </c>
      <c r="Y2503" t="s">
        <v>6607</v>
      </c>
      <c r="Z2503" t="s">
        <v>6612</v>
      </c>
      <c r="AA2503" t="s">
        <v>6637</v>
      </c>
      <c r="AB2503" t="s">
        <v>8661</v>
      </c>
      <c r="AC2503" t="s">
        <v>5406</v>
      </c>
      <c r="AD2503" t="s">
        <v>10975</v>
      </c>
      <c r="AE2503">
        <v>452</v>
      </c>
      <c r="AF2503" t="s">
        <v>11008</v>
      </c>
      <c r="AG2503" t="s">
        <v>11020</v>
      </c>
      <c r="AH2503">
        <v>6</v>
      </c>
      <c r="AI2503">
        <v>1</v>
      </c>
      <c r="AJ2503">
        <v>1</v>
      </c>
      <c r="AK2503">
        <v>328.07</v>
      </c>
      <c r="AL2503" t="s">
        <v>11029</v>
      </c>
      <c r="AN2503" t="s">
        <v>11050</v>
      </c>
      <c r="AO2503">
        <v>54000</v>
      </c>
      <c r="AU2503">
        <v>10</v>
      </c>
      <c r="AV2503" t="s">
        <v>735</v>
      </c>
      <c r="AW2503" t="s">
        <v>140</v>
      </c>
    </row>
    <row r="2504" spans="1:49">
      <c r="A2504" s="1">
        <f>HYPERLINK("https://cms.ls-nyc.org/matter/dynamic-profile/view/1870588","18-1870588")</f>
        <v>0</v>
      </c>
      <c r="B2504" t="s">
        <v>88</v>
      </c>
      <c r="C2504" t="s">
        <v>234</v>
      </c>
      <c r="D2504" t="s">
        <v>474</v>
      </c>
      <c r="E2504" t="s">
        <v>790</v>
      </c>
      <c r="F2504" t="s">
        <v>988</v>
      </c>
      <c r="G2504" t="s">
        <v>2270</v>
      </c>
      <c r="H2504" t="s">
        <v>4473</v>
      </c>
      <c r="I2504" t="s">
        <v>5308</v>
      </c>
      <c r="J2504" t="s">
        <v>5320</v>
      </c>
      <c r="K2504">
        <v>11217</v>
      </c>
      <c r="L2504" t="s">
        <v>5355</v>
      </c>
      <c r="M2504" t="s">
        <v>5355</v>
      </c>
      <c r="N2504" t="s">
        <v>6462</v>
      </c>
      <c r="O2504" t="s">
        <v>6491</v>
      </c>
      <c r="P2504" t="s">
        <v>6530</v>
      </c>
      <c r="Q2504" t="s">
        <v>6534</v>
      </c>
      <c r="R2504" t="s">
        <v>6539</v>
      </c>
      <c r="S2504" t="s">
        <v>5355</v>
      </c>
      <c r="U2504" t="s">
        <v>6557</v>
      </c>
      <c r="W2504" t="s">
        <v>275</v>
      </c>
      <c r="X2504">
        <v>0</v>
      </c>
      <c r="Y2504" t="s">
        <v>6605</v>
      </c>
      <c r="AA2504" t="s">
        <v>6633</v>
      </c>
      <c r="AB2504" t="s">
        <v>8662</v>
      </c>
      <c r="AE2504">
        <v>0</v>
      </c>
      <c r="AH2504">
        <v>0</v>
      </c>
      <c r="AI2504">
        <v>1</v>
      </c>
      <c r="AJ2504">
        <v>0</v>
      </c>
      <c r="AK2504">
        <v>329.49</v>
      </c>
      <c r="AN2504" t="s">
        <v>11050</v>
      </c>
      <c r="AO2504">
        <v>40000</v>
      </c>
      <c r="AQ2504" t="s">
        <v>11192</v>
      </c>
      <c r="AR2504" t="s">
        <v>6493</v>
      </c>
      <c r="AS2504" t="s">
        <v>11252</v>
      </c>
      <c r="AT2504" t="s">
        <v>11292</v>
      </c>
      <c r="AU2504">
        <v>7.8</v>
      </c>
      <c r="AV2504" t="s">
        <v>805</v>
      </c>
      <c r="AW2504" t="s">
        <v>88</v>
      </c>
    </row>
    <row r="2505" spans="1:49">
      <c r="A2505" s="1">
        <f>HYPERLINK("https://cms.ls-nyc.org/matter/dynamic-profile/view/1862189","18-1862189")</f>
        <v>0</v>
      </c>
      <c r="B2505" t="s">
        <v>132</v>
      </c>
      <c r="C2505" t="s">
        <v>234</v>
      </c>
      <c r="D2505" t="s">
        <v>331</v>
      </c>
      <c r="E2505" t="s">
        <v>728</v>
      </c>
      <c r="F2505" t="s">
        <v>903</v>
      </c>
      <c r="G2505" t="s">
        <v>2231</v>
      </c>
      <c r="H2505" t="s">
        <v>4714</v>
      </c>
      <c r="I2505" t="s">
        <v>4816</v>
      </c>
      <c r="J2505" t="s">
        <v>5323</v>
      </c>
      <c r="K2505">
        <v>10031</v>
      </c>
      <c r="L2505" t="s">
        <v>5355</v>
      </c>
      <c r="M2505" t="s">
        <v>5356</v>
      </c>
      <c r="N2505" t="s">
        <v>6463</v>
      </c>
      <c r="O2505" t="s">
        <v>6494</v>
      </c>
      <c r="P2505" t="s">
        <v>6530</v>
      </c>
      <c r="Q2505" t="s">
        <v>6534</v>
      </c>
      <c r="R2505" t="s">
        <v>6539</v>
      </c>
      <c r="S2505" t="s">
        <v>5357</v>
      </c>
      <c r="T2505" t="s">
        <v>6542</v>
      </c>
      <c r="U2505" t="s">
        <v>6557</v>
      </c>
      <c r="W2505" t="s">
        <v>298</v>
      </c>
      <c r="X2505">
        <v>1040</v>
      </c>
      <c r="Y2505" t="s">
        <v>6608</v>
      </c>
      <c r="Z2505" t="s">
        <v>6616</v>
      </c>
      <c r="AA2505" t="s">
        <v>6634</v>
      </c>
      <c r="AB2505" t="s">
        <v>8663</v>
      </c>
      <c r="AD2505" t="s">
        <v>10976</v>
      </c>
      <c r="AE2505">
        <v>51</v>
      </c>
      <c r="AF2505" t="s">
        <v>11005</v>
      </c>
      <c r="AG2505" t="s">
        <v>5406</v>
      </c>
      <c r="AH2505">
        <v>20</v>
      </c>
      <c r="AI2505">
        <v>1</v>
      </c>
      <c r="AJ2505">
        <v>0</v>
      </c>
      <c r="AK2505">
        <v>329.49</v>
      </c>
      <c r="AL2505" t="s">
        <v>11029</v>
      </c>
      <c r="AN2505" t="s">
        <v>11050</v>
      </c>
      <c r="AO2505">
        <v>40000</v>
      </c>
      <c r="AU2505">
        <v>3.85</v>
      </c>
      <c r="AV2505" t="s">
        <v>664</v>
      </c>
      <c r="AW2505" t="s">
        <v>11495</v>
      </c>
    </row>
    <row r="2506" spans="1:49">
      <c r="A2506" s="1">
        <f>HYPERLINK("https://cms.ls-nyc.org/matter/dynamic-profile/view/1857067","18-1857067")</f>
        <v>0</v>
      </c>
      <c r="B2506" t="s">
        <v>226</v>
      </c>
      <c r="C2506" t="s">
        <v>234</v>
      </c>
      <c r="D2506" t="s">
        <v>286</v>
      </c>
      <c r="E2506" t="s">
        <v>699</v>
      </c>
      <c r="F2506" t="s">
        <v>1419</v>
      </c>
      <c r="G2506" t="s">
        <v>3409</v>
      </c>
      <c r="H2506" t="s">
        <v>4715</v>
      </c>
      <c r="I2506" t="s">
        <v>5309</v>
      </c>
      <c r="J2506" t="s">
        <v>5320</v>
      </c>
      <c r="K2506">
        <v>11201</v>
      </c>
      <c r="L2506" t="s">
        <v>5355</v>
      </c>
      <c r="M2506" t="s">
        <v>5355</v>
      </c>
      <c r="N2506" t="s">
        <v>6464</v>
      </c>
      <c r="O2506" t="s">
        <v>6492</v>
      </c>
      <c r="P2506" t="s">
        <v>6530</v>
      </c>
      <c r="Q2506" t="s">
        <v>6534</v>
      </c>
      <c r="R2506" t="s">
        <v>6539</v>
      </c>
      <c r="S2506" t="s">
        <v>5357</v>
      </c>
      <c r="U2506" t="s">
        <v>6557</v>
      </c>
      <c r="W2506" t="s">
        <v>516</v>
      </c>
      <c r="X2506">
        <v>0</v>
      </c>
      <c r="Y2506" t="s">
        <v>6605</v>
      </c>
      <c r="AA2506" t="s">
        <v>6637</v>
      </c>
      <c r="AB2506" t="s">
        <v>8664</v>
      </c>
      <c r="AE2506">
        <v>0</v>
      </c>
      <c r="AH2506">
        <v>0</v>
      </c>
      <c r="AI2506">
        <v>1</v>
      </c>
      <c r="AJ2506">
        <v>0</v>
      </c>
      <c r="AK2506">
        <v>331.67</v>
      </c>
      <c r="AL2506" t="s">
        <v>622</v>
      </c>
      <c r="AN2506" t="s">
        <v>11050</v>
      </c>
      <c r="AO2506">
        <v>40000</v>
      </c>
      <c r="AR2506" t="s">
        <v>11210</v>
      </c>
      <c r="AS2506" t="s">
        <v>11253</v>
      </c>
      <c r="AT2506" t="s">
        <v>11354</v>
      </c>
      <c r="AU2506">
        <v>15.1</v>
      </c>
      <c r="AV2506" t="s">
        <v>236</v>
      </c>
      <c r="AW2506" t="s">
        <v>11487</v>
      </c>
    </row>
    <row r="2507" spans="1:49">
      <c r="A2507" s="1">
        <f>HYPERLINK("https://cms.ls-nyc.org/matter/dynamic-profile/view/1857861","18-1857861")</f>
        <v>0</v>
      </c>
      <c r="B2507" t="s">
        <v>102</v>
      </c>
      <c r="C2507" t="s">
        <v>235</v>
      </c>
      <c r="D2507" t="s">
        <v>247</v>
      </c>
      <c r="F2507" t="s">
        <v>1164</v>
      </c>
      <c r="G2507" t="s">
        <v>3410</v>
      </c>
      <c r="H2507" t="s">
        <v>4716</v>
      </c>
      <c r="I2507" t="s">
        <v>5310</v>
      </c>
      <c r="J2507" t="s">
        <v>5321</v>
      </c>
      <c r="K2507">
        <v>10460</v>
      </c>
      <c r="L2507" t="s">
        <v>5355</v>
      </c>
      <c r="M2507" t="s">
        <v>5356</v>
      </c>
      <c r="N2507" t="s">
        <v>6465</v>
      </c>
      <c r="O2507" t="s">
        <v>6492</v>
      </c>
      <c r="P2507" t="s">
        <v>6530</v>
      </c>
      <c r="R2507" t="s">
        <v>6539</v>
      </c>
      <c r="U2507" t="s">
        <v>6557</v>
      </c>
      <c r="W2507" t="s">
        <v>433</v>
      </c>
      <c r="X2507">
        <v>1375</v>
      </c>
      <c r="Y2507" t="s">
        <v>6606</v>
      </c>
      <c r="Z2507" t="s">
        <v>6609</v>
      </c>
      <c r="AB2507" t="s">
        <v>8665</v>
      </c>
      <c r="AC2507" t="s">
        <v>9097</v>
      </c>
      <c r="AD2507" t="s">
        <v>10977</v>
      </c>
      <c r="AE2507">
        <v>73</v>
      </c>
      <c r="AF2507" t="s">
        <v>11005</v>
      </c>
      <c r="AG2507" t="s">
        <v>5406</v>
      </c>
      <c r="AH2507">
        <v>2</v>
      </c>
      <c r="AI2507">
        <v>2</v>
      </c>
      <c r="AJ2507">
        <v>0</v>
      </c>
      <c r="AK2507">
        <v>336.21</v>
      </c>
      <c r="AL2507" t="s">
        <v>11029</v>
      </c>
      <c r="AN2507" t="s">
        <v>11050</v>
      </c>
      <c r="AO2507">
        <v>54600</v>
      </c>
      <c r="AP2507" t="s">
        <v>11186</v>
      </c>
      <c r="AU2507">
        <v>78.05</v>
      </c>
      <c r="AV2507" t="s">
        <v>747</v>
      </c>
      <c r="AW2507" t="s">
        <v>11523</v>
      </c>
    </row>
    <row r="2508" spans="1:49">
      <c r="A2508" s="1">
        <f>HYPERLINK("https://cms.ls-nyc.org/matter/dynamic-profile/view/1852665","17-1852665")</f>
        <v>0</v>
      </c>
      <c r="B2508" t="s">
        <v>94</v>
      </c>
      <c r="C2508" t="s">
        <v>234</v>
      </c>
      <c r="D2508" t="s">
        <v>304</v>
      </c>
      <c r="E2508" t="s">
        <v>717</v>
      </c>
      <c r="F2508" t="s">
        <v>1469</v>
      </c>
      <c r="G2508" t="s">
        <v>2120</v>
      </c>
      <c r="H2508" t="s">
        <v>4717</v>
      </c>
      <c r="I2508" t="s">
        <v>5199</v>
      </c>
      <c r="J2508" t="s">
        <v>5320</v>
      </c>
      <c r="K2508">
        <v>11212</v>
      </c>
      <c r="L2508" t="s">
        <v>5355</v>
      </c>
      <c r="M2508" t="s">
        <v>5356</v>
      </c>
      <c r="N2508" t="s">
        <v>6466</v>
      </c>
      <c r="O2508" t="s">
        <v>6491</v>
      </c>
      <c r="P2508" t="s">
        <v>6530</v>
      </c>
      <c r="Q2508" t="s">
        <v>6534</v>
      </c>
      <c r="R2508" t="s">
        <v>6539</v>
      </c>
      <c r="T2508" t="s">
        <v>6555</v>
      </c>
      <c r="U2508" t="s">
        <v>6557</v>
      </c>
      <c r="W2508" t="s">
        <v>6595</v>
      </c>
      <c r="X2508">
        <v>1116</v>
      </c>
      <c r="Y2508" t="s">
        <v>6605</v>
      </c>
      <c r="Z2508" t="s">
        <v>6609</v>
      </c>
      <c r="AA2508" t="s">
        <v>6637</v>
      </c>
      <c r="AB2508" t="s">
        <v>8666</v>
      </c>
      <c r="AD2508" t="s">
        <v>10978</v>
      </c>
      <c r="AE2508">
        <v>132</v>
      </c>
      <c r="AG2508" t="s">
        <v>5406</v>
      </c>
      <c r="AH2508">
        <v>38</v>
      </c>
      <c r="AI2508">
        <v>1</v>
      </c>
      <c r="AJ2508">
        <v>0</v>
      </c>
      <c r="AK2508">
        <v>338.71</v>
      </c>
      <c r="AL2508" t="s">
        <v>11029</v>
      </c>
      <c r="AN2508" t="s">
        <v>11050</v>
      </c>
      <c r="AO2508">
        <v>40848</v>
      </c>
      <c r="AU2508">
        <v>53.95</v>
      </c>
      <c r="AV2508" t="s">
        <v>789</v>
      </c>
      <c r="AW2508" t="s">
        <v>11524</v>
      </c>
    </row>
    <row r="2509" spans="1:49">
      <c r="A2509" s="1">
        <f>HYPERLINK("https://cms.ls-nyc.org/matter/dynamic-profile/view/1862207","18-1862207")</f>
        <v>0</v>
      </c>
      <c r="B2509" t="s">
        <v>90</v>
      </c>
      <c r="C2509" t="s">
        <v>234</v>
      </c>
      <c r="D2509" t="s">
        <v>331</v>
      </c>
      <c r="E2509" t="s">
        <v>713</v>
      </c>
      <c r="F2509" t="s">
        <v>941</v>
      </c>
      <c r="G2509" t="s">
        <v>988</v>
      </c>
      <c r="H2509" t="s">
        <v>3549</v>
      </c>
      <c r="I2509" t="s">
        <v>4744</v>
      </c>
      <c r="J2509" t="s">
        <v>5321</v>
      </c>
      <c r="K2509">
        <v>10452</v>
      </c>
      <c r="L2509" t="s">
        <v>5355</v>
      </c>
      <c r="M2509" t="s">
        <v>5355</v>
      </c>
      <c r="N2509" t="s">
        <v>5740</v>
      </c>
      <c r="O2509" t="s">
        <v>6494</v>
      </c>
      <c r="P2509" t="s">
        <v>6530</v>
      </c>
      <c r="Q2509" t="s">
        <v>6534</v>
      </c>
      <c r="R2509" t="s">
        <v>6539</v>
      </c>
      <c r="S2509" t="s">
        <v>5355</v>
      </c>
      <c r="U2509" t="s">
        <v>6557</v>
      </c>
      <c r="W2509" t="s">
        <v>480</v>
      </c>
      <c r="X2509">
        <v>762.75</v>
      </c>
      <c r="Y2509" t="s">
        <v>6606</v>
      </c>
      <c r="Z2509" t="s">
        <v>6612</v>
      </c>
      <c r="AA2509" t="s">
        <v>6634</v>
      </c>
      <c r="AB2509" t="s">
        <v>7766</v>
      </c>
      <c r="AD2509" t="s">
        <v>10117</v>
      </c>
      <c r="AE2509">
        <v>52</v>
      </c>
      <c r="AF2509" t="s">
        <v>11005</v>
      </c>
      <c r="AG2509" t="s">
        <v>5406</v>
      </c>
      <c r="AH2509">
        <v>20</v>
      </c>
      <c r="AI2509">
        <v>1</v>
      </c>
      <c r="AJ2509">
        <v>0</v>
      </c>
      <c r="AK2509">
        <v>345.96</v>
      </c>
      <c r="AN2509" t="s">
        <v>11050</v>
      </c>
      <c r="AO2509">
        <v>42000</v>
      </c>
      <c r="AU2509">
        <v>1.7</v>
      </c>
      <c r="AV2509" t="s">
        <v>713</v>
      </c>
      <c r="AW2509" t="s">
        <v>59</v>
      </c>
    </row>
    <row r="2510" spans="1:49">
      <c r="A2510" s="1">
        <f>HYPERLINK("https://cms.ls-nyc.org/matter/dynamic-profile/view/1870528","18-1870528")</f>
        <v>0</v>
      </c>
      <c r="B2510" t="s">
        <v>104</v>
      </c>
      <c r="C2510" t="s">
        <v>235</v>
      </c>
      <c r="D2510" t="s">
        <v>255</v>
      </c>
      <c r="F2510" t="s">
        <v>1272</v>
      </c>
      <c r="G2510" t="s">
        <v>2365</v>
      </c>
      <c r="H2510" t="s">
        <v>4095</v>
      </c>
      <c r="I2510" t="s">
        <v>5002</v>
      </c>
      <c r="J2510" t="s">
        <v>5321</v>
      </c>
      <c r="K2510">
        <v>10456</v>
      </c>
      <c r="L2510" t="s">
        <v>5355</v>
      </c>
      <c r="M2510" t="s">
        <v>5356</v>
      </c>
      <c r="N2510" t="s">
        <v>6035</v>
      </c>
      <c r="O2510" t="s">
        <v>6494</v>
      </c>
      <c r="P2510" t="s">
        <v>6530</v>
      </c>
      <c r="R2510" t="s">
        <v>6539</v>
      </c>
      <c r="S2510" t="s">
        <v>5355</v>
      </c>
      <c r="U2510" t="s">
        <v>6557</v>
      </c>
      <c r="W2510" t="s">
        <v>516</v>
      </c>
      <c r="X2510">
        <v>1035</v>
      </c>
      <c r="Y2510" t="s">
        <v>6606</v>
      </c>
      <c r="Z2510" t="s">
        <v>6612</v>
      </c>
      <c r="AB2510" t="s">
        <v>7767</v>
      </c>
      <c r="AD2510" t="s">
        <v>10118</v>
      </c>
      <c r="AE2510">
        <v>131</v>
      </c>
      <c r="AF2510" t="s">
        <v>11005</v>
      </c>
      <c r="AG2510" t="s">
        <v>5406</v>
      </c>
      <c r="AH2510">
        <v>20</v>
      </c>
      <c r="AI2510">
        <v>3</v>
      </c>
      <c r="AJ2510">
        <v>0</v>
      </c>
      <c r="AK2510">
        <v>346.49</v>
      </c>
      <c r="AN2510" t="s">
        <v>11050</v>
      </c>
      <c r="AO2510">
        <v>72000</v>
      </c>
      <c r="AU2510">
        <v>0</v>
      </c>
      <c r="AW2510" t="s">
        <v>11505</v>
      </c>
    </row>
    <row r="2511" spans="1:49">
      <c r="A2511" s="1">
        <f>HYPERLINK("https://cms.ls-nyc.org/matter/dynamic-profile/view/1844953","17-1844953")</f>
        <v>0</v>
      </c>
      <c r="B2511" t="s">
        <v>101</v>
      </c>
      <c r="C2511" t="s">
        <v>235</v>
      </c>
      <c r="D2511" t="s">
        <v>419</v>
      </c>
      <c r="F2511" t="s">
        <v>2087</v>
      </c>
      <c r="G2511" t="s">
        <v>3411</v>
      </c>
      <c r="H2511" t="s">
        <v>4718</v>
      </c>
      <c r="I2511" t="s">
        <v>4749</v>
      </c>
      <c r="J2511" t="s">
        <v>5320</v>
      </c>
      <c r="K2511">
        <v>11214</v>
      </c>
      <c r="L2511" t="s">
        <v>5355</v>
      </c>
      <c r="M2511" t="s">
        <v>5355</v>
      </c>
      <c r="N2511" t="s">
        <v>6467</v>
      </c>
      <c r="O2511" t="s">
        <v>6492</v>
      </c>
      <c r="P2511" t="s">
        <v>6530</v>
      </c>
      <c r="R2511" t="s">
        <v>6540</v>
      </c>
      <c r="S2511" t="s">
        <v>5357</v>
      </c>
      <c r="U2511" t="s">
        <v>6557</v>
      </c>
      <c r="W2511" t="s">
        <v>419</v>
      </c>
      <c r="X2511">
        <v>932.42</v>
      </c>
      <c r="Y2511" t="s">
        <v>6605</v>
      </c>
      <c r="Z2511" t="s">
        <v>6610</v>
      </c>
      <c r="AB2511" t="s">
        <v>8667</v>
      </c>
      <c r="AD2511" t="s">
        <v>10979</v>
      </c>
      <c r="AE2511">
        <v>40</v>
      </c>
      <c r="AF2511" t="s">
        <v>11005</v>
      </c>
      <c r="AH2511">
        <v>0</v>
      </c>
      <c r="AI2511">
        <v>1</v>
      </c>
      <c r="AJ2511">
        <v>0</v>
      </c>
      <c r="AK2511">
        <v>346.67</v>
      </c>
      <c r="AL2511" t="s">
        <v>11028</v>
      </c>
      <c r="AN2511" t="s">
        <v>11050</v>
      </c>
      <c r="AO2511">
        <v>41808</v>
      </c>
      <c r="AU2511">
        <v>16.5</v>
      </c>
      <c r="AV2511" t="s">
        <v>353</v>
      </c>
      <c r="AW2511" t="s">
        <v>11488</v>
      </c>
    </row>
    <row r="2512" spans="1:49">
      <c r="A2512" s="1">
        <f>HYPERLINK("https://cms.ls-nyc.org/matter/dynamic-profile/view/1850199","17-1850199")</f>
        <v>0</v>
      </c>
      <c r="B2512" t="s">
        <v>142</v>
      </c>
      <c r="C2512" t="s">
        <v>234</v>
      </c>
      <c r="D2512" t="s">
        <v>363</v>
      </c>
      <c r="E2512" t="s">
        <v>703</v>
      </c>
      <c r="F2512" t="s">
        <v>1292</v>
      </c>
      <c r="G2512" t="s">
        <v>2548</v>
      </c>
      <c r="H2512" t="s">
        <v>3891</v>
      </c>
      <c r="I2512">
        <v>6</v>
      </c>
      <c r="J2512" t="s">
        <v>5320</v>
      </c>
      <c r="K2512">
        <v>11219</v>
      </c>
      <c r="L2512" t="s">
        <v>5355</v>
      </c>
      <c r="M2512" t="s">
        <v>5355</v>
      </c>
      <c r="N2512" t="s">
        <v>5843</v>
      </c>
      <c r="O2512" t="s">
        <v>6494</v>
      </c>
      <c r="P2512" t="s">
        <v>6530</v>
      </c>
      <c r="Q2512" t="s">
        <v>6531</v>
      </c>
      <c r="R2512" t="s">
        <v>6539</v>
      </c>
      <c r="S2512" t="s">
        <v>5355</v>
      </c>
      <c r="T2512" t="s">
        <v>6539</v>
      </c>
      <c r="U2512" t="s">
        <v>6557</v>
      </c>
      <c r="V2512" t="s">
        <v>6566</v>
      </c>
      <c r="W2512" t="s">
        <v>411</v>
      </c>
      <c r="X2512">
        <v>1014.22</v>
      </c>
      <c r="Y2512" t="s">
        <v>6605</v>
      </c>
      <c r="AA2512" t="s">
        <v>6632</v>
      </c>
      <c r="AB2512" t="s">
        <v>7238</v>
      </c>
      <c r="AD2512" t="s">
        <v>9624</v>
      </c>
      <c r="AE2512">
        <v>14</v>
      </c>
      <c r="AF2512" t="s">
        <v>11005</v>
      </c>
      <c r="AH2512">
        <v>12</v>
      </c>
      <c r="AI2512">
        <v>4</v>
      </c>
      <c r="AJ2512">
        <v>1</v>
      </c>
      <c r="AK2512">
        <v>348.51</v>
      </c>
      <c r="AL2512" t="s">
        <v>333</v>
      </c>
      <c r="AN2512" t="s">
        <v>11062</v>
      </c>
      <c r="AO2512">
        <v>100300</v>
      </c>
      <c r="AQ2512" t="s">
        <v>11195</v>
      </c>
      <c r="AR2512" t="s">
        <v>6493</v>
      </c>
      <c r="AU2512">
        <v>0.1</v>
      </c>
      <c r="AV2512" t="s">
        <v>302</v>
      </c>
      <c r="AW2512" t="s">
        <v>11512</v>
      </c>
    </row>
    <row r="2513" spans="1:50">
      <c r="A2513" s="1">
        <f>HYPERLINK("https://cms.ls-nyc.org/matter/dynamic-profile/view/1867697","18-1867697")</f>
        <v>0</v>
      </c>
      <c r="B2513" t="s">
        <v>56</v>
      </c>
      <c r="C2513" t="s">
        <v>235</v>
      </c>
      <c r="D2513" t="s">
        <v>299</v>
      </c>
      <c r="F2513" t="s">
        <v>1603</v>
      </c>
      <c r="G2513" t="s">
        <v>2894</v>
      </c>
      <c r="H2513" t="s">
        <v>4020</v>
      </c>
      <c r="I2513" t="s">
        <v>4850</v>
      </c>
      <c r="J2513" t="s">
        <v>5321</v>
      </c>
      <c r="K2513">
        <v>10458</v>
      </c>
      <c r="L2513" t="s">
        <v>5355</v>
      </c>
      <c r="M2513" t="s">
        <v>5356</v>
      </c>
      <c r="O2513" t="s">
        <v>6494</v>
      </c>
      <c r="P2513" t="s">
        <v>6530</v>
      </c>
      <c r="R2513" t="s">
        <v>6539</v>
      </c>
      <c r="S2513" t="s">
        <v>5355</v>
      </c>
      <c r="U2513" t="s">
        <v>6557</v>
      </c>
      <c r="W2513" t="s">
        <v>516</v>
      </c>
      <c r="X2513">
        <v>1248.06</v>
      </c>
      <c r="Y2513" t="s">
        <v>6606</v>
      </c>
      <c r="Z2513" t="s">
        <v>6614</v>
      </c>
      <c r="AB2513" t="s">
        <v>7768</v>
      </c>
      <c r="AD2513" t="s">
        <v>10119</v>
      </c>
      <c r="AE2513">
        <v>11</v>
      </c>
      <c r="AF2513" t="s">
        <v>11005</v>
      </c>
      <c r="AG2513" t="s">
        <v>5406</v>
      </c>
      <c r="AH2513">
        <v>16</v>
      </c>
      <c r="AI2513">
        <v>2</v>
      </c>
      <c r="AJ2513">
        <v>1</v>
      </c>
      <c r="AK2513">
        <v>349.37</v>
      </c>
      <c r="AL2513" t="s">
        <v>11029</v>
      </c>
      <c r="AN2513" t="s">
        <v>11050</v>
      </c>
      <c r="AO2513">
        <v>72600</v>
      </c>
      <c r="AU2513">
        <v>0</v>
      </c>
      <c r="AW2513" t="s">
        <v>11492</v>
      </c>
    </row>
    <row r="2514" spans="1:50">
      <c r="A2514" s="1">
        <f>HYPERLINK("https://cms.ls-nyc.org/matter/dynamic-profile/view/1863916","18-1863916")</f>
        <v>0</v>
      </c>
      <c r="B2514" t="s">
        <v>92</v>
      </c>
      <c r="C2514" t="s">
        <v>235</v>
      </c>
      <c r="D2514" t="s">
        <v>425</v>
      </c>
      <c r="F2514" t="s">
        <v>2088</v>
      </c>
      <c r="G2514" t="s">
        <v>3412</v>
      </c>
      <c r="H2514" t="s">
        <v>3579</v>
      </c>
      <c r="I2514">
        <v>801</v>
      </c>
      <c r="J2514" t="s">
        <v>5323</v>
      </c>
      <c r="K2514">
        <v>10029</v>
      </c>
      <c r="L2514" t="s">
        <v>5355</v>
      </c>
      <c r="M2514" t="s">
        <v>5355</v>
      </c>
      <c r="N2514" t="s">
        <v>6468</v>
      </c>
      <c r="O2514" t="s">
        <v>6494</v>
      </c>
      <c r="P2514" t="s">
        <v>6530</v>
      </c>
      <c r="R2514" t="s">
        <v>6539</v>
      </c>
      <c r="S2514" t="s">
        <v>5355</v>
      </c>
      <c r="U2514" t="s">
        <v>6557</v>
      </c>
      <c r="V2514" t="s">
        <v>6566</v>
      </c>
      <c r="W2514" t="s">
        <v>425</v>
      </c>
      <c r="X2514">
        <v>0</v>
      </c>
      <c r="Y2514" t="s">
        <v>6608</v>
      </c>
      <c r="Z2514" t="s">
        <v>6622</v>
      </c>
      <c r="AB2514" t="s">
        <v>8668</v>
      </c>
      <c r="AD2514" t="s">
        <v>10980</v>
      </c>
      <c r="AE2514">
        <v>108</v>
      </c>
      <c r="AF2514" t="s">
        <v>11008</v>
      </c>
      <c r="AG2514" t="s">
        <v>11020</v>
      </c>
      <c r="AH2514">
        <v>20</v>
      </c>
      <c r="AI2514">
        <v>1</v>
      </c>
      <c r="AJ2514">
        <v>0</v>
      </c>
      <c r="AK2514">
        <v>350.08</v>
      </c>
      <c r="AN2514" t="s">
        <v>11050</v>
      </c>
      <c r="AO2514">
        <v>42500</v>
      </c>
      <c r="AU2514">
        <v>8</v>
      </c>
      <c r="AV2514" t="s">
        <v>756</v>
      </c>
      <c r="AW2514" t="s">
        <v>11497</v>
      </c>
    </row>
    <row r="2515" spans="1:50">
      <c r="A2515" s="1">
        <f>HYPERLINK("https://cms.ls-nyc.org/matter/dynamic-profile/view/1847334","17-1847334")</f>
        <v>0</v>
      </c>
      <c r="B2515" t="s">
        <v>157</v>
      </c>
      <c r="C2515" t="s">
        <v>235</v>
      </c>
      <c r="D2515" t="s">
        <v>283</v>
      </c>
      <c r="F2515" t="s">
        <v>2089</v>
      </c>
      <c r="G2515" t="s">
        <v>2736</v>
      </c>
      <c r="H2515" t="s">
        <v>4145</v>
      </c>
      <c r="I2515" t="s">
        <v>4740</v>
      </c>
      <c r="J2515" t="s">
        <v>5321</v>
      </c>
      <c r="K2515">
        <v>10467</v>
      </c>
      <c r="L2515" t="s">
        <v>5355</v>
      </c>
      <c r="M2515" t="s">
        <v>5356</v>
      </c>
      <c r="N2515" t="s">
        <v>5667</v>
      </c>
      <c r="O2515" t="s">
        <v>6517</v>
      </c>
      <c r="P2515" t="s">
        <v>6530</v>
      </c>
      <c r="R2515" t="s">
        <v>6539</v>
      </c>
      <c r="S2515" t="s">
        <v>5355</v>
      </c>
      <c r="U2515" t="s">
        <v>6557</v>
      </c>
      <c r="W2515" t="s">
        <v>294</v>
      </c>
      <c r="X2515">
        <v>1017</v>
      </c>
      <c r="Y2515" t="s">
        <v>6606</v>
      </c>
      <c r="Z2515" t="s">
        <v>6616</v>
      </c>
      <c r="AB2515" t="s">
        <v>8669</v>
      </c>
      <c r="AD2515" t="s">
        <v>10981</v>
      </c>
      <c r="AE2515">
        <v>30</v>
      </c>
      <c r="AF2515" t="s">
        <v>11005</v>
      </c>
      <c r="AG2515" t="s">
        <v>11020</v>
      </c>
      <c r="AH2515">
        <v>5</v>
      </c>
      <c r="AI2515">
        <v>2</v>
      </c>
      <c r="AJ2515">
        <v>0</v>
      </c>
      <c r="AK2515">
        <v>350.99</v>
      </c>
      <c r="AL2515" t="s">
        <v>11037</v>
      </c>
      <c r="AO2515">
        <v>57000</v>
      </c>
      <c r="AU2515">
        <v>0.8</v>
      </c>
      <c r="AV2515" t="s">
        <v>283</v>
      </c>
      <c r="AW2515" t="s">
        <v>11499</v>
      </c>
    </row>
    <row r="2516" spans="1:50">
      <c r="A2516" s="1">
        <f>HYPERLINK("https://cms.ls-nyc.org/matter/dynamic-profile/view/1862784","18-1862784")</f>
        <v>0</v>
      </c>
      <c r="B2516" t="s">
        <v>154</v>
      </c>
      <c r="C2516" t="s">
        <v>234</v>
      </c>
      <c r="D2516" t="s">
        <v>242</v>
      </c>
      <c r="E2516" t="s">
        <v>769</v>
      </c>
      <c r="F2516" t="s">
        <v>2090</v>
      </c>
      <c r="G2516" t="s">
        <v>3413</v>
      </c>
      <c r="H2516" t="s">
        <v>4719</v>
      </c>
      <c r="I2516" t="s">
        <v>5311</v>
      </c>
      <c r="J2516" t="s">
        <v>5320</v>
      </c>
      <c r="K2516">
        <v>11226</v>
      </c>
      <c r="L2516" t="s">
        <v>5355</v>
      </c>
      <c r="M2516" t="s">
        <v>5355</v>
      </c>
      <c r="N2516" t="s">
        <v>6469</v>
      </c>
      <c r="O2516" t="s">
        <v>6492</v>
      </c>
      <c r="P2516" t="s">
        <v>6530</v>
      </c>
      <c r="Q2516" t="s">
        <v>6535</v>
      </c>
      <c r="R2516" t="s">
        <v>6539</v>
      </c>
      <c r="S2516" t="s">
        <v>5355</v>
      </c>
      <c r="U2516" t="s">
        <v>6557</v>
      </c>
      <c r="W2516" t="s">
        <v>516</v>
      </c>
      <c r="X2516">
        <v>945</v>
      </c>
      <c r="Y2516" t="s">
        <v>6605</v>
      </c>
      <c r="Z2516" t="s">
        <v>6609</v>
      </c>
      <c r="AA2516" t="s">
        <v>6637</v>
      </c>
      <c r="AB2516" t="s">
        <v>8670</v>
      </c>
      <c r="AE2516">
        <v>0</v>
      </c>
      <c r="AH2516">
        <v>22</v>
      </c>
      <c r="AI2516">
        <v>2</v>
      </c>
      <c r="AJ2516">
        <v>1</v>
      </c>
      <c r="AK2516">
        <v>360.92</v>
      </c>
      <c r="AL2516" t="s">
        <v>622</v>
      </c>
      <c r="AN2516" t="s">
        <v>11050</v>
      </c>
      <c r="AO2516">
        <v>75000</v>
      </c>
      <c r="AR2516" t="s">
        <v>11210</v>
      </c>
      <c r="AS2516" t="s">
        <v>11253</v>
      </c>
      <c r="AT2516" t="s">
        <v>11430</v>
      </c>
      <c r="AU2516">
        <v>19.4</v>
      </c>
      <c r="AV2516" t="s">
        <v>712</v>
      </c>
      <c r="AW2516" t="s">
        <v>154</v>
      </c>
    </row>
    <row r="2517" spans="1:50">
      <c r="A2517" s="1">
        <f>HYPERLINK("https://cms.ls-nyc.org/matter/dynamic-profile/view/1856587","18-1856587")</f>
        <v>0</v>
      </c>
      <c r="B2517" t="s">
        <v>142</v>
      </c>
      <c r="C2517" t="s">
        <v>234</v>
      </c>
      <c r="D2517" t="s">
        <v>458</v>
      </c>
      <c r="E2517" t="s">
        <v>765</v>
      </c>
      <c r="F2517" t="s">
        <v>860</v>
      </c>
      <c r="G2517" t="s">
        <v>2573</v>
      </c>
      <c r="H2517" t="s">
        <v>3480</v>
      </c>
      <c r="I2517" t="s">
        <v>4956</v>
      </c>
      <c r="J2517" t="s">
        <v>5320</v>
      </c>
      <c r="K2517">
        <v>11213</v>
      </c>
      <c r="L2517" t="s">
        <v>5355</v>
      </c>
      <c r="M2517" t="s">
        <v>5355</v>
      </c>
      <c r="N2517" t="s">
        <v>6470</v>
      </c>
      <c r="O2517" t="s">
        <v>6491</v>
      </c>
      <c r="P2517" t="s">
        <v>6530</v>
      </c>
      <c r="Q2517" t="s">
        <v>6531</v>
      </c>
      <c r="R2517" t="s">
        <v>6539</v>
      </c>
      <c r="S2517" t="s">
        <v>5355</v>
      </c>
      <c r="U2517" t="s">
        <v>6557</v>
      </c>
      <c r="W2517" t="s">
        <v>262</v>
      </c>
      <c r="X2517">
        <v>1129.43</v>
      </c>
      <c r="Y2517" t="s">
        <v>6605</v>
      </c>
      <c r="Z2517" t="s">
        <v>6622</v>
      </c>
      <c r="AA2517" t="s">
        <v>6633</v>
      </c>
      <c r="AB2517" t="s">
        <v>7272</v>
      </c>
      <c r="AD2517" t="s">
        <v>9657</v>
      </c>
      <c r="AE2517">
        <v>107</v>
      </c>
      <c r="AF2517" t="s">
        <v>11005</v>
      </c>
      <c r="AH2517">
        <v>20</v>
      </c>
      <c r="AI2517">
        <v>2</v>
      </c>
      <c r="AJ2517">
        <v>0</v>
      </c>
      <c r="AK2517">
        <v>370.6</v>
      </c>
      <c r="AL2517" t="s">
        <v>266</v>
      </c>
      <c r="AN2517" t="s">
        <v>11049</v>
      </c>
      <c r="AO2517">
        <v>61000</v>
      </c>
      <c r="AU2517">
        <v>69.65000000000001</v>
      </c>
      <c r="AV2517" t="s">
        <v>812</v>
      </c>
      <c r="AW2517" t="s">
        <v>11489</v>
      </c>
    </row>
    <row r="2518" spans="1:50">
      <c r="A2518" s="1">
        <f>HYPERLINK("https://cms.ls-nyc.org/matter/dynamic-profile/view/1868160","18-1868160")</f>
        <v>0</v>
      </c>
      <c r="B2518" t="s">
        <v>92</v>
      </c>
      <c r="C2518" t="s">
        <v>235</v>
      </c>
      <c r="D2518" t="s">
        <v>280</v>
      </c>
      <c r="F2518" t="s">
        <v>1272</v>
      </c>
      <c r="G2518" t="s">
        <v>2133</v>
      </c>
      <c r="H2518" t="s">
        <v>3766</v>
      </c>
      <c r="I2518" t="s">
        <v>4840</v>
      </c>
      <c r="J2518" t="s">
        <v>5323</v>
      </c>
      <c r="K2518">
        <v>10035</v>
      </c>
      <c r="L2518" t="s">
        <v>5355</v>
      </c>
      <c r="M2518" t="s">
        <v>5356</v>
      </c>
      <c r="N2518" t="s">
        <v>6471</v>
      </c>
      <c r="O2518" t="s">
        <v>6492</v>
      </c>
      <c r="P2518" t="s">
        <v>6530</v>
      </c>
      <c r="R2518" t="s">
        <v>6539</v>
      </c>
      <c r="S2518" t="s">
        <v>5357</v>
      </c>
      <c r="U2518" t="s">
        <v>6557</v>
      </c>
      <c r="W2518" t="s">
        <v>280</v>
      </c>
      <c r="X2518">
        <v>1595</v>
      </c>
      <c r="Y2518" t="s">
        <v>6608</v>
      </c>
      <c r="Z2518" t="s">
        <v>6617</v>
      </c>
      <c r="AB2518" t="s">
        <v>8671</v>
      </c>
      <c r="AD2518" t="s">
        <v>10982</v>
      </c>
      <c r="AE2518">
        <v>72</v>
      </c>
      <c r="AF2518" t="s">
        <v>11005</v>
      </c>
      <c r="AG2518" t="s">
        <v>11020</v>
      </c>
      <c r="AH2518">
        <v>72</v>
      </c>
      <c r="AI2518">
        <v>1</v>
      </c>
      <c r="AJ2518">
        <v>0</v>
      </c>
      <c r="AK2518">
        <v>370.68</v>
      </c>
      <c r="AL2518" t="s">
        <v>11029</v>
      </c>
      <c r="AN2518" t="s">
        <v>11050</v>
      </c>
      <c r="AO2518">
        <v>45000</v>
      </c>
      <c r="AU2518">
        <v>23.38</v>
      </c>
      <c r="AV2518" t="s">
        <v>824</v>
      </c>
      <c r="AW2518" t="s">
        <v>11497</v>
      </c>
    </row>
    <row r="2519" spans="1:50">
      <c r="A2519" s="1">
        <f>HYPERLINK("https://cms.ls-nyc.org/matter/dynamic-profile/view/1840186","17-1840186")</f>
        <v>0</v>
      </c>
      <c r="B2519" t="s">
        <v>92</v>
      </c>
      <c r="C2519" t="s">
        <v>234</v>
      </c>
      <c r="D2519" t="s">
        <v>405</v>
      </c>
      <c r="E2519" t="s">
        <v>674</v>
      </c>
      <c r="F2519" t="s">
        <v>1986</v>
      </c>
      <c r="G2519" t="s">
        <v>3414</v>
      </c>
      <c r="H2519" t="s">
        <v>3575</v>
      </c>
      <c r="I2519">
        <v>31</v>
      </c>
      <c r="J2519" t="s">
        <v>5323</v>
      </c>
      <c r="K2519">
        <v>10040</v>
      </c>
      <c r="L2519" t="s">
        <v>5355</v>
      </c>
      <c r="M2519" t="s">
        <v>5356</v>
      </c>
      <c r="N2519" t="s">
        <v>5439</v>
      </c>
      <c r="O2519" t="s">
        <v>6494</v>
      </c>
      <c r="P2519" t="s">
        <v>6530</v>
      </c>
      <c r="Q2519" t="s">
        <v>6534</v>
      </c>
      <c r="R2519" t="s">
        <v>6539</v>
      </c>
      <c r="S2519" t="s">
        <v>5355</v>
      </c>
      <c r="U2519" t="s">
        <v>6557</v>
      </c>
      <c r="V2519" t="s">
        <v>6566</v>
      </c>
      <c r="W2519" t="s">
        <v>460</v>
      </c>
      <c r="X2519">
        <v>1251.43</v>
      </c>
      <c r="Y2519" t="s">
        <v>6608</v>
      </c>
      <c r="Z2519" t="s">
        <v>6622</v>
      </c>
      <c r="AA2519" t="s">
        <v>6634</v>
      </c>
      <c r="AB2519" t="s">
        <v>8672</v>
      </c>
      <c r="AD2519" t="s">
        <v>10983</v>
      </c>
      <c r="AE2519">
        <v>45</v>
      </c>
      <c r="AF2519" t="s">
        <v>11005</v>
      </c>
      <c r="AG2519" t="s">
        <v>5406</v>
      </c>
      <c r="AH2519">
        <v>30</v>
      </c>
      <c r="AI2519">
        <v>3</v>
      </c>
      <c r="AJ2519">
        <v>0</v>
      </c>
      <c r="AK2519">
        <v>372.18</v>
      </c>
      <c r="AL2519" t="s">
        <v>301</v>
      </c>
      <c r="AN2519" t="s">
        <v>11049</v>
      </c>
      <c r="AO2519">
        <v>76000</v>
      </c>
      <c r="AQ2519" t="s">
        <v>11190</v>
      </c>
      <c r="AR2519" t="s">
        <v>11206</v>
      </c>
      <c r="AS2519" t="s">
        <v>11253</v>
      </c>
      <c r="AT2519" t="s">
        <v>11263</v>
      </c>
      <c r="AU2519">
        <v>3.17</v>
      </c>
      <c r="AV2519" t="s">
        <v>674</v>
      </c>
      <c r="AW2519" t="s">
        <v>11495</v>
      </c>
    </row>
    <row r="2520" spans="1:50">
      <c r="A2520" s="1">
        <f>HYPERLINK("https://cms.ls-nyc.org/matter/dynamic-profile/view/0829563","17-0829563")</f>
        <v>0</v>
      </c>
      <c r="B2520" t="s">
        <v>54</v>
      </c>
      <c r="C2520" t="s">
        <v>234</v>
      </c>
      <c r="D2520" t="s">
        <v>662</v>
      </c>
      <c r="E2520" t="s">
        <v>699</v>
      </c>
      <c r="F2520" t="s">
        <v>1439</v>
      </c>
      <c r="G2520" t="s">
        <v>2520</v>
      </c>
      <c r="H2520" t="s">
        <v>4720</v>
      </c>
      <c r="I2520" t="s">
        <v>5082</v>
      </c>
      <c r="J2520" t="s">
        <v>5320</v>
      </c>
      <c r="K2520">
        <v>11225</v>
      </c>
      <c r="L2520" t="s">
        <v>5355</v>
      </c>
      <c r="M2520" t="s">
        <v>5356</v>
      </c>
      <c r="N2520" t="s">
        <v>6472</v>
      </c>
      <c r="O2520" t="s">
        <v>6494</v>
      </c>
      <c r="P2520" t="s">
        <v>6530</v>
      </c>
      <c r="Q2520" t="s">
        <v>6531</v>
      </c>
      <c r="R2520" t="s">
        <v>6539</v>
      </c>
      <c r="S2520" t="s">
        <v>5355</v>
      </c>
      <c r="U2520" t="s">
        <v>6557</v>
      </c>
      <c r="W2520" t="s">
        <v>6578</v>
      </c>
      <c r="X2520">
        <v>926.6900000000001</v>
      </c>
      <c r="Y2520" t="s">
        <v>6605</v>
      </c>
      <c r="Z2520" t="s">
        <v>6622</v>
      </c>
      <c r="AA2520" t="s">
        <v>6637</v>
      </c>
      <c r="AB2520" t="s">
        <v>7004</v>
      </c>
      <c r="AD2520" t="s">
        <v>10984</v>
      </c>
      <c r="AE2520">
        <v>40</v>
      </c>
      <c r="AF2520" t="s">
        <v>11005</v>
      </c>
      <c r="AG2520" t="s">
        <v>5406</v>
      </c>
      <c r="AH2520">
        <v>25</v>
      </c>
      <c r="AI2520">
        <v>2</v>
      </c>
      <c r="AJ2520">
        <v>1</v>
      </c>
      <c r="AK2520">
        <v>377.08</v>
      </c>
      <c r="AL2520" t="s">
        <v>350</v>
      </c>
      <c r="AN2520" t="s">
        <v>11050</v>
      </c>
      <c r="AO2520">
        <v>77000</v>
      </c>
      <c r="AU2520">
        <v>11.7</v>
      </c>
      <c r="AV2520" t="s">
        <v>487</v>
      </c>
      <c r="AW2520" t="s">
        <v>11512</v>
      </c>
    </row>
    <row r="2521" spans="1:50">
      <c r="A2521" s="1">
        <f>HYPERLINK("https://cms.ls-nyc.org/matter/dynamic-profile/view/1856411","18-1856411")</f>
        <v>0</v>
      </c>
      <c r="B2521" t="s">
        <v>102</v>
      </c>
      <c r="C2521" t="s">
        <v>234</v>
      </c>
      <c r="D2521" t="s">
        <v>261</v>
      </c>
      <c r="E2521" t="s">
        <v>744</v>
      </c>
      <c r="F2521" t="s">
        <v>1118</v>
      </c>
      <c r="G2521" t="s">
        <v>2122</v>
      </c>
      <c r="H2521" t="s">
        <v>3526</v>
      </c>
      <c r="I2521">
        <v>518</v>
      </c>
      <c r="J2521" t="s">
        <v>5321</v>
      </c>
      <c r="K2521">
        <v>10453</v>
      </c>
      <c r="L2521" t="s">
        <v>5355</v>
      </c>
      <c r="M2521" t="s">
        <v>5356</v>
      </c>
      <c r="N2521" t="s">
        <v>5883</v>
      </c>
      <c r="O2521" t="s">
        <v>6494</v>
      </c>
      <c r="P2521" t="s">
        <v>6530</v>
      </c>
      <c r="Q2521" t="s">
        <v>6534</v>
      </c>
      <c r="R2521" t="s">
        <v>6539</v>
      </c>
      <c r="S2521" t="s">
        <v>5355</v>
      </c>
      <c r="U2521" t="s">
        <v>6557</v>
      </c>
      <c r="W2521" t="s">
        <v>428</v>
      </c>
      <c r="X2521">
        <v>927</v>
      </c>
      <c r="Y2521" t="s">
        <v>6606</v>
      </c>
      <c r="Z2521" t="s">
        <v>6622</v>
      </c>
      <c r="AA2521" t="s">
        <v>6634</v>
      </c>
      <c r="AB2521" t="s">
        <v>6981</v>
      </c>
      <c r="AD2521" t="s">
        <v>9390</v>
      </c>
      <c r="AE2521">
        <v>146</v>
      </c>
      <c r="AF2521" t="s">
        <v>11005</v>
      </c>
      <c r="AG2521" t="s">
        <v>5406</v>
      </c>
      <c r="AH2521">
        <v>21</v>
      </c>
      <c r="AI2521">
        <v>2</v>
      </c>
      <c r="AJ2521">
        <v>1</v>
      </c>
      <c r="AK2521">
        <v>381.98</v>
      </c>
      <c r="AN2521" t="s">
        <v>11050</v>
      </c>
      <c r="AO2521">
        <v>109200</v>
      </c>
      <c r="AU2521">
        <v>0.3</v>
      </c>
      <c r="AV2521" t="s">
        <v>745</v>
      </c>
      <c r="AW2521" t="s">
        <v>11492</v>
      </c>
    </row>
    <row r="2522" spans="1:50">
      <c r="A2522" s="1">
        <f>HYPERLINK("https://cms.ls-nyc.org/matter/dynamic-profile/view/0832647","17-0832647")</f>
        <v>0</v>
      </c>
      <c r="B2522" t="s">
        <v>122</v>
      </c>
      <c r="C2522" t="s">
        <v>234</v>
      </c>
      <c r="D2522" t="s">
        <v>487</v>
      </c>
      <c r="E2522" t="s">
        <v>459</v>
      </c>
      <c r="F2522" t="s">
        <v>2091</v>
      </c>
      <c r="G2522" t="s">
        <v>3415</v>
      </c>
      <c r="H2522" t="s">
        <v>4721</v>
      </c>
      <c r="I2522" t="s">
        <v>5100</v>
      </c>
      <c r="J2522" t="s">
        <v>5320</v>
      </c>
      <c r="K2522">
        <v>11239</v>
      </c>
      <c r="L2522" t="s">
        <v>5355</v>
      </c>
      <c r="M2522" t="s">
        <v>5355</v>
      </c>
      <c r="N2522" t="s">
        <v>6473</v>
      </c>
      <c r="O2522" t="s">
        <v>6491</v>
      </c>
      <c r="P2522" t="s">
        <v>6530</v>
      </c>
      <c r="Q2522" t="s">
        <v>6534</v>
      </c>
      <c r="R2522" t="s">
        <v>6539</v>
      </c>
      <c r="S2522" t="s">
        <v>5357</v>
      </c>
      <c r="T2522" t="s">
        <v>6544</v>
      </c>
      <c r="U2522" t="s">
        <v>6557</v>
      </c>
      <c r="W2522" t="s">
        <v>236</v>
      </c>
      <c r="X2522">
        <v>1840</v>
      </c>
      <c r="Y2522" t="s">
        <v>6605</v>
      </c>
      <c r="Z2522" t="s">
        <v>6493</v>
      </c>
      <c r="AA2522" t="s">
        <v>6637</v>
      </c>
      <c r="AB2522" t="s">
        <v>8673</v>
      </c>
      <c r="AD2522" t="s">
        <v>10985</v>
      </c>
      <c r="AE2522">
        <v>136</v>
      </c>
      <c r="AF2522" t="s">
        <v>11008</v>
      </c>
      <c r="AG2522" t="s">
        <v>5406</v>
      </c>
      <c r="AH2522">
        <v>35</v>
      </c>
      <c r="AI2522">
        <v>2</v>
      </c>
      <c r="AJ2522">
        <v>1</v>
      </c>
      <c r="AK2522">
        <v>382.36</v>
      </c>
      <c r="AN2522" t="s">
        <v>11050</v>
      </c>
      <c r="AO2522">
        <v>78078.78</v>
      </c>
      <c r="AP2522" t="s">
        <v>11187</v>
      </c>
      <c r="AQ2522" t="s">
        <v>11192</v>
      </c>
      <c r="AR2522" t="s">
        <v>11210</v>
      </c>
      <c r="AS2522" t="s">
        <v>11253</v>
      </c>
      <c r="AT2522" t="s">
        <v>11431</v>
      </c>
      <c r="AU2522">
        <v>24.28</v>
      </c>
      <c r="AV2522" t="s">
        <v>808</v>
      </c>
      <c r="AW2522" t="s">
        <v>11513</v>
      </c>
    </row>
    <row r="2523" spans="1:50">
      <c r="A2523" s="1">
        <f>HYPERLINK("https://cms.ls-nyc.org/matter/dynamic-profile/view/1846325","17-1846325")</f>
        <v>0</v>
      </c>
      <c r="B2523" t="s">
        <v>143</v>
      </c>
      <c r="C2523" t="s">
        <v>235</v>
      </c>
      <c r="D2523" t="s">
        <v>301</v>
      </c>
      <c r="F2523" t="s">
        <v>2092</v>
      </c>
      <c r="G2523" t="s">
        <v>3416</v>
      </c>
      <c r="H2523" t="s">
        <v>3842</v>
      </c>
      <c r="I2523" t="s">
        <v>4907</v>
      </c>
      <c r="J2523" t="s">
        <v>5323</v>
      </c>
      <c r="K2523">
        <v>10035</v>
      </c>
      <c r="L2523" t="s">
        <v>5355</v>
      </c>
      <c r="M2523" t="s">
        <v>5355</v>
      </c>
      <c r="N2523" t="s">
        <v>5528</v>
      </c>
      <c r="O2523" t="s">
        <v>6494</v>
      </c>
      <c r="P2523" t="s">
        <v>6530</v>
      </c>
      <c r="R2523" t="s">
        <v>6539</v>
      </c>
      <c r="S2523" t="s">
        <v>5355</v>
      </c>
      <c r="U2523" t="s">
        <v>6557</v>
      </c>
      <c r="V2523" t="s">
        <v>6566</v>
      </c>
      <c r="W2523" t="s">
        <v>301</v>
      </c>
      <c r="X2523">
        <v>2600</v>
      </c>
      <c r="Y2523" t="s">
        <v>6608</v>
      </c>
      <c r="Z2523" t="s">
        <v>6622</v>
      </c>
      <c r="AB2523" t="s">
        <v>8674</v>
      </c>
      <c r="AD2523" t="s">
        <v>10986</v>
      </c>
      <c r="AE2523">
        <v>35</v>
      </c>
      <c r="AF2523" t="s">
        <v>11005</v>
      </c>
      <c r="AG2523" t="s">
        <v>5406</v>
      </c>
      <c r="AH2523">
        <v>1</v>
      </c>
      <c r="AI2523">
        <v>1</v>
      </c>
      <c r="AJ2523">
        <v>0</v>
      </c>
      <c r="AK2523">
        <v>388.06</v>
      </c>
      <c r="AN2523" t="s">
        <v>11050</v>
      </c>
      <c r="AO2523">
        <v>46800</v>
      </c>
      <c r="AU2523">
        <v>2.1</v>
      </c>
      <c r="AV2523" t="s">
        <v>11465</v>
      </c>
      <c r="AW2523" t="s">
        <v>11497</v>
      </c>
      <c r="AX2523" t="s">
        <v>11564</v>
      </c>
    </row>
    <row r="2524" spans="1:50">
      <c r="A2524" s="1">
        <f>HYPERLINK("https://cms.ls-nyc.org/matter/dynamic-profile/view/1842715","17-1842715")</f>
        <v>0</v>
      </c>
      <c r="B2524" t="s">
        <v>84</v>
      </c>
      <c r="C2524" t="s">
        <v>235</v>
      </c>
      <c r="D2524" t="s">
        <v>321</v>
      </c>
      <c r="F2524" t="s">
        <v>1282</v>
      </c>
      <c r="G2524" t="s">
        <v>2120</v>
      </c>
      <c r="H2524" t="s">
        <v>3827</v>
      </c>
      <c r="I2524" t="s">
        <v>4868</v>
      </c>
      <c r="J2524" t="s">
        <v>5320</v>
      </c>
      <c r="K2524">
        <v>11233</v>
      </c>
      <c r="L2524" t="s">
        <v>5355</v>
      </c>
      <c r="M2524" t="s">
        <v>5356</v>
      </c>
      <c r="N2524" t="s">
        <v>6474</v>
      </c>
      <c r="O2524" t="s">
        <v>6491</v>
      </c>
      <c r="P2524" t="s">
        <v>6530</v>
      </c>
      <c r="R2524" t="s">
        <v>6539</v>
      </c>
      <c r="S2524" t="s">
        <v>5355</v>
      </c>
      <c r="U2524" t="s">
        <v>6557</v>
      </c>
      <c r="W2524" t="s">
        <v>321</v>
      </c>
      <c r="X2524">
        <v>625.14</v>
      </c>
      <c r="Y2524" t="s">
        <v>6605</v>
      </c>
      <c r="Z2524" t="s">
        <v>6622</v>
      </c>
      <c r="AB2524" t="s">
        <v>7275</v>
      </c>
      <c r="AD2524" t="s">
        <v>9660</v>
      </c>
      <c r="AE2524">
        <v>36</v>
      </c>
      <c r="AF2524" t="s">
        <v>11005</v>
      </c>
      <c r="AG2524" t="s">
        <v>5406</v>
      </c>
      <c r="AH2524">
        <v>3</v>
      </c>
      <c r="AI2524">
        <v>1</v>
      </c>
      <c r="AJ2524">
        <v>0</v>
      </c>
      <c r="AK2524">
        <v>389.72</v>
      </c>
      <c r="AL2524" t="s">
        <v>11029</v>
      </c>
      <c r="AM2524" t="s">
        <v>11045</v>
      </c>
      <c r="AN2524" t="s">
        <v>11050</v>
      </c>
      <c r="AO2524">
        <v>47000</v>
      </c>
      <c r="AU2524">
        <v>89.40000000000001</v>
      </c>
      <c r="AV2524" t="s">
        <v>690</v>
      </c>
      <c r="AW2524" t="s">
        <v>77</v>
      </c>
    </row>
    <row r="2525" spans="1:50">
      <c r="A2525" s="1">
        <f>HYPERLINK("https://cms.ls-nyc.org/matter/dynamic-profile/view/1859473","18-1859473")</f>
        <v>0</v>
      </c>
      <c r="B2525" t="s">
        <v>55</v>
      </c>
      <c r="C2525" t="s">
        <v>235</v>
      </c>
      <c r="D2525" t="s">
        <v>316</v>
      </c>
      <c r="F2525" t="s">
        <v>1439</v>
      </c>
      <c r="G2525" t="s">
        <v>3417</v>
      </c>
      <c r="H2525" t="s">
        <v>4722</v>
      </c>
      <c r="I2525" t="s">
        <v>5034</v>
      </c>
      <c r="J2525" t="s">
        <v>5320</v>
      </c>
      <c r="K2525">
        <v>11226</v>
      </c>
      <c r="L2525" t="s">
        <v>5355</v>
      </c>
      <c r="M2525" t="s">
        <v>5356</v>
      </c>
      <c r="N2525" t="s">
        <v>6475</v>
      </c>
      <c r="O2525" t="s">
        <v>6491</v>
      </c>
      <c r="P2525" t="s">
        <v>6530</v>
      </c>
      <c r="R2525" t="s">
        <v>6539</v>
      </c>
      <c r="S2525" t="s">
        <v>5357</v>
      </c>
      <c r="U2525" t="s">
        <v>6557</v>
      </c>
      <c r="W2525" t="s">
        <v>516</v>
      </c>
      <c r="X2525">
        <v>1090</v>
      </c>
      <c r="Y2525" t="s">
        <v>6605</v>
      </c>
      <c r="Z2525" t="s">
        <v>6612</v>
      </c>
      <c r="AB2525" t="s">
        <v>8675</v>
      </c>
      <c r="AD2525" t="s">
        <v>10987</v>
      </c>
      <c r="AE2525">
        <v>46</v>
      </c>
      <c r="AF2525" t="s">
        <v>11005</v>
      </c>
      <c r="AG2525" t="s">
        <v>5406</v>
      </c>
      <c r="AH2525">
        <v>10</v>
      </c>
      <c r="AI2525">
        <v>1</v>
      </c>
      <c r="AJ2525">
        <v>0</v>
      </c>
      <c r="AK2525">
        <v>389.72</v>
      </c>
      <c r="AL2525" t="s">
        <v>622</v>
      </c>
      <c r="AN2525" t="s">
        <v>11050</v>
      </c>
      <c r="AO2525">
        <v>47000</v>
      </c>
      <c r="AQ2525" t="s">
        <v>11192</v>
      </c>
      <c r="AU2525">
        <v>46.35</v>
      </c>
      <c r="AV2525" t="s">
        <v>828</v>
      </c>
      <c r="AW2525" t="s">
        <v>11490</v>
      </c>
    </row>
    <row r="2526" spans="1:50">
      <c r="A2526" s="1">
        <f>HYPERLINK("https://cms.ls-nyc.org/matter/dynamic-profile/view/1854617","17-1854617")</f>
        <v>0</v>
      </c>
      <c r="B2526" t="s">
        <v>68</v>
      </c>
      <c r="C2526" t="s">
        <v>234</v>
      </c>
      <c r="D2526" t="s">
        <v>302</v>
      </c>
      <c r="E2526" t="s">
        <v>727</v>
      </c>
      <c r="F2526" t="s">
        <v>1462</v>
      </c>
      <c r="G2526" t="s">
        <v>2125</v>
      </c>
      <c r="H2526" t="s">
        <v>4051</v>
      </c>
      <c r="I2526" t="s">
        <v>4752</v>
      </c>
      <c r="J2526" t="s">
        <v>5323</v>
      </c>
      <c r="K2526">
        <v>10035</v>
      </c>
      <c r="L2526" t="s">
        <v>5355</v>
      </c>
      <c r="M2526" t="s">
        <v>5355</v>
      </c>
      <c r="N2526" t="s">
        <v>6476</v>
      </c>
      <c r="O2526" t="s">
        <v>6492</v>
      </c>
      <c r="P2526" t="s">
        <v>6530</v>
      </c>
      <c r="Q2526" t="s">
        <v>6538</v>
      </c>
      <c r="R2526" t="s">
        <v>6539</v>
      </c>
      <c r="S2526" t="s">
        <v>5357</v>
      </c>
      <c r="U2526" t="s">
        <v>6557</v>
      </c>
      <c r="V2526" t="s">
        <v>6566</v>
      </c>
      <c r="W2526" t="s">
        <v>302</v>
      </c>
      <c r="X2526">
        <v>1234</v>
      </c>
      <c r="Y2526" t="s">
        <v>6608</v>
      </c>
      <c r="Z2526" t="s">
        <v>6625</v>
      </c>
      <c r="AA2526" t="s">
        <v>6637</v>
      </c>
      <c r="AB2526" t="s">
        <v>7513</v>
      </c>
      <c r="AD2526" t="s">
        <v>9879</v>
      </c>
      <c r="AE2526">
        <v>17</v>
      </c>
      <c r="AF2526" t="s">
        <v>11014</v>
      </c>
      <c r="AG2526" t="s">
        <v>5406</v>
      </c>
      <c r="AH2526">
        <v>1</v>
      </c>
      <c r="AI2526">
        <v>1</v>
      </c>
      <c r="AJ2526">
        <v>0</v>
      </c>
      <c r="AK2526">
        <v>389.72</v>
      </c>
      <c r="AL2526" t="s">
        <v>11033</v>
      </c>
      <c r="AN2526" t="s">
        <v>11050</v>
      </c>
      <c r="AO2526">
        <v>47000</v>
      </c>
      <c r="AQ2526" t="s">
        <v>11190</v>
      </c>
      <c r="AR2526" t="s">
        <v>11211</v>
      </c>
      <c r="AS2526" t="s">
        <v>11253</v>
      </c>
      <c r="AT2526" t="s">
        <v>11341</v>
      </c>
      <c r="AU2526">
        <v>189.55</v>
      </c>
      <c r="AV2526" t="s">
        <v>782</v>
      </c>
      <c r="AW2526" t="s">
        <v>11497</v>
      </c>
      <c r="AX2526" t="s">
        <v>11564</v>
      </c>
    </row>
    <row r="2527" spans="1:50">
      <c r="A2527" s="1">
        <f>HYPERLINK("https://cms.ls-nyc.org/matter/dynamic-profile/view/0815733","16-0815733")</f>
        <v>0</v>
      </c>
      <c r="B2527" t="s">
        <v>78</v>
      </c>
      <c r="C2527" t="s">
        <v>235</v>
      </c>
      <c r="D2527" t="s">
        <v>663</v>
      </c>
      <c r="F2527" t="s">
        <v>1446</v>
      </c>
      <c r="G2527" t="s">
        <v>2270</v>
      </c>
      <c r="H2527" t="s">
        <v>3748</v>
      </c>
      <c r="I2527" t="s">
        <v>5312</v>
      </c>
      <c r="J2527" t="s">
        <v>5323</v>
      </c>
      <c r="K2527">
        <v>10031</v>
      </c>
      <c r="L2527" t="s">
        <v>5355</v>
      </c>
      <c r="M2527" t="s">
        <v>5356</v>
      </c>
      <c r="P2527" t="s">
        <v>6530</v>
      </c>
      <c r="R2527" t="s">
        <v>6539</v>
      </c>
      <c r="T2527" t="s">
        <v>6542</v>
      </c>
      <c r="U2527" t="s">
        <v>6557</v>
      </c>
      <c r="W2527" t="s">
        <v>474</v>
      </c>
      <c r="X2527">
        <v>0</v>
      </c>
      <c r="Y2527" t="s">
        <v>6608</v>
      </c>
      <c r="AB2527" t="s">
        <v>8676</v>
      </c>
      <c r="AD2527" t="s">
        <v>10988</v>
      </c>
      <c r="AE2527">
        <v>0</v>
      </c>
      <c r="AH2527">
        <v>0</v>
      </c>
      <c r="AI2527">
        <v>1</v>
      </c>
      <c r="AJ2527">
        <v>0</v>
      </c>
      <c r="AK2527">
        <v>392.03</v>
      </c>
      <c r="AN2527" t="s">
        <v>11050</v>
      </c>
      <c r="AO2527">
        <v>46573</v>
      </c>
      <c r="AU2527">
        <v>43.05</v>
      </c>
      <c r="AV2527" t="s">
        <v>6600</v>
      </c>
      <c r="AW2527" t="s">
        <v>11546</v>
      </c>
    </row>
    <row r="2528" spans="1:50">
      <c r="A2528" s="1">
        <f>HYPERLINK("https://cms.ls-nyc.org/matter/dynamic-profile/view/1862204","18-1862204")</f>
        <v>0</v>
      </c>
      <c r="B2528" t="s">
        <v>90</v>
      </c>
      <c r="C2528" t="s">
        <v>234</v>
      </c>
      <c r="D2528" t="s">
        <v>331</v>
      </c>
      <c r="E2528" t="s">
        <v>713</v>
      </c>
      <c r="F2528" t="s">
        <v>842</v>
      </c>
      <c r="G2528" t="s">
        <v>1367</v>
      </c>
      <c r="H2528" t="s">
        <v>3549</v>
      </c>
      <c r="I2528" t="s">
        <v>4862</v>
      </c>
      <c r="J2528" t="s">
        <v>5321</v>
      </c>
      <c r="K2528">
        <v>10452</v>
      </c>
      <c r="L2528" t="s">
        <v>5355</v>
      </c>
      <c r="M2528" t="s">
        <v>5355</v>
      </c>
      <c r="N2528" t="s">
        <v>5740</v>
      </c>
      <c r="O2528" t="s">
        <v>6494</v>
      </c>
      <c r="P2528" t="s">
        <v>6530</v>
      </c>
      <c r="Q2528" t="s">
        <v>6534</v>
      </c>
      <c r="R2528" t="s">
        <v>6539</v>
      </c>
      <c r="S2528" t="s">
        <v>5355</v>
      </c>
      <c r="U2528" t="s">
        <v>6557</v>
      </c>
      <c r="W2528" t="s">
        <v>480</v>
      </c>
      <c r="X2528">
        <v>1113.95</v>
      </c>
      <c r="Y2528" t="s">
        <v>6606</v>
      </c>
      <c r="Z2528" t="s">
        <v>6612</v>
      </c>
      <c r="AA2528" t="s">
        <v>6634</v>
      </c>
      <c r="AB2528" t="s">
        <v>8677</v>
      </c>
      <c r="AD2528" t="s">
        <v>10989</v>
      </c>
      <c r="AE2528">
        <v>52</v>
      </c>
      <c r="AF2528" t="s">
        <v>11005</v>
      </c>
      <c r="AG2528" t="s">
        <v>5406</v>
      </c>
      <c r="AH2528">
        <v>36</v>
      </c>
      <c r="AI2528">
        <v>1</v>
      </c>
      <c r="AJ2528">
        <v>0</v>
      </c>
      <c r="AK2528">
        <v>393.11</v>
      </c>
      <c r="AN2528" t="s">
        <v>11050</v>
      </c>
      <c r="AO2528">
        <v>47724</v>
      </c>
      <c r="AU2528">
        <v>1.9</v>
      </c>
      <c r="AV2528" t="s">
        <v>713</v>
      </c>
      <c r="AW2528" t="s">
        <v>59</v>
      </c>
    </row>
    <row r="2529" spans="1:50">
      <c r="A2529" s="1">
        <f>HYPERLINK("https://cms.ls-nyc.org/matter/dynamic-profile/view/1870402","18-1870402")</f>
        <v>0</v>
      </c>
      <c r="B2529" t="s">
        <v>65</v>
      </c>
      <c r="C2529" t="s">
        <v>234</v>
      </c>
      <c r="D2529" t="s">
        <v>322</v>
      </c>
      <c r="E2529" t="s">
        <v>686</v>
      </c>
      <c r="F2529" t="s">
        <v>987</v>
      </c>
      <c r="G2529" t="s">
        <v>3418</v>
      </c>
      <c r="H2529" t="s">
        <v>4723</v>
      </c>
      <c r="I2529" t="s">
        <v>5313</v>
      </c>
      <c r="J2529" t="s">
        <v>5321</v>
      </c>
      <c r="K2529">
        <v>10463</v>
      </c>
      <c r="L2529" t="s">
        <v>5355</v>
      </c>
      <c r="M2529" t="s">
        <v>5355</v>
      </c>
      <c r="N2529" t="s">
        <v>6477</v>
      </c>
      <c r="O2529" t="s">
        <v>6492</v>
      </c>
      <c r="P2529" t="s">
        <v>6530</v>
      </c>
      <c r="Q2529" t="s">
        <v>6534</v>
      </c>
      <c r="R2529" t="s">
        <v>6539</v>
      </c>
      <c r="S2529" t="s">
        <v>5357</v>
      </c>
      <c r="U2529" t="s">
        <v>6557</v>
      </c>
      <c r="W2529" t="s">
        <v>355</v>
      </c>
      <c r="X2529">
        <v>1250</v>
      </c>
      <c r="Y2529" t="s">
        <v>6608</v>
      </c>
      <c r="Z2529" t="s">
        <v>6493</v>
      </c>
      <c r="AA2529" t="s">
        <v>6637</v>
      </c>
      <c r="AB2529" t="s">
        <v>8678</v>
      </c>
      <c r="AD2529" t="s">
        <v>10990</v>
      </c>
      <c r="AE2529">
        <v>0</v>
      </c>
      <c r="AF2529" t="s">
        <v>11005</v>
      </c>
      <c r="AH2529">
        <v>4</v>
      </c>
      <c r="AI2529">
        <v>2</v>
      </c>
      <c r="AJ2529">
        <v>0</v>
      </c>
      <c r="AK2529">
        <v>400.97</v>
      </c>
      <c r="AM2529" t="s">
        <v>11045</v>
      </c>
      <c r="AN2529" t="s">
        <v>11050</v>
      </c>
      <c r="AO2529">
        <v>66000</v>
      </c>
      <c r="AU2529">
        <v>2.65</v>
      </c>
      <c r="AV2529" t="s">
        <v>686</v>
      </c>
      <c r="AW2529" t="s">
        <v>65</v>
      </c>
    </row>
    <row r="2530" spans="1:50">
      <c r="A2530" s="1">
        <f>HYPERLINK("https://cms.ls-nyc.org/matter/dynamic-profile/view/1856067","18-1856067")</f>
        <v>0</v>
      </c>
      <c r="B2530" t="s">
        <v>131</v>
      </c>
      <c r="C2530" t="s">
        <v>235</v>
      </c>
      <c r="D2530" t="s">
        <v>525</v>
      </c>
      <c r="F2530" t="s">
        <v>1520</v>
      </c>
      <c r="G2530" t="s">
        <v>3093</v>
      </c>
      <c r="H2530" t="s">
        <v>3769</v>
      </c>
      <c r="I2530" t="s">
        <v>4888</v>
      </c>
      <c r="J2530" t="s">
        <v>5323</v>
      </c>
      <c r="K2530">
        <v>10034</v>
      </c>
      <c r="L2530" t="s">
        <v>5355</v>
      </c>
      <c r="M2530" t="s">
        <v>5356</v>
      </c>
      <c r="O2530" t="s">
        <v>6494</v>
      </c>
      <c r="P2530" t="s">
        <v>6530</v>
      </c>
      <c r="R2530" t="s">
        <v>6539</v>
      </c>
      <c r="S2530" t="s">
        <v>5355</v>
      </c>
      <c r="U2530" t="s">
        <v>6557</v>
      </c>
      <c r="W2530" t="s">
        <v>525</v>
      </c>
      <c r="X2530">
        <v>946.1799999999999</v>
      </c>
      <c r="Y2530" t="s">
        <v>6608</v>
      </c>
      <c r="Z2530" t="s">
        <v>6493</v>
      </c>
      <c r="AB2530" t="s">
        <v>8679</v>
      </c>
      <c r="AE2530">
        <v>49</v>
      </c>
      <c r="AF2530" t="s">
        <v>11005</v>
      </c>
      <c r="AG2530" t="s">
        <v>11024</v>
      </c>
      <c r="AH2530">
        <v>33</v>
      </c>
      <c r="AI2530">
        <v>2</v>
      </c>
      <c r="AJ2530">
        <v>0</v>
      </c>
      <c r="AK2530">
        <v>401.92</v>
      </c>
      <c r="AN2530" t="s">
        <v>11049</v>
      </c>
      <c r="AO2530">
        <v>65272</v>
      </c>
      <c r="AU2530">
        <v>0.2</v>
      </c>
      <c r="AV2530" t="s">
        <v>680</v>
      </c>
      <c r="AW2530" t="s">
        <v>11495</v>
      </c>
    </row>
    <row r="2531" spans="1:50">
      <c r="A2531" s="1">
        <f>HYPERLINK("https://cms.ls-nyc.org/matter/dynamic-profile/view/1845640","17-1845640")</f>
        <v>0</v>
      </c>
      <c r="B2531" t="s">
        <v>137</v>
      </c>
      <c r="C2531" t="s">
        <v>235</v>
      </c>
      <c r="D2531" t="s">
        <v>462</v>
      </c>
      <c r="F2531" t="s">
        <v>1315</v>
      </c>
      <c r="G2531" t="s">
        <v>2576</v>
      </c>
      <c r="H2531" t="s">
        <v>3909</v>
      </c>
      <c r="I2531" t="s">
        <v>4957</v>
      </c>
      <c r="J2531" t="s">
        <v>5320</v>
      </c>
      <c r="K2531">
        <v>11213</v>
      </c>
      <c r="L2531" t="s">
        <v>5355</v>
      </c>
      <c r="M2531" t="s">
        <v>5356</v>
      </c>
      <c r="O2531" t="s">
        <v>6494</v>
      </c>
      <c r="P2531" t="s">
        <v>6530</v>
      </c>
      <c r="R2531" t="s">
        <v>6539</v>
      </c>
      <c r="S2531" t="s">
        <v>5355</v>
      </c>
      <c r="U2531" t="s">
        <v>6557</v>
      </c>
      <c r="W2531" t="s">
        <v>404</v>
      </c>
      <c r="X2531">
        <v>0</v>
      </c>
      <c r="Y2531" t="s">
        <v>6605</v>
      </c>
      <c r="Z2531" t="s">
        <v>6612</v>
      </c>
      <c r="AB2531" t="s">
        <v>7276</v>
      </c>
      <c r="AE2531">
        <v>74</v>
      </c>
      <c r="AF2531" t="s">
        <v>11005</v>
      </c>
      <c r="AH2531">
        <v>0</v>
      </c>
      <c r="AI2531">
        <v>2</v>
      </c>
      <c r="AJ2531">
        <v>2</v>
      </c>
      <c r="AK2531">
        <v>406.5</v>
      </c>
      <c r="AL2531" t="s">
        <v>511</v>
      </c>
      <c r="AN2531" t="s">
        <v>11050</v>
      </c>
      <c r="AO2531">
        <v>100000</v>
      </c>
      <c r="AU2531">
        <v>0</v>
      </c>
      <c r="AW2531" t="s">
        <v>11489</v>
      </c>
    </row>
    <row r="2532" spans="1:50">
      <c r="A2532" s="1">
        <f>HYPERLINK("https://cms.ls-nyc.org/matter/dynamic-profile/view/1869124","18-1869124")</f>
        <v>0</v>
      </c>
      <c r="B2532" t="s">
        <v>84</v>
      </c>
      <c r="C2532" t="s">
        <v>234</v>
      </c>
      <c r="D2532" t="s">
        <v>402</v>
      </c>
      <c r="E2532" t="s">
        <v>740</v>
      </c>
      <c r="F2532" t="s">
        <v>1959</v>
      </c>
      <c r="G2532" t="s">
        <v>2480</v>
      </c>
      <c r="H2532" t="s">
        <v>4724</v>
      </c>
      <c r="I2532" t="s">
        <v>4907</v>
      </c>
      <c r="J2532" t="s">
        <v>5320</v>
      </c>
      <c r="K2532">
        <v>11236</v>
      </c>
      <c r="L2532" t="s">
        <v>5355</v>
      </c>
      <c r="M2532" t="s">
        <v>5355</v>
      </c>
      <c r="N2532" t="s">
        <v>6478</v>
      </c>
      <c r="O2532" t="s">
        <v>6492</v>
      </c>
      <c r="P2532" t="s">
        <v>6530</v>
      </c>
      <c r="Q2532" t="s">
        <v>6534</v>
      </c>
      <c r="R2532" t="s">
        <v>6539</v>
      </c>
      <c r="S2532" t="s">
        <v>5355</v>
      </c>
      <c r="U2532" t="s">
        <v>6557</v>
      </c>
      <c r="W2532" t="s">
        <v>313</v>
      </c>
      <c r="X2532">
        <v>673.63</v>
      </c>
      <c r="Y2532" t="s">
        <v>6605</v>
      </c>
      <c r="Z2532" t="s">
        <v>6622</v>
      </c>
      <c r="AA2532" t="s">
        <v>6637</v>
      </c>
      <c r="AB2532" t="s">
        <v>8680</v>
      </c>
      <c r="AD2532" t="s">
        <v>10991</v>
      </c>
      <c r="AE2532">
        <v>113</v>
      </c>
      <c r="AF2532" t="s">
        <v>11005</v>
      </c>
      <c r="AH2532">
        <v>0</v>
      </c>
      <c r="AI2532">
        <v>1</v>
      </c>
      <c r="AJ2532">
        <v>0</v>
      </c>
      <c r="AK2532">
        <v>411.86</v>
      </c>
      <c r="AO2532">
        <v>50000</v>
      </c>
      <c r="AR2532" t="s">
        <v>11210</v>
      </c>
      <c r="AS2532" t="s">
        <v>11253</v>
      </c>
      <c r="AT2532" t="s">
        <v>11280</v>
      </c>
      <c r="AU2532">
        <v>16.9</v>
      </c>
      <c r="AV2532" t="s">
        <v>713</v>
      </c>
      <c r="AW2532" t="s">
        <v>54</v>
      </c>
    </row>
    <row r="2533" spans="1:50">
      <c r="A2533" s="1">
        <f>HYPERLINK("https://cms.ls-nyc.org/matter/dynamic-profile/view/1868368","18-1868368")</f>
        <v>0</v>
      </c>
      <c r="B2533" t="s">
        <v>131</v>
      </c>
      <c r="C2533" t="s">
        <v>235</v>
      </c>
      <c r="D2533" t="s">
        <v>352</v>
      </c>
      <c r="F2533" t="s">
        <v>1231</v>
      </c>
      <c r="G2533" t="s">
        <v>2188</v>
      </c>
      <c r="H2533" t="s">
        <v>3807</v>
      </c>
      <c r="I2533">
        <v>22</v>
      </c>
      <c r="J2533" t="s">
        <v>5323</v>
      </c>
      <c r="K2533">
        <v>10034</v>
      </c>
      <c r="L2533" t="s">
        <v>5355</v>
      </c>
      <c r="M2533" t="s">
        <v>5356</v>
      </c>
      <c r="O2533" t="s">
        <v>6496</v>
      </c>
      <c r="P2533" t="s">
        <v>6530</v>
      </c>
      <c r="R2533" t="s">
        <v>6539</v>
      </c>
      <c r="S2533" t="s">
        <v>5357</v>
      </c>
      <c r="U2533" t="s">
        <v>6557</v>
      </c>
      <c r="W2533" t="s">
        <v>352</v>
      </c>
      <c r="X2533">
        <v>1205</v>
      </c>
      <c r="Y2533" t="s">
        <v>6608</v>
      </c>
      <c r="Z2533" t="s">
        <v>6616</v>
      </c>
      <c r="AB2533" t="s">
        <v>8681</v>
      </c>
      <c r="AD2533" t="s">
        <v>10992</v>
      </c>
      <c r="AE2533">
        <v>25</v>
      </c>
      <c r="AF2533" t="s">
        <v>11005</v>
      </c>
      <c r="AG2533" t="s">
        <v>5406</v>
      </c>
      <c r="AH2533">
        <v>3</v>
      </c>
      <c r="AI2533">
        <v>1</v>
      </c>
      <c r="AJ2533">
        <v>0</v>
      </c>
      <c r="AK2533">
        <v>411.86</v>
      </c>
      <c r="AN2533" t="s">
        <v>11050</v>
      </c>
      <c r="AO2533">
        <v>50000</v>
      </c>
      <c r="AU2533">
        <v>20.85</v>
      </c>
      <c r="AV2533" t="s">
        <v>11463</v>
      </c>
      <c r="AW2533" t="s">
        <v>11495</v>
      </c>
    </row>
    <row r="2534" spans="1:50">
      <c r="A2534" s="1">
        <f>HYPERLINK("https://cms.ls-nyc.org/matter/dynamic-profile/view/1849210","17-1849210")</f>
        <v>0</v>
      </c>
      <c r="B2534" t="s">
        <v>58</v>
      </c>
      <c r="C2534" t="s">
        <v>235</v>
      </c>
      <c r="D2534" t="s">
        <v>590</v>
      </c>
      <c r="F2534" t="s">
        <v>2093</v>
      </c>
      <c r="G2534" t="s">
        <v>3419</v>
      </c>
      <c r="H2534" t="s">
        <v>4725</v>
      </c>
      <c r="I2534" t="s">
        <v>4921</v>
      </c>
      <c r="J2534" t="s">
        <v>5321</v>
      </c>
      <c r="K2534">
        <v>10453</v>
      </c>
      <c r="L2534" t="s">
        <v>5355</v>
      </c>
      <c r="M2534" t="s">
        <v>5356</v>
      </c>
      <c r="N2534" t="s">
        <v>6479</v>
      </c>
      <c r="O2534" t="s">
        <v>6494</v>
      </c>
      <c r="P2534" t="s">
        <v>6530</v>
      </c>
      <c r="R2534" t="s">
        <v>6539</v>
      </c>
      <c r="S2534" t="s">
        <v>5357</v>
      </c>
      <c r="U2534" t="s">
        <v>6557</v>
      </c>
      <c r="W2534" t="s">
        <v>372</v>
      </c>
      <c r="X2534">
        <v>867.79</v>
      </c>
      <c r="Y2534" t="s">
        <v>6606</v>
      </c>
      <c r="Z2534" t="s">
        <v>6612</v>
      </c>
      <c r="AB2534" t="s">
        <v>8682</v>
      </c>
      <c r="AC2534" t="s">
        <v>9098</v>
      </c>
      <c r="AD2534" t="s">
        <v>10993</v>
      </c>
      <c r="AE2534">
        <v>79</v>
      </c>
      <c r="AF2534" t="s">
        <v>11005</v>
      </c>
      <c r="AG2534" t="s">
        <v>5406</v>
      </c>
      <c r="AH2534">
        <v>15</v>
      </c>
      <c r="AI2534">
        <v>2</v>
      </c>
      <c r="AJ2534">
        <v>0</v>
      </c>
      <c r="AK2534">
        <v>425.86</v>
      </c>
      <c r="AN2534" t="s">
        <v>11050</v>
      </c>
      <c r="AO2534">
        <v>69160</v>
      </c>
      <c r="AU2534">
        <v>44.4</v>
      </c>
      <c r="AV2534" t="s">
        <v>811</v>
      </c>
      <c r="AW2534" t="s">
        <v>11499</v>
      </c>
    </row>
    <row r="2535" spans="1:50">
      <c r="A2535" s="1">
        <f>HYPERLINK("https://cms.ls-nyc.org/matter/dynamic-profile/view/1850862","17-1850862")</f>
        <v>0</v>
      </c>
      <c r="B2535" t="s">
        <v>177</v>
      </c>
      <c r="C2535" t="s">
        <v>234</v>
      </c>
      <c r="D2535" t="s">
        <v>400</v>
      </c>
      <c r="E2535" t="s">
        <v>828</v>
      </c>
      <c r="F2535" t="s">
        <v>892</v>
      </c>
      <c r="G2535" t="s">
        <v>1643</v>
      </c>
      <c r="H2535" t="s">
        <v>3899</v>
      </c>
      <c r="I2535" t="s">
        <v>4739</v>
      </c>
      <c r="J2535" t="s">
        <v>5320</v>
      </c>
      <c r="K2535">
        <v>11233</v>
      </c>
      <c r="L2535" t="s">
        <v>5355</v>
      </c>
      <c r="M2535" t="s">
        <v>5355</v>
      </c>
      <c r="N2535" t="s">
        <v>6480</v>
      </c>
      <c r="O2535" t="s">
        <v>6492</v>
      </c>
      <c r="P2535" t="s">
        <v>6530</v>
      </c>
      <c r="Q2535" t="s">
        <v>6534</v>
      </c>
      <c r="R2535" t="s">
        <v>6539</v>
      </c>
      <c r="S2535" t="s">
        <v>5357</v>
      </c>
      <c r="U2535" t="s">
        <v>6557</v>
      </c>
      <c r="W2535" t="s">
        <v>400</v>
      </c>
      <c r="X2535">
        <v>840</v>
      </c>
      <c r="Y2535" t="s">
        <v>6605</v>
      </c>
      <c r="Z2535" t="s">
        <v>6614</v>
      </c>
      <c r="AA2535" t="s">
        <v>6651</v>
      </c>
      <c r="AB2535" t="s">
        <v>8683</v>
      </c>
      <c r="AD2535" t="s">
        <v>10994</v>
      </c>
      <c r="AE2535">
        <v>7</v>
      </c>
      <c r="AF2535" t="s">
        <v>11005</v>
      </c>
      <c r="AG2535" t="s">
        <v>5406</v>
      </c>
      <c r="AH2535">
        <v>30</v>
      </c>
      <c r="AI2535">
        <v>2</v>
      </c>
      <c r="AJ2535">
        <v>0</v>
      </c>
      <c r="AK2535">
        <v>431.03</v>
      </c>
      <c r="AL2535" t="s">
        <v>631</v>
      </c>
      <c r="AM2535" t="s">
        <v>11047</v>
      </c>
      <c r="AN2535" t="s">
        <v>11050</v>
      </c>
      <c r="AO2535">
        <v>70000</v>
      </c>
      <c r="AQ2535" t="s">
        <v>11194</v>
      </c>
      <c r="AR2535" t="s">
        <v>11251</v>
      </c>
      <c r="AS2535" t="s">
        <v>11253</v>
      </c>
      <c r="AT2535" t="s">
        <v>11432</v>
      </c>
      <c r="AU2535">
        <v>28.4</v>
      </c>
      <c r="AV2535" t="s">
        <v>831</v>
      </c>
      <c r="AW2535" t="s">
        <v>219</v>
      </c>
    </row>
    <row r="2536" spans="1:50">
      <c r="A2536" s="1">
        <f>HYPERLINK("https://cms.ls-nyc.org/matter/dynamic-profile/view/1864972","18-1864972")</f>
        <v>0</v>
      </c>
      <c r="B2536" t="s">
        <v>142</v>
      </c>
      <c r="C2536" t="s">
        <v>235</v>
      </c>
      <c r="D2536" t="s">
        <v>250</v>
      </c>
      <c r="F2536" t="s">
        <v>1314</v>
      </c>
      <c r="G2536" t="s">
        <v>2574</v>
      </c>
      <c r="H2536" t="s">
        <v>3480</v>
      </c>
      <c r="I2536" t="s">
        <v>4762</v>
      </c>
      <c r="J2536" t="s">
        <v>5320</v>
      </c>
      <c r="K2536">
        <v>11213</v>
      </c>
      <c r="L2536" t="s">
        <v>5355</v>
      </c>
      <c r="M2536" t="s">
        <v>5356</v>
      </c>
      <c r="N2536" t="s">
        <v>6481</v>
      </c>
      <c r="O2536" t="s">
        <v>6494</v>
      </c>
      <c r="P2536" t="s">
        <v>6530</v>
      </c>
      <c r="R2536" t="s">
        <v>6539</v>
      </c>
      <c r="S2536" t="s">
        <v>5355</v>
      </c>
      <c r="U2536" t="s">
        <v>6557</v>
      </c>
      <c r="W2536" t="s">
        <v>395</v>
      </c>
      <c r="X2536">
        <v>805.64</v>
      </c>
      <c r="Y2536" t="s">
        <v>6605</v>
      </c>
      <c r="Z2536" t="s">
        <v>6622</v>
      </c>
      <c r="AB2536" t="s">
        <v>7273</v>
      </c>
      <c r="AD2536" t="s">
        <v>9658</v>
      </c>
      <c r="AE2536">
        <v>107</v>
      </c>
      <c r="AF2536" t="s">
        <v>11005</v>
      </c>
      <c r="AG2536" t="s">
        <v>5406</v>
      </c>
      <c r="AH2536">
        <v>21</v>
      </c>
      <c r="AI2536">
        <v>2</v>
      </c>
      <c r="AJ2536">
        <v>0</v>
      </c>
      <c r="AK2536">
        <v>431.35</v>
      </c>
      <c r="AL2536" t="s">
        <v>266</v>
      </c>
      <c r="AN2536" t="s">
        <v>11050</v>
      </c>
      <c r="AO2536">
        <v>71000</v>
      </c>
      <c r="AU2536">
        <v>0.95</v>
      </c>
      <c r="AV2536" t="s">
        <v>703</v>
      </c>
      <c r="AW2536" t="s">
        <v>77</v>
      </c>
    </row>
    <row r="2537" spans="1:50">
      <c r="A2537" s="1">
        <f>HYPERLINK("https://cms.ls-nyc.org/matter/dynamic-profile/view/1846770","17-1846770")</f>
        <v>0</v>
      </c>
      <c r="B2537" t="s">
        <v>143</v>
      </c>
      <c r="C2537" t="s">
        <v>235</v>
      </c>
      <c r="D2537" t="s">
        <v>356</v>
      </c>
      <c r="F2537" t="s">
        <v>2094</v>
      </c>
      <c r="G2537" t="s">
        <v>3420</v>
      </c>
      <c r="H2537" t="s">
        <v>3842</v>
      </c>
      <c r="I2537" t="s">
        <v>4765</v>
      </c>
      <c r="J2537" t="s">
        <v>5323</v>
      </c>
      <c r="K2537">
        <v>10035</v>
      </c>
      <c r="L2537" t="s">
        <v>5355</v>
      </c>
      <c r="M2537" t="s">
        <v>5355</v>
      </c>
      <c r="N2537" t="s">
        <v>5816</v>
      </c>
      <c r="O2537" t="s">
        <v>6494</v>
      </c>
      <c r="P2537" t="s">
        <v>6530</v>
      </c>
      <c r="R2537" t="s">
        <v>6539</v>
      </c>
      <c r="S2537" t="s">
        <v>5355</v>
      </c>
      <c r="U2537" t="s">
        <v>6557</v>
      </c>
      <c r="V2537" t="s">
        <v>6566</v>
      </c>
      <c r="W2537" t="s">
        <v>419</v>
      </c>
      <c r="X2537">
        <v>1574.13</v>
      </c>
      <c r="Y2537" t="s">
        <v>6608</v>
      </c>
      <c r="Z2537" t="s">
        <v>6622</v>
      </c>
      <c r="AB2537" t="s">
        <v>8684</v>
      </c>
      <c r="AE2537">
        <v>35</v>
      </c>
      <c r="AF2537" t="s">
        <v>11005</v>
      </c>
      <c r="AG2537" t="s">
        <v>5406</v>
      </c>
      <c r="AH2537">
        <v>19</v>
      </c>
      <c r="AI2537">
        <v>4</v>
      </c>
      <c r="AJ2537">
        <v>0</v>
      </c>
      <c r="AK2537">
        <v>439.02</v>
      </c>
      <c r="AN2537" t="s">
        <v>11050</v>
      </c>
      <c r="AO2537">
        <v>108000</v>
      </c>
      <c r="AP2537" t="s">
        <v>11182</v>
      </c>
      <c r="AU2537">
        <v>12.3</v>
      </c>
      <c r="AV2537" t="s">
        <v>11442</v>
      </c>
      <c r="AW2537" t="s">
        <v>11497</v>
      </c>
      <c r="AX2537" t="s">
        <v>11564</v>
      </c>
    </row>
    <row r="2538" spans="1:50">
      <c r="A2538" s="1">
        <f>HYPERLINK("https://cms.ls-nyc.org/matter/dynamic-profile/view/1840086","17-1840086")</f>
        <v>0</v>
      </c>
      <c r="B2538" t="s">
        <v>92</v>
      </c>
      <c r="C2538" t="s">
        <v>234</v>
      </c>
      <c r="D2538" t="s">
        <v>359</v>
      </c>
      <c r="E2538" t="s">
        <v>674</v>
      </c>
      <c r="F2538" t="s">
        <v>1316</v>
      </c>
      <c r="G2538" t="s">
        <v>2578</v>
      </c>
      <c r="H2538" t="s">
        <v>3575</v>
      </c>
      <c r="I2538">
        <v>65</v>
      </c>
      <c r="J2538" t="s">
        <v>5323</v>
      </c>
      <c r="K2538">
        <v>10040</v>
      </c>
      <c r="L2538" t="s">
        <v>5355</v>
      </c>
      <c r="M2538" t="s">
        <v>5355</v>
      </c>
      <c r="N2538" t="s">
        <v>5439</v>
      </c>
      <c r="O2538" t="s">
        <v>6494</v>
      </c>
      <c r="P2538" t="s">
        <v>6530</v>
      </c>
      <c r="Q2538" t="s">
        <v>6534</v>
      </c>
      <c r="R2538" t="s">
        <v>6539</v>
      </c>
      <c r="S2538" t="s">
        <v>5355</v>
      </c>
      <c r="U2538" t="s">
        <v>6557</v>
      </c>
      <c r="W2538" t="s">
        <v>460</v>
      </c>
      <c r="X2538">
        <v>1850</v>
      </c>
      <c r="Y2538" t="s">
        <v>6608</v>
      </c>
      <c r="Z2538" t="s">
        <v>6622</v>
      </c>
      <c r="AA2538" t="s">
        <v>6634</v>
      </c>
      <c r="AB2538" t="s">
        <v>7278</v>
      </c>
      <c r="AD2538" t="s">
        <v>9661</v>
      </c>
      <c r="AE2538">
        <v>45</v>
      </c>
      <c r="AF2538" t="s">
        <v>11005</v>
      </c>
      <c r="AG2538" t="s">
        <v>5406</v>
      </c>
      <c r="AH2538">
        <v>1</v>
      </c>
      <c r="AI2538">
        <v>2</v>
      </c>
      <c r="AJ2538">
        <v>2</v>
      </c>
      <c r="AK2538">
        <v>447.15</v>
      </c>
      <c r="AL2538" t="s">
        <v>301</v>
      </c>
      <c r="AN2538" t="s">
        <v>11050</v>
      </c>
      <c r="AO2538">
        <v>110000</v>
      </c>
      <c r="AQ2538" t="s">
        <v>11190</v>
      </c>
      <c r="AR2538" t="s">
        <v>11206</v>
      </c>
      <c r="AS2538" t="s">
        <v>11253</v>
      </c>
      <c r="AT2538" t="s">
        <v>11263</v>
      </c>
      <c r="AU2538">
        <v>1.9</v>
      </c>
      <c r="AV2538" t="s">
        <v>674</v>
      </c>
      <c r="AW2538" t="s">
        <v>11495</v>
      </c>
    </row>
    <row r="2539" spans="1:50">
      <c r="A2539" s="1">
        <f>HYPERLINK("https://cms.ls-nyc.org/matter/dynamic-profile/view/1840192","17-1840192")</f>
        <v>0</v>
      </c>
      <c r="B2539" t="s">
        <v>92</v>
      </c>
      <c r="C2539" t="s">
        <v>234</v>
      </c>
      <c r="D2539" t="s">
        <v>405</v>
      </c>
      <c r="E2539" t="s">
        <v>676</v>
      </c>
      <c r="F2539" t="s">
        <v>2095</v>
      </c>
      <c r="G2539" t="s">
        <v>3421</v>
      </c>
      <c r="H2539" t="s">
        <v>3575</v>
      </c>
      <c r="I2539">
        <v>34</v>
      </c>
      <c r="J2539" t="s">
        <v>5323</v>
      </c>
      <c r="K2539">
        <v>10040</v>
      </c>
      <c r="L2539" t="s">
        <v>5355</v>
      </c>
      <c r="M2539" t="s">
        <v>5355</v>
      </c>
      <c r="N2539" t="s">
        <v>5439</v>
      </c>
      <c r="O2539" t="s">
        <v>6494</v>
      </c>
      <c r="P2539" t="s">
        <v>6530</v>
      </c>
      <c r="Q2539" t="s">
        <v>6534</v>
      </c>
      <c r="R2539" t="s">
        <v>6539</v>
      </c>
      <c r="S2539" t="s">
        <v>5355</v>
      </c>
      <c r="U2539" t="s">
        <v>6557</v>
      </c>
      <c r="W2539" t="s">
        <v>460</v>
      </c>
      <c r="X2539">
        <v>1405</v>
      </c>
      <c r="Y2539" t="s">
        <v>6608</v>
      </c>
      <c r="Z2539" t="s">
        <v>6622</v>
      </c>
      <c r="AA2539" t="s">
        <v>6634</v>
      </c>
      <c r="AB2539" t="s">
        <v>8685</v>
      </c>
      <c r="AD2539" t="s">
        <v>10995</v>
      </c>
      <c r="AE2539">
        <v>45</v>
      </c>
      <c r="AF2539" t="s">
        <v>11005</v>
      </c>
      <c r="AG2539" t="s">
        <v>5406</v>
      </c>
      <c r="AH2539">
        <v>2</v>
      </c>
      <c r="AI2539">
        <v>1</v>
      </c>
      <c r="AJ2539">
        <v>0</v>
      </c>
      <c r="AK2539">
        <v>464.34</v>
      </c>
      <c r="AL2539" t="s">
        <v>301</v>
      </c>
      <c r="AN2539" t="s">
        <v>11050</v>
      </c>
      <c r="AO2539">
        <v>56000</v>
      </c>
      <c r="AQ2539" t="s">
        <v>11190</v>
      </c>
      <c r="AR2539" t="s">
        <v>11206</v>
      </c>
      <c r="AS2539" t="s">
        <v>11253</v>
      </c>
      <c r="AT2539" t="s">
        <v>11263</v>
      </c>
      <c r="AU2539">
        <v>2.5</v>
      </c>
      <c r="AV2539" t="s">
        <v>676</v>
      </c>
      <c r="AW2539" t="s">
        <v>11495</v>
      </c>
    </row>
    <row r="2540" spans="1:50">
      <c r="A2540" s="1">
        <f>HYPERLINK("https://cms.ls-nyc.org/matter/dynamic-profile/view/1868565","18-1868565")</f>
        <v>0</v>
      </c>
      <c r="B2540" t="s">
        <v>72</v>
      </c>
      <c r="C2540" t="s">
        <v>234</v>
      </c>
      <c r="D2540" t="s">
        <v>267</v>
      </c>
      <c r="E2540" t="s">
        <v>652</v>
      </c>
      <c r="F2540" t="s">
        <v>2096</v>
      </c>
      <c r="G2540" t="s">
        <v>2977</v>
      </c>
      <c r="H2540" t="s">
        <v>4726</v>
      </c>
      <c r="I2540" t="s">
        <v>5314</v>
      </c>
      <c r="J2540" t="s">
        <v>5320</v>
      </c>
      <c r="K2540">
        <v>11207</v>
      </c>
      <c r="L2540" t="s">
        <v>5355</v>
      </c>
      <c r="M2540" t="s">
        <v>5355</v>
      </c>
      <c r="N2540" t="s">
        <v>6482</v>
      </c>
      <c r="O2540" t="s">
        <v>6491</v>
      </c>
      <c r="P2540" t="s">
        <v>6530</v>
      </c>
      <c r="Q2540" t="s">
        <v>6534</v>
      </c>
      <c r="R2540" t="s">
        <v>6539</v>
      </c>
      <c r="U2540" t="s">
        <v>6557</v>
      </c>
      <c r="W2540" t="s">
        <v>267</v>
      </c>
      <c r="X2540">
        <v>900</v>
      </c>
      <c r="Y2540" t="s">
        <v>6605</v>
      </c>
      <c r="Z2540" t="s">
        <v>6625</v>
      </c>
      <c r="AA2540" t="s">
        <v>6637</v>
      </c>
      <c r="AB2540" t="s">
        <v>8686</v>
      </c>
      <c r="AD2540" t="s">
        <v>10996</v>
      </c>
      <c r="AE2540">
        <v>12</v>
      </c>
      <c r="AF2540" t="s">
        <v>11005</v>
      </c>
      <c r="AH2540">
        <v>10</v>
      </c>
      <c r="AI2540">
        <v>1</v>
      </c>
      <c r="AJ2540">
        <v>0</v>
      </c>
      <c r="AK2540">
        <v>479.08</v>
      </c>
      <c r="AN2540" t="s">
        <v>11050</v>
      </c>
      <c r="AO2540">
        <v>58160</v>
      </c>
      <c r="AQ2540" t="s">
        <v>11192</v>
      </c>
      <c r="AR2540" t="s">
        <v>11210</v>
      </c>
      <c r="AS2540" t="s">
        <v>11253</v>
      </c>
      <c r="AT2540" t="s">
        <v>11277</v>
      </c>
      <c r="AU2540">
        <v>6.7</v>
      </c>
      <c r="AV2540" t="s">
        <v>748</v>
      </c>
      <c r="AW2540" t="s">
        <v>11488</v>
      </c>
    </row>
    <row r="2541" spans="1:50">
      <c r="A2541" s="1">
        <f>HYPERLINK("https://cms.ls-nyc.org/matter/dynamic-profile/view/1856063","18-1856063")</f>
        <v>0</v>
      </c>
      <c r="B2541" t="s">
        <v>131</v>
      </c>
      <c r="C2541" t="s">
        <v>235</v>
      </c>
      <c r="D2541" t="s">
        <v>525</v>
      </c>
      <c r="F2541" t="s">
        <v>1138</v>
      </c>
      <c r="G2541" t="s">
        <v>2188</v>
      </c>
      <c r="H2541" t="s">
        <v>3769</v>
      </c>
      <c r="J2541" t="s">
        <v>5323</v>
      </c>
      <c r="K2541">
        <v>10034</v>
      </c>
      <c r="L2541" t="s">
        <v>5355</v>
      </c>
      <c r="M2541" t="s">
        <v>5356</v>
      </c>
      <c r="O2541" t="s">
        <v>6494</v>
      </c>
      <c r="P2541" t="s">
        <v>6530</v>
      </c>
      <c r="R2541" t="s">
        <v>6539</v>
      </c>
      <c r="S2541" t="s">
        <v>5355</v>
      </c>
      <c r="U2541" t="s">
        <v>6557</v>
      </c>
      <c r="W2541" t="s">
        <v>525</v>
      </c>
      <c r="X2541">
        <v>0</v>
      </c>
      <c r="Y2541" t="s">
        <v>6608</v>
      </c>
      <c r="Z2541" t="s">
        <v>6622</v>
      </c>
      <c r="AB2541" t="s">
        <v>8687</v>
      </c>
      <c r="AE2541">
        <v>49</v>
      </c>
      <c r="AF2541" t="s">
        <v>11005</v>
      </c>
      <c r="AG2541" t="s">
        <v>5406</v>
      </c>
      <c r="AH2541">
        <v>0</v>
      </c>
      <c r="AI2541">
        <v>2</v>
      </c>
      <c r="AJ2541">
        <v>0</v>
      </c>
      <c r="AK2541">
        <v>486.45</v>
      </c>
      <c r="AN2541" t="s">
        <v>11049</v>
      </c>
      <c r="AO2541">
        <v>79000</v>
      </c>
      <c r="AU2541">
        <v>3.15</v>
      </c>
      <c r="AV2541" t="s">
        <v>775</v>
      </c>
      <c r="AW2541" t="s">
        <v>11495</v>
      </c>
    </row>
    <row r="2542" spans="1:50">
      <c r="A2542" s="1">
        <f>HYPERLINK("https://cms.ls-nyc.org/matter/dynamic-profile/view/1854566","17-1854566")</f>
        <v>0</v>
      </c>
      <c r="B2542" t="s">
        <v>94</v>
      </c>
      <c r="C2542" t="s">
        <v>235</v>
      </c>
      <c r="D2542" t="s">
        <v>308</v>
      </c>
      <c r="F2542" t="s">
        <v>1914</v>
      </c>
      <c r="G2542" t="s">
        <v>3422</v>
      </c>
      <c r="H2542" t="s">
        <v>4259</v>
      </c>
      <c r="I2542" t="s">
        <v>4781</v>
      </c>
      <c r="J2542" t="s">
        <v>5320</v>
      </c>
      <c r="K2542">
        <v>11207</v>
      </c>
      <c r="L2542" t="s">
        <v>5355</v>
      </c>
      <c r="M2542" t="s">
        <v>5356</v>
      </c>
      <c r="N2542" t="s">
        <v>6483</v>
      </c>
      <c r="O2542" t="s">
        <v>6491</v>
      </c>
      <c r="P2542" t="s">
        <v>6530</v>
      </c>
      <c r="R2542" t="s">
        <v>6539</v>
      </c>
      <c r="S2542" t="s">
        <v>5355</v>
      </c>
      <c r="U2542" t="s">
        <v>6557</v>
      </c>
      <c r="W2542" t="s">
        <v>262</v>
      </c>
      <c r="X2542">
        <v>1000</v>
      </c>
      <c r="Y2542" t="s">
        <v>6605</v>
      </c>
      <c r="Z2542" t="s">
        <v>6614</v>
      </c>
      <c r="AB2542" t="s">
        <v>8688</v>
      </c>
      <c r="AE2542">
        <v>6</v>
      </c>
      <c r="AF2542" t="s">
        <v>11005</v>
      </c>
      <c r="AG2542" t="s">
        <v>5406</v>
      </c>
      <c r="AH2542">
        <v>3</v>
      </c>
      <c r="AI2542">
        <v>1</v>
      </c>
      <c r="AJ2542">
        <v>0</v>
      </c>
      <c r="AK2542">
        <v>497.51</v>
      </c>
      <c r="AN2542" t="s">
        <v>11050</v>
      </c>
      <c r="AO2542">
        <v>60000</v>
      </c>
      <c r="AU2542">
        <v>1.55</v>
      </c>
      <c r="AV2542" t="s">
        <v>253</v>
      </c>
      <c r="AW2542" t="s">
        <v>228</v>
      </c>
    </row>
    <row r="2543" spans="1:50">
      <c r="A2543" s="1">
        <f>HYPERLINK("https://cms.ls-nyc.org/matter/dynamic-profile/view/0822904","16-0822904")</f>
        <v>0</v>
      </c>
      <c r="B2543" t="s">
        <v>94</v>
      </c>
      <c r="C2543" t="s">
        <v>235</v>
      </c>
      <c r="D2543" t="s">
        <v>423</v>
      </c>
      <c r="F2543" t="s">
        <v>1914</v>
      </c>
      <c r="G2543" t="s">
        <v>3422</v>
      </c>
      <c r="H2543" t="s">
        <v>4259</v>
      </c>
      <c r="I2543" t="s">
        <v>4781</v>
      </c>
      <c r="J2543" t="s">
        <v>5320</v>
      </c>
      <c r="K2543">
        <v>11207</v>
      </c>
      <c r="L2543" t="s">
        <v>5355</v>
      </c>
      <c r="M2543" t="s">
        <v>5356</v>
      </c>
      <c r="N2543" t="s">
        <v>5825</v>
      </c>
      <c r="O2543" t="s">
        <v>6494</v>
      </c>
      <c r="P2543" t="s">
        <v>6530</v>
      </c>
      <c r="R2543" t="s">
        <v>6539</v>
      </c>
      <c r="S2543" t="s">
        <v>5355</v>
      </c>
      <c r="U2543" t="s">
        <v>6557</v>
      </c>
      <c r="W2543" t="s">
        <v>6578</v>
      </c>
      <c r="X2543">
        <v>1000</v>
      </c>
      <c r="Y2543" t="s">
        <v>6605</v>
      </c>
      <c r="Z2543" t="s">
        <v>6614</v>
      </c>
      <c r="AB2543" t="s">
        <v>8688</v>
      </c>
      <c r="AE2543">
        <v>6</v>
      </c>
      <c r="AF2543" t="s">
        <v>11005</v>
      </c>
      <c r="AH2543">
        <v>3</v>
      </c>
      <c r="AI2543">
        <v>1</v>
      </c>
      <c r="AJ2543">
        <v>0</v>
      </c>
      <c r="AK2543">
        <v>505.05</v>
      </c>
      <c r="AN2543" t="s">
        <v>11050</v>
      </c>
      <c r="AO2543">
        <v>60000</v>
      </c>
      <c r="AU2543">
        <v>2.5</v>
      </c>
      <c r="AV2543" t="s">
        <v>701</v>
      </c>
      <c r="AW2543" t="s">
        <v>228</v>
      </c>
    </row>
    <row r="2544" spans="1:50">
      <c r="A2544" s="1">
        <f>HYPERLINK("https://cms.ls-nyc.org/matter/dynamic-profile/view/1846417","17-1846417")</f>
        <v>0</v>
      </c>
      <c r="B2544" t="s">
        <v>143</v>
      </c>
      <c r="C2544" t="s">
        <v>235</v>
      </c>
      <c r="D2544" t="s">
        <v>646</v>
      </c>
      <c r="F2544" t="s">
        <v>1360</v>
      </c>
      <c r="G2544" t="s">
        <v>3423</v>
      </c>
      <c r="H2544" t="s">
        <v>4727</v>
      </c>
      <c r="I2544" t="s">
        <v>4817</v>
      </c>
      <c r="J2544" t="s">
        <v>5323</v>
      </c>
      <c r="K2544">
        <v>10035</v>
      </c>
      <c r="L2544" t="s">
        <v>5355</v>
      </c>
      <c r="M2544" t="s">
        <v>5356</v>
      </c>
      <c r="N2544" t="s">
        <v>5528</v>
      </c>
      <c r="O2544" t="s">
        <v>6494</v>
      </c>
      <c r="P2544" t="s">
        <v>6530</v>
      </c>
      <c r="R2544" t="s">
        <v>6539</v>
      </c>
      <c r="S2544" t="s">
        <v>5355</v>
      </c>
      <c r="U2544" t="s">
        <v>6557</v>
      </c>
      <c r="V2544" t="s">
        <v>6566</v>
      </c>
      <c r="W2544" t="s">
        <v>646</v>
      </c>
      <c r="X2544">
        <v>1830</v>
      </c>
      <c r="Y2544" t="s">
        <v>6608</v>
      </c>
      <c r="Z2544" t="s">
        <v>6622</v>
      </c>
      <c r="AB2544" t="s">
        <v>8689</v>
      </c>
      <c r="AD2544" t="s">
        <v>10997</v>
      </c>
      <c r="AE2544">
        <v>35</v>
      </c>
      <c r="AF2544" t="s">
        <v>11005</v>
      </c>
      <c r="AG2544" t="s">
        <v>5406</v>
      </c>
      <c r="AH2544">
        <v>8</v>
      </c>
      <c r="AI2544">
        <v>1</v>
      </c>
      <c r="AJ2544">
        <v>0</v>
      </c>
      <c r="AK2544">
        <v>522.39</v>
      </c>
      <c r="AN2544" t="s">
        <v>11050</v>
      </c>
      <c r="AO2544">
        <v>63000</v>
      </c>
      <c r="AU2544">
        <v>1.35</v>
      </c>
      <c r="AV2544" t="s">
        <v>756</v>
      </c>
      <c r="AW2544" t="s">
        <v>11497</v>
      </c>
      <c r="AX2544" t="s">
        <v>11564</v>
      </c>
    </row>
    <row r="2545" spans="1:49">
      <c r="A2545" s="1">
        <f>HYPERLINK("https://cms.ls-nyc.org/matter/dynamic-profile/view/1867785","18-1867785")</f>
        <v>0</v>
      </c>
      <c r="B2545" t="s">
        <v>124</v>
      </c>
      <c r="C2545" t="s">
        <v>235</v>
      </c>
      <c r="D2545" t="s">
        <v>382</v>
      </c>
      <c r="F2545" t="s">
        <v>1212</v>
      </c>
      <c r="G2545" t="s">
        <v>2721</v>
      </c>
      <c r="H2545" t="s">
        <v>4728</v>
      </c>
      <c r="I2545" t="s">
        <v>4837</v>
      </c>
      <c r="J2545" t="s">
        <v>5323</v>
      </c>
      <c r="K2545">
        <v>10032</v>
      </c>
      <c r="L2545" t="s">
        <v>5355</v>
      </c>
      <c r="M2545" t="s">
        <v>5356</v>
      </c>
      <c r="P2545" t="s">
        <v>6530</v>
      </c>
      <c r="R2545" t="s">
        <v>6539</v>
      </c>
      <c r="S2545" t="s">
        <v>5357</v>
      </c>
      <c r="U2545" t="s">
        <v>6557</v>
      </c>
      <c r="W2545" t="s">
        <v>382</v>
      </c>
      <c r="X2545">
        <v>1465.22</v>
      </c>
      <c r="Y2545" t="s">
        <v>6608</v>
      </c>
      <c r="Z2545" t="s">
        <v>6616</v>
      </c>
      <c r="AB2545" t="s">
        <v>8690</v>
      </c>
      <c r="AD2545" t="s">
        <v>10998</v>
      </c>
      <c r="AE2545">
        <v>0</v>
      </c>
      <c r="AF2545" t="s">
        <v>11005</v>
      </c>
      <c r="AG2545" t="s">
        <v>5406</v>
      </c>
      <c r="AH2545">
        <v>24</v>
      </c>
      <c r="AI2545">
        <v>1</v>
      </c>
      <c r="AJ2545">
        <v>0</v>
      </c>
      <c r="AK2545">
        <v>593.08</v>
      </c>
      <c r="AN2545" t="s">
        <v>11049</v>
      </c>
      <c r="AO2545">
        <v>72000</v>
      </c>
      <c r="AU2545">
        <v>116</v>
      </c>
      <c r="AV2545" t="s">
        <v>11462</v>
      </c>
      <c r="AW2545" t="s">
        <v>11495</v>
      </c>
    </row>
    <row r="2546" spans="1:49">
      <c r="A2546" s="1">
        <f>HYPERLINK("https://cms.ls-nyc.org/matter/dynamic-profile/view/1858397","18-1858397")</f>
        <v>0</v>
      </c>
      <c r="B2546" t="s">
        <v>71</v>
      </c>
      <c r="C2546" t="s">
        <v>235</v>
      </c>
      <c r="D2546" t="s">
        <v>347</v>
      </c>
      <c r="F2546" t="s">
        <v>1708</v>
      </c>
      <c r="G2546" t="s">
        <v>2168</v>
      </c>
      <c r="H2546" t="s">
        <v>4729</v>
      </c>
      <c r="I2546" t="s">
        <v>5315</v>
      </c>
      <c r="J2546" t="s">
        <v>5321</v>
      </c>
      <c r="K2546">
        <v>10453</v>
      </c>
      <c r="L2546" t="s">
        <v>5355</v>
      </c>
      <c r="M2546" t="s">
        <v>5356</v>
      </c>
      <c r="N2546" t="s">
        <v>6484</v>
      </c>
      <c r="P2546" t="s">
        <v>6530</v>
      </c>
      <c r="R2546" t="s">
        <v>6539</v>
      </c>
      <c r="U2546" t="s">
        <v>6557</v>
      </c>
      <c r="W2546" t="s">
        <v>312</v>
      </c>
      <c r="X2546">
        <v>738</v>
      </c>
      <c r="Y2546" t="s">
        <v>6606</v>
      </c>
      <c r="AB2546" t="s">
        <v>8691</v>
      </c>
      <c r="AD2546" t="s">
        <v>10999</v>
      </c>
      <c r="AE2546">
        <v>0</v>
      </c>
      <c r="AH2546">
        <v>25</v>
      </c>
      <c r="AI2546">
        <v>3</v>
      </c>
      <c r="AJ2546">
        <v>0</v>
      </c>
      <c r="AK2546">
        <v>606.0700000000001</v>
      </c>
      <c r="AN2546" t="s">
        <v>11049</v>
      </c>
      <c r="AO2546">
        <v>136132</v>
      </c>
      <c r="AP2546" t="s">
        <v>11188</v>
      </c>
      <c r="AU2546">
        <v>65.90000000000001</v>
      </c>
      <c r="AV2546" t="s">
        <v>702</v>
      </c>
      <c r="AW2546" t="s">
        <v>11499</v>
      </c>
    </row>
    <row r="2547" spans="1:49">
      <c r="A2547" s="1">
        <f>HYPERLINK("https://cms.ls-nyc.org/matter/dynamic-profile/view/0829567","17-0829567")</f>
        <v>0</v>
      </c>
      <c r="B2547" t="s">
        <v>54</v>
      </c>
      <c r="C2547" t="s">
        <v>234</v>
      </c>
      <c r="D2547" t="s">
        <v>662</v>
      </c>
      <c r="E2547" t="s">
        <v>699</v>
      </c>
      <c r="F2547" t="s">
        <v>884</v>
      </c>
      <c r="G2547" t="s">
        <v>3424</v>
      </c>
      <c r="H2547" t="s">
        <v>4720</v>
      </c>
      <c r="I2547" t="s">
        <v>4746</v>
      </c>
      <c r="J2547" t="s">
        <v>5320</v>
      </c>
      <c r="K2547">
        <v>11225</v>
      </c>
      <c r="L2547" t="s">
        <v>5355</v>
      </c>
      <c r="M2547" t="s">
        <v>5356</v>
      </c>
      <c r="N2547" t="s">
        <v>6472</v>
      </c>
      <c r="O2547" t="s">
        <v>6494</v>
      </c>
      <c r="P2547" t="s">
        <v>6530</v>
      </c>
      <c r="Q2547" t="s">
        <v>6531</v>
      </c>
      <c r="R2547" t="s">
        <v>6539</v>
      </c>
      <c r="S2547" t="s">
        <v>5355</v>
      </c>
      <c r="U2547" t="s">
        <v>6557</v>
      </c>
      <c r="W2547" t="s">
        <v>6578</v>
      </c>
      <c r="X2547">
        <v>1071</v>
      </c>
      <c r="Y2547" t="s">
        <v>6605</v>
      </c>
      <c r="AA2547" t="s">
        <v>6634</v>
      </c>
      <c r="AB2547" t="s">
        <v>8692</v>
      </c>
      <c r="AE2547">
        <v>40</v>
      </c>
      <c r="AF2547" t="s">
        <v>11005</v>
      </c>
      <c r="AG2547" t="s">
        <v>5406</v>
      </c>
      <c r="AH2547">
        <v>26</v>
      </c>
      <c r="AI2547">
        <v>1</v>
      </c>
      <c r="AJ2547">
        <v>0</v>
      </c>
      <c r="AK2547">
        <v>949.98</v>
      </c>
      <c r="AL2547" t="s">
        <v>350</v>
      </c>
      <c r="AN2547" t="s">
        <v>11050</v>
      </c>
      <c r="AO2547">
        <v>114567</v>
      </c>
      <c r="AU2547">
        <v>1.3</v>
      </c>
      <c r="AV2547" t="s">
        <v>640</v>
      </c>
      <c r="AW2547" t="s">
        <v>11512</v>
      </c>
    </row>
    <row r="2548" spans="1:49">
      <c r="A2548" s="1">
        <f>HYPERLINK("https://cms.ls-nyc.org/matter/dynamic-profile/view/1845255","17-1845255")</f>
        <v>0</v>
      </c>
      <c r="B2548" t="s">
        <v>115</v>
      </c>
      <c r="C2548" t="s">
        <v>234</v>
      </c>
      <c r="D2548" t="s">
        <v>417</v>
      </c>
      <c r="E2548" t="s">
        <v>720</v>
      </c>
      <c r="F2548" t="s">
        <v>1217</v>
      </c>
      <c r="G2548" t="s">
        <v>3425</v>
      </c>
      <c r="H2548" t="s">
        <v>4730</v>
      </c>
      <c r="I2548" t="s">
        <v>4734</v>
      </c>
      <c r="J2548" t="s">
        <v>5320</v>
      </c>
      <c r="K2548">
        <v>11221</v>
      </c>
      <c r="L2548" t="s">
        <v>5355</v>
      </c>
      <c r="M2548" t="s">
        <v>5356</v>
      </c>
      <c r="N2548" t="s">
        <v>6485</v>
      </c>
      <c r="O2548" t="s">
        <v>6492</v>
      </c>
      <c r="P2548" t="s">
        <v>6530</v>
      </c>
      <c r="Q2548" t="s">
        <v>6534</v>
      </c>
      <c r="R2548" t="s">
        <v>6540</v>
      </c>
      <c r="S2548" t="s">
        <v>5357</v>
      </c>
      <c r="U2548" t="s">
        <v>6557</v>
      </c>
      <c r="W2548" t="s">
        <v>417</v>
      </c>
      <c r="X2548">
        <v>950</v>
      </c>
      <c r="Y2548" t="s">
        <v>6605</v>
      </c>
      <c r="Z2548" t="s">
        <v>6610</v>
      </c>
      <c r="AA2548" t="s">
        <v>6637</v>
      </c>
      <c r="AB2548" t="s">
        <v>8693</v>
      </c>
      <c r="AD2548" t="s">
        <v>11000</v>
      </c>
      <c r="AE2548">
        <v>6</v>
      </c>
      <c r="AF2548" t="s">
        <v>11005</v>
      </c>
      <c r="AG2548" t="s">
        <v>5406</v>
      </c>
      <c r="AH2548">
        <v>6</v>
      </c>
      <c r="AI2548">
        <v>1</v>
      </c>
      <c r="AJ2548">
        <v>1</v>
      </c>
      <c r="AK2548">
        <v>1606.11</v>
      </c>
      <c r="AL2548" t="s">
        <v>11028</v>
      </c>
      <c r="AN2548" t="s">
        <v>11050</v>
      </c>
      <c r="AO2548">
        <v>260832</v>
      </c>
      <c r="AP2548" t="s">
        <v>11189</v>
      </c>
      <c r="AU2548">
        <v>6.4</v>
      </c>
      <c r="AV2548" t="s">
        <v>553</v>
      </c>
      <c r="AW2548" t="s">
        <v>115</v>
      </c>
    </row>
    <row r="2549" spans="1:49">
      <c r="A2549" s="1">
        <f>HYPERLINK("https://cms.ls-nyc.org/matter/dynamic-profile/view/1847267","17-1847267")</f>
        <v>0</v>
      </c>
      <c r="B2549" t="s">
        <v>56</v>
      </c>
      <c r="C2549" t="s">
        <v>234</v>
      </c>
      <c r="D2549" t="s">
        <v>510</v>
      </c>
      <c r="E2549" t="s">
        <v>665</v>
      </c>
      <c r="F2549" t="s">
        <v>2097</v>
      </c>
      <c r="G2549" t="s">
        <v>2338</v>
      </c>
      <c r="H2549" t="s">
        <v>4731</v>
      </c>
      <c r="I2549" t="s">
        <v>4834</v>
      </c>
      <c r="J2549" t="s">
        <v>5321</v>
      </c>
      <c r="K2549">
        <v>10460</v>
      </c>
      <c r="L2549" t="s">
        <v>5355</v>
      </c>
      <c r="M2549" t="s">
        <v>5356</v>
      </c>
      <c r="N2549" t="s">
        <v>6486</v>
      </c>
      <c r="O2549" t="s">
        <v>6492</v>
      </c>
      <c r="P2549" t="s">
        <v>6530</v>
      </c>
      <c r="Q2549" t="s">
        <v>6534</v>
      </c>
      <c r="R2549" t="s">
        <v>6540</v>
      </c>
      <c r="S2549" t="s">
        <v>5357</v>
      </c>
      <c r="U2549" t="s">
        <v>6557</v>
      </c>
      <c r="W2549" t="s">
        <v>6599</v>
      </c>
      <c r="X2549">
        <v>1681</v>
      </c>
      <c r="Y2549" t="s">
        <v>6606</v>
      </c>
      <c r="Z2549" t="s">
        <v>6610</v>
      </c>
      <c r="AA2549" t="s">
        <v>6644</v>
      </c>
      <c r="AB2549" t="s">
        <v>8694</v>
      </c>
      <c r="AD2549" t="s">
        <v>11001</v>
      </c>
      <c r="AE2549">
        <v>6</v>
      </c>
      <c r="AF2549" t="s">
        <v>11014</v>
      </c>
      <c r="AG2549" t="s">
        <v>11020</v>
      </c>
      <c r="AH2549">
        <v>1</v>
      </c>
      <c r="AI2549">
        <v>1</v>
      </c>
      <c r="AJ2549">
        <v>1</v>
      </c>
      <c r="AK2549">
        <v>1614.68</v>
      </c>
      <c r="AL2549" t="s">
        <v>11028</v>
      </c>
      <c r="AN2549" t="s">
        <v>11050</v>
      </c>
      <c r="AO2549">
        <v>262224</v>
      </c>
      <c r="AQ2549" t="s">
        <v>11190</v>
      </c>
      <c r="AR2549" t="s">
        <v>11224</v>
      </c>
      <c r="AS2549" t="s">
        <v>11253</v>
      </c>
      <c r="AT2549" t="s">
        <v>11400</v>
      </c>
      <c r="AU2549">
        <v>43.1</v>
      </c>
      <c r="AV2549" t="s">
        <v>800</v>
      </c>
      <c r="AW2549" t="s">
        <v>57</v>
      </c>
    </row>
    <row r="2550" spans="1:49">
      <c r="A2550" s="1">
        <f>HYPERLINK("https://cms.ls-nyc.org/matter/dynamic-profile/view/1895453","19-1895453")</f>
        <v>0</v>
      </c>
      <c r="B2550" t="s">
        <v>107</v>
      </c>
      <c r="C2550" t="s">
        <v>235</v>
      </c>
      <c r="D2550" t="s">
        <v>664</v>
      </c>
      <c r="F2550" t="s">
        <v>1924</v>
      </c>
      <c r="G2550" t="s">
        <v>2215</v>
      </c>
      <c r="H2550" t="s">
        <v>4500</v>
      </c>
      <c r="I2550" t="s">
        <v>4781</v>
      </c>
      <c r="J2550" t="s">
        <v>5320</v>
      </c>
      <c r="K2550">
        <v>11208</v>
      </c>
      <c r="L2550" t="s">
        <v>5355</v>
      </c>
      <c r="M2550" t="s">
        <v>5355</v>
      </c>
      <c r="N2550" t="s">
        <v>6169</v>
      </c>
      <c r="O2550" t="s">
        <v>6513</v>
      </c>
      <c r="R2550" t="s">
        <v>6539</v>
      </c>
      <c r="S2550" t="s">
        <v>5357</v>
      </c>
      <c r="U2550" t="s">
        <v>6558</v>
      </c>
      <c r="W2550" t="s">
        <v>250</v>
      </c>
      <c r="X2550">
        <v>862</v>
      </c>
      <c r="Y2550" t="s">
        <v>6605</v>
      </c>
      <c r="Z2550" t="s">
        <v>6629</v>
      </c>
      <c r="AB2550" t="s">
        <v>8338</v>
      </c>
      <c r="AC2550" t="s">
        <v>9050</v>
      </c>
      <c r="AD2550" t="s">
        <v>10663</v>
      </c>
      <c r="AE2550">
        <v>6</v>
      </c>
      <c r="AH2550">
        <v>13</v>
      </c>
      <c r="AI2550">
        <v>2</v>
      </c>
      <c r="AJ2550">
        <v>0</v>
      </c>
      <c r="AK2550">
        <v>110.09</v>
      </c>
      <c r="AN2550" t="s">
        <v>11049</v>
      </c>
      <c r="AO2550">
        <v>18616</v>
      </c>
      <c r="AU2550">
        <v>2</v>
      </c>
      <c r="AV2550" t="s">
        <v>784</v>
      </c>
      <c r="AW2550" t="s">
        <v>11516</v>
      </c>
    </row>
    <row r="2551" spans="1:49">
      <c r="A2551" s="1">
        <f>HYPERLINK("https://cms.ls-nyc.org/matter/dynamic-profile/view/1867544","18-1867544")</f>
        <v>0</v>
      </c>
      <c r="B2551" t="s">
        <v>108</v>
      </c>
      <c r="C2551" t="s">
        <v>235</v>
      </c>
      <c r="D2551" t="s">
        <v>317</v>
      </c>
      <c r="F2551" t="s">
        <v>1037</v>
      </c>
      <c r="G2551" t="s">
        <v>2167</v>
      </c>
      <c r="H2551" t="s">
        <v>3877</v>
      </c>
      <c r="I2551" t="s">
        <v>4753</v>
      </c>
      <c r="J2551" t="s">
        <v>5323</v>
      </c>
      <c r="K2551">
        <v>10034</v>
      </c>
      <c r="L2551" t="s">
        <v>5355</v>
      </c>
      <c r="M2551" t="s">
        <v>5356</v>
      </c>
      <c r="N2551" t="s">
        <v>6487</v>
      </c>
      <c r="O2551" t="s">
        <v>6492</v>
      </c>
      <c r="R2551" t="s">
        <v>6539</v>
      </c>
      <c r="U2551" t="s">
        <v>6557</v>
      </c>
      <c r="W2551" t="s">
        <v>352</v>
      </c>
      <c r="X2551">
        <v>1320</v>
      </c>
      <c r="Y2551" t="s">
        <v>6608</v>
      </c>
      <c r="Z2551" t="s">
        <v>6617</v>
      </c>
      <c r="AB2551" t="s">
        <v>8695</v>
      </c>
      <c r="AD2551" t="s">
        <v>11002</v>
      </c>
      <c r="AE2551">
        <v>60</v>
      </c>
      <c r="AF2551" t="s">
        <v>11005</v>
      </c>
      <c r="AG2551" t="s">
        <v>5406</v>
      </c>
      <c r="AH2551">
        <v>1</v>
      </c>
      <c r="AI2551">
        <v>1</v>
      </c>
      <c r="AJ2551">
        <v>0</v>
      </c>
      <c r="AK2551">
        <v>115.32</v>
      </c>
      <c r="AN2551" t="s">
        <v>11049</v>
      </c>
      <c r="AO2551">
        <v>14000</v>
      </c>
      <c r="AU2551">
        <v>1</v>
      </c>
      <c r="AV2551" t="s">
        <v>317</v>
      </c>
      <c r="AW2551" t="s">
        <v>11500</v>
      </c>
    </row>
    <row r="2552" spans="1:49">
      <c r="A2552" s="1">
        <f>HYPERLINK("https://cms.ls-nyc.org/matter/dynamic-profile/view/1849280","17-1849280")</f>
        <v>0</v>
      </c>
      <c r="B2552" t="s">
        <v>97</v>
      </c>
      <c r="C2552" t="s">
        <v>235</v>
      </c>
      <c r="D2552" t="s">
        <v>392</v>
      </c>
      <c r="F2552" t="s">
        <v>2098</v>
      </c>
      <c r="G2552" t="s">
        <v>3426</v>
      </c>
      <c r="H2552" t="s">
        <v>4732</v>
      </c>
      <c r="I2552" t="s">
        <v>5316</v>
      </c>
      <c r="J2552" t="s">
        <v>5323</v>
      </c>
      <c r="K2552">
        <v>10036</v>
      </c>
      <c r="L2552" t="s">
        <v>5355</v>
      </c>
      <c r="M2552" t="s">
        <v>5356</v>
      </c>
      <c r="N2552" t="s">
        <v>6488</v>
      </c>
      <c r="R2552" t="s">
        <v>6540</v>
      </c>
      <c r="S2552" t="s">
        <v>5357</v>
      </c>
      <c r="U2552" t="s">
        <v>6557</v>
      </c>
      <c r="W2552" t="s">
        <v>6574</v>
      </c>
      <c r="X2552">
        <v>4000</v>
      </c>
      <c r="Y2552" t="s">
        <v>6608</v>
      </c>
      <c r="Z2552" t="s">
        <v>6610</v>
      </c>
      <c r="AB2552" t="s">
        <v>8696</v>
      </c>
      <c r="AE2552">
        <v>484</v>
      </c>
      <c r="AF2552" t="s">
        <v>11004</v>
      </c>
      <c r="AH2552">
        <v>3</v>
      </c>
      <c r="AI2552">
        <v>1</v>
      </c>
      <c r="AJ2552">
        <v>0</v>
      </c>
      <c r="AK2552">
        <v>124.38</v>
      </c>
      <c r="AL2552" t="s">
        <v>11028</v>
      </c>
      <c r="AN2552" t="s">
        <v>11050</v>
      </c>
      <c r="AO2552">
        <v>15000</v>
      </c>
      <c r="AU2552">
        <v>0.1</v>
      </c>
      <c r="AV2552" t="s">
        <v>413</v>
      </c>
      <c r="AW2552" t="s">
        <v>11498</v>
      </c>
    </row>
    <row r="2553" spans="1:49">
      <c r="A2553" s="1">
        <f>HYPERLINK("https://cms.ls-nyc.org/matter/dynamic-profile/view/1857358","18-1857358")</f>
        <v>0</v>
      </c>
      <c r="B2553" t="s">
        <v>177</v>
      </c>
      <c r="C2553" t="s">
        <v>235</v>
      </c>
      <c r="D2553" t="s">
        <v>343</v>
      </c>
      <c r="F2553" t="s">
        <v>2099</v>
      </c>
      <c r="G2553" t="s">
        <v>1325</v>
      </c>
      <c r="H2553" t="s">
        <v>4733</v>
      </c>
      <c r="I2553" t="s">
        <v>4970</v>
      </c>
      <c r="J2553" t="s">
        <v>5320</v>
      </c>
      <c r="K2553">
        <v>11239</v>
      </c>
      <c r="L2553" t="s">
        <v>5355</v>
      </c>
      <c r="M2553" t="s">
        <v>5356</v>
      </c>
      <c r="N2553" t="s">
        <v>6489</v>
      </c>
      <c r="O2553" t="s">
        <v>6492</v>
      </c>
      <c r="R2553" t="s">
        <v>6539</v>
      </c>
      <c r="S2553" t="s">
        <v>5357</v>
      </c>
      <c r="U2553" t="s">
        <v>6557</v>
      </c>
      <c r="W2553" t="s">
        <v>247</v>
      </c>
      <c r="X2553">
        <v>1967</v>
      </c>
      <c r="Y2553" t="s">
        <v>6605</v>
      </c>
      <c r="Z2553" t="s">
        <v>6611</v>
      </c>
      <c r="AB2553" t="s">
        <v>8697</v>
      </c>
      <c r="AC2553" t="s">
        <v>9099</v>
      </c>
      <c r="AD2553" t="s">
        <v>11003</v>
      </c>
      <c r="AE2553">
        <v>1092</v>
      </c>
      <c r="AH2553">
        <v>0</v>
      </c>
      <c r="AI2553">
        <v>1</v>
      </c>
      <c r="AJ2553">
        <v>0</v>
      </c>
      <c r="AK2553">
        <v>135.95</v>
      </c>
      <c r="AL2553" t="s">
        <v>555</v>
      </c>
      <c r="AN2553" t="s">
        <v>11050</v>
      </c>
      <c r="AO2553">
        <v>16396</v>
      </c>
      <c r="AU2553">
        <v>1.75</v>
      </c>
      <c r="AV2553" t="s">
        <v>272</v>
      </c>
      <c r="AW2553" t="s">
        <v>11487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2019-06-17T14:18:27Z</dcterms:created>
  <dcterms:modified xsi:type="dcterms:W3CDTF">2019-06-17T14:18:27Z</dcterms:modified>
</cp:coreProperties>
</file>